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wsl.localhost\Ubuntu\home\adduser\proyectos\IngenieriaCiudad\raw\"/>
    </mc:Choice>
  </mc:AlternateContent>
  <xr:revisionPtr revIDLastSave="0" documentId="13_ncr:1_{28DCE0BA-58AC-4E07-BA13-777F28CB1DEC}" xr6:coauthVersionLast="47" xr6:coauthVersionMax="47" xr10:uidLastSave="{00000000-0000-0000-0000-000000000000}"/>
  <bookViews>
    <workbookView xWindow="28680" yWindow="-120" windowWidth="29040" windowHeight="15720" firstSheet="15" activeTab="23" xr2:uid="{00000000-000D-0000-FFFF-FFFF00000000}"/>
  </bookViews>
  <sheets>
    <sheet name="INDICE" sheetId="43" r:id="rId1"/>
    <sheet name="PV_INV_STRING" sheetId="35" r:id="rId2"/>
    <sheet name="PV_INV_PARALELO" sheetId="40" state="hidden" r:id="rId3"/>
    <sheet name="INV1_TABLERO FV" sheetId="37" r:id="rId4"/>
    <sheet name="INV1_TABLERO FV_N" sheetId="41" state="hidden" r:id="rId5"/>
    <sheet name="INV2_TABLERO FV" sheetId="28" state="hidden" r:id="rId6"/>
    <sheet name="INV2_TABLERO FV_N" sheetId="42" state="hidden" r:id="rId7"/>
    <sheet name="TABLERO FV_INTX" sheetId="31" r:id="rId8"/>
    <sheet name="Regulación_Voltaje" sheetId="8" r:id="rId9"/>
    <sheet name="Perdidas P_E " sheetId="36" r:id="rId10"/>
    <sheet name="Barraje_Pto conex" sheetId="15" state="hidden" r:id="rId11"/>
    <sheet name="CAIDA DE TENSION TOTAL" sheetId="7" r:id="rId12"/>
    <sheet name="Cap 2 NTC" sheetId="21" r:id="rId13"/>
    <sheet name="Cap 3 NTC" sheetId="16" r:id="rId14"/>
    <sheet name="Cap 9 NTC" sheetId="17" r:id="rId15"/>
    <sheet name="Tuberia" sheetId="9" r:id="rId16"/>
    <sheet name="Bandejas" sheetId="24" r:id="rId17"/>
    <sheet name="Cables" sheetId="32" r:id="rId18"/>
    <sheet name="Listas" sheetId="23" state="hidden" r:id="rId19"/>
    <sheet name="TABLA 2" sheetId="18" r:id="rId20"/>
    <sheet name="regulaciondelsistema" sheetId="46" r:id="rId21"/>
    <sheet name="perdidasdeenergia" sheetId="47" r:id="rId22"/>
    <sheet name="caidadetension" sheetId="48" r:id="rId23"/>
    <sheet name="resumendelsistema" sheetId="44" r:id="rId24"/>
    <sheet name="Vars" sheetId="50" r:id="rId25"/>
    <sheet name="Acometida AC" sheetId="6" state="hidden" r:id="rId26"/>
    <sheet name="Symo 15.0-3" sheetId="5" state="hidden" r:id="rId27"/>
    <sheet name="Symo10.0-3" sheetId="4" state="hidden" r:id="rId28"/>
    <sheet name="Capacidad de Corriente" sheetId="1" state="hidden" r:id="rId29"/>
    <sheet name="Area cable" sheetId="2" state="hidden" r:id="rId30"/>
  </sheets>
  <externalReferences>
    <externalReference r:id="rId31"/>
    <externalReference r:id="rId32"/>
  </externalReferences>
  <definedNames>
    <definedName name="_xlnm._FilterDatabase" localSheetId="24" hidden="1">Vars!$A$1:$F$40</definedName>
    <definedName name="_xlnm.Print_Area" localSheetId="19">'TABLA 2'!$A$1:$H$50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7" i="50" l="1"/>
  <c r="D8" i="50"/>
  <c r="B36" i="37"/>
  <c r="B23" i="37"/>
  <c r="U11" i="36"/>
  <c r="B11" i="36"/>
  <c r="C11" i="36" s="1"/>
  <c r="AH4" i="36"/>
  <c r="W4" i="36"/>
  <c r="V4" i="36"/>
  <c r="Z4" i="36" s="1"/>
  <c r="AA4" i="36" s="1"/>
  <c r="AB4" i="36" s="1"/>
  <c r="AD4" i="36" l="1"/>
  <c r="AI4" i="36"/>
  <c r="D40" i="50"/>
  <c r="F39" i="50"/>
  <c r="F38" i="50"/>
  <c r="F31" i="50"/>
  <c r="F30" i="50"/>
  <c r="F29" i="50"/>
  <c r="F28" i="50"/>
  <c r="F12" i="50"/>
  <c r="B5" i="44"/>
  <c r="B7" i="44"/>
  <c r="F25" i="50"/>
  <c r="F24" i="50"/>
  <c r="F23" i="50"/>
  <c r="F18" i="50"/>
  <c r="F17" i="50"/>
  <c r="B6" i="44" s="1"/>
  <c r="F16" i="50"/>
  <c r="F15" i="50"/>
  <c r="F14" i="50"/>
  <c r="F13" i="50"/>
  <c r="F10" i="50"/>
  <c r="C5" i="35"/>
  <c r="F9" i="50" s="1"/>
  <c r="E5" i="8"/>
  <c r="E6" i="8"/>
  <c r="E4" i="8"/>
  <c r="C5" i="8"/>
  <c r="C6" i="8"/>
  <c r="C7" i="8"/>
  <c r="C4" i="8"/>
  <c r="D39" i="50"/>
  <c r="D38" i="50"/>
  <c r="D37" i="50"/>
  <c r="D36" i="50"/>
  <c r="D35" i="50"/>
  <c r="D34" i="50"/>
  <c r="D33" i="50"/>
  <c r="D32" i="50"/>
  <c r="D31" i="50"/>
  <c r="D30" i="50"/>
  <c r="D29" i="50"/>
  <c r="D28" i="50"/>
  <c r="D27" i="50"/>
  <c r="D26" i="50"/>
  <c r="D25" i="50"/>
  <c r="D24" i="50"/>
  <c r="D23" i="50"/>
  <c r="D22" i="50"/>
  <c r="D21" i="50"/>
  <c r="D20" i="50"/>
  <c r="D19" i="50"/>
  <c r="D18" i="50"/>
  <c r="D17" i="50"/>
  <c r="D16" i="50"/>
  <c r="D7" i="50"/>
  <c r="D15" i="50"/>
  <c r="D6" i="50"/>
  <c r="D14" i="50"/>
  <c r="D13" i="50"/>
  <c r="D12" i="50"/>
  <c r="D11" i="50"/>
  <c r="D10" i="50"/>
  <c r="D5" i="50"/>
  <c r="D4" i="50"/>
  <c r="D3" i="50"/>
  <c r="D2" i="50"/>
  <c r="D9" i="50"/>
  <c r="B8" i="44" l="1"/>
  <c r="AJ4" i="36"/>
  <c r="D11" i="36"/>
  <c r="E11" i="36" s="1"/>
  <c r="F11" i="36" s="1"/>
  <c r="G11" i="36" s="1"/>
  <c r="J2" i="48"/>
  <c r="K2" i="48"/>
  <c r="L2" i="48"/>
  <c r="M2" i="48"/>
  <c r="N2" i="48"/>
  <c r="O2" i="48"/>
  <c r="P2" i="48"/>
  <c r="Q2" i="48"/>
  <c r="R2" i="48"/>
  <c r="S2" i="48"/>
  <c r="T2" i="48"/>
  <c r="U2" i="48"/>
  <c r="V2" i="48"/>
  <c r="W2" i="48"/>
  <c r="X2" i="48"/>
  <c r="Y2" i="48"/>
  <c r="Z2" i="48"/>
  <c r="I2" i="48"/>
  <c r="H2" i="48"/>
  <c r="G2" i="48"/>
  <c r="C2" i="48"/>
  <c r="D2" i="48"/>
  <c r="E2" i="48"/>
  <c r="F2" i="48"/>
  <c r="B2" i="48"/>
  <c r="A2" i="48"/>
  <c r="S2" i="47"/>
  <c r="T2" i="47"/>
  <c r="U2" i="47"/>
  <c r="V2" i="47"/>
  <c r="W2" i="47"/>
  <c r="X2" i="47"/>
  <c r="Y2" i="47"/>
  <c r="Z2" i="47"/>
  <c r="AA2" i="47"/>
  <c r="M2" i="47"/>
  <c r="N2" i="47"/>
  <c r="O2" i="47"/>
  <c r="P2" i="47"/>
  <c r="Q2" i="47"/>
  <c r="R2" i="47"/>
  <c r="L2" i="47"/>
  <c r="K2" i="47"/>
  <c r="G2" i="47"/>
  <c r="F2" i="47"/>
  <c r="E2" i="47"/>
  <c r="D2" i="47"/>
  <c r="C2" i="47"/>
  <c r="B2" i="47"/>
  <c r="A2" i="47"/>
  <c r="C3" i="46"/>
  <c r="A3" i="46" s="1"/>
  <c r="D3" i="46"/>
  <c r="E3" i="46"/>
  <c r="F3" i="46"/>
  <c r="G3" i="46"/>
  <c r="H3" i="46"/>
  <c r="I3" i="46"/>
  <c r="C4" i="46"/>
  <c r="A4" i="46" s="1"/>
  <c r="D4" i="46"/>
  <c r="E4" i="46"/>
  <c r="F4" i="46"/>
  <c r="G4" i="46"/>
  <c r="H4" i="46"/>
  <c r="I4" i="46"/>
  <c r="C5" i="46"/>
  <c r="A5" i="46" s="1"/>
  <c r="D5" i="46"/>
  <c r="E5" i="46"/>
  <c r="F5" i="46"/>
  <c r="G5" i="46"/>
  <c r="H5" i="46"/>
  <c r="I5" i="46"/>
  <c r="L5" i="46"/>
  <c r="D2" i="46"/>
  <c r="Y2" i="46"/>
  <c r="X2" i="46"/>
  <c r="U2" i="46"/>
  <c r="R2" i="46"/>
  <c r="Q2" i="46"/>
  <c r="N2" i="46"/>
  <c r="M2" i="46"/>
  <c r="I2" i="46"/>
  <c r="H2" i="46"/>
  <c r="G2" i="46"/>
  <c r="F2" i="46"/>
  <c r="E2" i="46"/>
  <c r="C2" i="46"/>
  <c r="A2" i="46" s="1"/>
  <c r="B12" i="42" l="1"/>
  <c r="B23" i="42" s="1"/>
  <c r="B12" i="41"/>
  <c r="B27" i="41" s="1"/>
  <c r="F151" i="42"/>
  <c r="B151" i="42"/>
  <c r="F150" i="42"/>
  <c r="F152" i="42" s="1"/>
  <c r="F160" i="42" s="1"/>
  <c r="F162" i="42" s="1"/>
  <c r="B150" i="42"/>
  <c r="F146" i="42"/>
  <c r="B146" i="42"/>
  <c r="F129" i="42"/>
  <c r="B129" i="42"/>
  <c r="F128" i="42"/>
  <c r="B128" i="42"/>
  <c r="F126" i="42"/>
  <c r="B126" i="42"/>
  <c r="F119" i="42"/>
  <c r="B119" i="42"/>
  <c r="B120" i="42" s="1"/>
  <c r="B131" i="42" s="1"/>
  <c r="B133" i="42" s="1"/>
  <c r="F114" i="42"/>
  <c r="F120" i="42" s="1"/>
  <c r="F131" i="42" s="1"/>
  <c r="F133" i="42" s="1"/>
  <c r="B114" i="42"/>
  <c r="F108" i="42"/>
  <c r="B108" i="42"/>
  <c r="F95" i="42"/>
  <c r="B95" i="42"/>
  <c r="F90" i="42"/>
  <c r="B90" i="42"/>
  <c r="F83" i="42"/>
  <c r="B83" i="42"/>
  <c r="B84" i="42" s="1"/>
  <c r="B92" i="42" s="1"/>
  <c r="B94" i="42" s="1"/>
  <c r="B79" i="42"/>
  <c r="F78" i="42"/>
  <c r="F84" i="42" s="1"/>
  <c r="F92" i="42" s="1"/>
  <c r="F94" i="42" s="1"/>
  <c r="B78" i="42"/>
  <c r="F72" i="42"/>
  <c r="B72" i="42"/>
  <c r="B60" i="42"/>
  <c r="D50" i="42"/>
  <c r="B50" i="42"/>
  <c r="B51" i="42" s="1"/>
  <c r="B52" i="42" s="1"/>
  <c r="A50" i="42"/>
  <c r="B47" i="42"/>
  <c r="B48" i="42" s="1"/>
  <c r="A47" i="42"/>
  <c r="B26" i="42"/>
  <c r="B25" i="42"/>
  <c r="H3" i="42"/>
  <c r="H2" i="42"/>
  <c r="F151" i="41"/>
  <c r="B151" i="41"/>
  <c r="F150" i="41"/>
  <c r="B150" i="41"/>
  <c r="B152" i="41" s="1"/>
  <c r="B160" i="41" s="1"/>
  <c r="B162" i="41" s="1"/>
  <c r="F146" i="41"/>
  <c r="B146" i="41"/>
  <c r="F129" i="41"/>
  <c r="B129" i="41"/>
  <c r="F128" i="41"/>
  <c r="B128" i="41"/>
  <c r="F126" i="41"/>
  <c r="B126" i="41"/>
  <c r="F119" i="41"/>
  <c r="F120" i="41" s="1"/>
  <c r="F131" i="41" s="1"/>
  <c r="F133" i="41" s="1"/>
  <c r="B119" i="41"/>
  <c r="B120" i="41" s="1"/>
  <c r="B131" i="41" s="1"/>
  <c r="B133" i="41" s="1"/>
  <c r="F114" i="41"/>
  <c r="B114" i="41"/>
  <c r="F108" i="41"/>
  <c r="B108" i="41"/>
  <c r="F95" i="41"/>
  <c r="B95" i="41"/>
  <c r="F90" i="41"/>
  <c r="B90" i="41"/>
  <c r="F83" i="41"/>
  <c r="F84" i="41" s="1"/>
  <c r="F92" i="41" s="1"/>
  <c r="F94" i="41" s="1"/>
  <c r="B83" i="41"/>
  <c r="B79" i="41"/>
  <c r="F78" i="41"/>
  <c r="B78" i="41"/>
  <c r="B84" i="41" s="1"/>
  <c r="B92" i="41" s="1"/>
  <c r="B94" i="41" s="1"/>
  <c r="F72" i="41"/>
  <c r="B72" i="41"/>
  <c r="B60" i="41"/>
  <c r="B50" i="41"/>
  <c r="B51" i="41" s="1"/>
  <c r="B52" i="41" s="1"/>
  <c r="A50" i="41"/>
  <c r="B47" i="41"/>
  <c r="B48" i="41" s="1"/>
  <c r="A47" i="41"/>
  <c r="B26" i="41"/>
  <c r="B25" i="41"/>
  <c r="H3" i="41"/>
  <c r="H2" i="41"/>
  <c r="C6" i="35"/>
  <c r="E7" i="36"/>
  <c r="E6" i="36"/>
  <c r="H5" i="36"/>
  <c r="I5" i="36" s="1"/>
  <c r="J5" i="36" s="1"/>
  <c r="H6" i="36"/>
  <c r="I6" i="36" s="1"/>
  <c r="J6" i="36" s="1"/>
  <c r="H7" i="36"/>
  <c r="I7" i="36" s="1"/>
  <c r="J7" i="36" s="1"/>
  <c r="F100" i="35"/>
  <c r="H5" i="8"/>
  <c r="J3" i="46" s="1"/>
  <c r="I5" i="8"/>
  <c r="B11" i="8" s="1"/>
  <c r="E11" i="8" s="1"/>
  <c r="C8" i="40"/>
  <c r="C6" i="40"/>
  <c r="V4" i="8"/>
  <c r="P2" i="46" s="1"/>
  <c r="U4" i="8"/>
  <c r="F174" i="40"/>
  <c r="F182" i="40"/>
  <c r="F184" i="40" s="1"/>
  <c r="B174" i="40"/>
  <c r="B182" i="40"/>
  <c r="B184" i="40" s="1"/>
  <c r="F173" i="40"/>
  <c r="F176" i="40" s="1"/>
  <c r="F177" i="40" s="1"/>
  <c r="B173" i="40"/>
  <c r="F172" i="40"/>
  <c r="B172" i="40"/>
  <c r="F154" i="40"/>
  <c r="F162" i="40"/>
  <c r="F164" i="40"/>
  <c r="B154" i="40"/>
  <c r="B162" i="40"/>
  <c r="B164" i="40" s="1"/>
  <c r="F153" i="40"/>
  <c r="B153" i="40"/>
  <c r="B156" i="40" s="1"/>
  <c r="B157" i="40" s="1"/>
  <c r="F152" i="40"/>
  <c r="B152" i="40"/>
  <c r="F134" i="40"/>
  <c r="B134" i="40"/>
  <c r="F133" i="40"/>
  <c r="B133" i="40"/>
  <c r="F131" i="40"/>
  <c r="B131" i="40"/>
  <c r="F124" i="40"/>
  <c r="B124" i="40"/>
  <c r="F119" i="40"/>
  <c r="B119" i="40"/>
  <c r="F113" i="40"/>
  <c r="B113" i="40"/>
  <c r="F100" i="40"/>
  <c r="B100" i="40"/>
  <c r="F95" i="40"/>
  <c r="B95" i="40"/>
  <c r="F88" i="40"/>
  <c r="F89" i="40"/>
  <c r="F97" i="40"/>
  <c r="B88" i="40"/>
  <c r="F83" i="40"/>
  <c r="B83" i="40"/>
  <c r="F77" i="40"/>
  <c r="B67" i="40"/>
  <c r="B64" i="40"/>
  <c r="C55" i="40"/>
  <c r="B54" i="40"/>
  <c r="A54" i="40"/>
  <c r="B51" i="40"/>
  <c r="B52" i="40"/>
  <c r="A51" i="40"/>
  <c r="B36" i="40"/>
  <c r="B15" i="40"/>
  <c r="B30" i="40" s="1"/>
  <c r="C5" i="40"/>
  <c r="H3" i="40"/>
  <c r="B29" i="40"/>
  <c r="H2" i="40"/>
  <c r="B28" i="40"/>
  <c r="B125" i="40"/>
  <c r="B136" i="40"/>
  <c r="B138" i="40"/>
  <c r="B141" i="40"/>
  <c r="F125" i="40"/>
  <c r="F136" i="40"/>
  <c r="F138" i="40"/>
  <c r="F156" i="40"/>
  <c r="F157" i="40"/>
  <c r="E159" i="40" s="1"/>
  <c r="B89" i="40"/>
  <c r="B97" i="40"/>
  <c r="F99" i="40"/>
  <c r="F102" i="40"/>
  <c r="B55" i="40"/>
  <c r="B56" i="40"/>
  <c r="B58" i="40"/>
  <c r="B176" i="40"/>
  <c r="B177" i="40" s="1"/>
  <c r="E102" i="40"/>
  <c r="E141" i="40"/>
  <c r="F141" i="40"/>
  <c r="A141" i="40"/>
  <c r="A58" i="40"/>
  <c r="B8" i="31"/>
  <c r="B7" i="31"/>
  <c r="B6" i="31"/>
  <c r="B5" i="31"/>
  <c r="B4" i="31"/>
  <c r="B3" i="31"/>
  <c r="F151" i="37"/>
  <c r="B151" i="37"/>
  <c r="F150" i="37"/>
  <c r="F152" i="37" s="1"/>
  <c r="F160" i="37" s="1"/>
  <c r="F162" i="37" s="1"/>
  <c r="B150" i="37"/>
  <c r="B152" i="37" s="1"/>
  <c r="B160" i="37" s="1"/>
  <c r="B162" i="37" s="1"/>
  <c r="F146" i="37"/>
  <c r="B146" i="37"/>
  <c r="F129" i="37"/>
  <c r="B129" i="37"/>
  <c r="F128" i="37"/>
  <c r="B128" i="37"/>
  <c r="F126" i="37"/>
  <c r="B126" i="37"/>
  <c r="F119" i="37"/>
  <c r="B119" i="37"/>
  <c r="F114" i="37"/>
  <c r="F120" i="37"/>
  <c r="F131" i="37"/>
  <c r="F133" i="37"/>
  <c r="B114" i="37"/>
  <c r="F108" i="37"/>
  <c r="B108" i="37"/>
  <c r="F95" i="37"/>
  <c r="F97" i="37" s="1"/>
  <c r="B95" i="37"/>
  <c r="F90" i="37"/>
  <c r="B90" i="37"/>
  <c r="F83" i="37"/>
  <c r="B83" i="37"/>
  <c r="B79" i="37"/>
  <c r="F78" i="37"/>
  <c r="B78" i="37"/>
  <c r="B84" i="37" s="1"/>
  <c r="B60" i="37"/>
  <c r="B50" i="37"/>
  <c r="A50" i="37"/>
  <c r="B47" i="37"/>
  <c r="B48" i="37" s="1"/>
  <c r="A47" i="37"/>
  <c r="B26" i="37"/>
  <c r="F27" i="50" s="1"/>
  <c r="B12" i="37"/>
  <c r="H3" i="37"/>
  <c r="H2" i="37"/>
  <c r="B25" i="37" s="1"/>
  <c r="C8" i="35"/>
  <c r="B15" i="35"/>
  <c r="B26" i="35" s="1"/>
  <c r="F19" i="50" s="1"/>
  <c r="B120" i="37"/>
  <c r="B131" i="37"/>
  <c r="B133" i="37"/>
  <c r="B136" i="37"/>
  <c r="F84" i="37"/>
  <c r="F92" i="37"/>
  <c r="A136" i="37"/>
  <c r="F136" i="37"/>
  <c r="E136" i="37"/>
  <c r="B147" i="37"/>
  <c r="H4" i="36"/>
  <c r="C55" i="35"/>
  <c r="D50" i="28"/>
  <c r="C15" i="36"/>
  <c r="Y4" i="8"/>
  <c r="AM4" i="8"/>
  <c r="AN4" i="8" s="1"/>
  <c r="AJ4" i="8"/>
  <c r="B78" i="28"/>
  <c r="F174" i="35"/>
  <c r="F182" i="35"/>
  <c r="F184" i="35" s="1"/>
  <c r="B174" i="35"/>
  <c r="B182" i="35"/>
  <c r="B184" i="35" s="1"/>
  <c r="F173" i="35"/>
  <c r="B173" i="35"/>
  <c r="B176" i="35" s="1"/>
  <c r="F172" i="35"/>
  <c r="F177" i="35" s="1"/>
  <c r="E179" i="35" s="1"/>
  <c r="B172" i="35"/>
  <c r="F154" i="35"/>
  <c r="F162" i="35"/>
  <c r="F164" i="35" s="1"/>
  <c r="B154" i="35"/>
  <c r="B162" i="35"/>
  <c r="B164" i="35"/>
  <c r="F153" i="35"/>
  <c r="F156" i="35" s="1"/>
  <c r="B153" i="35"/>
  <c r="B156" i="35" s="1"/>
  <c r="B157" i="35" s="1"/>
  <c r="F152" i="35"/>
  <c r="B152" i="35"/>
  <c r="F134" i="35"/>
  <c r="B134" i="35"/>
  <c r="F133" i="35"/>
  <c r="B133" i="35"/>
  <c r="F131" i="35"/>
  <c r="B131" i="35"/>
  <c r="F124" i="35"/>
  <c r="B124" i="35"/>
  <c r="F119" i="35"/>
  <c r="B119" i="35"/>
  <c r="F113" i="35"/>
  <c r="B113" i="35"/>
  <c r="B100" i="35"/>
  <c r="F95" i="35"/>
  <c r="B95" i="35"/>
  <c r="F88" i="35"/>
  <c r="B88" i="35"/>
  <c r="F83" i="35"/>
  <c r="B83" i="35"/>
  <c r="B89" i="35" s="1"/>
  <c r="B67" i="35"/>
  <c r="B64" i="35"/>
  <c r="B54" i="35"/>
  <c r="A54" i="35"/>
  <c r="B51" i="35"/>
  <c r="B52" i="35"/>
  <c r="A51" i="35"/>
  <c r="B36" i="35"/>
  <c r="H3" i="35"/>
  <c r="B29" i="35"/>
  <c r="F21" i="50" s="1"/>
  <c r="H2" i="35"/>
  <c r="B28" i="35" s="1"/>
  <c r="F20" i="50" s="1"/>
  <c r="F125" i="35"/>
  <c r="F136" i="35"/>
  <c r="F89" i="35"/>
  <c r="F97" i="35"/>
  <c r="F176" i="35"/>
  <c r="B125" i="35"/>
  <c r="B136" i="35"/>
  <c r="B138" i="35"/>
  <c r="A141" i="35"/>
  <c r="F138" i="35"/>
  <c r="E141" i="35"/>
  <c r="F141" i="35"/>
  <c r="B141" i="35"/>
  <c r="D31" i="9"/>
  <c r="B79" i="28"/>
  <c r="B83" i="28"/>
  <c r="P6" i="8"/>
  <c r="P4" i="8"/>
  <c r="N6" i="8"/>
  <c r="M6" i="8"/>
  <c r="N4" i="8"/>
  <c r="H6" i="8"/>
  <c r="J4" i="46" s="1"/>
  <c r="H7" i="8"/>
  <c r="J5" i="46" s="1"/>
  <c r="H4" i="8"/>
  <c r="M4" i="8"/>
  <c r="F118" i="31"/>
  <c r="B118" i="31"/>
  <c r="F113" i="31"/>
  <c r="B113" i="31"/>
  <c r="F119" i="28"/>
  <c r="B119" i="28"/>
  <c r="F114" i="28"/>
  <c r="B114" i="28"/>
  <c r="F83" i="28"/>
  <c r="F78" i="28"/>
  <c r="F119" i="31"/>
  <c r="F84" i="28"/>
  <c r="B119" i="31"/>
  <c r="F120" i="28"/>
  <c r="B120" i="28"/>
  <c r="B84" i="28"/>
  <c r="C16" i="15"/>
  <c r="C20" i="15"/>
  <c r="AF4" i="8"/>
  <c r="Z2" i="46" s="1"/>
  <c r="B150" i="28"/>
  <c r="C26" i="15"/>
  <c r="C31" i="15"/>
  <c r="B12" i="28"/>
  <c r="B23" i="28" s="1"/>
  <c r="F150" i="31"/>
  <c r="B150" i="31"/>
  <c r="F149" i="31"/>
  <c r="B149" i="31"/>
  <c r="B151" i="31" s="1"/>
  <c r="B159" i="31" s="1"/>
  <c r="B161" i="31" s="1"/>
  <c r="F145" i="31"/>
  <c r="B145" i="31"/>
  <c r="F128" i="31"/>
  <c r="B128" i="31"/>
  <c r="F127" i="31"/>
  <c r="B127" i="31"/>
  <c r="F125" i="31"/>
  <c r="B125" i="31"/>
  <c r="F107" i="31"/>
  <c r="B107" i="31"/>
  <c r="F94" i="31"/>
  <c r="F96" i="31" s="1"/>
  <c r="B94" i="31"/>
  <c r="F89" i="31"/>
  <c r="B89" i="31"/>
  <c r="F83" i="31"/>
  <c r="B83" i="31"/>
  <c r="F73" i="31"/>
  <c r="B61" i="31"/>
  <c r="B51" i="31"/>
  <c r="A51" i="31"/>
  <c r="B48" i="31"/>
  <c r="B49" i="31" s="1"/>
  <c r="A48" i="31"/>
  <c r="H3" i="31"/>
  <c r="B27" i="31" s="1"/>
  <c r="F36" i="50" s="1"/>
  <c r="H2" i="31"/>
  <c r="B26" i="31" s="1"/>
  <c r="B128" i="28"/>
  <c r="F129" i="28"/>
  <c r="F128" i="28"/>
  <c r="F126" i="28"/>
  <c r="B126" i="28"/>
  <c r="F90" i="28"/>
  <c r="F92" i="28"/>
  <c r="B90" i="28"/>
  <c r="B92" i="28"/>
  <c r="F151" i="28"/>
  <c r="F150" i="28"/>
  <c r="F146" i="28"/>
  <c r="B146" i="28"/>
  <c r="B151" i="28"/>
  <c r="B129" i="28"/>
  <c r="F108" i="28"/>
  <c r="B108" i="28"/>
  <c r="F95" i="28"/>
  <c r="B95" i="28"/>
  <c r="B60" i="28"/>
  <c r="B50" i="28"/>
  <c r="A50" i="28"/>
  <c r="B47" i="28"/>
  <c r="B48" i="28" s="1"/>
  <c r="A47" i="28"/>
  <c r="H3" i="28"/>
  <c r="B26" i="28"/>
  <c r="H2" i="28"/>
  <c r="B25" i="28" s="1"/>
  <c r="F151" i="31"/>
  <c r="F159" i="31" s="1"/>
  <c r="F161" i="31" s="1"/>
  <c r="B130" i="31"/>
  <c r="B132" i="31"/>
  <c r="B135" i="31"/>
  <c r="F91" i="31"/>
  <c r="F93" i="31"/>
  <c r="F130" i="31"/>
  <c r="F132" i="31"/>
  <c r="F135" i="31"/>
  <c r="F131" i="28"/>
  <c r="F133" i="28"/>
  <c r="E136" i="28"/>
  <c r="B131" i="28"/>
  <c r="B133" i="28"/>
  <c r="B136" i="28"/>
  <c r="H38" i="9"/>
  <c r="E4" i="9"/>
  <c r="E14" i="9"/>
  <c r="E5" i="9"/>
  <c r="E6" i="9"/>
  <c r="E7" i="9"/>
  <c r="E8" i="9"/>
  <c r="E9" i="9"/>
  <c r="E10" i="9"/>
  <c r="E11" i="9"/>
  <c r="E12" i="9"/>
  <c r="E38" i="9"/>
  <c r="E39" i="9"/>
  <c r="E40" i="9"/>
  <c r="E41" i="9"/>
  <c r="E42" i="9"/>
  <c r="E43" i="9"/>
  <c r="D39" i="9"/>
  <c r="D40" i="9"/>
  <c r="D41" i="9"/>
  <c r="D42" i="9"/>
  <c r="D43" i="9"/>
  <c r="D38" i="9"/>
  <c r="N24" i="9"/>
  <c r="O24" i="9"/>
  <c r="N25" i="9"/>
  <c r="O25" i="9"/>
  <c r="N26" i="9"/>
  <c r="O26" i="9"/>
  <c r="N27" i="9"/>
  <c r="O27" i="9"/>
  <c r="N28" i="9"/>
  <c r="O28" i="9"/>
  <c r="N29" i="9"/>
  <c r="O29" i="9"/>
  <c r="N30" i="9"/>
  <c r="O30" i="9"/>
  <c r="N31" i="9"/>
  <c r="O31" i="9"/>
  <c r="O23" i="9"/>
  <c r="N23" i="9"/>
  <c r="E22" i="9"/>
  <c r="F22" i="9"/>
  <c r="E23" i="9"/>
  <c r="F23" i="9"/>
  <c r="E24" i="9"/>
  <c r="F24" i="9"/>
  <c r="E25" i="9"/>
  <c r="F25" i="9"/>
  <c r="E26" i="9"/>
  <c r="F26" i="9"/>
  <c r="E27" i="9"/>
  <c r="F27" i="9"/>
  <c r="E28" i="9"/>
  <c r="F28" i="9"/>
  <c r="E29" i="9"/>
  <c r="F29" i="9"/>
  <c r="E30" i="9"/>
  <c r="F30" i="9"/>
  <c r="F21" i="9"/>
  <c r="E21" i="9"/>
  <c r="D8" i="9"/>
  <c r="B12" i="9"/>
  <c r="C5" i="9"/>
  <c r="D9" i="9"/>
  <c r="F72" i="28"/>
  <c r="F94" i="28"/>
  <c r="F97" i="28"/>
  <c r="F136" i="28"/>
  <c r="A135" i="31"/>
  <c r="E135" i="31"/>
  <c r="A136" i="28"/>
  <c r="D5" i="9"/>
  <c r="D7" i="9"/>
  <c r="C14" i="9"/>
  <c r="C9" i="9"/>
  <c r="B5" i="9"/>
  <c r="B8" i="9"/>
  <c r="B13" i="9"/>
  <c r="B11" i="9"/>
  <c r="B9" i="9"/>
  <c r="B7" i="9"/>
  <c r="C12" i="9"/>
  <c r="C10" i="9"/>
  <c r="C8" i="9"/>
  <c r="C6" i="9"/>
  <c r="B77" i="35"/>
  <c r="B14" i="9"/>
  <c r="B10" i="9"/>
  <c r="F72" i="37"/>
  <c r="F94" i="37"/>
  <c r="B6" i="9"/>
  <c r="C11" i="9"/>
  <c r="C7" i="9"/>
  <c r="F77" i="35"/>
  <c r="F99" i="35"/>
  <c r="D10" i="9"/>
  <c r="B73" i="31"/>
  <c r="D6" i="9"/>
  <c r="J29" i="16" a="1"/>
  <c r="J29" i="16"/>
  <c r="E97" i="37"/>
  <c r="E102" i="35"/>
  <c r="F102" i="35"/>
  <c r="B77" i="40"/>
  <c r="B99" i="40"/>
  <c r="B72" i="37"/>
  <c r="B72" i="28"/>
  <c r="B94" i="28"/>
  <c r="AI4" i="8"/>
  <c r="E97" i="28"/>
  <c r="B102" i="40"/>
  <c r="A102" i="40"/>
  <c r="B97" i="28"/>
  <c r="A97" i="28"/>
  <c r="L65" i="16"/>
  <c r="L66" i="16"/>
  <c r="L67" i="16"/>
  <c r="L12" i="18"/>
  <c r="L13" i="18"/>
  <c r="L14" i="18"/>
  <c r="Y3" i="7"/>
  <c r="S7" i="7"/>
  <c r="S11" i="7"/>
  <c r="S15" i="7"/>
  <c r="S3" i="7"/>
  <c r="M7" i="7"/>
  <c r="M11" i="7"/>
  <c r="M15" i="7"/>
  <c r="M3" i="7"/>
  <c r="G4" i="7"/>
  <c r="G5" i="7"/>
  <c r="G6" i="7"/>
  <c r="G7" i="7"/>
  <c r="G8" i="7"/>
  <c r="G9" i="7"/>
  <c r="G10" i="7"/>
  <c r="G11" i="7"/>
  <c r="G12" i="7"/>
  <c r="G13" i="7"/>
  <c r="G14" i="7"/>
  <c r="G15" i="7"/>
  <c r="G16" i="7"/>
  <c r="G17" i="7"/>
  <c r="G18" i="7"/>
  <c r="G3" i="7"/>
  <c r="Z3" i="7"/>
  <c r="G19" i="6"/>
  <c r="G15" i="6"/>
  <c r="G10" i="6"/>
  <c r="G10" i="5"/>
  <c r="G10" i="4"/>
  <c r="D3" i="1"/>
  <c r="D4" i="1"/>
  <c r="C11" i="1"/>
  <c r="C9" i="1"/>
  <c r="B29" i="1"/>
  <c r="B28" i="1"/>
  <c r="B27" i="1"/>
  <c r="B26" i="1"/>
  <c r="B22" i="1"/>
  <c r="B18" i="1"/>
  <c r="B14" i="1"/>
  <c r="B10" i="1"/>
  <c r="C26" i="1"/>
  <c r="C22" i="1"/>
  <c r="C18" i="1"/>
  <c r="C14" i="1"/>
  <c r="C10" i="1"/>
  <c r="B24" i="1"/>
  <c r="B20" i="1"/>
  <c r="B16" i="1"/>
  <c r="B12" i="1"/>
  <c r="B8" i="1"/>
  <c r="C24" i="1"/>
  <c r="C20" i="1"/>
  <c r="C16" i="1"/>
  <c r="C12" i="1"/>
  <c r="C8" i="1"/>
  <c r="B7" i="1"/>
  <c r="B23" i="1"/>
  <c r="B19" i="1"/>
  <c r="B15" i="1"/>
  <c r="B11" i="1"/>
  <c r="C7" i="1"/>
  <c r="C23" i="1"/>
  <c r="C19" i="1"/>
  <c r="C15" i="1"/>
  <c r="B25" i="1"/>
  <c r="B21" i="1"/>
  <c r="B17" i="1"/>
  <c r="B13" i="1"/>
  <c r="B9" i="1"/>
  <c r="C25" i="1"/>
  <c r="C21" i="1"/>
  <c r="C17" i="1"/>
  <c r="C13" i="1"/>
  <c r="B91" i="31" l="1"/>
  <c r="E96" i="31"/>
  <c r="B93" i="31"/>
  <c r="B96" i="31" s="1"/>
  <c r="B92" i="37"/>
  <c r="B94" i="37" s="1"/>
  <c r="B2" i="44"/>
  <c r="F11" i="50"/>
  <c r="B4" i="44"/>
  <c r="B13" i="31"/>
  <c r="F34" i="50"/>
  <c r="F40" i="50"/>
  <c r="B97" i="35"/>
  <c r="B99" i="35" s="1"/>
  <c r="B177" i="35"/>
  <c r="B179" i="35" s="1"/>
  <c r="F157" i="35"/>
  <c r="B40" i="35"/>
  <c r="A44" i="35" s="1"/>
  <c r="B44" i="35" s="1"/>
  <c r="I4" i="36"/>
  <c r="I2" i="47" s="1"/>
  <c r="H2" i="47"/>
  <c r="I4" i="8"/>
  <c r="K2" i="46" s="1"/>
  <c r="B2" i="46" s="1"/>
  <c r="J2" i="46"/>
  <c r="AB4" i="8"/>
  <c r="O2" i="46"/>
  <c r="I6" i="8"/>
  <c r="K4" i="46" s="1"/>
  <c r="B4" i="46" s="1"/>
  <c r="I7" i="8"/>
  <c r="K5" i="46" s="1"/>
  <c r="B5" i="46" s="1"/>
  <c r="AC4" i="8"/>
  <c r="W2" i="46" s="1"/>
  <c r="Z4" i="8"/>
  <c r="T2" i="46" s="1"/>
  <c r="S2" i="46"/>
  <c r="Q4" i="8"/>
  <c r="R4" i="8" s="1"/>
  <c r="L2" i="46" s="1"/>
  <c r="Q6" i="8"/>
  <c r="K3" i="46"/>
  <c r="B3" i="46" s="1"/>
  <c r="B152" i="42"/>
  <c r="B147" i="42"/>
  <c r="F152" i="41"/>
  <c r="F160" i="41" s="1"/>
  <c r="F162" i="41" s="1"/>
  <c r="F147" i="41"/>
  <c r="F154" i="41" s="1"/>
  <c r="F155" i="41" s="1"/>
  <c r="B36" i="41"/>
  <c r="A40" i="41" s="1"/>
  <c r="B40" i="41" s="1"/>
  <c r="F136" i="42"/>
  <c r="E136" i="42"/>
  <c r="B154" i="42"/>
  <c r="B155" i="42" s="1"/>
  <c r="B160" i="42"/>
  <c r="B162" i="42" s="1"/>
  <c r="F97" i="42"/>
  <c r="E97" i="42"/>
  <c r="B136" i="42"/>
  <c r="A136" i="42"/>
  <c r="A54" i="42"/>
  <c r="B54" i="42"/>
  <c r="A97" i="42"/>
  <c r="B97" i="42"/>
  <c r="B36" i="42"/>
  <c r="A40" i="42" s="1"/>
  <c r="B40" i="42" s="1"/>
  <c r="F147" i="42"/>
  <c r="F154" i="42" s="1"/>
  <c r="F155" i="42" s="1"/>
  <c r="B27" i="42"/>
  <c r="B29" i="42" s="1"/>
  <c r="H4" i="42" s="1"/>
  <c r="B30" i="42" s="1"/>
  <c r="F136" i="41"/>
  <c r="E136" i="41"/>
  <c r="A54" i="41"/>
  <c r="B54" i="41"/>
  <c r="B97" i="41"/>
  <c r="A97" i="41"/>
  <c r="F97" i="41"/>
  <c r="E97" i="41"/>
  <c r="B136" i="41"/>
  <c r="A136" i="41"/>
  <c r="B23" i="41"/>
  <c r="B29" i="41" s="1"/>
  <c r="H4" i="41" s="1"/>
  <c r="B30" i="41" s="1"/>
  <c r="B147" i="41"/>
  <c r="B154" i="41" s="1"/>
  <c r="B155" i="41" s="1"/>
  <c r="B152" i="28"/>
  <c r="B160" i="28" s="1"/>
  <c r="B162" i="28" s="1"/>
  <c r="F152" i="28"/>
  <c r="F160" i="28" s="1"/>
  <c r="F162" i="28" s="1"/>
  <c r="B51" i="28"/>
  <c r="B52" i="28" s="1"/>
  <c r="A54" i="28" s="1"/>
  <c r="B32" i="40"/>
  <c r="H4" i="40" s="1"/>
  <c r="B33" i="40" s="1"/>
  <c r="E179" i="40"/>
  <c r="F179" i="40"/>
  <c r="A159" i="40"/>
  <c r="B159" i="40"/>
  <c r="B179" i="40"/>
  <c r="A179" i="40"/>
  <c r="B26" i="40"/>
  <c r="F159" i="40"/>
  <c r="B40" i="40"/>
  <c r="A44" i="40" s="1"/>
  <c r="B44" i="40" s="1"/>
  <c r="F147" i="28"/>
  <c r="B36" i="28"/>
  <c r="A40" i="28" s="1"/>
  <c r="B40" i="28" s="1"/>
  <c r="B27" i="28"/>
  <c r="B29" i="28" s="1"/>
  <c r="H4" i="28" s="1"/>
  <c r="B30" i="28" s="1"/>
  <c r="B147" i="28"/>
  <c r="J4" i="36"/>
  <c r="J2" i="47" s="1"/>
  <c r="B159" i="35"/>
  <c r="A159" i="35"/>
  <c r="F159" i="35"/>
  <c r="E159" i="35"/>
  <c r="A179" i="35"/>
  <c r="F179" i="35"/>
  <c r="F147" i="37"/>
  <c r="F154" i="37" s="1"/>
  <c r="F155" i="37" s="1"/>
  <c r="E157" i="37" s="1"/>
  <c r="A40" i="37"/>
  <c r="B40" i="37" s="1"/>
  <c r="B55" i="35"/>
  <c r="B56" i="35" s="1"/>
  <c r="B30" i="35"/>
  <c r="B52" i="31"/>
  <c r="B53" i="31" s="1"/>
  <c r="B154" i="37"/>
  <c r="B155" i="37" s="1"/>
  <c r="A157" i="37" s="1"/>
  <c r="B51" i="37"/>
  <c r="B52" i="37" s="1"/>
  <c r="B27" i="37"/>
  <c r="B37" i="31" l="1"/>
  <c r="B24" i="31"/>
  <c r="C29" i="15"/>
  <c r="F146" i="31"/>
  <c r="F153" i="31" s="1"/>
  <c r="F154" i="31" s="1"/>
  <c r="E156" i="31" s="1"/>
  <c r="C30" i="15"/>
  <c r="A96" i="31"/>
  <c r="B97" i="37"/>
  <c r="A97" i="37"/>
  <c r="B29" i="37"/>
  <c r="H4" i="37" s="1"/>
  <c r="B30" i="37" s="1"/>
  <c r="F33" i="50"/>
  <c r="A41" i="31"/>
  <c r="B41" i="31" s="1"/>
  <c r="F26" i="50"/>
  <c r="B3" i="44" s="1"/>
  <c r="B28" i="31"/>
  <c r="B146" i="31"/>
  <c r="B153" i="31" s="1"/>
  <c r="B154" i="31" s="1"/>
  <c r="B156" i="31" s="1"/>
  <c r="F35" i="50"/>
  <c r="B102" i="35"/>
  <c r="A102" i="35"/>
  <c r="R5" i="8"/>
  <c r="L3" i="46" s="1"/>
  <c r="B10" i="8"/>
  <c r="B32" i="35"/>
  <c r="H4" i="35" s="1"/>
  <c r="B33" i="35" s="1"/>
  <c r="F22" i="50"/>
  <c r="R6" i="8"/>
  <c r="L4" i="46" s="1"/>
  <c r="AG4" i="8"/>
  <c r="D10" i="8" s="1"/>
  <c r="V2" i="46"/>
  <c r="A157" i="42"/>
  <c r="B157" i="42"/>
  <c r="F157" i="42"/>
  <c r="E157" i="42"/>
  <c r="B157" i="41"/>
  <c r="A157" i="41"/>
  <c r="F157" i="41"/>
  <c r="E157" i="41"/>
  <c r="B154" i="28"/>
  <c r="B155" i="28" s="1"/>
  <c r="A157" i="28" s="1"/>
  <c r="F154" i="28"/>
  <c r="F155" i="28" s="1"/>
  <c r="F157" i="28" s="1"/>
  <c r="B54" i="28"/>
  <c r="B15" i="36"/>
  <c r="D15" i="36" s="1"/>
  <c r="A58" i="35"/>
  <c r="B58" i="35"/>
  <c r="B55" i="31"/>
  <c r="A55" i="31"/>
  <c r="B157" i="37"/>
  <c r="F157" i="37"/>
  <c r="A54" i="37"/>
  <c r="B54" i="37"/>
  <c r="F156" i="31" l="1"/>
  <c r="A156" i="31"/>
  <c r="B30" i="31"/>
  <c r="H4" i="31" s="1"/>
  <c r="B31" i="31" s="1"/>
  <c r="E10" i="8"/>
  <c r="AA2" i="46"/>
  <c r="AO4" i="8"/>
  <c r="E157" i="28"/>
  <c r="B157" i="28"/>
  <c r="AB2" i="46" l="1"/>
  <c r="D8" i="46" s="1"/>
  <c r="AP4" i="8"/>
  <c r="AC2" i="46" s="1"/>
  <c r="E8" i="46" s="1"/>
</calcChain>
</file>

<file path=xl/sharedStrings.xml><?xml version="1.0" encoding="utf-8"?>
<sst xmlns="http://schemas.openxmlformats.org/spreadsheetml/2006/main" count="3221" uniqueCount="669">
  <si>
    <t>Selección de un conductor y derrateo por temperatura</t>
  </si>
  <si>
    <t>Temperatura ambiente</t>
  </si>
  <si>
    <t>21-25</t>
  </si>
  <si>
    <t>26-30</t>
  </si>
  <si>
    <t>31-35</t>
  </si>
  <si>
    <t>36-40</t>
  </si>
  <si>
    <t>Temp amb</t>
  </si>
  <si>
    <t>Factor</t>
  </si>
  <si>
    <t>41-45</t>
  </si>
  <si>
    <t>46-50</t>
  </si>
  <si>
    <t>51-55</t>
  </si>
  <si>
    <t>Capacidad</t>
  </si>
  <si>
    <t>1 a 3</t>
  </si>
  <si>
    <t>4 a 6</t>
  </si>
  <si>
    <t>7 a 9</t>
  </si>
  <si>
    <t>10 a 20</t>
  </si>
  <si>
    <t>21 a 30</t>
  </si>
  <si>
    <t>31 a 40</t>
  </si>
  <si>
    <t xml:space="preserve">41 y mas </t>
  </si>
  <si>
    <t>Calibre AWG o kcmil</t>
  </si>
  <si>
    <t>Temperatura Nominal @75°C (THW, THWN, XHHW)</t>
  </si>
  <si>
    <t>Temperatura Nominal @ 90°C (THHN, THWN-2, XHHW, XHHW-2)</t>
  </si>
  <si>
    <t>4 mm2</t>
  </si>
  <si>
    <t>6 mm2</t>
  </si>
  <si>
    <t>10 mm2</t>
  </si>
  <si>
    <t>Cantidad de conductores por ducto</t>
  </si>
  <si>
    <t>Cálculo caída de tensión en conductores (AC)</t>
  </si>
  <si>
    <t>Datos</t>
  </si>
  <si>
    <t>L</t>
  </si>
  <si>
    <t>Vn</t>
  </si>
  <si>
    <t>I</t>
  </si>
  <si>
    <t>Fórmula</t>
  </si>
  <si>
    <t>S</t>
  </si>
  <si>
    <t>1/0 AWG</t>
  </si>
  <si>
    <t>AWG</t>
  </si>
  <si>
    <t>Sección(mm²)</t>
  </si>
  <si>
    <t>2/0 AWG</t>
  </si>
  <si>
    <t>3/0 AWG</t>
  </si>
  <si>
    <t>4/0 AWG</t>
  </si>
  <si>
    <t>4 mm²</t>
  </si>
  <si>
    <t>6 mm²</t>
  </si>
  <si>
    <t>8 mm²</t>
  </si>
  <si>
    <t>10 mm²</t>
  </si>
  <si>
    <t>12 mm²</t>
  </si>
  <si>
    <t>250 kcmil</t>
  </si>
  <si>
    <t>300 kcmil</t>
  </si>
  <si>
    <t>350 kcmil</t>
  </si>
  <si>
    <t>400 kcmil</t>
  </si>
  <si>
    <t>500 kcmil</t>
  </si>
  <si>
    <t>600 kcmil</t>
  </si>
  <si>
    <t>750 kcmil</t>
  </si>
  <si>
    <t>800 kcmil</t>
  </si>
  <si>
    <t>1000 kcmil</t>
  </si>
  <si>
    <t>18 AWG</t>
  </si>
  <si>
    <t>16 AWG</t>
  </si>
  <si>
    <t>14 AWG</t>
  </si>
  <si>
    <t>12 AWG</t>
  </si>
  <si>
    <t>10 AWG</t>
  </si>
  <si>
    <t>8 AWG</t>
  </si>
  <si>
    <t>6 AWG</t>
  </si>
  <si>
    <t>4 AWG</t>
  </si>
  <si>
    <t>2 AWG</t>
  </si>
  <si>
    <t>14 awg</t>
  </si>
  <si>
    <t>12 awg</t>
  </si>
  <si>
    <t>10 awg</t>
  </si>
  <si>
    <t>8 awg</t>
  </si>
  <si>
    <t>6 awg</t>
  </si>
  <si>
    <t>4 awg</t>
  </si>
  <si>
    <t>2 awg</t>
  </si>
  <si>
    <t>1/0 awg</t>
  </si>
  <si>
    <t>2/0 awg</t>
  </si>
  <si>
    <t>3/0 awg</t>
  </si>
  <si>
    <t>4/0 awg</t>
  </si>
  <si>
    <t>Nota aclaratoria: Los ductos son tuberías, canaletas, canalizaciones, coraza, y en general todo elemento que lleve cables en su interior. Las bandejas porta cables NO son ductos, solo elementos de soporte, por lo que a las bandejas portacable no se les debe hacer un derrateo por conductores.</t>
  </si>
  <si>
    <t>V</t>
  </si>
  <si>
    <t>Unidad</t>
  </si>
  <si>
    <t>Valor</t>
  </si>
  <si>
    <r>
      <rPr>
        <b/>
        <sz val="11"/>
        <color theme="1"/>
        <rFont val="Calibri"/>
        <family val="2"/>
        <scheme val="minor"/>
      </rPr>
      <t>Nota:</t>
    </r>
    <r>
      <rPr>
        <sz val="11"/>
        <color theme="1"/>
        <rFont val="Calibri"/>
        <family val="2"/>
        <scheme val="minor"/>
      </rPr>
      <t xml:space="preserve"> El máximo </t>
    </r>
    <r>
      <rPr>
        <sz val="11"/>
        <color theme="1"/>
        <rFont val="Calibri"/>
        <family val="2"/>
      </rPr>
      <t>∆V permitido es 3%</t>
    </r>
  </si>
  <si>
    <t>∆V</t>
  </si>
  <si>
    <t>La distancia mas larga de un conductor en AC sera de 100m como se especifica en los lineamientos de Celsia</t>
  </si>
  <si>
    <t>Clasificación según la norma EN 61643-11</t>
  </si>
  <si>
    <t>Intensidad nominal de descarga (8/20)</t>
  </si>
  <si>
    <t>Máx. intensidad de descarga</t>
  </si>
  <si>
    <t>Nivel de protección</t>
  </si>
  <si>
    <t>Tiempo de reacción</t>
  </si>
  <si>
    <t>Sección de conexión, conector rígido</t>
  </si>
  <si>
    <t>Sección de conexión, conector multifilar</t>
  </si>
  <si>
    <t>Sección de conexión, conector flexible</t>
  </si>
  <si>
    <t xml:space="preserve">Parámentros </t>
  </si>
  <si>
    <t>kA</t>
  </si>
  <si>
    <t>kV</t>
  </si>
  <si>
    <t>ns</t>
  </si>
  <si>
    <t>mm2</t>
  </si>
  <si>
    <t>Tipo 2</t>
  </si>
  <si>
    <t>&lt; 4,0</t>
  </si>
  <si>
    <t>&lt; 25</t>
  </si>
  <si>
    <t>2,5 - 35</t>
  </si>
  <si>
    <t>2,5 - 25</t>
  </si>
  <si>
    <t>Tensión máxima de funcionamiento AC</t>
  </si>
  <si>
    <t>Clasificación según la norma EN 61643-1</t>
  </si>
  <si>
    <t>Clase II</t>
  </si>
  <si>
    <t>Descargador fotovoltaico AC</t>
  </si>
  <si>
    <t>Se instalaran 2 cables No.1/0 por fase.</t>
  </si>
  <si>
    <t>CAIDA DE TENSION ENTRE INVERSORES Y TABLERO FOTOVOLTAICO (AC)</t>
  </si>
  <si>
    <t>CAIDA DE TENSION ENTRE B48TABLERO FOTOVOLTAICO (AC) Y PUNTO DE CONEXIÓN EN SE EXISTENTE</t>
  </si>
  <si>
    <t>CALIBRE CONDUCTOR</t>
  </si>
  <si>
    <t>% REG</t>
  </si>
  <si>
    <t>LONGITUD HASTA CB</t>
  </si>
  <si>
    <t>LONGITUD ENTRE INVERSOR Y TABLERO AC</t>
  </si>
  <si>
    <t>LONGITUD ENTRE TABLERO AC Y PTO DE CONEXIÓN</t>
  </si>
  <si>
    <t>1.1</t>
  </si>
  <si>
    <t>1.2</t>
  </si>
  <si>
    <t>1.3</t>
  </si>
  <si>
    <t>1.4</t>
  </si>
  <si>
    <t>2.1</t>
  </si>
  <si>
    <t>3.1</t>
  </si>
  <si>
    <t>4.1</t>
  </si>
  <si>
    <t>2.3</t>
  </si>
  <si>
    <t>2.2</t>
  </si>
  <si>
    <t>3.2</t>
  </si>
  <si>
    <t>4.2</t>
  </si>
  <si>
    <t>3.3</t>
  </si>
  <si>
    <t>4.3</t>
  </si>
  <si>
    <t>2.4</t>
  </si>
  <si>
    <t>3.4</t>
  </si>
  <si>
    <t>4.4</t>
  </si>
  <si>
    <t>INVERSOR.STRING</t>
  </si>
  <si>
    <t>CORRIENTE DE CARGA</t>
  </si>
  <si>
    <t>VOLTAJE DEL STRING</t>
  </si>
  <si>
    <t>VOLTAJE STRING</t>
  </si>
  <si>
    <t>LONGITUD ENTRE CB E INVERSOR</t>
  </si>
  <si>
    <t>VOLTAJE ACOMETIDA</t>
  </si>
  <si>
    <t>RESISTIVIDAD OHM/KM</t>
  </si>
  <si>
    <t>4/0</t>
  </si>
  <si>
    <t>% REG TOTAL</t>
  </si>
  <si>
    <t>Diámetro nominal (NPS)</t>
  </si>
  <si>
    <t>TUBERIA EMT</t>
  </si>
  <si>
    <t>MARCA</t>
  </si>
  <si>
    <t>COLMENA</t>
  </si>
  <si>
    <t>DIAMETRO NOMINAL NPS</t>
  </si>
  <si>
    <t>DIAMETRO EXTERIOR</t>
  </si>
  <si>
    <t>ESPESOR DE PARED</t>
  </si>
  <si>
    <t>PESO TUBO 3 M (Kg)</t>
  </si>
  <si>
    <t>MAXIMO</t>
  </si>
  <si>
    <t>MINIMO</t>
  </si>
  <si>
    <t>1/2"</t>
  </si>
  <si>
    <t>3/4"</t>
  </si>
  <si>
    <t>1"</t>
  </si>
  <si>
    <t>1 1/4"</t>
  </si>
  <si>
    <t>1 1/2"</t>
  </si>
  <si>
    <t>2"</t>
  </si>
  <si>
    <t>2 1/2"</t>
  </si>
  <si>
    <t>3"</t>
  </si>
  <si>
    <t>4"</t>
  </si>
  <si>
    <t>6"</t>
  </si>
  <si>
    <t>-</t>
  </si>
  <si>
    <t>Referencia</t>
  </si>
  <si>
    <t>Ft</t>
  </si>
  <si>
    <t>Fag</t>
  </si>
  <si>
    <t>Sirve la proteccion seleccionada?</t>
  </si>
  <si>
    <t>% de ocupacion de tuberia</t>
  </si>
  <si>
    <t>RESISTENCIA OHM/KM @75ºC</t>
  </si>
  <si>
    <t>FP</t>
  </si>
  <si>
    <t>CORRIENTE DE CARGA (Impp) [A]</t>
  </si>
  <si>
    <t>CORRIENTE DE CARGA [A]</t>
  </si>
  <si>
    <t>INVERSOR</t>
  </si>
  <si>
    <t>% REGULACION TOTAL</t>
  </si>
  <si>
    <t>VOLTAJE DEL STRING (Vmpp) [V DC]</t>
  </si>
  <si>
    <t>% REG DC</t>
  </si>
  <si>
    <t>STRING</t>
  </si>
  <si>
    <t>% REG AC</t>
  </si>
  <si>
    <t>Diámetro exterior (Pulg,)</t>
  </si>
  <si>
    <t>Espesor pared (Pulg,)</t>
  </si>
  <si>
    <t>Peso mínimo (Kg,)</t>
  </si>
  <si>
    <t>INTERMEDIATE METAL CONDUIT IMC ANSI C 80,6 (NTC -169); UL 1242</t>
  </si>
  <si>
    <t>(Pulg,)</t>
  </si>
  <si>
    <t>(pulg,)</t>
  </si>
  <si>
    <t>20 AWG</t>
  </si>
  <si>
    <t>AWG to mm2</t>
  </si>
  <si>
    <t>mm2 to AWG</t>
  </si>
  <si>
    <t>Sección [mm²]*</t>
  </si>
  <si>
    <t>1 AWG</t>
  </si>
  <si>
    <t>450 kcmil</t>
  </si>
  <si>
    <t>[mm²]*</t>
  </si>
  <si>
    <r>
      <t>1</t>
    </r>
    <r>
      <rPr>
        <i/>
        <sz val="10"/>
        <color theme="1"/>
        <rFont val="Calibri"/>
        <family val="2"/>
        <scheme val="minor"/>
      </rPr>
      <t>"</t>
    </r>
  </si>
  <si>
    <r>
      <t>2</t>
    </r>
    <r>
      <rPr>
        <i/>
        <sz val="10"/>
        <color theme="1"/>
        <rFont val="Calibri"/>
        <family val="2"/>
        <scheme val="minor"/>
      </rPr>
      <t>"</t>
    </r>
  </si>
  <si>
    <r>
      <t>3</t>
    </r>
    <r>
      <rPr>
        <i/>
        <sz val="10"/>
        <color theme="1"/>
        <rFont val="Calibri"/>
        <family val="2"/>
        <scheme val="minor"/>
      </rPr>
      <t>"</t>
    </r>
  </si>
  <si>
    <r>
      <t>4</t>
    </r>
    <r>
      <rPr>
        <i/>
        <sz val="10"/>
        <color theme="1"/>
        <rFont val="Calibri"/>
        <family val="2"/>
        <scheme val="minor"/>
      </rPr>
      <t>"</t>
    </r>
  </si>
  <si>
    <t>3 1/2"</t>
  </si>
  <si>
    <t>Sección Tranversal</t>
  </si>
  <si>
    <t>Temperatura Nominal Del Conductor</t>
  </si>
  <si>
    <t>Calibre</t>
  </si>
  <si>
    <t>60 ºC</t>
  </si>
  <si>
    <t>75 ºC</t>
  </si>
  <si>
    <t>90 ºC</t>
  </si>
  <si>
    <t>Tipos</t>
  </si>
  <si>
    <t>S  TW  UF</t>
  </si>
  <si>
    <t>FEPW  RH  RHW  THHW  THW THWN XHHW USE ZW</t>
  </si>
  <si>
    <t xml:space="preserve">TBS  SA  SIS  FEP  FEPB  MI  RHH  RHW-2  THHN  THHW  THW-2  THWN-2  USE-2  XHH  XHHW  XHHW-2  ZW-2    </t>
  </si>
  <si>
    <t>TW  UF</t>
  </si>
  <si>
    <t>RH  RHW  THHW  THW  THWN  XHHW USE</t>
  </si>
  <si>
    <t xml:space="preserve">TBS  SA  SIS  THHN  THHW  THW-2  THWN-2  RHH RHW-2  USE-2  XHH  XHHW  XHHW-2   ZW-2 </t>
  </si>
  <si>
    <t>COBRE</t>
  </si>
  <si>
    <t>ALUMINIO RECUBIERTO CON COBRE</t>
  </si>
  <si>
    <t>AWG ó kcmil</t>
  </si>
  <si>
    <t>1/0</t>
  </si>
  <si>
    <t>2/0</t>
  </si>
  <si>
    <t>3/0</t>
  </si>
  <si>
    <t>FACTORES DE CORRECCIÓN POR TEMPERATURA AMBIENTE</t>
  </si>
  <si>
    <t>Temperatura Ambiente en ºC</t>
  </si>
  <si>
    <t xml:space="preserve">Para temperaturas ambientes distintas de 30 ºC, multiplicar las anteriores corrientes por el correspondiente factor de los siguientes </t>
  </si>
  <si>
    <t>56-60</t>
  </si>
  <si>
    <t>61-70</t>
  </si>
  <si>
    <t>71-80</t>
  </si>
  <si>
    <r>
      <t xml:space="preserve">Capacidad de corriente permisible en conductores aislados para 0 a 2000 V nominales al aire libre y temperatura ambiente de 30 °C.    </t>
    </r>
    <r>
      <rPr>
        <b/>
        <sz val="10"/>
        <color indexed="10"/>
        <rFont val="Arial"/>
        <family val="2"/>
      </rPr>
      <t>(TABLA 310-16 NTC 2050)</t>
    </r>
  </si>
  <si>
    <t>Resistencia en c.a. alambres de cobre descubiertos</t>
  </si>
  <si>
    <t>Resistencia en c.a. alambres de aluminio descubiertos</t>
  </si>
  <si>
    <r>
      <t>Reactancia (X</t>
    </r>
    <r>
      <rPr>
        <vertAlign val="subscript"/>
        <sz val="10"/>
        <rFont val="Arial"/>
        <family val="2"/>
      </rPr>
      <t>L</t>
    </r>
    <r>
      <rPr>
        <sz val="10"/>
        <rFont val="Arial"/>
        <family val="2"/>
      </rPr>
      <t>)</t>
    </r>
  </si>
  <si>
    <t>Conduit de PVC y Al</t>
  </si>
  <si>
    <t>Conduit de acero</t>
  </si>
  <si>
    <t>Conduit de PVC</t>
  </si>
  <si>
    <t>Factor De Corrección Para Capacidad Amperímetrica De Los Conductores En Una Tubería</t>
  </si>
  <si>
    <t>Numero De Conductores Portadores De Corriente En La Tubería</t>
  </si>
  <si>
    <t>Porcentaje Del Valor De Las Tablas, Ajustado Para La Temperatura Ambiente Si Fuera Necesario</t>
  </si>
  <si>
    <t>De 4 a 6</t>
  </si>
  <si>
    <t>De 7 a 9</t>
  </si>
  <si>
    <t>De 10 a 20</t>
  </si>
  <si>
    <t xml:space="preserve">De 21 a 30 </t>
  </si>
  <si>
    <t>De 31 a 40</t>
  </si>
  <si>
    <t>De 41 y más</t>
  </si>
  <si>
    <t>CONVERSION DE CALIBRES DE CABLES</t>
  </si>
  <si>
    <t>TUBERIA IMC y RIGID</t>
  </si>
  <si>
    <r>
      <t xml:space="preserve">Capacidad de corriente permisible en conductores aislados para 0 a 2000 V nominales de 60 ºC a 90 ºC no más de tres conductores portadores de corriente en una canalización, cable o tierra ( directamente enterrados) y temperatura ambiente de 30 ºC     </t>
    </r>
    <r>
      <rPr>
        <b/>
        <sz val="10"/>
        <color indexed="10"/>
        <rFont val="Calibri"/>
        <family val="2"/>
        <scheme val="minor"/>
      </rPr>
      <t>(TABLA 310-16 NTC 2050)</t>
    </r>
  </si>
  <si>
    <r>
      <t xml:space="preserve">Capacidad de corriente permisible en conductores aislados para 0 a 2000 V nominales al aire libre y temperatura ambiente de 30 °C.    </t>
    </r>
    <r>
      <rPr>
        <b/>
        <sz val="10"/>
        <color indexed="10"/>
        <rFont val="Arial"/>
        <family val="2"/>
      </rPr>
      <t>(TABLA 310-17 NTC 2050)</t>
    </r>
  </si>
  <si>
    <r>
      <t xml:space="preserve">Resistencia eléctrica c.a. y reactancia inductiva para Cables de Cobre,
instalación trifásica para 600V a 60Hz y 75oC. Tres conductores sencillos en tubo conduit </t>
    </r>
    <r>
      <rPr>
        <sz val="10"/>
        <color indexed="10"/>
        <rFont val="Calibri"/>
        <family val="2"/>
        <scheme val="minor"/>
      </rPr>
      <t>(Tabla 9 De La NTC 2050)</t>
    </r>
  </si>
  <si>
    <t>Calibre AWG o Kcmil</t>
  </si>
  <si>
    <t>Número de conductores</t>
  </si>
  <si>
    <t>Más de 2</t>
  </si>
  <si>
    <t>Todos los tipos de conductores</t>
  </si>
  <si>
    <r>
      <t xml:space="preserve">Porcentaje de sección transversal en tubos conduit y tuberias, para el llenado de conductores </t>
    </r>
    <r>
      <rPr>
        <sz val="10"/>
        <color rgb="FFFF0000"/>
        <rFont val="Calibri"/>
        <family val="2"/>
        <scheme val="minor"/>
      </rPr>
      <t>(Tabla 1 de la NTC 2050)</t>
    </r>
  </si>
  <si>
    <t>Sección Transversal del mayor conductor de acometida o su equivalente para conductores en paralelo</t>
  </si>
  <si>
    <t>Cobre</t>
  </si>
  <si>
    <t>AWG o kcmil</t>
  </si>
  <si>
    <t>Aluminio o aluminio recubierto de cobre</t>
  </si>
  <si>
    <t>Sección Transversal (calibre) del conductor al electrodo de puesta a tierra</t>
  </si>
  <si>
    <t>33,62 o menor</t>
  </si>
  <si>
    <t>42,2 o 53,5</t>
  </si>
  <si>
    <t>67,44 o 85,02</t>
  </si>
  <si>
    <t>107,21 hasta 177,34</t>
  </si>
  <si>
    <t>202,68 a 304,02</t>
  </si>
  <si>
    <t>329,35 a 557,37</t>
  </si>
  <si>
    <t>608,04 y más</t>
  </si>
  <si>
    <t>2 o menor</t>
  </si>
  <si>
    <t>1 o 1/0</t>
  </si>
  <si>
    <t>2/0 o 3/0</t>
  </si>
  <si>
    <t>4/0 hasta 350 kcmil</t>
  </si>
  <si>
    <t>400 a 600 kcmil</t>
  </si>
  <si>
    <t>650 a 1100 kcmil</t>
  </si>
  <si>
    <t>1200 kcmil y más</t>
  </si>
  <si>
    <t>53,5 o menor</t>
  </si>
  <si>
    <t>107,21 o 126,67</t>
  </si>
  <si>
    <t>152,01 a 253,35</t>
  </si>
  <si>
    <t>278,68 a 456,03</t>
  </si>
  <si>
    <t>506,70 a 886,73</t>
  </si>
  <si>
    <t>912,06 y más</t>
  </si>
  <si>
    <t>1/0 o menor</t>
  </si>
  <si>
    <t>4/0 o 250 kcmil</t>
  </si>
  <si>
    <t>300 a 500 kcmil</t>
  </si>
  <si>
    <t>550 a 900 kcmil</t>
  </si>
  <si>
    <t>1000 a 1750 kcmil</t>
  </si>
  <si>
    <t>1800 y más kcmil</t>
  </si>
  <si>
    <r>
      <t xml:space="preserve">Conductor del electrodo de puesta a tierra para sistemas de c.a.  </t>
    </r>
    <r>
      <rPr>
        <b/>
        <sz val="10"/>
        <color indexed="10"/>
        <rFont val="Calibri"/>
        <family val="2"/>
        <scheme val="minor"/>
      </rPr>
      <t>(TABLA 250-94 NTC 2050)</t>
    </r>
  </si>
  <si>
    <r>
      <t>mm</t>
    </r>
    <r>
      <rPr>
        <b/>
        <sz val="10"/>
        <color theme="1"/>
        <rFont val="Arial"/>
        <family val="2"/>
      </rPr>
      <t>²</t>
    </r>
  </si>
  <si>
    <t>Corriente nominal o ajuste máximo del dispositivo automático de protección contra sobrecorriente en el circuito antes de los equipos, tubos conduit, etc. (A)</t>
  </si>
  <si>
    <t>Sección Transversal</t>
  </si>
  <si>
    <t>Alambre de cobre</t>
  </si>
  <si>
    <t>Alambre de aluminio o de aluminio revestido de cobre</t>
  </si>
  <si>
    <r>
      <t xml:space="preserve">Calibre minimo de los conductpres de puesta a tierra de equipos para puesta a tierra de canalizaciones y equipos  </t>
    </r>
    <r>
      <rPr>
        <b/>
        <sz val="10"/>
        <color indexed="10"/>
        <rFont val="Calibri"/>
        <family val="2"/>
        <scheme val="minor"/>
      </rPr>
      <t>(TABLA 250-95 NTC 2050)</t>
    </r>
  </si>
  <si>
    <r>
      <t xml:space="preserve">Propiedades de los conductores </t>
    </r>
    <r>
      <rPr>
        <sz val="10"/>
        <color indexed="10"/>
        <rFont val="Calibri"/>
        <family val="2"/>
        <scheme val="minor"/>
      </rPr>
      <t>(Tabla 8 De La NTC 2050)</t>
    </r>
  </si>
  <si>
    <t>Cantidad</t>
  </si>
  <si>
    <t>Diam. En mm</t>
  </si>
  <si>
    <t>Sin recubrir ohmnios/km</t>
  </si>
  <si>
    <t>Recubierto ohmnios/km</t>
  </si>
  <si>
    <t>ohmnios/km</t>
  </si>
  <si>
    <t>Trenzados</t>
  </si>
  <si>
    <t>Todos</t>
  </si>
  <si>
    <t>Aluminio</t>
  </si>
  <si>
    <t>Conductores</t>
  </si>
  <si>
    <t>Resistencia en c.c. a 75 ºC</t>
  </si>
  <si>
    <t>Sección transv mm²</t>
  </si>
  <si>
    <t>Seccion mm²</t>
  </si>
  <si>
    <t>Potencia max [Wp]</t>
  </si>
  <si>
    <t>Voc [V DC]</t>
  </si>
  <si>
    <t>Isc [A]</t>
  </si>
  <si>
    <t>Vmpp  [V DC]</t>
  </si>
  <si>
    <t>Impp  [A]</t>
  </si>
  <si>
    <t>Fabricante</t>
  </si>
  <si>
    <t>Imax [A]</t>
  </si>
  <si>
    <t>Parametro</t>
  </si>
  <si>
    <t>1. CORRIENTE MÁXIMA DEL CIRCUITO</t>
  </si>
  <si>
    <t>220-10. b) NTC 2050</t>
  </si>
  <si>
    <t>tablas 310-16 a la 310-19 NTC 2050</t>
  </si>
  <si>
    <t>MATERIAL DEL CONDUCTOR</t>
  </si>
  <si>
    <t>ALUMINIO</t>
  </si>
  <si>
    <t>ALUMINIO RECUBIERTO DE COBRE</t>
  </si>
  <si>
    <t>Temperatura nominal del conductor [°C]</t>
  </si>
  <si>
    <t>TEMPERATURA NOMINAL DE LOS CONDUCTORES [°C]</t>
  </si>
  <si>
    <t>120 ºC</t>
  </si>
  <si>
    <t xml:space="preserve">Número de conductores portadores de corriente por la tubería </t>
  </si>
  <si>
    <t>Factor por temperatura ambiente</t>
  </si>
  <si>
    <t>Factor por agrupación de conductores</t>
  </si>
  <si>
    <r>
      <t>Temperatura ambiente [</t>
    </r>
    <r>
      <rPr>
        <b/>
        <sz val="11"/>
        <color theme="0"/>
        <rFont val="Calibri"/>
        <family val="2"/>
      </rPr>
      <t>°</t>
    </r>
    <r>
      <rPr>
        <b/>
        <sz val="11"/>
        <color theme="0"/>
        <rFont val="Calibri"/>
        <family val="2"/>
        <scheme val="minor"/>
      </rPr>
      <t>C]</t>
    </r>
  </si>
  <si>
    <t>Ingrese la temperatura maxima promedio del lugar de instalación</t>
  </si>
  <si>
    <t>Ingrese SOLO el número de conductores portadores de corriente, NO incluir neutros ni tierras.</t>
  </si>
  <si>
    <t>Material del conductor a dimensionar</t>
  </si>
  <si>
    <t>Casillas de control</t>
  </si>
  <si>
    <t>Ampacidad 2 [A]</t>
  </si>
  <si>
    <t>Ampacidad minima A1 [A]</t>
  </si>
  <si>
    <t>CALIBRE MINIMO DEL CABLE AWG</t>
  </si>
  <si>
    <t>CALIBRE CABLE SELECCIONADO</t>
  </si>
  <si>
    <t>Calibre
AWG ó kcmil</t>
  </si>
  <si>
    <t>2000 kcmil</t>
  </si>
  <si>
    <t>1750 kcmil</t>
  </si>
  <si>
    <t>1500 kcmil</t>
  </si>
  <si>
    <t>1250 kcmil</t>
  </si>
  <si>
    <t>900 kcmil</t>
  </si>
  <si>
    <t>700 kcmil</t>
  </si>
  <si>
    <t>3 AWG</t>
  </si>
  <si>
    <t>Corriente minima de dispositivo Iocpd [A]</t>
  </si>
  <si>
    <t>Corriente de corte de proteccion seleccionada [A]</t>
  </si>
  <si>
    <t>210-22 c)  de la NTC2050</t>
  </si>
  <si>
    <t>Temperatura nominal de funcionamiento de los conectores [°C]</t>
  </si>
  <si>
    <t>Ingrese el valor de la corriente de corte del dispositivo de protección contra sobrecorrientes a instalar.</t>
  </si>
  <si>
    <t>Según articulo 110-14.c) de la NTC 20150 y articulo 20.2.9 f del RETIE</t>
  </si>
  <si>
    <t>Corrección de Ampacidad X factores de temperatura [A]</t>
  </si>
  <si>
    <t>Seleccione la temperatura nominal de los conectores de los equipos. Todos los puntos de conexión, cables y equipos en una instalación eléctrica deberán soportar 60°C si conducen 100A o menos, si conducen mas de 100A podrán soportar 75°C. Sección 110-14 C de la NTC2050 y el articulo 20.2.9 f) del retie</t>
  </si>
  <si>
    <t>4. VALIDACION DE LA PROTECCIÓN CONTRA SOBRECORRIENTES</t>
  </si>
  <si>
    <t>Número de módulos en serie del string</t>
  </si>
  <si>
    <t>Nombre del string</t>
  </si>
  <si>
    <t>RESISTENCIA @75ºC [ohm/km]</t>
  </si>
  <si>
    <t>Regulación [V DC]</t>
  </si>
  <si>
    <t>Regulación [%]</t>
  </si>
  <si>
    <t>318-11 b) Los factores de corrección de la Sección 310, Nota 8.a) de las Notas a las Tablas de capacidad de corriente de 0 a 2 000 V, no se deben aplicar a la capacidad de corriente de los cables en bandejas.</t>
  </si>
  <si>
    <t>Área bandeja</t>
  </si>
  <si>
    <t>20.3 i) Retie No se debe superar el 40% del volumen de llenado de la bandeja para cables de potencia y control</t>
  </si>
  <si>
    <t>20.3 j) Retie la separación entre travesaños o peldaños de la bandeja horizontal no supere 15 cm para conductores entre 2 y 8 AWG y 10 cm para conductores entre 10 y 12 AWG</t>
  </si>
  <si>
    <t>Tipo de tuberia</t>
  </si>
  <si>
    <t>TIPO DE CANALIZACIONES</t>
  </si>
  <si>
    <t>EMT</t>
  </si>
  <si>
    <t>IMC</t>
  </si>
  <si>
    <t>CONDUIT PVC</t>
  </si>
  <si>
    <t>CORAZA LIQUID TIGHT</t>
  </si>
  <si>
    <t>CANALIZACIONES</t>
  </si>
  <si>
    <t>Diámetro exterior (mm)</t>
  </si>
  <si>
    <t>Espesor pared (mm)</t>
  </si>
  <si>
    <t xml:space="preserve">CONDUIT PVC </t>
  </si>
  <si>
    <t>3/8"</t>
  </si>
  <si>
    <t>PAVCO</t>
  </si>
  <si>
    <t>N/A</t>
  </si>
  <si>
    <t>Diámetro interior (mm)</t>
  </si>
  <si>
    <t>Diametro nominal [in]</t>
  </si>
  <si>
    <r>
      <t>Area útil de tuberia [mm</t>
    </r>
    <r>
      <rPr>
        <sz val="11"/>
        <color theme="0"/>
        <rFont val="Calibri"/>
        <family val="2"/>
      </rPr>
      <t>²</t>
    </r>
    <r>
      <rPr>
        <sz val="11"/>
        <color theme="0"/>
        <rFont val="Calibri"/>
        <family val="2"/>
        <scheme val="minor"/>
      </rPr>
      <t>]</t>
    </r>
  </si>
  <si>
    <t>Diametro exterior [mm]</t>
  </si>
  <si>
    <t>Numero de conductores</t>
  </si>
  <si>
    <t>Tipo de conductor</t>
  </si>
  <si>
    <t>Describa solar, encauchetado, multiconductor</t>
  </si>
  <si>
    <t>artículo 27.4.3 c) del RETIE</t>
  </si>
  <si>
    <t>Ingrese el valor que indique la ficha técnica del fabricante</t>
  </si>
  <si>
    <t>Area de los cables portadores de corriente [mm²]</t>
  </si>
  <si>
    <t>Area de los cables de tierra [mm²]</t>
  </si>
  <si>
    <t>Calculo de Ampacidades</t>
  </si>
  <si>
    <t>Seleccione un cable con calibre mayor o igual al calibre minimo del paso anterior</t>
  </si>
  <si>
    <t>Area total ocupada por cableado [mm²]</t>
  </si>
  <si>
    <t>% máximo de ocupacion de tuberia</t>
  </si>
  <si>
    <t>Tabla 1 Capitulo 9 NTC 2050</t>
  </si>
  <si>
    <t>Área tuberia</t>
  </si>
  <si>
    <t xml:space="preserve">Área cables portadores de corriente </t>
  </si>
  <si>
    <t>Área cable de tierra</t>
  </si>
  <si>
    <t>Articulo 250-95 de la NTC 2050 y Articulo 15 Retie</t>
  </si>
  <si>
    <t>Tabla 250-95 simplificada</t>
  </si>
  <si>
    <t>Calibre minimo del cable de tierra [AWG]</t>
  </si>
  <si>
    <t>CLASE DE BANDEJA</t>
  </si>
  <si>
    <t>LIVIANA</t>
  </si>
  <si>
    <t>ALTURA TOTAL [cm]</t>
  </si>
  <si>
    <t>ANCHO [cm]</t>
  </si>
  <si>
    <t>PASO ENTRE PELDAÑOS [cm]</t>
  </si>
  <si>
    <t>BANDEJA PORTA CABLES TIPO ESCALERA</t>
  </si>
  <si>
    <t>MECANO</t>
  </si>
  <si>
    <t>Clase de bandeja</t>
  </si>
  <si>
    <t>AMPACIDAD MINIMA DEL CABLE [A]</t>
  </si>
  <si>
    <t>TUBERIA 1</t>
  </si>
  <si>
    <t>TUBERIA 2</t>
  </si>
  <si>
    <t>Altura total [mm]</t>
  </si>
  <si>
    <t>Ancho [mm]</t>
  </si>
  <si>
    <t>Paso entre peldaños [mm]</t>
  </si>
  <si>
    <t>Escalera - Liviana</t>
  </si>
  <si>
    <t>Área sección transversal bandeja [mm²]</t>
  </si>
  <si>
    <t>BANDEJA 1</t>
  </si>
  <si>
    <t>BANDEJA 2</t>
  </si>
  <si>
    <t>Diametro total de cables  [mm]</t>
  </si>
  <si>
    <t>Diametro maximo permitido [mm]</t>
  </si>
  <si>
    <t>% máximo de ocupacion de bandeja</t>
  </si>
  <si>
    <t>% de ocupacion de la bandeja</t>
  </si>
  <si>
    <t>318-10 b) de NTC 2050 ocupacion de bandejas portacables. Cuando una bandeja portacables de canal ventilado de 76 mm, 102 mm o 152 mm de ancho contenga cables de conductor sencillo, la suma de los diámetros de todos los conductores no debe superar la anchura interior del canal.</t>
  </si>
  <si>
    <t>Solo para bandejas ventiladas</t>
  </si>
  <si>
    <t>Perdidas por efecto joule [W]</t>
  </si>
  <si>
    <t>Regulación de voltaje</t>
  </si>
  <si>
    <t>Horas de funcionamiento diario [h]</t>
  </si>
  <si>
    <t>Perdidas de energía [kWh/mes]</t>
  </si>
  <si>
    <t>Cálculo de perdidas de potencia y energía</t>
  </si>
  <si>
    <t>TIPO DE SOPORTE CABLES</t>
  </si>
  <si>
    <t>BANDEJA PORTACABLES</t>
  </si>
  <si>
    <t>TUBERIA</t>
  </si>
  <si>
    <t>CABLEADO AL AIRE LIBRE</t>
  </si>
  <si>
    <t>Tipo de soporte de cables para el cálculo</t>
  </si>
  <si>
    <t>2. CÁLCULO DEL CALIBRE DEL CABLEADO</t>
  </si>
  <si>
    <t>REVISAR SI EN BANDEJA PORTACABLES SE CONSIDERA EL CONDUCTOR AL AIRE LIBRE Y SE ESCOGERIA LA AMPACIDAD DE LA TABLA 310-15, NO DE LA 310-16</t>
  </si>
  <si>
    <t>Área cable de puesta a tierra</t>
  </si>
  <si>
    <t>Area de los cables de puesta a tierra [mm²]</t>
  </si>
  <si>
    <t>Material del cable de puesta a tierra</t>
  </si>
  <si>
    <t>Calibre de cable depuesta a tierra seleccionado</t>
  </si>
  <si>
    <t>Ft en bandejas es 1,0 por articulo NTC 2050 318-11. b) Capacidad de corriente de los cables de 2 000 V o menos en las bandejas portacables</t>
  </si>
  <si>
    <t>3. SELECCIÓN DE PROTECCIÓN DEL CIRCUITO</t>
  </si>
  <si>
    <t>Tramo de análisis</t>
  </si>
  <si>
    <t>CIRCUITO 1</t>
  </si>
  <si>
    <t>CIRCUITO 2</t>
  </si>
  <si>
    <t>CIRCUITO 4</t>
  </si>
  <si>
    <t>CIRCUITO 3</t>
  </si>
  <si>
    <t>Paralelo hecho en Combiner Box saliendo para los MPPT1</t>
  </si>
  <si>
    <t>Por la Excepción del articulo 310.15 c). Cuando se obtengan dos capacidades de corriente distintas para partes seguidas de un circuito, se permite utilizar la mayor más allá del punto de transición, a la menor de las siguientes distanclas : 3,0 m o el 10 % de la longitud del circuito que da la capacidad de corriente mayor.</t>
  </si>
  <si>
    <t>Tipo de conductor 1</t>
  </si>
  <si>
    <t>Tipo de conductor 2</t>
  </si>
  <si>
    <t>Numero de conductores de tipo 1</t>
  </si>
  <si>
    <t>Numero de conductores de tipo 2</t>
  </si>
  <si>
    <t>CB - Bandejas</t>
  </si>
  <si>
    <t>Bandejas - INV</t>
  </si>
  <si>
    <t>Éste tramo es igual al tramo 1</t>
  </si>
  <si>
    <t>Nombre del circuito</t>
  </si>
  <si>
    <t>5. CÁLCULO DEL CABLE DE PUESTA A TIERRA</t>
  </si>
  <si>
    <t>6. DIMENSIONAMIENTO DE TUBERIAS</t>
  </si>
  <si>
    <t xml:space="preserve"> 7. DIMENSIONAMIENTO DE BANDEJAS PORTACABLES</t>
  </si>
  <si>
    <t>8. CÁLCULO DE PÉRDIDAS</t>
  </si>
  <si>
    <t>Información de módulos solares fotovoltaicos</t>
  </si>
  <si>
    <t>Información de los inversores</t>
  </si>
  <si>
    <t>Potencia nominal [kW]</t>
  </si>
  <si>
    <t>Voltaje de salida [V AC]</t>
  </si>
  <si>
    <t>Corriente máxima de salida [A]</t>
  </si>
  <si>
    <t>220-10. b) y 690-8 a) NTC 2050</t>
  </si>
  <si>
    <t>210-22 c)  y 690-8 a) de la NTC2050</t>
  </si>
  <si>
    <t>La salida del inversor es trifásica</t>
  </si>
  <si>
    <t>Número de fases</t>
  </si>
  <si>
    <t>Distancia máxima entre inversor y tablero [m]</t>
  </si>
  <si>
    <t>Distancia máxima entre CB e Inversor [m]</t>
  </si>
  <si>
    <t>Factor de potencia FP</t>
  </si>
  <si>
    <t>Resistencia [Ohm/km] @75ºC</t>
  </si>
  <si>
    <t>Reactancia [Ohm/km] @75ºC</t>
  </si>
  <si>
    <t>CONDUIT METAL</t>
  </si>
  <si>
    <t xml:space="preserve">Impedancia equivalente [Ohm/km] </t>
  </si>
  <si>
    <t>Voltaje del circuito [V AC]</t>
  </si>
  <si>
    <t>Corriente de carga del circuito [A]</t>
  </si>
  <si>
    <t>Tipo de tuberia para cálculo</t>
  </si>
  <si>
    <t>Tabla 9 del capitulo 9 de NTC 2050</t>
  </si>
  <si>
    <t>Número de inversores</t>
  </si>
  <si>
    <t>LONGITUD ENTRE CB E INVERSORES
[m]</t>
  </si>
  <si>
    <t>NUMERO DE CADENAS EN PARALELO</t>
  </si>
  <si>
    <t>CORRIENTE DE CARGA
[A]</t>
  </si>
  <si>
    <t>VOLTAJE STRING
[V]</t>
  </si>
  <si>
    <t>CALIBRE CONDUCTOR
DC</t>
  </si>
  <si>
    <t>RESISTIVIDAD 
[Ohm/km]</t>
  </si>
  <si>
    <t>%REG TOTAL DC</t>
  </si>
  <si>
    <t>TENSIÓN ACOMETIDA
[V]</t>
  </si>
  <si>
    <t>IMPEDANCIA EQUIVALENTE 
[Ohm/km]</t>
  </si>
  <si>
    <t>VOLTAJE ACOMETIDA [V]</t>
  </si>
  <si>
    <t>% REG TOTAL AC</t>
  </si>
  <si>
    <t>% REG TOTAL SISTEMA</t>
  </si>
  <si>
    <t>Equivalencia en mm²</t>
  </si>
  <si>
    <t>CANTIDAD DE MÓDULOS DEL STRING</t>
  </si>
  <si>
    <t>CÁLCULO CAPACIDAD BARRAJE PUNTO DE CONEXIÓN</t>
  </si>
  <si>
    <t>CARGA</t>
  </si>
  <si>
    <t>PROTECCIÓN</t>
  </si>
  <si>
    <t>3X100A</t>
  </si>
  <si>
    <t>3X25A</t>
  </si>
  <si>
    <t>CORRIENTE TOTAL CONECTADA AL BARRAJE [A]</t>
  </si>
  <si>
    <t>CORRIENTE NOMINAL DE LA PROTECCIÓN PRINCIPAL [A]</t>
  </si>
  <si>
    <t>DISPONIBILIDAD DE CARGA [A]</t>
  </si>
  <si>
    <t>mm²</t>
  </si>
  <si>
    <t>0,5 mm²</t>
  </si>
  <si>
    <t>0,75 mm²</t>
  </si>
  <si>
    <t>1,5 mm²</t>
  </si>
  <si>
    <t>2,5 mm²</t>
  </si>
  <si>
    <t>16 mm²</t>
  </si>
  <si>
    <t>25 mm²</t>
  </si>
  <si>
    <t>35 mm²</t>
  </si>
  <si>
    <t>50 mm²</t>
  </si>
  <si>
    <t>75 mm²</t>
  </si>
  <si>
    <t>95 mm²</t>
  </si>
  <si>
    <t>120 mm²</t>
  </si>
  <si>
    <t>150 mm²</t>
  </si>
  <si>
    <t>185 mm²</t>
  </si>
  <si>
    <t>240 mm²</t>
  </si>
  <si>
    <t>300 mm²</t>
  </si>
  <si>
    <t>400 mm²</t>
  </si>
  <si>
    <t>500 mm²</t>
  </si>
  <si>
    <t>Tipo de tuberia para cálculo de impedancia</t>
  </si>
  <si>
    <t>PÉRDIDAS DE POTENCIA [W]</t>
  </si>
  <si>
    <t>PÉRDIDAS DE POTENCIA ACUMULADA EN DC [W]</t>
  </si>
  <si>
    <t>PÉRDIDAS DE POTENCIA ACUMULADA EN AC [W]</t>
  </si>
  <si>
    <t>PÉRDIDAS DE POTENCIA TOTAL DEL SISTEMA [W]</t>
  </si>
  <si>
    <t>TOTAL CORRIENTE CARGAS CONECTADAS [A]</t>
  </si>
  <si>
    <t>CORRIENTE OCPD PLANTA SOLAR [A]</t>
  </si>
  <si>
    <t>HPS [h]</t>
  </si>
  <si>
    <t>PÉRDIDAS DE ENERGIA ACUMULADA EN DC [kWh/mes]</t>
  </si>
  <si>
    <t>PÉRDIDAS DE ENERGIA ACUMULADA EN AC [kWh/mes]</t>
  </si>
  <si>
    <t>PÉRDIDAS DE ENERGIA TOTAL DEL SISTEMA [kWh/mes]</t>
  </si>
  <si>
    <t>Ubicación</t>
  </si>
  <si>
    <t>Area de los conductores tipo 2 [mm²]</t>
  </si>
  <si>
    <t>Area de los conductores tipo 1 [mm²]</t>
  </si>
  <si>
    <t>PÉRDIDAS DE POTENCIA ACUMULADA EN DC %</t>
  </si>
  <si>
    <t>PÉRDIDAS DE POTENCIA ACUMULADA EN AC %</t>
  </si>
  <si>
    <t>PÉRDIDAS DE POTENCIA TOTAL DEL SISTEMA %</t>
  </si>
  <si>
    <t>Potencia total instalada [Wp]</t>
  </si>
  <si>
    <t>COMBINER BOX</t>
  </si>
  <si>
    <t>PÉRDIDAS DE ENERGIA INV - TABLERO FV AC [kWh/mes]</t>
  </si>
  <si>
    <t>COR-ACERO</t>
  </si>
  <si>
    <t>CORRIENTE OCPD</t>
  </si>
  <si>
    <t>Inversor - Punto de conexión</t>
  </si>
  <si>
    <t>Inversor - tablero</t>
  </si>
  <si>
    <t>Regulación [V AC]</t>
  </si>
  <si>
    <t>DISTANCIA ENTRE FV E INVERSOR [m]</t>
  </si>
  <si>
    <t xml:space="preserve">Número de strings en paralelo </t>
  </si>
  <si>
    <t>Paralelo realizado en</t>
  </si>
  <si>
    <t>PARALELO</t>
  </si>
  <si>
    <t>SIN PARALELO</t>
  </si>
  <si>
    <t>CONECTOR MC4 EN Y</t>
  </si>
  <si>
    <t>1.1.1</t>
  </si>
  <si>
    <t>1.1.2</t>
  </si>
  <si>
    <t>2.1.1</t>
  </si>
  <si>
    <t>Tablero FV - Trafo</t>
  </si>
  <si>
    <t>LONGITUD ENTRE INVERSORES Y TABLERO FV AC
[m]</t>
  </si>
  <si>
    <t>LONGITUD TRANSFORMADOR Y TABLERO PRINCIPAL [m]</t>
  </si>
  <si>
    <t>Tipo Escalera</t>
  </si>
  <si>
    <t>THHN/THWN No 4 AWG</t>
  </si>
  <si>
    <t>LONGITUD ENTRE TABLERO FV AC Y TABLERO PPAL [m]</t>
  </si>
  <si>
    <t>PÉRDIDAS DE ENERGIA ENTRE FV E INVERSOR [kWh/mes]</t>
  </si>
  <si>
    <t>PÉRDIDAS DE ENERGIA TABLERO FV AC - TABLERO PPAL [kWh/mes]</t>
  </si>
  <si>
    <t>Información de los inversores 1</t>
  </si>
  <si>
    <t>Información de los inversores 2</t>
  </si>
  <si>
    <t>1.2.1</t>
  </si>
  <si>
    <t>2.2.1</t>
  </si>
  <si>
    <t>THHN/THWN No 1/0 AWG</t>
  </si>
  <si>
    <t>THHN/THWN No 6 AWG</t>
  </si>
  <si>
    <t>De mapa de radiación del IDEAM</t>
  </si>
  <si>
    <t>Num mod FV</t>
  </si>
  <si>
    <t>Cable solar 4mm2 Procables</t>
  </si>
  <si>
    <t>Cable desnudo No 8</t>
  </si>
  <si>
    <t>Cable solar 6mm2 Procables</t>
  </si>
  <si>
    <t>Anserma</t>
  </si>
  <si>
    <t>3X50A</t>
  </si>
  <si>
    <t>3X75A</t>
  </si>
  <si>
    <t>3X60A</t>
  </si>
  <si>
    <t>3X63A</t>
  </si>
  <si>
    <t>3X40A</t>
  </si>
  <si>
    <t>Despulpado</t>
  </si>
  <si>
    <t>Silo 2</t>
  </si>
  <si>
    <t>Silo 4</t>
  </si>
  <si>
    <t>Varios</t>
  </si>
  <si>
    <t>Vent. Silo 2</t>
  </si>
  <si>
    <t>Vent. Silo 3</t>
  </si>
  <si>
    <r>
      <t>NTC 2050,</t>
    </r>
    <r>
      <rPr>
        <sz val="11"/>
        <color theme="1"/>
        <rFont val="Calibri"/>
        <family val="2"/>
        <scheme val="minor"/>
      </rPr>
      <t xml:space="preserve"> </t>
    </r>
    <r>
      <rPr>
        <b/>
        <sz val="11"/>
        <color theme="1"/>
        <rFont val="Calibri"/>
        <family val="2"/>
        <scheme val="minor"/>
      </rPr>
      <t>705.12 (D)(2)(3)(c)</t>
    </r>
  </si>
  <si>
    <r>
      <t>NTC 2050,</t>
    </r>
    <r>
      <rPr>
        <sz val="11"/>
        <color theme="1"/>
        <rFont val="Calibri"/>
        <family val="2"/>
        <scheme val="minor"/>
      </rPr>
      <t xml:space="preserve"> </t>
    </r>
    <r>
      <rPr>
        <b/>
        <sz val="11"/>
        <color theme="1"/>
        <rFont val="Calibri"/>
        <family val="2"/>
        <scheme val="minor"/>
      </rPr>
      <t>705.12 (D)(2)(3)(a)</t>
    </r>
  </si>
  <si>
    <r>
      <t>NTC 2050,</t>
    </r>
    <r>
      <rPr>
        <sz val="11"/>
        <color theme="1"/>
        <rFont val="Calibri"/>
        <family val="2"/>
        <scheme val="minor"/>
      </rPr>
      <t xml:space="preserve"> </t>
    </r>
    <r>
      <rPr>
        <b/>
        <sz val="11"/>
        <color theme="1"/>
        <rFont val="Calibri"/>
        <family val="2"/>
        <scheme val="minor"/>
      </rPr>
      <t>705.12 (D)(2)(3)(b)</t>
    </r>
  </si>
  <si>
    <t>Capacidad minima del barraje [A]</t>
  </si>
  <si>
    <t>CÁLCULO DE TOTALIZADOR PARA NUEVA ACOMETIDA</t>
  </si>
  <si>
    <t>FV - Inversor C1</t>
  </si>
  <si>
    <t>FV - Inversor C2</t>
  </si>
  <si>
    <t>Tablero FV - Interconexión</t>
  </si>
  <si>
    <t>Encauchetado No 3x10 AWG</t>
  </si>
  <si>
    <t>La salida del inversor es trifásico</t>
  </si>
  <si>
    <t>Growatt</t>
  </si>
  <si>
    <t>MAC 36KTL3-XL</t>
  </si>
  <si>
    <t>MAC 30KTL3-XL</t>
  </si>
  <si>
    <t>Modulos Fotovoltaicos</t>
  </si>
  <si>
    <t>Cantidad de Módulos FV</t>
  </si>
  <si>
    <t>Tabla resumen 1</t>
  </si>
  <si>
    <t>Cálculo regulación de Voltaje</t>
  </si>
  <si>
    <t>Cálculo SSFV Strings a Inversor</t>
  </si>
  <si>
    <t>Cálculo SSFV Salida del inversor - Tablero AC</t>
  </si>
  <si>
    <t>Cálculo SSFV Tablero AC - Punto de Interconexión cliente</t>
  </si>
  <si>
    <t>Pérdidas de energia en el SSFV</t>
  </si>
  <si>
    <t>NTC 2050 Puesta a tierra</t>
  </si>
  <si>
    <t>NTC 2050 Tabla auxiliar para cálculo de conductores</t>
  </si>
  <si>
    <t>NTC 2050 Tabla auxiliar para cálculo de llenado de tuberias</t>
  </si>
  <si>
    <t>Cálculo caida de tensión en el SSFV</t>
  </si>
  <si>
    <t xml:space="preserve">Tabla auxiliar información ficha técnica de tuberia  </t>
  </si>
  <si>
    <t>Tabla auxiliar información ficha técnica de bandeja portacable</t>
  </si>
  <si>
    <t>Tabla auxiliar conversión áreas de cableado</t>
  </si>
  <si>
    <t>NTC 2050 Tabla 310-16</t>
  </si>
  <si>
    <t>ÍNDICE</t>
  </si>
  <si>
    <t>Tabla resumen 2</t>
  </si>
  <si>
    <t>Tabla resumen 3</t>
  </si>
  <si>
    <t>ID</t>
  </si>
  <si>
    <t>Tipo de variable</t>
  </si>
  <si>
    <t>NameID</t>
  </si>
  <si>
    <t>Nombre de la variable</t>
  </si>
  <si>
    <t>Descripción de la variable</t>
  </si>
  <si>
    <t>float</t>
  </si>
  <si>
    <t>Capacidad instalada del SFV</t>
  </si>
  <si>
    <t>string</t>
  </si>
  <si>
    <t xml:space="preserve">Municipio de ubicación del proyecto </t>
  </si>
  <si>
    <t>Santa Rosa de Osos</t>
  </si>
  <si>
    <t>Nombre del proyecto</t>
  </si>
  <si>
    <t>CIPA CRÍA</t>
  </si>
  <si>
    <t xml:space="preserve">fecha de presentación de memoria de cálculo </t>
  </si>
  <si>
    <t xml:space="preserve">tipo de conexión de la red </t>
  </si>
  <si>
    <t>Monofasico</t>
  </si>
  <si>
    <t>int</t>
  </si>
  <si>
    <t>Potencia en AC del inversor (kW)</t>
  </si>
  <si>
    <t>Potencia total en AC del arreglo FV (kW)</t>
  </si>
  <si>
    <t xml:space="preserve">Cantidad de modulos instalados </t>
  </si>
  <si>
    <t>Referencia del inversor</t>
  </si>
  <si>
    <t>Cantidad de inversores instalados</t>
  </si>
  <si>
    <t>Ubicación exacta del proyecto</t>
  </si>
  <si>
    <t>Cría de la empresa CIPA</t>
  </si>
  <si>
    <t>Voltaje de conexión del inversor en AC</t>
  </si>
  <si>
    <t>Voltaje de interconexión a la red</t>
  </si>
  <si>
    <t>240/120</t>
  </si>
  <si>
    <t>Calibre para puesta a tierra del sistema en DC</t>
  </si>
  <si>
    <t xml:space="preserve">Referencia modulo solar </t>
  </si>
  <si>
    <t>Corriente en serie del arreglo FV</t>
  </si>
  <si>
    <t>Corriente sobredimensionada al 1.25%</t>
  </si>
  <si>
    <t>Factor de corrección por temperatura ambiente DC</t>
  </si>
  <si>
    <t>Factor de corrección por agrupación de conductores en canalización DC</t>
  </si>
  <si>
    <t>Ampacidad del conductor DC</t>
  </si>
  <si>
    <t xml:space="preserve">Sección transversal cable solar </t>
  </si>
  <si>
    <t>Calibre cable seleccionado DC</t>
  </si>
  <si>
    <t>Protección DC seleccionada</t>
  </si>
  <si>
    <r>
      <rPr>
        <sz val="11"/>
        <color theme="1"/>
        <rFont val="Aptos Narrow"/>
        <family val="2"/>
      </rPr>
      <t>Σ</t>
    </r>
    <r>
      <rPr>
        <sz val="11"/>
        <color theme="1"/>
        <rFont val="Calibri"/>
        <family val="2"/>
        <scheme val="minor"/>
      </rPr>
      <t>Inominal de los inversores</t>
    </r>
  </si>
  <si>
    <t>Factor de corrección por agrupación de conductores en canalización AC</t>
  </si>
  <si>
    <t>Calibre del conductor salida inversor</t>
  </si>
  <si>
    <t>Protección AC seleccionada interconexión.</t>
  </si>
  <si>
    <t>Puesta a tierra AC</t>
  </si>
  <si>
    <t>Strings por inversor</t>
  </si>
  <si>
    <t>Especificaciones de strings</t>
  </si>
  <si>
    <t>Inominal del inversor * 1.25</t>
  </si>
  <si>
    <t>Corriente total de inversores conectados *1.25</t>
  </si>
  <si>
    <t>Factor de corrección por agrupación de conductores en punto de interconexión</t>
  </si>
  <si>
    <t>Capacidad corriente al punto de interconexión</t>
  </si>
  <si>
    <t>Portección hacia el punto de interconexión</t>
  </si>
  <si>
    <t>Calibre puesta a tierra punto de interconexión</t>
  </si>
  <si>
    <t>Potencia Nominal [kW]</t>
  </si>
  <si>
    <t>Referencia Inversor (es)</t>
  </si>
  <si>
    <t>Calibre del conductor punto de interconexión</t>
  </si>
  <si>
    <t>Ampacidad del conductor AC a la salida del inversor</t>
  </si>
  <si>
    <t>Corriente de salida del inversor</t>
  </si>
  <si>
    <t>Variables del sistema en la mémoria de cálculo</t>
  </si>
  <si>
    <t>Potencia del sistema en DC [kW]</t>
  </si>
  <si>
    <t>Potencia Total en AC [kW]</t>
  </si>
  <si>
    <t>Voltaje de interconexión [V]</t>
  </si>
  <si>
    <t>Longi</t>
  </si>
  <si>
    <t>LR5-72HTH-570M</t>
  </si>
  <si>
    <t>Cable desnudo No 10 PROCABLES</t>
  </si>
  <si>
    <t>MIN10000 TL-X2</t>
  </si>
  <si>
    <t>THHN/THWN-2 CT PROCABLES No.6</t>
  </si>
  <si>
    <t>Cable desnudo PROCABLES No 10</t>
  </si>
  <si>
    <t>Departamento de ubicación del proyecto</t>
  </si>
  <si>
    <t>Antioquia</t>
  </si>
  <si>
    <t>tabla</t>
  </si>
  <si>
    <t>Columna1</t>
  </si>
  <si>
    <t>Columna2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</si>
</sst>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quot;$&quot;* #,##0.00_-;\-&quot;$&quot;* #,##0.00_-;_-&quot;$&quot;* &quot;-&quot;??_-;_-@_-"/>
    <numFmt numFmtId="165" formatCode="General\ &quot;m&quot;"/>
    <numFmt numFmtId="166" formatCode="General\ &quot;A&quot;"/>
    <numFmt numFmtId="167" formatCode="General\ &quot;(Ω.mm²)/m&quot;"/>
    <numFmt numFmtId="168" formatCode="General\ &quot;V&quot;"/>
    <numFmt numFmtId="169" formatCode="General\ &quot;AWG&quot;"/>
    <numFmt numFmtId="170" formatCode="0.0%"/>
    <numFmt numFmtId="171" formatCode="#,##0.000"/>
    <numFmt numFmtId="172" formatCode="0.0"/>
    <numFmt numFmtId="173" formatCode="0.000"/>
    <numFmt numFmtId="174" formatCode="_-&quot;$&quot;* #,##0_-;\-&quot;$&quot;* #,##0_-;_-&quot;$&quot;* &quot;-&quot;??_-;_-@_-"/>
  </numFmts>
  <fonts count="33"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b/>
      <sz val="11"/>
      <color theme="0"/>
      <name val="Calibri"/>
      <family val="2"/>
      <scheme val="minor"/>
    </font>
    <font>
      <sz val="10"/>
      <color theme="1"/>
      <name val="Calibri"/>
      <family val="2"/>
      <scheme val="minor"/>
    </font>
    <font>
      <i/>
      <sz val="10"/>
      <color theme="1"/>
      <name val="Calibri"/>
      <family val="2"/>
      <scheme val="minor"/>
    </font>
    <font>
      <b/>
      <sz val="10"/>
      <color theme="1"/>
      <name val="Calibri"/>
      <family val="2"/>
      <scheme val="minor"/>
    </font>
    <font>
      <b/>
      <sz val="10"/>
      <color rgb="FFFFFFFF"/>
      <name val="Calibri"/>
      <family val="2"/>
      <scheme val="minor"/>
    </font>
    <font>
      <b/>
      <sz val="10"/>
      <name val="Arial"/>
      <family val="2"/>
    </font>
    <font>
      <sz val="10"/>
      <name val="Arial"/>
      <family val="2"/>
    </font>
    <font>
      <b/>
      <sz val="10"/>
      <color theme="1"/>
      <name val="Arial"/>
      <family val="2"/>
    </font>
    <font>
      <b/>
      <sz val="10"/>
      <color indexed="10"/>
      <name val="Arial"/>
      <family val="2"/>
    </font>
    <font>
      <b/>
      <sz val="8"/>
      <name val="Arial"/>
      <family val="2"/>
    </font>
    <font>
      <vertAlign val="subscript"/>
      <sz val="10"/>
      <name val="Arial"/>
      <family val="2"/>
    </font>
    <font>
      <b/>
      <sz val="10"/>
      <color indexed="10"/>
      <name val="Calibri"/>
      <family val="2"/>
      <scheme val="minor"/>
    </font>
    <font>
      <sz val="10"/>
      <name val="Calibri"/>
      <family val="2"/>
      <scheme val="minor"/>
    </font>
    <font>
      <sz val="10"/>
      <color indexed="10"/>
      <name val="Calibri"/>
      <family val="2"/>
      <scheme val="minor"/>
    </font>
    <font>
      <sz val="10"/>
      <color rgb="FFFF0000"/>
      <name val="Calibri"/>
      <family val="2"/>
      <scheme val="minor"/>
    </font>
    <font>
      <b/>
      <sz val="11"/>
      <color theme="0"/>
      <name val="Calibri"/>
      <family val="2"/>
    </font>
    <font>
      <sz val="11"/>
      <color theme="0"/>
      <name val="Calibri"/>
      <family val="2"/>
      <scheme val="minor"/>
    </font>
    <font>
      <sz val="11"/>
      <color theme="0"/>
      <name val="Calibri"/>
      <family val="2"/>
    </font>
    <font>
      <sz val="10"/>
      <color theme="1"/>
      <name val="Arial"/>
      <family val="2"/>
    </font>
    <font>
      <b/>
      <sz val="12"/>
      <color theme="1"/>
      <name val="Calibri"/>
      <family val="2"/>
      <scheme val="minor"/>
    </font>
    <font>
      <b/>
      <sz val="11"/>
      <name val="Calibri"/>
      <family val="2"/>
      <scheme val="minor"/>
    </font>
    <font>
      <sz val="10"/>
      <color rgb="FF000000"/>
      <name val="Calibri"/>
      <family val="2"/>
    </font>
    <font>
      <sz val="10"/>
      <color rgb="FFFFFFFF"/>
      <name val="Calibri"/>
      <family val="2"/>
    </font>
    <font>
      <sz val="10"/>
      <color theme="1"/>
      <name val="Calibri"/>
      <family val="2"/>
    </font>
    <font>
      <b/>
      <sz val="10"/>
      <color rgb="FF000000"/>
      <name val="Calibri"/>
      <family val="2"/>
    </font>
    <font>
      <b/>
      <sz val="10"/>
      <color theme="1"/>
      <name val="Calibri"/>
      <family val="2"/>
    </font>
    <font>
      <sz val="8"/>
      <name val="Calibri"/>
      <family val="2"/>
      <scheme val="minor"/>
    </font>
    <font>
      <u/>
      <sz val="11"/>
      <color theme="10"/>
      <name val="Calibri"/>
      <family val="2"/>
      <scheme val="minor"/>
    </font>
    <font>
      <sz val="11"/>
      <color theme="1"/>
      <name val="Aptos Narrow"/>
      <family val="2"/>
    </font>
  </fonts>
  <fills count="22">
    <fill>
      <patternFill patternType="none"/>
    </fill>
    <fill>
      <patternFill patternType="gray125"/>
    </fill>
    <fill>
      <patternFill patternType="solid">
        <fgColor theme="6"/>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rgb="FFFFFF00"/>
        <bgColor indexed="64"/>
      </patternFill>
    </fill>
    <fill>
      <patternFill patternType="solid">
        <fgColor rgb="FF4C618F"/>
        <bgColor indexed="64"/>
      </patternFill>
    </fill>
    <fill>
      <patternFill patternType="solid">
        <fgColor rgb="FFDFDFE8"/>
        <bgColor indexed="64"/>
      </patternFill>
    </fill>
    <fill>
      <patternFill patternType="solid">
        <fgColor rgb="FFD8D8D8"/>
        <bgColor indexed="64"/>
      </patternFill>
    </fill>
    <fill>
      <patternFill patternType="solid">
        <fgColor rgb="FF00B050"/>
        <bgColor indexed="64"/>
      </patternFill>
    </fill>
    <fill>
      <patternFill patternType="solid">
        <fgColor theme="3" tint="0.79998168889431442"/>
        <bgColor indexed="64"/>
      </patternFill>
    </fill>
    <fill>
      <patternFill patternType="solid">
        <fgColor indexed="44"/>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0F243E"/>
        <bgColor indexed="64"/>
      </patternFill>
    </fill>
    <fill>
      <patternFill patternType="solid">
        <fgColor rgb="FFF2F2F2"/>
        <bgColor indexed="64"/>
      </patternFill>
    </fill>
    <fill>
      <patternFill patternType="solid">
        <fgColor rgb="FF92D050"/>
        <bgColor indexed="64"/>
      </patternFill>
    </fill>
    <fill>
      <patternFill patternType="solid">
        <fgColor theme="0" tint="-0.249977111117893"/>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rgb="FF1E4A7D"/>
      </left>
      <right style="medium">
        <color rgb="FF1E4A7D"/>
      </right>
      <top style="medium">
        <color rgb="FF1E4A7D"/>
      </top>
      <bottom style="medium">
        <color rgb="FF1E4A7D"/>
      </bottom>
      <diagonal/>
    </border>
    <border>
      <left/>
      <right style="medium">
        <color rgb="FF1E4A7D"/>
      </right>
      <top style="medium">
        <color rgb="FF1E4A7D"/>
      </top>
      <bottom style="medium">
        <color rgb="FF1E4A7D"/>
      </bottom>
      <diagonal/>
    </border>
    <border>
      <left style="medium">
        <color rgb="FF1E4A7D"/>
      </left>
      <right style="medium">
        <color rgb="FF1E4A7D"/>
      </right>
      <top/>
      <bottom style="medium">
        <color rgb="FF1E4A7D"/>
      </bottom>
      <diagonal/>
    </border>
    <border>
      <left/>
      <right style="medium">
        <color rgb="FF1E4A7D"/>
      </right>
      <top/>
      <bottom style="medium">
        <color rgb="FF1E4A7D"/>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rgb="FF000000"/>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rgb="FF000000"/>
      </bottom>
      <diagonal/>
    </border>
    <border>
      <left style="medium">
        <color indexed="64"/>
      </left>
      <right style="medium">
        <color rgb="FF000000"/>
      </right>
      <top/>
      <bottom style="medium">
        <color indexed="64"/>
      </bottom>
      <diagonal/>
    </border>
    <border>
      <left style="thin">
        <color theme="0"/>
      </left>
      <right style="thin">
        <color theme="0"/>
      </right>
      <top style="thin">
        <color theme="0"/>
      </top>
      <bottom style="thin">
        <color theme="0"/>
      </bottom>
      <diagonal/>
    </border>
    <border>
      <left style="thin">
        <color indexed="64"/>
      </left>
      <right/>
      <top style="medium">
        <color indexed="64"/>
      </top>
      <bottom style="medium">
        <color indexed="64"/>
      </bottom>
      <diagonal/>
    </border>
  </borders>
  <cellStyleXfs count="5">
    <xf numFmtId="0" fontId="0" fillId="0" borderId="0"/>
    <xf numFmtId="9" fontId="1" fillId="0" borderId="0" applyFont="0" applyFill="0" applyBorder="0" applyAlignment="0" applyProtection="0"/>
    <xf numFmtId="0" fontId="10" fillId="0" borderId="0"/>
    <xf numFmtId="164" fontId="1" fillId="0" borderId="0" applyFont="0" applyFill="0" applyBorder="0" applyAlignment="0" applyProtection="0"/>
    <xf numFmtId="0" fontId="31" fillId="0" borderId="0" applyNumberFormat="0" applyFill="0" applyBorder="0" applyAlignment="0" applyProtection="0"/>
  </cellStyleXfs>
  <cellXfs count="468">
    <xf numFmtId="0" fontId="0" fillId="0" borderId="0" xfId="0"/>
    <xf numFmtId="16" fontId="0" fillId="0" borderId="0" xfId="0" applyNumberFormat="1"/>
    <xf numFmtId="0" fontId="0" fillId="0" borderId="0" xfId="0" applyAlignment="1">
      <alignment wrapText="1"/>
    </xf>
    <xf numFmtId="0" fontId="0" fillId="2" borderId="1" xfId="0" applyFill="1" applyBorder="1"/>
    <xf numFmtId="0" fontId="0" fillId="2" borderId="2" xfId="0" applyFill="1" applyBorder="1"/>
    <xf numFmtId="0" fontId="0" fillId="2" borderId="3" xfId="0" applyFill="1" applyBorder="1" applyAlignment="1">
      <alignment wrapText="1"/>
    </xf>
    <xf numFmtId="0" fontId="0" fillId="2" borderId="4" xfId="0" applyFill="1" applyBorder="1" applyAlignment="1">
      <alignment wrapText="1"/>
    </xf>
    <xf numFmtId="49" fontId="0" fillId="2" borderId="5" xfId="0" applyNumberFormat="1" applyFill="1" applyBorder="1" applyAlignment="1">
      <alignment horizontal="center"/>
    </xf>
    <xf numFmtId="49" fontId="0" fillId="2" borderId="7" xfId="0" applyNumberFormat="1" applyFill="1" applyBorder="1" applyAlignment="1">
      <alignment horizontal="center"/>
    </xf>
    <xf numFmtId="1" fontId="0" fillId="3" borderId="1" xfId="0" applyNumberFormat="1" applyFill="1" applyBorder="1"/>
    <xf numFmtId="1" fontId="0" fillId="3" borderId="6" xfId="0" applyNumberFormat="1" applyFill="1" applyBorder="1"/>
    <xf numFmtId="0" fontId="0" fillId="3" borderId="6" xfId="0" applyFill="1" applyBorder="1"/>
    <xf numFmtId="1" fontId="0" fillId="3" borderId="8" xfId="0" applyNumberFormat="1" applyFill="1" applyBorder="1"/>
    <xf numFmtId="0" fontId="0" fillId="3" borderId="9" xfId="0" applyFill="1" applyBorder="1"/>
    <xf numFmtId="165" fontId="0" fillId="5" borderId="1" xfId="0" applyNumberFormat="1" applyFill="1" applyBorder="1"/>
    <xf numFmtId="166" fontId="0" fillId="5" borderId="1" xfId="0" applyNumberFormat="1" applyFill="1" applyBorder="1"/>
    <xf numFmtId="167" fontId="0" fillId="5" borderId="1" xfId="0" applyNumberFormat="1" applyFill="1" applyBorder="1"/>
    <xf numFmtId="0" fontId="0" fillId="5" borderId="1" xfId="0" applyFill="1" applyBorder="1"/>
    <xf numFmtId="169" fontId="0" fillId="5" borderId="1" xfId="1" applyNumberFormat="1" applyFont="1" applyFill="1" applyBorder="1" applyAlignment="1">
      <alignment horizontal="right"/>
    </xf>
    <xf numFmtId="168" fontId="0" fillId="5" borderId="1" xfId="0" applyNumberFormat="1" applyFill="1" applyBorder="1" applyAlignment="1">
      <alignment horizontal="center"/>
    </xf>
    <xf numFmtId="49" fontId="0" fillId="5" borderId="1" xfId="1" applyNumberFormat="1" applyFont="1" applyFill="1" applyBorder="1" applyAlignment="1">
      <alignment horizontal="center"/>
    </xf>
    <xf numFmtId="2" fontId="0" fillId="0" borderId="1" xfId="0" applyNumberFormat="1" applyBorder="1" applyAlignment="1">
      <alignment horizontal="center"/>
    </xf>
    <xf numFmtId="0" fontId="0" fillId="3" borderId="1" xfId="0" applyFill="1" applyBorder="1" applyProtection="1">
      <protection locked="0"/>
    </xf>
    <xf numFmtId="0" fontId="0" fillId="0" borderId="1" xfId="0" applyBorder="1" applyAlignment="1">
      <alignment horizontal="center" vertical="center"/>
    </xf>
    <xf numFmtId="49" fontId="0" fillId="0" borderId="1" xfId="1" applyNumberFormat="1" applyFont="1" applyFill="1" applyBorder="1" applyAlignment="1">
      <alignment horizontal="center"/>
    </xf>
    <xf numFmtId="0" fontId="0" fillId="5" borderId="1" xfId="0" applyFill="1" applyBorder="1" applyAlignment="1">
      <alignment horizontal="center"/>
    </xf>
    <xf numFmtId="2" fontId="0" fillId="5" borderId="1" xfId="0" applyNumberFormat="1" applyFill="1" applyBorder="1" applyAlignment="1">
      <alignment horizontal="center"/>
    </xf>
    <xf numFmtId="0" fontId="2" fillId="0" borderId="1" xfId="0" applyFont="1" applyBorder="1" applyAlignment="1">
      <alignment horizontal="center"/>
    </xf>
    <xf numFmtId="0" fontId="0" fillId="0" borderId="1" xfId="0" applyBorder="1"/>
    <xf numFmtId="0" fontId="2" fillId="4" borderId="1" xfId="0" applyFont="1" applyFill="1" applyBorder="1"/>
    <xf numFmtId="0" fontId="0" fillId="5" borderId="1" xfId="0" applyFill="1" applyBorder="1" applyAlignment="1">
      <alignment horizontal="center" vertical="center"/>
    </xf>
    <xf numFmtId="0" fontId="0" fillId="5" borderId="0" xfId="0" applyFill="1"/>
    <xf numFmtId="0" fontId="0" fillId="0" borderId="0" xfId="0" applyAlignment="1">
      <alignment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0" fillId="6" borderId="4" xfId="0" applyFill="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10" fontId="0" fillId="7" borderId="6" xfId="1" applyNumberFormat="1" applyFont="1" applyFill="1" applyBorder="1" applyAlignment="1">
      <alignment horizontal="center" vertical="center" wrapText="1"/>
    </xf>
    <xf numFmtId="10" fontId="0" fillId="7" borderId="9" xfId="1" applyNumberFormat="1" applyFont="1" applyFill="1" applyBorder="1" applyAlignment="1">
      <alignment horizontal="center" vertical="center" wrapText="1"/>
    </xf>
    <xf numFmtId="0" fontId="2" fillId="0" borderId="0" xfId="0" applyFont="1"/>
    <xf numFmtId="0" fontId="0" fillId="8" borderId="0" xfId="0" applyFill="1"/>
    <xf numFmtId="2" fontId="0" fillId="0" borderId="0" xfId="0" applyNumberFormat="1"/>
    <xf numFmtId="0" fontId="4" fillId="12" borderId="1" xfId="0" applyFont="1" applyFill="1" applyBorder="1" applyAlignment="1">
      <alignment horizontal="center" vertical="center" wrapText="1"/>
    </xf>
    <xf numFmtId="0" fontId="5" fillId="10" borderId="32" xfId="0" applyFont="1" applyFill="1" applyBorder="1" applyAlignment="1">
      <alignment horizontal="left" vertical="center" wrapText="1" indent="3"/>
    </xf>
    <xf numFmtId="0" fontId="5" fillId="10" borderId="33" xfId="0" applyFont="1" applyFill="1" applyBorder="1" applyAlignment="1">
      <alignment horizontal="center" vertical="center" wrapText="1"/>
    </xf>
    <xf numFmtId="0" fontId="5" fillId="0" borderId="0" xfId="0" applyFont="1"/>
    <xf numFmtId="0" fontId="7" fillId="0" borderId="1" xfId="0" applyFont="1" applyBorder="1" applyAlignment="1">
      <alignment horizontal="center"/>
    </xf>
    <xf numFmtId="0" fontId="7" fillId="0" borderId="1" xfId="0" applyFont="1" applyBorder="1" applyAlignment="1">
      <alignment horizontal="center" vertical="center"/>
    </xf>
    <xf numFmtId="49" fontId="5" fillId="5" borderId="1" xfId="1" applyNumberFormat="1" applyFont="1" applyFill="1" applyBorder="1" applyAlignment="1">
      <alignment horizontal="center"/>
    </xf>
    <xf numFmtId="2" fontId="5" fillId="0" borderId="1" xfId="0" applyNumberFormat="1" applyFont="1" applyBorder="1" applyAlignment="1">
      <alignment horizontal="center"/>
    </xf>
    <xf numFmtId="0" fontId="5" fillId="0" borderId="1" xfId="0" applyFont="1" applyBorder="1" applyAlignment="1">
      <alignment horizontal="center" vertical="center"/>
    </xf>
    <xf numFmtId="49" fontId="5" fillId="5" borderId="1" xfId="1" applyNumberFormat="1" applyFont="1" applyFill="1" applyBorder="1" applyAlignment="1">
      <alignment horizontal="center" vertical="center"/>
    </xf>
    <xf numFmtId="49" fontId="5" fillId="0" borderId="1" xfId="1" applyNumberFormat="1" applyFont="1" applyFill="1" applyBorder="1" applyAlignment="1">
      <alignment horizontal="center"/>
    </xf>
    <xf numFmtId="2" fontId="5" fillId="5" borderId="1" xfId="0" applyNumberFormat="1" applyFont="1" applyFill="1" applyBorder="1" applyAlignment="1">
      <alignment horizontal="center"/>
    </xf>
    <xf numFmtId="49" fontId="5" fillId="0" borderId="1" xfId="1" applyNumberFormat="1" applyFont="1" applyFill="1" applyBorder="1" applyAlignment="1">
      <alignment horizontal="center" vertical="center"/>
    </xf>
    <xf numFmtId="0" fontId="5" fillId="0" borderId="37" xfId="0" applyFont="1" applyBorder="1" applyAlignment="1">
      <alignment horizontal="center" vertical="center" wrapText="1"/>
    </xf>
    <xf numFmtId="0" fontId="5" fillId="0" borderId="37" xfId="0" applyFont="1" applyBorder="1" applyAlignment="1">
      <alignment horizontal="left" vertical="center" wrapText="1" indent="1"/>
    </xf>
    <xf numFmtId="0" fontId="5" fillId="0" borderId="36" xfId="0" applyFont="1" applyBorder="1" applyAlignment="1">
      <alignment horizontal="left" vertical="center" wrapText="1" indent="2"/>
    </xf>
    <xf numFmtId="0" fontId="8" fillId="9" borderId="30" xfId="0" applyFont="1" applyFill="1" applyBorder="1" applyAlignment="1">
      <alignment horizontal="center" vertical="center" wrapText="1"/>
    </xf>
    <xf numFmtId="0" fontId="8" fillId="9" borderId="31" xfId="0" applyFont="1" applyFill="1" applyBorder="1" applyAlignment="1">
      <alignment horizontal="center" vertical="center" wrapText="1"/>
    </xf>
    <xf numFmtId="0" fontId="5" fillId="0" borderId="38" xfId="0" applyFont="1" applyBorder="1" applyAlignment="1">
      <alignment horizontal="center" vertical="center" wrapText="1"/>
    </xf>
    <xf numFmtId="0" fontId="5" fillId="11" borderId="40" xfId="0" applyFont="1" applyFill="1" applyBorder="1" applyAlignment="1">
      <alignment horizontal="center" vertical="center" wrapText="1"/>
    </xf>
    <xf numFmtId="0" fontId="5" fillId="0" borderId="39" xfId="0" applyFont="1" applyBorder="1" applyAlignment="1">
      <alignment horizontal="center" vertical="center" wrapText="1"/>
    </xf>
    <xf numFmtId="0" fontId="5" fillId="0" borderId="36" xfId="0" applyFont="1" applyBorder="1" applyAlignment="1">
      <alignment horizontal="center" vertical="center" wrapText="1"/>
    </xf>
    <xf numFmtId="0" fontId="10" fillId="0" borderId="0" xfId="2"/>
    <xf numFmtId="0" fontId="9" fillId="15" borderId="41" xfId="2" applyFont="1" applyFill="1" applyBorder="1" applyAlignment="1">
      <alignment horizontal="center" vertical="center"/>
    </xf>
    <xf numFmtId="0" fontId="9" fillId="15" borderId="51" xfId="2" applyFont="1" applyFill="1" applyBorder="1" applyAlignment="1">
      <alignment horizontal="center" vertical="center"/>
    </xf>
    <xf numFmtId="0" fontId="13" fillId="15" borderId="41" xfId="2" applyFont="1" applyFill="1" applyBorder="1" applyAlignment="1">
      <alignment horizontal="center" vertical="center"/>
    </xf>
    <xf numFmtId="0" fontId="13" fillId="15" borderId="41" xfId="2" applyFont="1" applyFill="1" applyBorder="1" applyAlignment="1">
      <alignment horizontal="center" vertical="center" wrapText="1"/>
    </xf>
    <xf numFmtId="0" fontId="10" fillId="15" borderId="49" xfId="2" applyFill="1" applyBorder="1" applyAlignment="1">
      <alignment horizontal="center" vertical="center"/>
    </xf>
    <xf numFmtId="0" fontId="10" fillId="15" borderId="25" xfId="2" applyFill="1" applyBorder="1" applyAlignment="1">
      <alignment horizontal="center" vertical="center"/>
    </xf>
    <xf numFmtId="1" fontId="10" fillId="15" borderId="55" xfId="2" applyNumberFormat="1" applyFill="1" applyBorder="1" applyAlignment="1">
      <alignment horizontal="center" vertical="center"/>
    </xf>
    <xf numFmtId="0" fontId="10" fillId="15" borderId="52" xfId="2" applyFill="1" applyBorder="1" applyAlignment="1">
      <alignment horizontal="center" vertical="center"/>
    </xf>
    <xf numFmtId="0" fontId="10" fillId="15" borderId="14" xfId="2" applyFill="1" applyBorder="1" applyAlignment="1">
      <alignment horizontal="center" vertical="center"/>
    </xf>
    <xf numFmtId="1" fontId="10" fillId="15" borderId="56" xfId="2" applyNumberFormat="1" applyFill="1" applyBorder="1" applyAlignment="1">
      <alignment horizontal="center" vertical="center"/>
    </xf>
    <xf numFmtId="0" fontId="10" fillId="15" borderId="54" xfId="2" applyFill="1" applyBorder="1" applyAlignment="1">
      <alignment horizontal="center" vertical="center"/>
    </xf>
    <xf numFmtId="0" fontId="10" fillId="15" borderId="57" xfId="2" applyFill="1" applyBorder="1" applyAlignment="1">
      <alignment horizontal="center" vertical="center"/>
    </xf>
    <xf numFmtId="1" fontId="10" fillId="15" borderId="58" xfId="2" applyNumberFormat="1" applyFill="1" applyBorder="1" applyAlignment="1">
      <alignment horizontal="center" vertical="center"/>
    </xf>
    <xf numFmtId="0" fontId="10" fillId="15" borderId="59" xfId="2" applyFill="1" applyBorder="1" applyAlignment="1">
      <alignment horizontal="center" vertical="center"/>
    </xf>
    <xf numFmtId="0" fontId="9" fillId="14" borderId="41" xfId="2" applyFont="1" applyFill="1" applyBorder="1" applyAlignment="1">
      <alignment horizontal="justify" vertical="center"/>
    </xf>
    <xf numFmtId="0" fontId="10" fillId="15" borderId="49" xfId="2" applyFill="1" applyBorder="1" applyAlignment="1">
      <alignment horizontal="center"/>
    </xf>
    <xf numFmtId="0" fontId="10" fillId="15" borderId="25" xfId="2" applyFill="1" applyBorder="1" applyAlignment="1">
      <alignment horizontal="center"/>
    </xf>
    <xf numFmtId="0" fontId="10" fillId="15" borderId="55" xfId="2" applyFill="1" applyBorder="1" applyAlignment="1">
      <alignment horizontal="center"/>
    </xf>
    <xf numFmtId="0" fontId="10" fillId="15" borderId="52" xfId="2" applyFill="1" applyBorder="1" applyAlignment="1">
      <alignment horizontal="center"/>
    </xf>
    <xf numFmtId="0" fontId="10" fillId="15" borderId="14" xfId="2" applyFill="1" applyBorder="1" applyAlignment="1">
      <alignment horizontal="center"/>
    </xf>
    <xf numFmtId="0" fontId="10" fillId="15" borderId="56" xfId="2" applyFill="1" applyBorder="1" applyAlignment="1">
      <alignment horizontal="center"/>
    </xf>
    <xf numFmtId="0" fontId="10" fillId="15" borderId="54" xfId="2" applyFill="1" applyBorder="1" applyAlignment="1">
      <alignment horizontal="center"/>
    </xf>
    <xf numFmtId="0" fontId="10" fillId="15" borderId="57" xfId="2" applyFill="1" applyBorder="1" applyAlignment="1">
      <alignment horizontal="center"/>
    </xf>
    <xf numFmtId="0" fontId="10" fillId="15" borderId="58" xfId="2" applyFill="1" applyBorder="1" applyAlignment="1">
      <alignment horizontal="center"/>
    </xf>
    <xf numFmtId="0" fontId="12" fillId="0" borderId="0" xfId="2" applyFont="1" applyAlignment="1">
      <alignment vertical="center" wrapText="1"/>
    </xf>
    <xf numFmtId="0" fontId="9" fillId="0" borderId="41" xfId="2" applyFont="1" applyBorder="1" applyAlignment="1">
      <alignment horizontal="center" vertical="center"/>
    </xf>
    <xf numFmtId="0" fontId="9" fillId="0" borderId="51" xfId="2" applyFont="1" applyBorder="1" applyAlignment="1">
      <alignment horizontal="center" vertical="center"/>
    </xf>
    <xf numFmtId="0" fontId="13" fillId="0" borderId="41" xfId="2" applyFont="1" applyBorder="1" applyAlignment="1">
      <alignment horizontal="center" vertical="center"/>
    </xf>
    <xf numFmtId="0" fontId="13" fillId="0" borderId="41" xfId="2" applyFont="1" applyBorder="1" applyAlignment="1">
      <alignment horizontal="center" vertical="center" wrapText="1"/>
    </xf>
    <xf numFmtId="0" fontId="10" fillId="0" borderId="49" xfId="2" applyBorder="1" applyAlignment="1">
      <alignment horizontal="center" vertical="center"/>
    </xf>
    <xf numFmtId="0" fontId="10" fillId="0" borderId="25" xfId="2" applyBorder="1" applyAlignment="1">
      <alignment horizontal="center" vertical="center"/>
    </xf>
    <xf numFmtId="1" fontId="10" fillId="0" borderId="55" xfId="2" applyNumberFormat="1" applyBorder="1" applyAlignment="1">
      <alignment horizontal="center" vertical="center"/>
    </xf>
    <xf numFmtId="0" fontId="10" fillId="0" borderId="52" xfId="2" applyBorder="1" applyAlignment="1">
      <alignment horizontal="center" vertical="center"/>
    </xf>
    <xf numFmtId="0" fontId="10" fillId="0" borderId="14" xfId="2" applyBorder="1" applyAlignment="1">
      <alignment horizontal="center" vertical="center"/>
    </xf>
    <xf numFmtId="1" fontId="10" fillId="0" borderId="56" xfId="2" applyNumberFormat="1" applyBorder="1" applyAlignment="1">
      <alignment horizontal="center" vertical="center"/>
    </xf>
    <xf numFmtId="0" fontId="10" fillId="0" borderId="54" xfId="2" applyBorder="1" applyAlignment="1">
      <alignment horizontal="center" vertical="center"/>
    </xf>
    <xf numFmtId="0" fontId="10" fillId="0" borderId="57" xfId="2" applyBorder="1" applyAlignment="1">
      <alignment horizontal="center" vertical="center"/>
    </xf>
    <xf numFmtId="1" fontId="10" fillId="0" borderId="58" xfId="2" applyNumberFormat="1" applyBorder="1" applyAlignment="1">
      <alignment horizontal="center" vertical="center"/>
    </xf>
    <xf numFmtId="0" fontId="10" fillId="0" borderId="59" xfId="2" applyBorder="1" applyAlignment="1">
      <alignment horizontal="center" vertical="center"/>
    </xf>
    <xf numFmtId="0" fontId="9" fillId="0" borderId="41" xfId="2" applyFont="1" applyBorder="1" applyAlignment="1">
      <alignment horizontal="justify" vertical="center"/>
    </xf>
    <xf numFmtId="0" fontId="10" fillId="0" borderId="49" xfId="2" applyBorder="1" applyAlignment="1">
      <alignment horizontal="center"/>
    </xf>
    <xf numFmtId="0" fontId="10" fillId="0" borderId="25" xfId="2" applyBorder="1" applyAlignment="1">
      <alignment horizontal="center"/>
    </xf>
    <xf numFmtId="0" fontId="10" fillId="0" borderId="55" xfId="2" applyBorder="1" applyAlignment="1">
      <alignment horizontal="center"/>
    </xf>
    <xf numFmtId="0" fontId="10" fillId="0" borderId="52" xfId="2" applyBorder="1" applyAlignment="1">
      <alignment horizontal="center"/>
    </xf>
    <xf numFmtId="0" fontId="10" fillId="0" borderId="14" xfId="2" applyBorder="1" applyAlignment="1">
      <alignment horizontal="center"/>
    </xf>
    <xf numFmtId="0" fontId="10" fillId="0" borderId="56" xfId="2" applyBorder="1" applyAlignment="1">
      <alignment horizontal="center"/>
    </xf>
    <xf numFmtId="0" fontId="10" fillId="0" borderId="54" xfId="2" applyBorder="1" applyAlignment="1">
      <alignment horizontal="center"/>
    </xf>
    <xf numFmtId="0" fontId="10" fillId="0" borderId="57" xfId="2" applyBorder="1" applyAlignment="1">
      <alignment horizontal="center"/>
    </xf>
    <xf numFmtId="0" fontId="10" fillId="0" borderId="58" xfId="2" applyBorder="1" applyAlignment="1">
      <alignment horizontal="center"/>
    </xf>
    <xf numFmtId="1" fontId="10" fillId="0" borderId="13" xfId="2" applyNumberFormat="1" applyBorder="1" applyAlignment="1" applyProtection="1">
      <alignment horizontal="center" vertical="center"/>
      <protection locked="0"/>
    </xf>
    <xf numFmtId="1" fontId="10" fillId="0" borderId="1" xfId="2" applyNumberFormat="1" applyBorder="1" applyAlignment="1" applyProtection="1">
      <alignment horizontal="center" vertical="center"/>
      <protection locked="0"/>
    </xf>
    <xf numFmtId="0" fontId="10" fillId="0" borderId="41" xfId="2" applyBorder="1" applyAlignment="1">
      <alignment horizontal="center" vertical="center" wrapText="1"/>
    </xf>
    <xf numFmtId="0" fontId="10" fillId="0" borderId="13" xfId="2" applyBorder="1" applyAlignment="1">
      <alignment horizontal="center" vertical="center"/>
    </xf>
    <xf numFmtId="0" fontId="10" fillId="0" borderId="1" xfId="2" applyBorder="1" applyAlignment="1">
      <alignment horizontal="center" vertical="center"/>
    </xf>
    <xf numFmtId="0" fontId="9" fillId="0" borderId="52" xfId="2" applyFont="1" applyBorder="1" applyAlignment="1">
      <alignment horizontal="center" vertical="center"/>
    </xf>
    <xf numFmtId="0" fontId="9" fillId="0" borderId="56" xfId="2" applyFont="1" applyBorder="1" applyAlignment="1">
      <alignment horizontal="center" vertical="center"/>
    </xf>
    <xf numFmtId="0" fontId="9" fillId="0" borderId="54" xfId="2" applyFont="1" applyBorder="1" applyAlignment="1">
      <alignment horizontal="center" vertical="center"/>
    </xf>
    <xf numFmtId="0" fontId="9" fillId="0" borderId="58" xfId="2" applyFont="1" applyBorder="1" applyAlignment="1">
      <alignment horizontal="center" vertical="center"/>
    </xf>
    <xf numFmtId="0" fontId="9" fillId="0" borderId="60" xfId="2" applyFont="1" applyBorder="1" applyAlignment="1">
      <alignment horizontal="justify" vertical="center"/>
    </xf>
    <xf numFmtId="0" fontId="9" fillId="0" borderId="18" xfId="2" applyFont="1" applyBorder="1" applyAlignment="1">
      <alignment horizontal="justify" vertical="center"/>
    </xf>
    <xf numFmtId="0" fontId="9" fillId="0" borderId="60" xfId="2" applyFont="1" applyBorder="1" applyAlignment="1">
      <alignment horizontal="center" vertical="center"/>
    </xf>
    <xf numFmtId="0" fontId="10" fillId="0" borderId="3" xfId="2" applyBorder="1" applyAlignment="1">
      <alignment horizontal="center" vertical="center"/>
    </xf>
    <xf numFmtId="0" fontId="10" fillId="0" borderId="4" xfId="2" applyBorder="1" applyAlignment="1">
      <alignment horizontal="center" vertical="center"/>
    </xf>
    <xf numFmtId="9" fontId="10" fillId="0" borderId="8" xfId="2" applyNumberFormat="1" applyBorder="1" applyAlignment="1">
      <alignment horizontal="center" vertical="center"/>
    </xf>
    <xf numFmtId="9" fontId="10" fillId="0" borderId="9" xfId="2" applyNumberFormat="1" applyBorder="1" applyAlignment="1">
      <alignment horizontal="center" vertical="center"/>
    </xf>
    <xf numFmtId="0" fontId="10" fillId="0" borderId="41" xfId="2" applyBorder="1" applyAlignment="1">
      <alignment vertical="center"/>
    </xf>
    <xf numFmtId="0" fontId="9" fillId="0" borderId="47" xfId="2" applyFont="1" applyBorder="1" applyAlignment="1">
      <alignment horizontal="center" vertical="center" wrapText="1"/>
    </xf>
    <xf numFmtId="0" fontId="9" fillId="0" borderId="41" xfId="2" applyFont="1" applyBorder="1" applyAlignment="1">
      <alignment horizontal="center" vertical="center" wrapText="1"/>
    </xf>
    <xf numFmtId="0" fontId="9" fillId="0" borderId="51" xfId="2" applyFont="1" applyBorder="1" applyAlignment="1">
      <alignment horizontal="center" vertical="center" wrapText="1"/>
    </xf>
    <xf numFmtId="0" fontId="10" fillId="0" borderId="70" xfId="2" applyBorder="1" applyAlignment="1">
      <alignment horizontal="center" vertical="center"/>
    </xf>
    <xf numFmtId="1" fontId="10" fillId="0" borderId="70" xfId="2" applyNumberFormat="1" applyBorder="1" applyAlignment="1" applyProtection="1">
      <alignment horizontal="center" vertical="center"/>
      <protection locked="0"/>
    </xf>
    <xf numFmtId="0" fontId="4" fillId="12" borderId="1" xfId="0" applyFont="1" applyFill="1" applyBorder="1" applyAlignment="1">
      <alignment horizontal="left" vertical="center" wrapText="1"/>
    </xf>
    <xf numFmtId="0" fontId="0" fillId="0" borderId="1" xfId="0" applyBorder="1" applyAlignment="1">
      <alignment horizontal="right" vertical="center"/>
    </xf>
    <xf numFmtId="2" fontId="2" fillId="13" borderId="1" xfId="0" applyNumberFormat="1" applyFont="1" applyFill="1" applyBorder="1"/>
    <xf numFmtId="0" fontId="4" fillId="12" borderId="1" xfId="0" applyFont="1" applyFill="1" applyBorder="1" applyAlignment="1">
      <alignment vertical="center" wrapText="1"/>
    </xf>
    <xf numFmtId="0" fontId="0" fillId="0" borderId="0" xfId="0" quotePrefix="1"/>
    <xf numFmtId="1" fontId="2" fillId="13" borderId="1" xfId="0" applyNumberFormat="1" applyFont="1" applyFill="1" applyBorder="1"/>
    <xf numFmtId="2" fontId="2" fillId="0" borderId="1" xfId="0" applyNumberFormat="1" applyFont="1" applyBorder="1" applyAlignment="1">
      <alignment horizontal="center" vertical="center"/>
    </xf>
    <xf numFmtId="1" fontId="2" fillId="13" borderId="1" xfId="0" applyNumberFormat="1" applyFont="1" applyFill="1" applyBorder="1" applyAlignment="1">
      <alignment horizontal="center"/>
    </xf>
    <xf numFmtId="2" fontId="10" fillId="0" borderId="12" xfId="2" applyNumberFormat="1" applyBorder="1" applyAlignment="1" applyProtection="1">
      <alignment horizontal="center" vertical="center"/>
      <protection locked="0"/>
    </xf>
    <xf numFmtId="10" fontId="2" fillId="13" borderId="1" xfId="1" applyNumberFormat="1" applyFont="1" applyFill="1" applyBorder="1"/>
    <xf numFmtId="2" fontId="5" fillId="10" borderId="33" xfId="0" applyNumberFormat="1" applyFont="1" applyFill="1" applyBorder="1" applyAlignment="1">
      <alignment horizontal="center" vertical="center" wrapText="1"/>
    </xf>
    <xf numFmtId="4" fontId="5" fillId="11" borderId="0" xfId="0" applyNumberFormat="1" applyFont="1" applyFill="1" applyAlignment="1">
      <alignment horizontal="center" vertical="center" wrapText="1"/>
    </xf>
    <xf numFmtId="4" fontId="5" fillId="0" borderId="0" xfId="0" applyNumberFormat="1" applyFont="1" applyAlignment="1">
      <alignment horizontal="center" vertical="center" wrapText="1"/>
    </xf>
    <xf numFmtId="0" fontId="5" fillId="11" borderId="16" xfId="0" applyFont="1" applyFill="1" applyBorder="1" applyAlignment="1">
      <alignment horizontal="center" vertical="center" wrapText="1"/>
    </xf>
    <xf numFmtId="0" fontId="5" fillId="11" borderId="18" xfId="0" applyFont="1" applyFill="1" applyBorder="1" applyAlignment="1">
      <alignment horizontal="center" vertical="center" wrapText="1"/>
    </xf>
    <xf numFmtId="171" fontId="5" fillId="0" borderId="19" xfId="0" applyNumberFormat="1" applyFont="1" applyBorder="1" applyAlignment="1">
      <alignment horizontal="center" vertical="center" wrapText="1"/>
    </xf>
    <xf numFmtId="171" fontId="5" fillId="0" borderId="20" xfId="0" applyNumberFormat="1" applyFont="1" applyBorder="1" applyAlignment="1">
      <alignment horizontal="center" vertical="center" wrapText="1"/>
    </xf>
    <xf numFmtId="171" fontId="5" fillId="11" borderId="19" xfId="0" applyNumberFormat="1" applyFont="1" applyFill="1" applyBorder="1" applyAlignment="1">
      <alignment horizontal="center" vertical="center" wrapText="1"/>
    </xf>
    <xf numFmtId="171" fontId="5" fillId="11" borderId="20" xfId="0" applyNumberFormat="1" applyFont="1" applyFill="1" applyBorder="1" applyAlignment="1">
      <alignment horizontal="center" vertical="center" wrapText="1"/>
    </xf>
    <xf numFmtId="0" fontId="0" fillId="0" borderId="21" xfId="0" applyBorder="1"/>
    <xf numFmtId="0" fontId="0" fillId="0" borderId="23" xfId="0" applyBorder="1"/>
    <xf numFmtId="0" fontId="5" fillId="11" borderId="74" xfId="0" applyFont="1" applyFill="1" applyBorder="1" applyAlignment="1">
      <alignment horizontal="center" vertical="center" wrapText="1"/>
    </xf>
    <xf numFmtId="0" fontId="5" fillId="11" borderId="0" xfId="0" applyFont="1" applyFill="1" applyAlignment="1">
      <alignment horizontal="center" vertical="center" wrapText="1"/>
    </xf>
    <xf numFmtId="0" fontId="5" fillId="0" borderId="74" xfId="0" applyFont="1" applyBorder="1" applyAlignment="1">
      <alignment horizontal="center" vertical="center" wrapText="1"/>
    </xf>
    <xf numFmtId="171" fontId="5" fillId="0" borderId="0" xfId="0" applyNumberFormat="1" applyFont="1" applyAlignment="1">
      <alignment horizontal="center" vertical="center" wrapText="1"/>
    </xf>
    <xf numFmtId="0" fontId="5" fillId="0" borderId="0" xfId="0" applyFont="1" applyAlignment="1">
      <alignment horizontal="center" vertical="center" wrapText="1"/>
    </xf>
    <xf numFmtId="171" fontId="5" fillId="11" borderId="0" xfId="0" applyNumberFormat="1" applyFont="1" applyFill="1" applyAlignment="1">
      <alignment horizontal="center" vertical="center" wrapText="1"/>
    </xf>
    <xf numFmtId="0" fontId="5" fillId="0" borderId="77" xfId="0" applyFont="1" applyBorder="1" applyAlignment="1">
      <alignment horizontal="center" vertical="center" wrapText="1"/>
    </xf>
    <xf numFmtId="0" fontId="5" fillId="0" borderId="22" xfId="0" applyFont="1" applyBorder="1" applyAlignment="1">
      <alignment horizontal="center" vertical="center" wrapText="1"/>
    </xf>
    <xf numFmtId="4" fontId="5" fillId="0" borderId="22" xfId="0" applyNumberFormat="1" applyFont="1" applyBorder="1" applyAlignment="1">
      <alignment horizontal="center" vertical="center" wrapText="1"/>
    </xf>
    <xf numFmtId="0" fontId="22" fillId="0" borderId="42" xfId="0" applyFont="1" applyBorder="1" applyAlignment="1">
      <alignment horizontal="center" vertical="center"/>
    </xf>
    <xf numFmtId="0" fontId="22" fillId="0" borderId="43" xfId="0" applyFont="1" applyBorder="1" applyAlignment="1">
      <alignment horizontal="center" vertical="center"/>
    </xf>
    <xf numFmtId="0" fontId="22" fillId="0" borderId="44"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4" xfId="0" applyFont="1" applyBorder="1" applyAlignment="1">
      <alignment horizontal="center" vertical="center"/>
    </xf>
    <xf numFmtId="0" fontId="22" fillId="0" borderId="5" xfId="0" applyFont="1" applyBorder="1" applyAlignment="1">
      <alignment horizontal="center" vertical="center"/>
    </xf>
    <xf numFmtId="0" fontId="22" fillId="0" borderId="1" xfId="0" applyFont="1" applyBorder="1" applyAlignment="1">
      <alignment horizontal="center" vertical="center"/>
    </xf>
    <xf numFmtId="0" fontId="22" fillId="0" borderId="6" xfId="0" applyFont="1" applyBorder="1" applyAlignment="1">
      <alignment horizontal="center" vertical="center"/>
    </xf>
    <xf numFmtId="0" fontId="22" fillId="0" borderId="7" xfId="0" applyFont="1" applyBorder="1" applyAlignment="1">
      <alignment horizontal="center" vertical="center"/>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22" fillId="0" borderId="63" xfId="0" applyFont="1" applyBorder="1" applyAlignment="1">
      <alignment horizontal="center" vertical="center"/>
    </xf>
    <xf numFmtId="0" fontId="22" fillId="0" borderId="64" xfId="0" applyFont="1" applyBorder="1" applyAlignment="1">
      <alignment horizontal="center" vertical="center"/>
    </xf>
    <xf numFmtId="0" fontId="22" fillId="0" borderId="65" xfId="0" applyFont="1" applyBorder="1" applyAlignment="1">
      <alignment horizontal="center" vertical="center"/>
    </xf>
    <xf numFmtId="0" fontId="9" fillId="0" borderId="1" xfId="2" applyFont="1" applyBorder="1" applyAlignment="1">
      <alignment vertical="center"/>
    </xf>
    <xf numFmtId="0" fontId="9" fillId="0" borderId="1" xfId="2" applyFont="1" applyBorder="1" applyAlignment="1">
      <alignment horizontal="center"/>
    </xf>
    <xf numFmtId="0" fontId="9" fillId="0" borderId="1" xfId="2" applyFont="1" applyBorder="1" applyAlignment="1">
      <alignment horizontal="center" wrapText="1"/>
    </xf>
    <xf numFmtId="0" fontId="9" fillId="0" borderId="1" xfId="2" applyFont="1" applyBorder="1" applyAlignment="1">
      <alignment horizontal="center" vertical="center"/>
    </xf>
    <xf numFmtId="1" fontId="22" fillId="0" borderId="1" xfId="0" applyNumberFormat="1" applyFont="1" applyBorder="1" applyAlignment="1">
      <alignment horizontal="center" vertical="center"/>
    </xf>
    <xf numFmtId="0" fontId="9" fillId="0" borderId="49" xfId="2" applyFont="1" applyBorder="1" applyAlignment="1">
      <alignment vertical="center" wrapText="1"/>
    </xf>
    <xf numFmtId="0" fontId="5" fillId="10" borderId="32" xfId="0" applyFont="1" applyFill="1" applyBorder="1" applyAlignment="1">
      <alignment horizontal="center" vertical="center" wrapText="1"/>
    </xf>
    <xf numFmtId="0" fontId="5" fillId="10" borderId="32" xfId="0" applyFont="1" applyFill="1" applyBorder="1" applyAlignment="1">
      <alignment horizontal="left" vertical="center" wrapText="1"/>
    </xf>
    <xf numFmtId="0" fontId="0" fillId="0" borderId="0" xfId="0" applyAlignment="1">
      <alignment horizontal="left"/>
    </xf>
    <xf numFmtId="2" fontId="5" fillId="10" borderId="32" xfId="0" applyNumberFormat="1" applyFont="1" applyFill="1" applyBorder="1" applyAlignment="1">
      <alignment horizontal="left" vertical="center" wrapText="1" indent="3"/>
    </xf>
    <xf numFmtId="0" fontId="2" fillId="0" borderId="0" xfId="0" applyFont="1" applyAlignment="1">
      <alignment wrapText="1"/>
    </xf>
    <xf numFmtId="1" fontId="2" fillId="13" borderId="1" xfId="0" applyNumberFormat="1" applyFont="1" applyFill="1" applyBorder="1" applyAlignment="1">
      <alignment horizontal="center" vertical="center"/>
    </xf>
    <xf numFmtId="172" fontId="0" fillId="0" borderId="1" xfId="0" applyNumberFormat="1" applyBorder="1" applyAlignment="1">
      <alignment horizontal="right" vertical="center"/>
    </xf>
    <xf numFmtId="2" fontId="0" fillId="0" borderId="1" xfId="0" applyNumberFormat="1" applyBorder="1" applyAlignment="1">
      <alignment horizontal="right" vertical="center"/>
    </xf>
    <xf numFmtId="173" fontId="2" fillId="13" borderId="1" xfId="0" applyNumberFormat="1" applyFont="1" applyFill="1" applyBorder="1"/>
    <xf numFmtId="0" fontId="7" fillId="0" borderId="0" xfId="0" applyFont="1"/>
    <xf numFmtId="0" fontId="25" fillId="0" borderId="1" xfId="0" applyFont="1" applyBorder="1" applyAlignment="1">
      <alignment horizontal="left" vertical="center"/>
    </xf>
    <xf numFmtId="0" fontId="25" fillId="0" borderId="1" xfId="0" applyFont="1" applyBorder="1" applyAlignment="1">
      <alignment horizontal="center" vertical="center"/>
    </xf>
    <xf numFmtId="0" fontId="26" fillId="18" borderId="1" xfId="0" applyFont="1" applyFill="1" applyBorder="1" applyAlignment="1">
      <alignment horizontal="center" vertical="center"/>
    </xf>
    <xf numFmtId="0" fontId="27" fillId="0" borderId="1" xfId="0" applyFont="1" applyBorder="1"/>
    <xf numFmtId="0" fontId="27" fillId="19" borderId="1" xfId="0" applyFont="1" applyFill="1" applyBorder="1"/>
    <xf numFmtId="0" fontId="27" fillId="18" borderId="1" xfId="0" applyFont="1" applyFill="1" applyBorder="1"/>
    <xf numFmtId="0" fontId="27" fillId="0" borderId="0" xfId="0" applyFont="1"/>
    <xf numFmtId="0" fontId="29" fillId="19" borderId="1" xfId="0" applyFont="1" applyFill="1" applyBorder="1"/>
    <xf numFmtId="2" fontId="0" fillId="0" borderId="0" xfId="0" applyNumberFormat="1" applyAlignment="1">
      <alignment vertical="center" wrapText="1"/>
    </xf>
    <xf numFmtId="2" fontId="0" fillId="0" borderId="0" xfId="0" applyNumberFormat="1" applyAlignment="1">
      <alignment horizontal="center" vertical="center" wrapText="1"/>
    </xf>
    <xf numFmtId="174" fontId="0" fillId="0" borderId="0" xfId="3" applyNumberFormat="1" applyFont="1" applyAlignment="1">
      <alignment vertical="center" wrapText="1"/>
    </xf>
    <xf numFmtId="0" fontId="4" fillId="12" borderId="78" xfId="0" applyFont="1" applyFill="1" applyBorder="1" applyAlignment="1">
      <alignment horizontal="center" vertical="center" wrapText="1"/>
    </xf>
    <xf numFmtId="0" fontId="4" fillId="12" borderId="78" xfId="0" applyFont="1" applyFill="1" applyBorder="1" applyAlignment="1">
      <alignment horizontal="left" vertical="center" wrapText="1"/>
    </xf>
    <xf numFmtId="0" fontId="0" fillId="0" borderId="78" xfId="0" applyBorder="1" applyAlignment="1">
      <alignment horizontal="right" vertical="center"/>
    </xf>
    <xf numFmtId="0" fontId="0" fillId="16" borderId="78" xfId="0" applyFill="1" applyBorder="1" applyAlignment="1">
      <alignment horizontal="right" vertical="center"/>
    </xf>
    <xf numFmtId="2" fontId="2" fillId="13" borderId="78" xfId="0" applyNumberFormat="1" applyFont="1" applyFill="1" applyBorder="1"/>
    <xf numFmtId="2" fontId="2" fillId="16" borderId="1" xfId="1" applyNumberFormat="1" applyFont="1" applyFill="1" applyBorder="1" applyAlignment="1">
      <alignment horizontal="center" vertical="center" wrapText="1"/>
    </xf>
    <xf numFmtId="10" fontId="2" fillId="16" borderId="1" xfId="1" applyNumberFormat="1" applyFont="1" applyFill="1" applyBorder="1" applyAlignment="1">
      <alignment horizontal="center" vertical="center" wrapText="1"/>
    </xf>
    <xf numFmtId="0" fontId="0" fillId="16" borderId="1" xfId="0" applyFill="1" applyBorder="1" applyAlignment="1">
      <alignment horizontal="center" vertical="center" wrapText="1"/>
    </xf>
    <xf numFmtId="2" fontId="0" fillId="13" borderId="1" xfId="0" applyNumberFormat="1" applyFill="1" applyBorder="1" applyAlignment="1">
      <alignment horizontal="center" vertical="center"/>
    </xf>
    <xf numFmtId="2" fontId="2" fillId="13" borderId="1" xfId="1" applyNumberFormat="1" applyFont="1" applyFill="1" applyBorder="1" applyAlignment="1">
      <alignment horizontal="center" vertical="center" wrapText="1"/>
    </xf>
    <xf numFmtId="0" fontId="0" fillId="0" borderId="0" xfId="0" applyAlignment="1">
      <alignment horizontal="left" vertical="center"/>
    </xf>
    <xf numFmtId="172" fontId="0" fillId="0" borderId="0" xfId="0" applyNumberFormat="1"/>
    <xf numFmtId="0" fontId="2" fillId="8" borderId="0" xfId="0" applyFont="1" applyFill="1"/>
    <xf numFmtId="2" fontId="0" fillId="8" borderId="0" xfId="0" applyNumberFormat="1" applyFill="1"/>
    <xf numFmtId="10" fontId="2" fillId="13" borderId="1" xfId="1" applyNumberFormat="1" applyFont="1" applyFill="1" applyBorder="1" applyAlignment="1">
      <alignment horizontal="center" vertical="center" wrapText="1"/>
    </xf>
    <xf numFmtId="10" fontId="2" fillId="17" borderId="1" xfId="1" applyNumberFormat="1" applyFont="1" applyFill="1" applyBorder="1" applyAlignment="1">
      <alignment horizontal="center" vertical="center" wrapText="1"/>
    </xf>
    <xf numFmtId="0" fontId="0" fillId="5" borderId="1" xfId="0" applyFill="1" applyBorder="1" applyAlignment="1">
      <alignment horizontal="center" vertical="center" wrapText="1"/>
    </xf>
    <xf numFmtId="172" fontId="0" fillId="16" borderId="1" xfId="0" applyNumberFormat="1" applyFill="1" applyBorder="1" applyAlignment="1">
      <alignment horizontal="center" vertical="center" wrapText="1"/>
    </xf>
    <xf numFmtId="2" fontId="0" fillId="13" borderId="1" xfId="0" applyNumberFormat="1" applyFill="1" applyBorder="1" applyAlignment="1">
      <alignment horizontal="center" vertical="center" wrapText="1"/>
    </xf>
    <xf numFmtId="0" fontId="0" fillId="13" borderId="1" xfId="0" applyFill="1" applyBorder="1" applyAlignment="1">
      <alignment horizontal="center" vertical="center" wrapText="1"/>
    </xf>
    <xf numFmtId="172" fontId="0" fillId="5" borderId="1" xfId="0" applyNumberFormat="1" applyFill="1" applyBorder="1" applyAlignment="1">
      <alignment horizontal="center" vertical="center" wrapText="1"/>
    </xf>
    <xf numFmtId="0" fontId="9" fillId="0" borderId="45" xfId="2" applyFont="1" applyBorder="1" applyAlignment="1">
      <alignment horizontal="center" vertical="center"/>
    </xf>
    <xf numFmtId="0" fontId="31" fillId="0" borderId="0" xfId="4"/>
    <xf numFmtId="0" fontId="0" fillId="0" borderId="0" xfId="0" applyAlignment="1">
      <alignment horizontal="center"/>
    </xf>
    <xf numFmtId="0" fontId="2" fillId="0" borderId="0" xfId="0" applyFont="1" applyAlignment="1">
      <alignment horizontal="center"/>
    </xf>
    <xf numFmtId="0" fontId="9" fillId="0" borderId="21" xfId="2" applyFont="1" applyBorder="1" applyAlignment="1">
      <alignment horizontal="center" vertical="center"/>
    </xf>
    <xf numFmtId="0" fontId="13" fillId="0" borderId="45" xfId="2" applyFont="1" applyBorder="1" applyAlignment="1">
      <alignment horizontal="center" vertical="center" wrapText="1"/>
    </xf>
    <xf numFmtId="0" fontId="4" fillId="12" borderId="1" xfId="0" applyFont="1" applyFill="1" applyBorder="1" applyAlignment="1">
      <alignment horizontal="center" vertical="center"/>
    </xf>
    <xf numFmtId="2" fontId="0" fillId="0" borderId="0" xfId="0" applyNumberFormat="1" applyAlignment="1">
      <alignment horizontal="center"/>
    </xf>
    <xf numFmtId="10" fontId="0" fillId="0" borderId="0" xfId="1" applyNumberFormat="1" applyFont="1" applyAlignment="1">
      <alignment horizontal="center"/>
    </xf>
    <xf numFmtId="10" fontId="0" fillId="0" borderId="0" xfId="0" applyNumberFormat="1" applyAlignment="1">
      <alignment horizontal="center"/>
    </xf>
    <xf numFmtId="0" fontId="0" fillId="16" borderId="1" xfId="0" applyFill="1" applyBorder="1" applyAlignment="1">
      <alignment vertical="center" wrapText="1"/>
    </xf>
    <xf numFmtId="0" fontId="0" fillId="0" borderId="0" xfId="0" applyAlignment="1">
      <alignment horizontal="center" vertical="center"/>
    </xf>
    <xf numFmtId="0" fontId="0" fillId="20" borderId="2" xfId="0" applyFill="1" applyBorder="1" applyAlignment="1">
      <alignment horizontal="center" vertical="center"/>
    </xf>
    <xf numFmtId="0" fontId="0" fillId="20" borderId="3" xfId="0" applyFill="1" applyBorder="1" applyAlignment="1">
      <alignment horizontal="center" vertical="center"/>
    </xf>
    <xf numFmtId="0" fontId="0" fillId="20" borderId="4" xfId="0" applyFill="1" applyBorder="1" applyAlignment="1">
      <alignment horizontal="center" vertical="center"/>
    </xf>
    <xf numFmtId="0" fontId="0" fillId="20" borderId="0" xfId="0" applyFill="1" applyAlignment="1">
      <alignment horizontal="center" vertical="center"/>
    </xf>
    <xf numFmtId="170" fontId="0" fillId="0" borderId="0" xfId="1" applyNumberFormat="1" applyFont="1"/>
    <xf numFmtId="10" fontId="0" fillId="0" borderId="0" xfId="1" applyNumberFormat="1" applyFont="1"/>
    <xf numFmtId="0" fontId="2" fillId="0" borderId="1" xfId="0" applyFont="1" applyBorder="1" applyAlignment="1">
      <alignment horizontal="center" vertical="center"/>
    </xf>
    <xf numFmtId="10" fontId="2" fillId="16" borderId="1" xfId="1" applyNumberFormat="1" applyFont="1" applyFill="1" applyBorder="1" applyAlignment="1">
      <alignment vertical="center" wrapText="1"/>
    </xf>
    <xf numFmtId="0" fontId="2" fillId="0" borderId="1" xfId="0" applyFont="1" applyBorder="1" applyAlignment="1">
      <alignment horizontal="left" vertical="center"/>
    </xf>
    <xf numFmtId="2" fontId="0" fillId="0" borderId="0" xfId="0" applyNumberFormat="1" applyAlignment="1">
      <alignment horizontal="left" vertical="center"/>
    </xf>
    <xf numFmtId="1" fontId="0" fillId="0" borderId="0" xfId="0" applyNumberFormat="1" applyAlignment="1">
      <alignment horizontal="left" vertical="center"/>
    </xf>
    <xf numFmtId="0" fontId="2" fillId="0" borderId="10" xfId="0" applyFont="1" applyBorder="1" applyAlignment="1">
      <alignment horizontal="left" vertical="center"/>
    </xf>
    <xf numFmtId="2" fontId="0" fillId="13" borderId="1" xfId="0" quotePrefix="1" applyNumberFormat="1" applyFill="1" applyBorder="1" applyAlignment="1">
      <alignment vertical="center" wrapText="1"/>
    </xf>
    <xf numFmtId="2" fontId="2" fillId="13" borderId="1" xfId="0" quotePrefix="1" applyNumberFormat="1" applyFont="1" applyFill="1" applyBorder="1" applyAlignment="1">
      <alignment vertical="center" wrapText="1"/>
    </xf>
    <xf numFmtId="2" fontId="2" fillId="13" borderId="1" xfId="0" applyNumberFormat="1" applyFont="1" applyFill="1" applyBorder="1" applyAlignment="1">
      <alignment vertical="center"/>
    </xf>
    <xf numFmtId="0" fontId="0" fillId="5" borderId="1" xfId="0" applyFill="1" applyBorder="1" applyAlignment="1">
      <alignment vertical="center" wrapText="1"/>
    </xf>
    <xf numFmtId="2" fontId="2" fillId="13" borderId="1" xfId="1" quotePrefix="1" applyNumberFormat="1" applyFont="1" applyFill="1" applyBorder="1" applyAlignment="1">
      <alignment vertical="center" wrapText="1"/>
    </xf>
    <xf numFmtId="2" fontId="2" fillId="13" borderId="1" xfId="1" applyNumberFormat="1" applyFont="1" applyFill="1" applyBorder="1" applyAlignment="1">
      <alignment vertical="center" wrapText="1"/>
    </xf>
    <xf numFmtId="2" fontId="2" fillId="0" borderId="1" xfId="1" applyNumberFormat="1" applyFont="1" applyFill="1" applyBorder="1" applyAlignment="1">
      <alignment vertical="center" wrapText="1"/>
    </xf>
    <xf numFmtId="10" fontId="2" fillId="0" borderId="1" xfId="1" applyNumberFormat="1" applyFont="1" applyFill="1" applyBorder="1" applyAlignment="1">
      <alignment vertical="center" wrapText="1"/>
    </xf>
    <xf numFmtId="10" fontId="2" fillId="13" borderId="1" xfId="1" applyNumberFormat="1" applyFont="1" applyFill="1" applyBorder="1" applyAlignment="1">
      <alignment vertical="center" wrapText="1"/>
    </xf>
    <xf numFmtId="2" fontId="2" fillId="0" borderId="0" xfId="1" applyNumberFormat="1" applyFont="1" applyFill="1" applyBorder="1" applyAlignment="1">
      <alignment horizontal="center" vertical="center" wrapText="1"/>
    </xf>
    <xf numFmtId="2" fontId="2" fillId="0" borderId="0" xfId="1" applyNumberFormat="1" applyFont="1" applyFill="1" applyBorder="1" applyAlignment="1">
      <alignment vertical="center" wrapText="1"/>
    </xf>
    <xf numFmtId="10" fontId="2" fillId="0" borderId="0" xfId="1" applyNumberFormat="1" applyFont="1" applyFill="1" applyBorder="1" applyAlignment="1">
      <alignment vertical="center" wrapText="1"/>
    </xf>
    <xf numFmtId="10" fontId="2" fillId="0" borderId="0" xfId="1" applyNumberFormat="1" applyFont="1" applyFill="1" applyBorder="1" applyAlignment="1">
      <alignment horizontal="center" vertical="center" wrapText="1"/>
    </xf>
    <xf numFmtId="10" fontId="2" fillId="17" borderId="10" xfId="1" applyNumberFormat="1" applyFont="1" applyFill="1" applyBorder="1" applyAlignment="1">
      <alignment horizontal="center" vertical="center" wrapText="1"/>
    </xf>
    <xf numFmtId="2" fontId="2" fillId="0" borderId="0" xfId="0" applyNumberFormat="1" applyFont="1" applyAlignment="1">
      <alignment vertical="center" wrapText="1"/>
    </xf>
    <xf numFmtId="2" fontId="2" fillId="0" borderId="0" xfId="0" applyNumberFormat="1" applyFont="1" applyAlignment="1">
      <alignment vertical="center"/>
    </xf>
    <xf numFmtId="173" fontId="0" fillId="0" borderId="0" xfId="0" applyNumberFormat="1" applyAlignment="1">
      <alignment vertical="center" wrapText="1"/>
    </xf>
    <xf numFmtId="0" fontId="0" fillId="21" borderId="0" xfId="0" applyFill="1" applyAlignment="1">
      <alignment horizontal="left" vertical="center"/>
    </xf>
    <xf numFmtId="17" fontId="0" fillId="21" borderId="0" xfId="0" applyNumberFormat="1" applyFill="1" applyAlignment="1">
      <alignment horizontal="left" vertical="center"/>
    </xf>
    <xf numFmtId="173" fontId="0" fillId="0" borderId="0" xfId="0" applyNumberFormat="1"/>
    <xf numFmtId="0" fontId="4" fillId="12" borderId="24" xfId="0" applyFont="1" applyFill="1" applyBorder="1" applyAlignment="1">
      <alignment horizontal="center" vertical="center" wrapText="1"/>
    </xf>
    <xf numFmtId="0" fontId="4" fillId="12" borderId="26" xfId="0" applyFont="1" applyFill="1" applyBorder="1" applyAlignment="1">
      <alignment horizontal="center" vertical="center" wrapText="1"/>
    </xf>
    <xf numFmtId="0" fontId="0" fillId="0" borderId="10" xfId="0" applyBorder="1" applyAlignment="1">
      <alignment horizontal="center"/>
    </xf>
    <xf numFmtId="0" fontId="4" fillId="12" borderId="29"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0" fillId="16" borderId="29" xfId="0" applyFill="1" applyBorder="1" applyAlignment="1">
      <alignment horizontal="center" vertical="center" wrapText="1"/>
    </xf>
    <xf numFmtId="10" fontId="2" fillId="16" borderId="12" xfId="1" applyNumberFormat="1" applyFont="1" applyFill="1" applyBorder="1" applyAlignment="1">
      <alignment vertical="center" wrapText="1"/>
    </xf>
    <xf numFmtId="0" fontId="0" fillId="16" borderId="10" xfId="0" applyFill="1" applyBorder="1" applyAlignment="1">
      <alignment horizontal="center" vertical="center" wrapText="1"/>
    </xf>
    <xf numFmtId="0" fontId="4" fillId="12" borderId="13" xfId="0" applyFont="1" applyFill="1" applyBorder="1" applyAlignment="1">
      <alignment horizontal="center" vertical="center" wrapText="1"/>
    </xf>
    <xf numFmtId="0" fontId="0" fillId="16" borderId="27" xfId="0" applyFill="1" applyBorder="1" applyAlignment="1">
      <alignment vertical="center" wrapText="1"/>
    </xf>
    <xf numFmtId="10" fontId="2" fillId="13" borderId="29" xfId="1" applyNumberFormat="1" applyFont="1" applyFill="1" applyBorder="1" applyAlignment="1">
      <alignment horizontal="center" vertical="center" wrapText="1"/>
    </xf>
    <xf numFmtId="0" fontId="23" fillId="15" borderId="0" xfId="0" applyFont="1" applyFill="1" applyAlignment="1">
      <alignment horizontal="center"/>
    </xf>
    <xf numFmtId="0" fontId="2" fillId="0" borderId="0" xfId="0" applyFont="1" applyAlignment="1">
      <alignment horizontal="center" wrapText="1"/>
    </xf>
    <xf numFmtId="0" fontId="0" fillId="0" borderId="67" xfId="0" applyBorder="1" applyAlignment="1">
      <alignment horizontal="left" vertical="center" wrapText="1"/>
    </xf>
    <xf numFmtId="0" fontId="0" fillId="0" borderId="0" xfId="0" applyAlignment="1">
      <alignment horizontal="left" vertical="center" wrapText="1"/>
    </xf>
    <xf numFmtId="0" fontId="2" fillId="8" borderId="0" xfId="0" applyFont="1" applyFill="1" applyAlignment="1">
      <alignment horizontal="center" vertical="center" wrapText="1"/>
    </xf>
    <xf numFmtId="0" fontId="4" fillId="12"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0" fillId="16" borderId="12" xfId="0" applyFill="1" applyBorder="1" applyAlignment="1">
      <alignment horizontal="center" vertical="center" wrapText="1"/>
    </xf>
    <xf numFmtId="0" fontId="0" fillId="16" borderId="15" xfId="0" applyFill="1" applyBorder="1" applyAlignment="1">
      <alignment horizontal="center" vertical="center" wrapText="1"/>
    </xf>
    <xf numFmtId="0" fontId="0" fillId="16" borderId="13" xfId="0" applyFill="1" applyBorder="1" applyAlignment="1">
      <alignment horizontal="center" vertical="center" wrapText="1"/>
    </xf>
    <xf numFmtId="2" fontId="0" fillId="13" borderId="1" xfId="0" applyNumberFormat="1" applyFill="1" applyBorder="1" applyAlignment="1">
      <alignment horizontal="center" vertical="center" wrapText="1"/>
    </xf>
    <xf numFmtId="10" fontId="2" fillId="13" borderId="1" xfId="1" applyNumberFormat="1" applyFont="1" applyFill="1" applyBorder="1" applyAlignment="1">
      <alignment horizontal="center" vertical="center" wrapText="1"/>
    </xf>
    <xf numFmtId="173" fontId="0" fillId="13" borderId="1" xfId="0" applyNumberFormat="1" applyFill="1" applyBorder="1" applyAlignment="1">
      <alignment horizontal="center" vertical="center" wrapText="1"/>
    </xf>
    <xf numFmtId="10" fontId="2" fillId="17" borderId="1" xfId="1" applyNumberFormat="1" applyFont="1" applyFill="1" applyBorder="1" applyAlignment="1">
      <alignment horizontal="center" vertical="center" wrapText="1"/>
    </xf>
    <xf numFmtId="10" fontId="24" fillId="17" borderId="1" xfId="1" applyNumberFormat="1" applyFont="1" applyFill="1" applyBorder="1" applyAlignment="1">
      <alignment horizontal="center" vertical="center" wrapText="1"/>
    </xf>
    <xf numFmtId="2" fontId="2" fillId="0" borderId="1" xfId="1" applyNumberFormat="1" applyFont="1" applyFill="1" applyBorder="1" applyAlignment="1">
      <alignment horizontal="center" vertical="center" wrapText="1"/>
    </xf>
    <xf numFmtId="0" fontId="4" fillId="12" borderId="10" xfId="0" applyFont="1" applyFill="1" applyBorder="1" applyAlignment="1">
      <alignment horizontal="center" vertical="center" wrapText="1"/>
    </xf>
    <xf numFmtId="0" fontId="4" fillId="12" borderId="14" xfId="0" applyFont="1" applyFill="1" applyBorder="1" applyAlignment="1">
      <alignment horizontal="center" vertical="center" wrapText="1"/>
    </xf>
    <xf numFmtId="0" fontId="4" fillId="12" borderId="11" xfId="0" applyFont="1" applyFill="1" applyBorder="1" applyAlignment="1">
      <alignment horizontal="center" vertical="center" wrapText="1"/>
    </xf>
    <xf numFmtId="0" fontId="28" fillId="19" borderId="1" xfId="0" applyFont="1" applyFill="1" applyBorder="1" applyAlignment="1">
      <alignment horizontal="left" vertical="center"/>
    </xf>
    <xf numFmtId="0" fontId="25" fillId="19" borderId="1" xfId="0" applyFont="1" applyFill="1" applyBorder="1" applyAlignment="1">
      <alignment horizontal="left" vertical="center"/>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10" fontId="0" fillId="7" borderId="6" xfId="1" applyNumberFormat="1" applyFont="1" applyFill="1" applyBorder="1" applyAlignment="1">
      <alignment horizontal="center" vertical="center" wrapText="1"/>
    </xf>
    <xf numFmtId="10" fontId="0" fillId="7" borderId="9" xfId="1" applyNumberFormat="1" applyFont="1" applyFill="1" applyBorder="1" applyAlignment="1">
      <alignment horizontal="center" vertical="center" wrapText="1"/>
    </xf>
    <xf numFmtId="170" fontId="0" fillId="0" borderId="1" xfId="1" applyNumberFormat="1" applyFont="1" applyBorder="1" applyAlignment="1">
      <alignment horizontal="center" vertical="center" wrapText="1"/>
    </xf>
    <xf numFmtId="170" fontId="0" fillId="0" borderId="8" xfId="1" applyNumberFormat="1" applyFont="1" applyBorder="1" applyAlignment="1">
      <alignment horizontal="center" vertical="center" wrapText="1"/>
    </xf>
    <xf numFmtId="10" fontId="0" fillId="7" borderId="6" xfId="0" applyNumberFormat="1" applyFill="1" applyBorder="1" applyAlignment="1">
      <alignment horizontal="center" vertical="center" wrapText="1"/>
    </xf>
    <xf numFmtId="0" fontId="0" fillId="7" borderId="6" xfId="0" applyFill="1" applyBorder="1" applyAlignment="1">
      <alignment horizontal="center" vertical="center" wrapText="1"/>
    </xf>
    <xf numFmtId="0" fontId="0" fillId="7" borderId="9" xfId="0" applyFill="1" applyBorder="1" applyAlignment="1">
      <alignment horizontal="center" vertical="center" wrapText="1"/>
    </xf>
    <xf numFmtId="0" fontId="9" fillId="0" borderId="1" xfId="2" applyFont="1" applyBorder="1" applyAlignment="1">
      <alignment horizontal="center" vertical="center" wrapText="1"/>
    </xf>
    <xf numFmtId="0" fontId="7" fillId="0" borderId="45" xfId="2" applyFont="1" applyBorder="1" applyAlignment="1">
      <alignment horizontal="justify" vertical="center" wrapText="1"/>
    </xf>
    <xf numFmtId="0" fontId="7" fillId="0" borderId="46" xfId="2" applyFont="1" applyBorder="1" applyAlignment="1">
      <alignment horizontal="justify" vertical="center" wrapText="1"/>
    </xf>
    <xf numFmtId="0" fontId="7" fillId="0" borderId="47" xfId="2" applyFont="1" applyBorder="1" applyAlignment="1">
      <alignment horizontal="justify" vertical="center" wrapText="1"/>
    </xf>
    <xf numFmtId="0" fontId="9" fillId="0" borderId="45" xfId="2" applyFont="1" applyBorder="1" applyAlignment="1">
      <alignment horizontal="center" vertical="center"/>
    </xf>
    <xf numFmtId="0" fontId="9" fillId="0" borderId="47" xfId="2" applyFont="1" applyBorder="1" applyAlignment="1">
      <alignment horizontal="center" vertical="center"/>
    </xf>
    <xf numFmtId="0" fontId="9" fillId="0" borderId="45" xfId="2" applyFont="1" applyBorder="1" applyAlignment="1">
      <alignment horizontal="center" vertical="center" wrapText="1"/>
    </xf>
    <xf numFmtId="0" fontId="9" fillId="0" borderId="47" xfId="2" applyFont="1" applyBorder="1" applyAlignment="1">
      <alignment horizontal="center" vertical="center" wrapText="1"/>
    </xf>
    <xf numFmtId="0" fontId="9" fillId="0" borderId="46" xfId="2" applyFont="1" applyBorder="1" applyAlignment="1">
      <alignment horizontal="center" vertical="center"/>
    </xf>
    <xf numFmtId="0" fontId="9" fillId="0" borderId="60" xfId="2" applyFont="1" applyBorder="1" applyAlignment="1">
      <alignment horizontal="center" vertical="center" wrapText="1"/>
    </xf>
    <xf numFmtId="0" fontId="9" fillId="0" borderId="66" xfId="2" applyFont="1" applyBorder="1" applyAlignment="1">
      <alignment horizontal="center" vertical="center" wrapText="1"/>
    </xf>
    <xf numFmtId="0" fontId="9" fillId="0" borderId="51" xfId="2" applyFont="1" applyBorder="1" applyAlignment="1">
      <alignment horizontal="center" vertical="center" wrapText="1"/>
    </xf>
    <xf numFmtId="0" fontId="7" fillId="0" borderId="45" xfId="2" applyFont="1" applyBorder="1" applyAlignment="1">
      <alignment horizontal="left" vertical="center" wrapText="1"/>
    </xf>
    <xf numFmtId="0" fontId="7" fillId="0" borderId="46" xfId="2" applyFont="1" applyBorder="1" applyAlignment="1">
      <alignment horizontal="left" vertical="center" wrapText="1"/>
    </xf>
    <xf numFmtId="0" fontId="7" fillId="0" borderId="47" xfId="2" applyFont="1" applyBorder="1" applyAlignment="1">
      <alignment horizontal="left"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9" fillId="0" borderId="49" xfId="2" applyFont="1" applyBorder="1" applyAlignment="1">
      <alignment horizontal="center" vertical="center"/>
    </xf>
    <xf numFmtId="0" fontId="9" fillId="0" borderId="52" xfId="2" applyFont="1" applyBorder="1" applyAlignment="1">
      <alignment horizontal="center" vertical="center"/>
    </xf>
    <xf numFmtId="0" fontId="9" fillId="0" borderId="54" xfId="2" applyFont="1" applyBorder="1" applyAlignment="1">
      <alignment horizontal="center" vertical="center"/>
    </xf>
    <xf numFmtId="0" fontId="9" fillId="0" borderId="42" xfId="2" applyFont="1" applyBorder="1" applyAlignment="1">
      <alignment horizontal="center" vertical="center"/>
    </xf>
    <xf numFmtId="0" fontId="9" fillId="0" borderId="43" xfId="2" applyFont="1" applyBorder="1" applyAlignment="1">
      <alignment horizontal="center" vertical="center"/>
    </xf>
    <xf numFmtId="0" fontId="9" fillId="0" borderId="44" xfId="2" applyFont="1" applyBorder="1" applyAlignment="1">
      <alignment horizontal="center" vertical="center"/>
    </xf>
    <xf numFmtId="0" fontId="9" fillId="0" borderId="48" xfId="2" applyFont="1" applyBorder="1" applyAlignment="1">
      <alignment horizontal="center" vertical="center" wrapText="1"/>
    </xf>
    <xf numFmtId="0" fontId="9" fillId="0" borderId="50" xfId="2" applyFont="1" applyBorder="1" applyAlignment="1">
      <alignment horizontal="center" vertical="center" wrapText="1"/>
    </xf>
    <xf numFmtId="0" fontId="9" fillId="0" borderId="53" xfId="2" applyFont="1" applyBorder="1" applyAlignment="1">
      <alignment horizontal="center" vertical="center" wrapText="1"/>
    </xf>
    <xf numFmtId="0" fontId="9" fillId="0" borderId="79" xfId="2" applyFont="1" applyBorder="1" applyAlignment="1">
      <alignment horizontal="center" vertical="center"/>
    </xf>
    <xf numFmtId="0" fontId="9" fillId="0" borderId="49" xfId="2" applyFont="1" applyBorder="1" applyAlignment="1">
      <alignment horizontal="center" vertical="center" wrapText="1"/>
    </xf>
    <xf numFmtId="0" fontId="9" fillId="0" borderId="52" xfId="2" applyFont="1" applyBorder="1" applyAlignment="1">
      <alignment horizontal="center" vertical="center" wrapText="1"/>
    </xf>
    <xf numFmtId="0" fontId="9" fillId="0" borderId="54" xfId="2" applyFont="1" applyBorder="1" applyAlignment="1">
      <alignment horizontal="center" vertical="center" wrapText="1"/>
    </xf>
    <xf numFmtId="0" fontId="9" fillId="0" borderId="45" xfId="2" applyFont="1" applyBorder="1" applyAlignment="1">
      <alignment horizontal="center"/>
    </xf>
    <xf numFmtId="0" fontId="9" fillId="0" borderId="46" xfId="2" applyFont="1" applyBorder="1" applyAlignment="1">
      <alignment horizontal="center"/>
    </xf>
    <xf numFmtId="0" fontId="9" fillId="0" borderId="47" xfId="2" applyFont="1" applyBorder="1" applyAlignment="1">
      <alignment horizontal="center"/>
    </xf>
    <xf numFmtId="0" fontId="9" fillId="0" borderId="46" xfId="2" applyFont="1" applyBorder="1" applyAlignment="1">
      <alignment horizontal="justify" vertical="center" wrapText="1"/>
    </xf>
    <xf numFmtId="0" fontId="11" fillId="0" borderId="45" xfId="2" applyFont="1" applyBorder="1" applyAlignment="1">
      <alignment horizontal="justify" vertical="center"/>
    </xf>
    <xf numFmtId="0" fontId="11" fillId="0" borderId="46" xfId="2" applyFont="1" applyBorder="1" applyAlignment="1">
      <alignment horizontal="justify" vertical="center"/>
    </xf>
    <xf numFmtId="0" fontId="11" fillId="0" borderId="47" xfId="2" applyFont="1" applyBorder="1" applyAlignment="1">
      <alignment horizontal="justify" vertical="center"/>
    </xf>
    <xf numFmtId="0" fontId="10" fillId="0" borderId="2" xfId="2" applyBorder="1" applyAlignment="1">
      <alignment horizontal="center"/>
    </xf>
    <xf numFmtId="0" fontId="10" fillId="0" borderId="3" xfId="2" applyBorder="1" applyAlignment="1">
      <alignment horizontal="center"/>
    </xf>
    <xf numFmtId="0" fontId="10" fillId="0" borderId="7" xfId="2" applyBorder="1" applyAlignment="1">
      <alignment horizontal="center"/>
    </xf>
    <xf numFmtId="0" fontId="10" fillId="0" borderId="8" xfId="2" applyBorder="1" applyAlignment="1">
      <alignment horizontal="center"/>
    </xf>
    <xf numFmtId="0" fontId="16" fillId="0" borderId="2" xfId="2" applyFont="1" applyBorder="1" applyAlignment="1">
      <alignment horizontal="left" vertical="center" wrapText="1"/>
    </xf>
    <xf numFmtId="0" fontId="16" fillId="0" borderId="3" xfId="2" applyFont="1" applyBorder="1" applyAlignment="1">
      <alignment horizontal="left" vertical="center" wrapText="1"/>
    </xf>
    <xf numFmtId="0" fontId="16" fillId="0" borderId="4" xfId="2" applyFont="1" applyBorder="1" applyAlignment="1">
      <alignment horizontal="left" vertical="center" wrapText="1"/>
    </xf>
    <xf numFmtId="0" fontId="16" fillId="0" borderId="7" xfId="2" applyFont="1" applyBorder="1" applyAlignment="1">
      <alignment horizontal="left" vertical="center" wrapText="1"/>
    </xf>
    <xf numFmtId="0" fontId="16" fillId="0" borderId="8" xfId="2" applyFont="1" applyBorder="1" applyAlignment="1">
      <alignment horizontal="left" vertical="center" wrapText="1"/>
    </xf>
    <xf numFmtId="0" fontId="16" fillId="0" borderId="9" xfId="2" applyFont="1" applyBorder="1" applyAlignment="1">
      <alignment horizontal="left" vertical="center" wrapText="1"/>
    </xf>
    <xf numFmtId="0" fontId="9" fillId="0" borderId="17" xfId="2" applyFont="1" applyBorder="1" applyAlignment="1">
      <alignment horizontal="center" vertical="center" wrapText="1"/>
    </xf>
    <xf numFmtId="0" fontId="9" fillId="0" borderId="68" xfId="2" applyFont="1" applyBorder="1" applyAlignment="1">
      <alignment horizontal="center" vertical="center" wrapText="1"/>
    </xf>
    <xf numFmtId="0" fontId="9" fillId="0" borderId="69" xfId="2" applyFont="1" applyBorder="1" applyAlignment="1">
      <alignment horizontal="center" vertical="center" wrapText="1"/>
    </xf>
    <xf numFmtId="0" fontId="9" fillId="0" borderId="18" xfId="2" applyFont="1" applyBorder="1" applyAlignment="1">
      <alignment horizontal="center" vertical="center" wrapText="1"/>
    </xf>
    <xf numFmtId="0" fontId="16" fillId="0" borderId="16" xfId="2" applyFont="1" applyBorder="1" applyAlignment="1">
      <alignment horizontal="left" vertical="center" wrapText="1"/>
    </xf>
    <xf numFmtId="0" fontId="16" fillId="0" borderId="17" xfId="2" applyFont="1" applyBorder="1" applyAlignment="1">
      <alignment horizontal="left" vertical="center"/>
    </xf>
    <xf numFmtId="0" fontId="16" fillId="0" borderId="18" xfId="2" applyFont="1" applyBorder="1" applyAlignment="1">
      <alignment horizontal="left" vertical="center"/>
    </xf>
    <xf numFmtId="0" fontId="16" fillId="0" borderId="19" xfId="2" applyFont="1" applyBorder="1" applyAlignment="1">
      <alignment horizontal="left" vertical="center"/>
    </xf>
    <xf numFmtId="0" fontId="16" fillId="0" borderId="0" xfId="2" applyFont="1" applyAlignment="1">
      <alignment horizontal="left" vertical="center"/>
    </xf>
    <xf numFmtId="0" fontId="16" fillId="0" borderId="20" xfId="2" applyFont="1" applyBorder="1" applyAlignment="1">
      <alignment horizontal="left" vertical="center"/>
    </xf>
    <xf numFmtId="0" fontId="16" fillId="0" borderId="21" xfId="2" applyFont="1" applyBorder="1" applyAlignment="1">
      <alignment horizontal="left" vertical="center"/>
    </xf>
    <xf numFmtId="0" fontId="16" fillId="0" borderId="22" xfId="2" applyFont="1" applyBorder="1" applyAlignment="1">
      <alignment horizontal="left" vertical="center"/>
    </xf>
    <xf numFmtId="0" fontId="16" fillId="0" borderId="23" xfId="2" applyFont="1" applyBorder="1" applyAlignment="1">
      <alignment horizontal="left" vertical="center"/>
    </xf>
    <xf numFmtId="0" fontId="10" fillId="0" borderId="16" xfId="2" applyBorder="1" applyAlignment="1">
      <alignment horizontal="center" vertical="center"/>
    </xf>
    <xf numFmtId="0" fontId="10" fillId="0" borderId="17" xfId="2" applyBorder="1" applyAlignment="1">
      <alignment horizontal="center" vertical="center"/>
    </xf>
    <xf numFmtId="0" fontId="10" fillId="0" borderId="21" xfId="2" applyBorder="1" applyAlignment="1">
      <alignment horizontal="center" vertical="center"/>
    </xf>
    <xf numFmtId="0" fontId="10" fillId="0" borderId="22" xfId="2" applyBorder="1" applyAlignment="1">
      <alignment horizontal="center" vertical="center"/>
    </xf>
    <xf numFmtId="0" fontId="10" fillId="0" borderId="2" xfId="2" applyBorder="1" applyAlignment="1">
      <alignment horizontal="center" vertical="center" wrapText="1"/>
    </xf>
    <xf numFmtId="0" fontId="10" fillId="0" borderId="4" xfId="2" applyBorder="1" applyAlignment="1">
      <alignment horizontal="center" vertical="center" wrapText="1"/>
    </xf>
    <xf numFmtId="0" fontId="10" fillId="0" borderId="5" xfId="2" applyBorder="1" applyAlignment="1">
      <alignment horizontal="center" vertical="center" wrapText="1"/>
    </xf>
    <xf numFmtId="0" fontId="10" fillId="0" borderId="6" xfId="2" applyBorder="1" applyAlignment="1">
      <alignment horizontal="center" vertical="center" wrapText="1"/>
    </xf>
    <xf numFmtId="0" fontId="10" fillId="0" borderId="7" xfId="2" applyBorder="1" applyAlignment="1">
      <alignment horizontal="center" vertical="center" wrapText="1"/>
    </xf>
    <xf numFmtId="0" fontId="10" fillId="0" borderId="9" xfId="2" applyBorder="1" applyAlignment="1">
      <alignment horizontal="center" vertical="center" wrapText="1"/>
    </xf>
    <xf numFmtId="0" fontId="10" fillId="0" borderId="42" xfId="2" applyBorder="1" applyAlignment="1">
      <alignment horizontal="center" vertical="center"/>
    </xf>
    <xf numFmtId="0" fontId="10" fillId="0" borderId="44" xfId="2" applyBorder="1" applyAlignment="1">
      <alignment horizontal="center" vertical="center"/>
    </xf>
    <xf numFmtId="0" fontId="10" fillId="0" borderId="70" xfId="2" applyBorder="1" applyAlignment="1">
      <alignment horizontal="center" vertical="center"/>
    </xf>
    <xf numFmtId="0" fontId="10" fillId="0" borderId="13" xfId="2" applyBorder="1" applyAlignment="1">
      <alignment horizontal="center" vertical="center"/>
    </xf>
    <xf numFmtId="2" fontId="10" fillId="0" borderId="12" xfId="2" applyNumberFormat="1" applyBorder="1" applyAlignment="1" applyProtection="1">
      <alignment horizontal="center" vertical="center"/>
      <protection locked="0"/>
    </xf>
    <xf numFmtId="2" fontId="10" fillId="0" borderId="13" xfId="2" applyNumberFormat="1" applyBorder="1" applyAlignment="1" applyProtection="1">
      <alignment horizontal="center" vertical="center"/>
      <protection locked="0"/>
    </xf>
    <xf numFmtId="0" fontId="5" fillId="0" borderId="72"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73" xfId="0" applyFont="1" applyBorder="1" applyAlignment="1">
      <alignment horizontal="center" vertical="center" wrapText="1"/>
    </xf>
    <xf numFmtId="0" fontId="5" fillId="0" borderId="75" xfId="0" applyFont="1" applyBorder="1" applyAlignment="1">
      <alignment horizontal="center" vertical="center" wrapText="1"/>
    </xf>
    <xf numFmtId="0" fontId="5" fillId="0" borderId="71" xfId="0" applyFont="1" applyBorder="1" applyAlignment="1">
      <alignment horizontal="center" vertical="center" wrapText="1"/>
    </xf>
    <xf numFmtId="0" fontId="5" fillId="0" borderId="74" xfId="0" applyFont="1" applyBorder="1" applyAlignment="1">
      <alignment horizontal="center" vertical="center" wrapText="1"/>
    </xf>
    <xf numFmtId="0" fontId="5" fillId="0" borderId="76"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62" xfId="0" applyFont="1" applyBorder="1" applyAlignment="1">
      <alignment horizontal="center" vertical="center" wrapText="1"/>
    </xf>
    <xf numFmtId="0" fontId="9" fillId="14" borderId="45" xfId="2" applyFont="1" applyFill="1" applyBorder="1" applyAlignment="1">
      <alignment horizontal="center"/>
    </xf>
    <xf numFmtId="0" fontId="9" fillId="14" borderId="46" xfId="2" applyFont="1" applyFill="1" applyBorder="1" applyAlignment="1">
      <alignment horizontal="center"/>
    </xf>
    <xf numFmtId="0" fontId="9" fillId="14" borderId="47" xfId="2" applyFont="1" applyFill="1" applyBorder="1" applyAlignment="1">
      <alignment horizontal="center"/>
    </xf>
    <xf numFmtId="0" fontId="9" fillId="14" borderId="46" xfId="2" applyFont="1" applyFill="1" applyBorder="1" applyAlignment="1">
      <alignment horizontal="justify" vertical="center" wrapText="1"/>
    </xf>
    <xf numFmtId="0" fontId="11" fillId="14" borderId="45" xfId="2" applyFont="1" applyFill="1" applyBorder="1" applyAlignment="1">
      <alignment horizontal="justify" vertical="center" wrapText="1"/>
    </xf>
    <xf numFmtId="0" fontId="11" fillId="14" borderId="46" xfId="2" applyFont="1" applyFill="1" applyBorder="1" applyAlignment="1">
      <alignment horizontal="justify" vertical="center" wrapText="1"/>
    </xf>
    <xf numFmtId="0" fontId="11" fillId="14" borderId="47" xfId="2" applyFont="1" applyFill="1" applyBorder="1" applyAlignment="1">
      <alignment horizontal="justify" vertical="center" wrapText="1"/>
    </xf>
    <xf numFmtId="0" fontId="9" fillId="15" borderId="48" xfId="2" applyFont="1" applyFill="1" applyBorder="1" applyAlignment="1">
      <alignment horizontal="center" vertical="center" wrapText="1"/>
    </xf>
    <xf numFmtId="0" fontId="9" fillId="15" borderId="50" xfId="2" applyFont="1" applyFill="1" applyBorder="1" applyAlignment="1">
      <alignment horizontal="center" vertical="center" wrapText="1"/>
    </xf>
    <xf numFmtId="0" fontId="9" fillId="15" borderId="53" xfId="2" applyFont="1" applyFill="1" applyBorder="1" applyAlignment="1">
      <alignment horizontal="center" vertical="center" wrapText="1"/>
    </xf>
    <xf numFmtId="0" fontId="9" fillId="15" borderId="42" xfId="2" applyFont="1" applyFill="1" applyBorder="1" applyAlignment="1">
      <alignment horizontal="center" vertical="center"/>
    </xf>
    <xf numFmtId="0" fontId="9" fillId="15" borderId="43" xfId="2" applyFont="1" applyFill="1" applyBorder="1" applyAlignment="1">
      <alignment horizontal="center" vertical="center"/>
    </xf>
    <xf numFmtId="0" fontId="9" fillId="15" borderId="44" xfId="2" applyFont="1" applyFill="1" applyBorder="1" applyAlignment="1">
      <alignment horizontal="center" vertical="center"/>
    </xf>
    <xf numFmtId="0" fontId="9" fillId="15" borderId="49" xfId="2" applyFont="1" applyFill="1" applyBorder="1" applyAlignment="1">
      <alignment horizontal="center" vertical="center"/>
    </xf>
    <xf numFmtId="0" fontId="9" fillId="15" borderId="52" xfId="2" applyFont="1" applyFill="1" applyBorder="1" applyAlignment="1">
      <alignment horizontal="center" vertical="center"/>
    </xf>
    <xf numFmtId="0" fontId="9" fillId="15" borderId="54" xfId="2" applyFont="1" applyFill="1" applyBorder="1" applyAlignment="1">
      <alignment horizontal="center" vertical="center"/>
    </xf>
    <xf numFmtId="0" fontId="2" fillId="4" borderId="10" xfId="0" applyFont="1" applyFill="1" applyBorder="1" applyAlignment="1">
      <alignment horizontal="center" wrapText="1"/>
    </xf>
    <xf numFmtId="0" fontId="2" fillId="4" borderId="14" xfId="0" applyFont="1" applyFill="1" applyBorder="1" applyAlignment="1">
      <alignment horizontal="center" wrapText="1"/>
    </xf>
    <xf numFmtId="0" fontId="2" fillId="4" borderId="11" xfId="0" applyFont="1" applyFill="1" applyBorder="1" applyAlignment="1">
      <alignment horizontal="center" wrapText="1"/>
    </xf>
    <xf numFmtId="0" fontId="0" fillId="5" borderId="1" xfId="0" applyFill="1" applyBorder="1" applyAlignment="1">
      <alignment horizontal="center" vertical="center"/>
    </xf>
    <xf numFmtId="0" fontId="0" fillId="5" borderId="12" xfId="0" applyFill="1" applyBorder="1" applyAlignment="1">
      <alignment horizontal="center" vertical="center"/>
    </xf>
    <xf numFmtId="0" fontId="0" fillId="5" borderId="15" xfId="0" applyFill="1" applyBorder="1" applyAlignment="1">
      <alignment horizontal="center" vertical="center"/>
    </xf>
    <xf numFmtId="0" fontId="0" fillId="5" borderId="13" xfId="0" applyFill="1" applyBorder="1" applyAlignment="1">
      <alignment horizontal="center" vertical="center"/>
    </xf>
    <xf numFmtId="0" fontId="0" fillId="5" borderId="12" xfId="0" applyFill="1" applyBorder="1" applyAlignment="1">
      <alignment horizontal="center"/>
    </xf>
    <xf numFmtId="0" fontId="0" fillId="5" borderId="15" xfId="0" applyFill="1" applyBorder="1" applyAlignment="1">
      <alignment horizontal="center"/>
    </xf>
    <xf numFmtId="0" fontId="0" fillId="5" borderId="13" xfId="0" applyFill="1" applyBorder="1" applyAlignment="1">
      <alignment horizontal="center"/>
    </xf>
    <xf numFmtId="10" fontId="2" fillId="5" borderId="12" xfId="1" applyNumberFormat="1" applyFont="1" applyFill="1" applyBorder="1" applyAlignment="1">
      <alignment horizontal="center" vertical="center"/>
    </xf>
    <xf numFmtId="10" fontId="2" fillId="5" borderId="15" xfId="1" applyNumberFormat="1" applyFont="1" applyFill="1" applyBorder="1" applyAlignment="1">
      <alignment horizontal="center" vertical="center"/>
    </xf>
    <xf numFmtId="10" fontId="2" fillId="5" borderId="13" xfId="1" applyNumberFormat="1" applyFont="1" applyFill="1" applyBorder="1" applyAlignment="1">
      <alignment horizontal="center" vertical="center"/>
    </xf>
    <xf numFmtId="0" fontId="0" fillId="0" borderId="1" xfId="0" applyBorder="1" applyAlignment="1">
      <alignment horizontal="center"/>
    </xf>
    <xf numFmtId="0" fontId="0" fillId="0" borderId="29" xfId="0" applyBorder="1" applyAlignment="1">
      <alignment horizontal="center" wrapText="1"/>
    </xf>
    <xf numFmtId="0" fontId="0" fillId="0" borderId="28" xfId="0" applyBorder="1" applyAlignment="1">
      <alignment horizontal="center" wrapText="1"/>
    </xf>
    <xf numFmtId="0" fontId="0" fillId="0" borderId="27" xfId="0" applyBorder="1" applyAlignment="1">
      <alignment horizontal="center" wrapText="1"/>
    </xf>
    <xf numFmtId="0" fontId="0" fillId="0" borderId="26" xfId="0" applyBorder="1" applyAlignment="1">
      <alignment horizontal="center" wrapText="1"/>
    </xf>
    <xf numFmtId="0" fontId="0" fillId="0" borderId="25" xfId="0" applyBorder="1" applyAlignment="1">
      <alignment horizontal="center" wrapText="1"/>
    </xf>
    <xf numFmtId="0" fontId="0" fillId="0" borderId="24" xfId="0" applyBorder="1" applyAlignment="1">
      <alignment horizontal="center" wrapText="1"/>
    </xf>
    <xf numFmtId="0" fontId="0" fillId="0" borderId="10" xfId="0" applyBorder="1" applyAlignment="1">
      <alignment horizontal="center"/>
    </xf>
    <xf numFmtId="0" fontId="0" fillId="0" borderId="14" xfId="0" applyBorder="1" applyAlignment="1">
      <alignment horizontal="center"/>
    </xf>
    <xf numFmtId="0" fontId="0" fillId="0" borderId="11" xfId="0" applyBorder="1" applyAlignment="1">
      <alignment horizontal="center"/>
    </xf>
    <xf numFmtId="0" fontId="2" fillId="4" borderId="10" xfId="0" applyFont="1" applyFill="1" applyBorder="1" applyAlignment="1">
      <alignment horizontal="center"/>
    </xf>
    <xf numFmtId="0" fontId="2" fillId="4" borderId="14" xfId="0" applyFont="1" applyFill="1" applyBorder="1" applyAlignment="1">
      <alignment horizontal="center"/>
    </xf>
    <xf numFmtId="0" fontId="2" fillId="4" borderId="11" xfId="0" applyFont="1" applyFill="1" applyBorder="1" applyAlignment="1">
      <alignment horizontal="center"/>
    </xf>
    <xf numFmtId="0" fontId="2" fillId="4" borderId="1" xfId="0" applyFont="1" applyFill="1" applyBorder="1" applyAlignment="1">
      <alignment horizontal="center"/>
    </xf>
    <xf numFmtId="0" fontId="0" fillId="2" borderId="10" xfId="0" applyFill="1" applyBorder="1" applyAlignment="1">
      <alignment horizontal="left"/>
    </xf>
    <xf numFmtId="0" fontId="0" fillId="2" borderId="11" xfId="0" applyFill="1" applyBorder="1" applyAlignment="1">
      <alignment horizontal="left"/>
    </xf>
    <xf numFmtId="0" fontId="0" fillId="3" borderId="0" xfId="0" applyFill="1" applyAlignment="1">
      <alignment horizontal="center"/>
    </xf>
    <xf numFmtId="49" fontId="0" fillId="2" borderId="16" xfId="0" applyNumberFormat="1" applyFill="1" applyBorder="1" applyAlignment="1">
      <alignment horizontal="left" wrapText="1"/>
    </xf>
    <xf numFmtId="49" fontId="0" fillId="2" borderId="17" xfId="0" applyNumberFormat="1" applyFill="1" applyBorder="1" applyAlignment="1">
      <alignment horizontal="left" wrapText="1"/>
    </xf>
    <xf numFmtId="49" fontId="0" fillId="2" borderId="18" xfId="0" applyNumberFormat="1" applyFill="1" applyBorder="1" applyAlignment="1">
      <alignment horizontal="left" wrapText="1"/>
    </xf>
    <xf numFmtId="49" fontId="0" fillId="2" borderId="19" xfId="0" applyNumberFormat="1" applyFill="1" applyBorder="1" applyAlignment="1">
      <alignment horizontal="left" wrapText="1"/>
    </xf>
    <xf numFmtId="49" fontId="0" fillId="2" borderId="0" xfId="0" applyNumberFormat="1" applyFill="1" applyAlignment="1">
      <alignment horizontal="left" wrapText="1"/>
    </xf>
    <xf numFmtId="49" fontId="0" fillId="2" borderId="20" xfId="0" applyNumberFormat="1" applyFill="1" applyBorder="1" applyAlignment="1">
      <alignment horizontal="left" wrapText="1"/>
    </xf>
    <xf numFmtId="49" fontId="0" fillId="2" borderId="21" xfId="0" applyNumberFormat="1" applyFill="1" applyBorder="1" applyAlignment="1">
      <alignment horizontal="left" wrapText="1"/>
    </xf>
    <xf numFmtId="49" fontId="0" fillId="2" borderId="22" xfId="0" applyNumberFormat="1" applyFill="1" applyBorder="1" applyAlignment="1">
      <alignment horizontal="left" wrapText="1"/>
    </xf>
    <xf numFmtId="49" fontId="0" fillId="2" borderId="23" xfId="0" applyNumberFormat="1" applyFill="1" applyBorder="1" applyAlignment="1">
      <alignment horizontal="left" wrapText="1"/>
    </xf>
    <xf numFmtId="0" fontId="2" fillId="0" borderId="11" xfId="0" applyFont="1" applyBorder="1" applyAlignment="1">
      <alignment horizontal="center"/>
    </xf>
    <xf numFmtId="2" fontId="0" fillId="0" borderId="10" xfId="0" applyNumberFormat="1" applyBorder="1" applyAlignment="1">
      <alignment horizontal="center"/>
    </xf>
    <xf numFmtId="0" fontId="2" fillId="0" borderId="24" xfId="0" applyFont="1" applyBorder="1" applyAlignment="1">
      <alignment horizontal="center"/>
    </xf>
    <xf numFmtId="0" fontId="0" fillId="0" borderId="26" xfId="0" applyBorder="1" applyAlignment="1">
      <alignment horizontal="center"/>
    </xf>
    <xf numFmtId="0" fontId="2" fillId="0" borderId="27" xfId="0" applyFont="1" applyBorder="1" applyAlignment="1">
      <alignment horizontal="center"/>
    </xf>
    <xf numFmtId="2" fontId="0" fillId="0" borderId="29" xfId="0" applyNumberFormat="1" applyBorder="1" applyAlignment="1">
      <alignment horizontal="center"/>
    </xf>
  </cellXfs>
  <cellStyles count="5">
    <cellStyle name="Hipervínculo" xfId="4" builtinId="8"/>
    <cellStyle name="Moneda" xfId="3" builtinId="4"/>
    <cellStyle name="Normal" xfId="0" builtinId="0"/>
    <cellStyle name="Normal 2" xfId="2" xr:uid="{00000000-0005-0000-0000-000002000000}"/>
    <cellStyle name="Porcentaje" xfId="1" builtinId="5"/>
  </cellStyles>
  <dxfs count="322">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color rgb="FFFFC000"/>
      </font>
      <fill>
        <patternFill>
          <bgColor rgb="FFFF0000"/>
        </patternFill>
      </fill>
    </dxf>
    <dxf>
      <font>
        <b/>
        <i val="0"/>
        <color rgb="FFFFC000"/>
      </font>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numFmt numFmtId="14" formatCode="0.00%"/>
      <fill>
        <patternFill patternType="solid">
          <fgColor indexed="64"/>
          <bgColor theme="3" tint="0.79998168889431442"/>
        </patternFill>
      </fill>
      <alignment horizontal="center" vertical="center" textRotation="0" wrapText="1"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theme="1"/>
        <name val="Calibri"/>
        <family val="2"/>
        <scheme val="minor"/>
      </font>
      <numFmt numFmtId="14" formatCode="0.00%"/>
      <fill>
        <patternFill patternType="solid">
          <fgColor indexed="64"/>
          <bgColor theme="0" tint="-4.9989318521683403E-2"/>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fill>
        <patternFill patternType="solid">
          <fgColor indexed="64"/>
          <bgColor theme="0" tint="-4.9989318521683403E-2"/>
        </patternFill>
      </fill>
      <alignment horizontal="general" vertical="center"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jpe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3448050</xdr:colOff>
      <xdr:row>3</xdr:row>
      <xdr:rowOff>167640</xdr:rowOff>
    </xdr:to>
    <xdr:pic>
      <xdr:nvPicPr>
        <xdr:cNvPr id="3" name="Imagen 2">
          <a:extLst>
            <a:ext uri="{FF2B5EF4-FFF2-40B4-BE49-F238E27FC236}">
              <a16:creationId xmlns:a16="http://schemas.microsoft.com/office/drawing/2014/main" id="{D248A843-8C1E-CC2B-5469-719EA0AC1B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653790" cy="7143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476251</xdr:colOff>
      <xdr:row>153</xdr:row>
      <xdr:rowOff>125644</xdr:rowOff>
    </xdr:from>
    <xdr:to>
      <xdr:col>17</xdr:col>
      <xdr:colOff>668655</xdr:colOff>
      <xdr:row>168</xdr:row>
      <xdr:rowOff>93606</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l="10543" t="30212" r="54972" b="16395"/>
        <a:stretch/>
      </xdr:blipFill>
      <xdr:spPr>
        <a:xfrm>
          <a:off x="18535651" y="30653269"/>
          <a:ext cx="3248024" cy="2827367"/>
        </a:xfrm>
        <a:prstGeom prst="rect">
          <a:avLst/>
        </a:prstGeom>
      </xdr:spPr>
    </xdr:pic>
    <xdr:clientData/>
  </xdr:twoCellAnchor>
  <xdr:twoCellAnchor editAs="oneCell">
    <xdr:from>
      <xdr:col>7</xdr:col>
      <xdr:colOff>931333</xdr:colOff>
      <xdr:row>155</xdr:row>
      <xdr:rowOff>95247</xdr:rowOff>
    </xdr:from>
    <xdr:to>
      <xdr:col>18</xdr:col>
      <xdr:colOff>113202</xdr:colOff>
      <xdr:row>178</xdr:row>
      <xdr:rowOff>151842</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3199533" y="31003872"/>
          <a:ext cx="8783069" cy="4438095"/>
        </a:xfrm>
        <a:prstGeom prst="rect">
          <a:avLst/>
        </a:prstGeom>
      </xdr:spPr>
    </xdr:pic>
    <xdr:clientData/>
  </xdr:twoCellAnchor>
  <xdr:twoCellAnchor editAs="oneCell">
    <xdr:from>
      <xdr:col>6</xdr:col>
      <xdr:colOff>2254251</xdr:colOff>
      <xdr:row>175</xdr:row>
      <xdr:rowOff>63502</xdr:rowOff>
    </xdr:from>
    <xdr:to>
      <xdr:col>14</xdr:col>
      <xdr:colOff>399811</xdr:colOff>
      <xdr:row>196</xdr:row>
      <xdr:rowOff>1207</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2217401" y="34782127"/>
          <a:ext cx="7000000" cy="3904762"/>
        </a:xfrm>
        <a:prstGeom prst="rect">
          <a:avLst/>
        </a:prstGeom>
      </xdr:spPr>
    </xdr:pic>
    <xdr:clientData/>
  </xdr:twoCellAnchor>
  <xdr:twoCellAnchor editAs="oneCell">
    <xdr:from>
      <xdr:col>7</xdr:col>
      <xdr:colOff>677333</xdr:colOff>
      <xdr:row>172</xdr:row>
      <xdr:rowOff>42334</xdr:rowOff>
    </xdr:from>
    <xdr:to>
      <xdr:col>15</xdr:col>
      <xdr:colOff>474727</xdr:colOff>
      <xdr:row>192</xdr:row>
      <xdr:rowOff>57095</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2945533" y="34189459"/>
          <a:ext cx="7106879" cy="38285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476251</xdr:colOff>
      <xdr:row>153</xdr:row>
      <xdr:rowOff>125644</xdr:rowOff>
    </xdr:from>
    <xdr:to>
      <xdr:col>17</xdr:col>
      <xdr:colOff>676275</xdr:colOff>
      <xdr:row>168</xdr:row>
      <xdr:rowOff>95511</xdr:rowOff>
    </xdr:to>
    <xdr:pic>
      <xdr:nvPicPr>
        <xdr:cNvPr id="2" name="Imagen 1">
          <a:extLst>
            <a:ext uri="{FF2B5EF4-FFF2-40B4-BE49-F238E27FC236}">
              <a16:creationId xmlns:a16="http://schemas.microsoft.com/office/drawing/2014/main" id="{4CCF189B-F304-4889-A71D-148EBD444331}"/>
            </a:ext>
          </a:extLst>
        </xdr:cNvPr>
        <xdr:cNvPicPr>
          <a:picLocks noChangeAspect="1"/>
        </xdr:cNvPicPr>
      </xdr:nvPicPr>
      <xdr:blipFill rotWithShape="1">
        <a:blip xmlns:r="http://schemas.openxmlformats.org/officeDocument/2006/relationships" r:embed="rId1"/>
        <a:srcRect l="10543" t="30212" r="54972" b="16395"/>
        <a:stretch/>
      </xdr:blipFill>
      <xdr:spPr>
        <a:xfrm>
          <a:off x="18535651" y="17118244"/>
          <a:ext cx="3248024" cy="2827367"/>
        </a:xfrm>
        <a:prstGeom prst="rect">
          <a:avLst/>
        </a:prstGeom>
      </xdr:spPr>
    </xdr:pic>
    <xdr:clientData/>
  </xdr:twoCellAnchor>
  <xdr:twoCellAnchor editAs="oneCell">
    <xdr:from>
      <xdr:col>7</xdr:col>
      <xdr:colOff>931333</xdr:colOff>
      <xdr:row>155</xdr:row>
      <xdr:rowOff>95247</xdr:rowOff>
    </xdr:from>
    <xdr:to>
      <xdr:col>18</xdr:col>
      <xdr:colOff>113202</xdr:colOff>
      <xdr:row>178</xdr:row>
      <xdr:rowOff>151842</xdr:rowOff>
    </xdr:to>
    <xdr:pic>
      <xdr:nvPicPr>
        <xdr:cNvPr id="3" name="Imagen 2">
          <a:extLst>
            <a:ext uri="{FF2B5EF4-FFF2-40B4-BE49-F238E27FC236}">
              <a16:creationId xmlns:a16="http://schemas.microsoft.com/office/drawing/2014/main" id="{061492C7-359A-49DF-8B67-F56AFFFFBEAE}"/>
            </a:ext>
          </a:extLst>
        </xdr:cNvPr>
        <xdr:cNvPicPr>
          <a:picLocks noChangeAspect="1"/>
        </xdr:cNvPicPr>
      </xdr:nvPicPr>
      <xdr:blipFill>
        <a:blip xmlns:r="http://schemas.openxmlformats.org/officeDocument/2006/relationships" r:embed="rId2"/>
        <a:stretch>
          <a:fillRect/>
        </a:stretch>
      </xdr:blipFill>
      <xdr:spPr>
        <a:xfrm>
          <a:off x="13199533" y="17468847"/>
          <a:ext cx="8783069" cy="4438095"/>
        </a:xfrm>
        <a:prstGeom prst="rect">
          <a:avLst/>
        </a:prstGeom>
      </xdr:spPr>
    </xdr:pic>
    <xdr:clientData/>
  </xdr:twoCellAnchor>
  <xdr:twoCellAnchor editAs="oneCell">
    <xdr:from>
      <xdr:col>6</xdr:col>
      <xdr:colOff>2254251</xdr:colOff>
      <xdr:row>175</xdr:row>
      <xdr:rowOff>63502</xdr:rowOff>
    </xdr:from>
    <xdr:to>
      <xdr:col>14</xdr:col>
      <xdr:colOff>396001</xdr:colOff>
      <xdr:row>195</xdr:row>
      <xdr:rowOff>158264</xdr:rowOff>
    </xdr:to>
    <xdr:pic>
      <xdr:nvPicPr>
        <xdr:cNvPr id="4" name="Imagen 3">
          <a:extLst>
            <a:ext uri="{FF2B5EF4-FFF2-40B4-BE49-F238E27FC236}">
              <a16:creationId xmlns:a16="http://schemas.microsoft.com/office/drawing/2014/main" id="{D75620DB-2BC1-4DDE-BC40-ADF3B232BDFD}"/>
            </a:ext>
          </a:extLst>
        </xdr:cNvPr>
        <xdr:cNvPicPr>
          <a:picLocks noChangeAspect="1"/>
        </xdr:cNvPicPr>
      </xdr:nvPicPr>
      <xdr:blipFill>
        <a:blip xmlns:r="http://schemas.openxmlformats.org/officeDocument/2006/relationships" r:embed="rId3"/>
        <a:stretch>
          <a:fillRect/>
        </a:stretch>
      </xdr:blipFill>
      <xdr:spPr>
        <a:xfrm>
          <a:off x="12217401" y="21247102"/>
          <a:ext cx="7000000" cy="3904762"/>
        </a:xfrm>
        <a:prstGeom prst="rect">
          <a:avLst/>
        </a:prstGeom>
      </xdr:spPr>
    </xdr:pic>
    <xdr:clientData/>
  </xdr:twoCellAnchor>
  <xdr:twoCellAnchor editAs="oneCell">
    <xdr:from>
      <xdr:col>7</xdr:col>
      <xdr:colOff>677333</xdr:colOff>
      <xdr:row>172</xdr:row>
      <xdr:rowOff>42334</xdr:rowOff>
    </xdr:from>
    <xdr:to>
      <xdr:col>15</xdr:col>
      <xdr:colOff>469012</xdr:colOff>
      <xdr:row>192</xdr:row>
      <xdr:rowOff>60905</xdr:rowOff>
    </xdr:to>
    <xdr:pic>
      <xdr:nvPicPr>
        <xdr:cNvPr id="5" name="Imagen 4">
          <a:extLst>
            <a:ext uri="{FF2B5EF4-FFF2-40B4-BE49-F238E27FC236}">
              <a16:creationId xmlns:a16="http://schemas.microsoft.com/office/drawing/2014/main" id="{70C109F6-ACA3-4952-8AC5-2E37B323B0F0}"/>
            </a:ext>
          </a:extLst>
        </xdr:cNvPr>
        <xdr:cNvPicPr>
          <a:picLocks noChangeAspect="1"/>
        </xdr:cNvPicPr>
      </xdr:nvPicPr>
      <xdr:blipFill>
        <a:blip xmlns:r="http://schemas.openxmlformats.org/officeDocument/2006/relationships" r:embed="rId4"/>
        <a:stretch>
          <a:fillRect/>
        </a:stretch>
      </xdr:blipFill>
      <xdr:spPr>
        <a:xfrm>
          <a:off x="12945533" y="20654434"/>
          <a:ext cx="7106879" cy="38285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476251</xdr:colOff>
      <xdr:row>152</xdr:row>
      <xdr:rowOff>0</xdr:rowOff>
    </xdr:from>
    <xdr:to>
      <xdr:col>17</xdr:col>
      <xdr:colOff>664845</xdr:colOff>
      <xdr:row>166</xdr:row>
      <xdr:rowOff>171797</xdr:rowOff>
    </xdr:to>
    <xdr:pic>
      <xdr:nvPicPr>
        <xdr:cNvPr id="2" name="Imagen 1">
          <a:extLst>
            <a:ext uri="{FF2B5EF4-FFF2-40B4-BE49-F238E27FC236}">
              <a16:creationId xmlns:a16="http://schemas.microsoft.com/office/drawing/2014/main" id="{02685066-B0F8-4DC9-92D6-BF33B2E1DAAE}"/>
            </a:ext>
          </a:extLst>
        </xdr:cNvPr>
        <xdr:cNvPicPr>
          <a:picLocks noChangeAspect="1"/>
        </xdr:cNvPicPr>
      </xdr:nvPicPr>
      <xdr:blipFill rotWithShape="1">
        <a:blip xmlns:r="http://schemas.openxmlformats.org/officeDocument/2006/relationships" r:embed="rId1"/>
        <a:srcRect l="10543" t="30212" r="54972" b="16395"/>
        <a:stretch/>
      </xdr:blipFill>
      <xdr:spPr>
        <a:xfrm>
          <a:off x="18535651" y="30527625"/>
          <a:ext cx="3248024" cy="2827367"/>
        </a:xfrm>
        <a:prstGeom prst="rect">
          <a:avLst/>
        </a:prstGeom>
      </xdr:spPr>
    </xdr:pic>
    <xdr:clientData/>
  </xdr:twoCellAnchor>
  <xdr:twoCellAnchor editAs="oneCell">
    <xdr:from>
      <xdr:col>7</xdr:col>
      <xdr:colOff>931333</xdr:colOff>
      <xdr:row>153</xdr:row>
      <xdr:rowOff>95247</xdr:rowOff>
    </xdr:from>
    <xdr:to>
      <xdr:col>18</xdr:col>
      <xdr:colOff>113202</xdr:colOff>
      <xdr:row>176</xdr:row>
      <xdr:rowOff>151842</xdr:rowOff>
    </xdr:to>
    <xdr:pic>
      <xdr:nvPicPr>
        <xdr:cNvPr id="3" name="Imagen 2">
          <a:extLst>
            <a:ext uri="{FF2B5EF4-FFF2-40B4-BE49-F238E27FC236}">
              <a16:creationId xmlns:a16="http://schemas.microsoft.com/office/drawing/2014/main" id="{5B163979-0F98-4FB7-AC5E-61AFE54792BC}"/>
            </a:ext>
          </a:extLst>
        </xdr:cNvPr>
        <xdr:cNvPicPr>
          <a:picLocks noChangeAspect="1"/>
        </xdr:cNvPicPr>
      </xdr:nvPicPr>
      <xdr:blipFill>
        <a:blip xmlns:r="http://schemas.openxmlformats.org/officeDocument/2006/relationships" r:embed="rId2"/>
        <a:stretch>
          <a:fillRect/>
        </a:stretch>
      </xdr:blipFill>
      <xdr:spPr>
        <a:xfrm>
          <a:off x="13199533" y="30813372"/>
          <a:ext cx="8783069" cy="4438095"/>
        </a:xfrm>
        <a:prstGeom prst="rect">
          <a:avLst/>
        </a:prstGeom>
      </xdr:spPr>
    </xdr:pic>
    <xdr:clientData/>
  </xdr:twoCellAnchor>
  <xdr:twoCellAnchor editAs="oneCell">
    <xdr:from>
      <xdr:col>6</xdr:col>
      <xdr:colOff>2254251</xdr:colOff>
      <xdr:row>173</xdr:row>
      <xdr:rowOff>63502</xdr:rowOff>
    </xdr:from>
    <xdr:to>
      <xdr:col>14</xdr:col>
      <xdr:colOff>403621</xdr:colOff>
      <xdr:row>193</xdr:row>
      <xdr:rowOff>167789</xdr:rowOff>
    </xdr:to>
    <xdr:pic>
      <xdr:nvPicPr>
        <xdr:cNvPr id="4" name="Imagen 3">
          <a:extLst>
            <a:ext uri="{FF2B5EF4-FFF2-40B4-BE49-F238E27FC236}">
              <a16:creationId xmlns:a16="http://schemas.microsoft.com/office/drawing/2014/main" id="{4E61494E-AB9D-448B-AD88-742C6E9A7431}"/>
            </a:ext>
          </a:extLst>
        </xdr:cNvPr>
        <xdr:cNvPicPr>
          <a:picLocks noChangeAspect="1"/>
        </xdr:cNvPicPr>
      </xdr:nvPicPr>
      <xdr:blipFill>
        <a:blip xmlns:r="http://schemas.openxmlformats.org/officeDocument/2006/relationships" r:embed="rId3"/>
        <a:stretch>
          <a:fillRect/>
        </a:stretch>
      </xdr:blipFill>
      <xdr:spPr>
        <a:xfrm>
          <a:off x="12217401" y="34591627"/>
          <a:ext cx="7000000" cy="3904762"/>
        </a:xfrm>
        <a:prstGeom prst="rect">
          <a:avLst/>
        </a:prstGeom>
      </xdr:spPr>
    </xdr:pic>
    <xdr:clientData/>
  </xdr:twoCellAnchor>
  <xdr:twoCellAnchor editAs="oneCell">
    <xdr:from>
      <xdr:col>7</xdr:col>
      <xdr:colOff>677333</xdr:colOff>
      <xdr:row>170</xdr:row>
      <xdr:rowOff>42334</xdr:rowOff>
    </xdr:from>
    <xdr:to>
      <xdr:col>15</xdr:col>
      <xdr:colOff>476632</xdr:colOff>
      <xdr:row>190</xdr:row>
      <xdr:rowOff>60905</xdr:rowOff>
    </xdr:to>
    <xdr:pic>
      <xdr:nvPicPr>
        <xdr:cNvPr id="5" name="Imagen 4">
          <a:extLst>
            <a:ext uri="{FF2B5EF4-FFF2-40B4-BE49-F238E27FC236}">
              <a16:creationId xmlns:a16="http://schemas.microsoft.com/office/drawing/2014/main" id="{22E068DA-2AB6-4022-A675-B64CC201F145}"/>
            </a:ext>
          </a:extLst>
        </xdr:cNvPr>
        <xdr:cNvPicPr>
          <a:picLocks noChangeAspect="1"/>
        </xdr:cNvPicPr>
      </xdr:nvPicPr>
      <xdr:blipFill>
        <a:blip xmlns:r="http://schemas.openxmlformats.org/officeDocument/2006/relationships" r:embed="rId4"/>
        <a:stretch>
          <a:fillRect/>
        </a:stretch>
      </xdr:blipFill>
      <xdr:spPr>
        <a:xfrm>
          <a:off x="12945533" y="33998959"/>
          <a:ext cx="7106879" cy="3828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476251</xdr:colOff>
      <xdr:row>152</xdr:row>
      <xdr:rowOff>0</xdr:rowOff>
    </xdr:from>
    <xdr:to>
      <xdr:col>17</xdr:col>
      <xdr:colOff>664845</xdr:colOff>
      <xdr:row>166</xdr:row>
      <xdr:rowOff>171797</xdr:rowOff>
    </xdr:to>
    <xdr:pic>
      <xdr:nvPicPr>
        <xdr:cNvPr id="2" name="Imagen 1">
          <a:extLst>
            <a:ext uri="{FF2B5EF4-FFF2-40B4-BE49-F238E27FC236}">
              <a16:creationId xmlns:a16="http://schemas.microsoft.com/office/drawing/2014/main" id="{2E08B261-52A6-4930-A809-1FCBAA014827}"/>
            </a:ext>
          </a:extLst>
        </xdr:cNvPr>
        <xdr:cNvPicPr>
          <a:picLocks noChangeAspect="1"/>
        </xdr:cNvPicPr>
      </xdr:nvPicPr>
      <xdr:blipFill rotWithShape="1">
        <a:blip xmlns:r="http://schemas.openxmlformats.org/officeDocument/2006/relationships" r:embed="rId1"/>
        <a:srcRect l="10543" t="30212" r="54972" b="16395"/>
        <a:stretch/>
      </xdr:blipFill>
      <xdr:spPr>
        <a:xfrm>
          <a:off x="18535651" y="30527625"/>
          <a:ext cx="3236594" cy="2838797"/>
        </a:xfrm>
        <a:prstGeom prst="rect">
          <a:avLst/>
        </a:prstGeom>
      </xdr:spPr>
    </xdr:pic>
    <xdr:clientData/>
  </xdr:twoCellAnchor>
  <xdr:twoCellAnchor editAs="oneCell">
    <xdr:from>
      <xdr:col>7</xdr:col>
      <xdr:colOff>931333</xdr:colOff>
      <xdr:row>153</xdr:row>
      <xdr:rowOff>95247</xdr:rowOff>
    </xdr:from>
    <xdr:to>
      <xdr:col>18</xdr:col>
      <xdr:colOff>113202</xdr:colOff>
      <xdr:row>176</xdr:row>
      <xdr:rowOff>151842</xdr:rowOff>
    </xdr:to>
    <xdr:pic>
      <xdr:nvPicPr>
        <xdr:cNvPr id="3" name="Imagen 2">
          <a:extLst>
            <a:ext uri="{FF2B5EF4-FFF2-40B4-BE49-F238E27FC236}">
              <a16:creationId xmlns:a16="http://schemas.microsoft.com/office/drawing/2014/main" id="{09DA1EE4-6AE6-4000-8522-D2450FAC64C7}"/>
            </a:ext>
          </a:extLst>
        </xdr:cNvPr>
        <xdr:cNvPicPr>
          <a:picLocks noChangeAspect="1"/>
        </xdr:cNvPicPr>
      </xdr:nvPicPr>
      <xdr:blipFill>
        <a:blip xmlns:r="http://schemas.openxmlformats.org/officeDocument/2006/relationships" r:embed="rId2"/>
        <a:stretch>
          <a:fillRect/>
        </a:stretch>
      </xdr:blipFill>
      <xdr:spPr>
        <a:xfrm>
          <a:off x="13199533" y="30813372"/>
          <a:ext cx="8783069" cy="4438095"/>
        </a:xfrm>
        <a:prstGeom prst="rect">
          <a:avLst/>
        </a:prstGeom>
      </xdr:spPr>
    </xdr:pic>
    <xdr:clientData/>
  </xdr:twoCellAnchor>
  <xdr:twoCellAnchor editAs="oneCell">
    <xdr:from>
      <xdr:col>6</xdr:col>
      <xdr:colOff>2254251</xdr:colOff>
      <xdr:row>173</xdr:row>
      <xdr:rowOff>63502</xdr:rowOff>
    </xdr:from>
    <xdr:to>
      <xdr:col>14</xdr:col>
      <xdr:colOff>403621</xdr:colOff>
      <xdr:row>193</xdr:row>
      <xdr:rowOff>167789</xdr:rowOff>
    </xdr:to>
    <xdr:pic>
      <xdr:nvPicPr>
        <xdr:cNvPr id="4" name="Imagen 3">
          <a:extLst>
            <a:ext uri="{FF2B5EF4-FFF2-40B4-BE49-F238E27FC236}">
              <a16:creationId xmlns:a16="http://schemas.microsoft.com/office/drawing/2014/main" id="{EFC0E62F-D3BD-4BAF-A80F-3910739874B7}"/>
            </a:ext>
          </a:extLst>
        </xdr:cNvPr>
        <xdr:cNvPicPr>
          <a:picLocks noChangeAspect="1"/>
        </xdr:cNvPicPr>
      </xdr:nvPicPr>
      <xdr:blipFill>
        <a:blip xmlns:r="http://schemas.openxmlformats.org/officeDocument/2006/relationships" r:embed="rId3"/>
        <a:stretch>
          <a:fillRect/>
        </a:stretch>
      </xdr:blipFill>
      <xdr:spPr>
        <a:xfrm>
          <a:off x="12217401" y="34591627"/>
          <a:ext cx="7007620" cy="3914287"/>
        </a:xfrm>
        <a:prstGeom prst="rect">
          <a:avLst/>
        </a:prstGeom>
      </xdr:spPr>
    </xdr:pic>
    <xdr:clientData/>
  </xdr:twoCellAnchor>
  <xdr:twoCellAnchor editAs="oneCell">
    <xdr:from>
      <xdr:col>7</xdr:col>
      <xdr:colOff>677333</xdr:colOff>
      <xdr:row>170</xdr:row>
      <xdr:rowOff>42334</xdr:rowOff>
    </xdr:from>
    <xdr:to>
      <xdr:col>15</xdr:col>
      <xdr:colOff>476632</xdr:colOff>
      <xdr:row>190</xdr:row>
      <xdr:rowOff>60905</xdr:rowOff>
    </xdr:to>
    <xdr:pic>
      <xdr:nvPicPr>
        <xdr:cNvPr id="5" name="Imagen 4">
          <a:extLst>
            <a:ext uri="{FF2B5EF4-FFF2-40B4-BE49-F238E27FC236}">
              <a16:creationId xmlns:a16="http://schemas.microsoft.com/office/drawing/2014/main" id="{87827B60-276E-4269-A20A-F1648EF59EB4}"/>
            </a:ext>
          </a:extLst>
        </xdr:cNvPr>
        <xdr:cNvPicPr>
          <a:picLocks noChangeAspect="1"/>
        </xdr:cNvPicPr>
      </xdr:nvPicPr>
      <xdr:blipFill>
        <a:blip xmlns:r="http://schemas.openxmlformats.org/officeDocument/2006/relationships" r:embed="rId4"/>
        <a:stretch>
          <a:fillRect/>
        </a:stretch>
      </xdr:blipFill>
      <xdr:spPr>
        <a:xfrm>
          <a:off x="12945533" y="33998959"/>
          <a:ext cx="7114499" cy="38285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476251</xdr:colOff>
      <xdr:row>152</xdr:row>
      <xdr:rowOff>0</xdr:rowOff>
    </xdr:from>
    <xdr:to>
      <xdr:col>17</xdr:col>
      <xdr:colOff>676275</xdr:colOff>
      <xdr:row>166</xdr:row>
      <xdr:rowOff>160367</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10543" t="30212" r="54972" b="16395"/>
        <a:stretch/>
      </xdr:blipFill>
      <xdr:spPr>
        <a:xfrm>
          <a:off x="18535651" y="27795769"/>
          <a:ext cx="3248024" cy="2827367"/>
        </a:xfrm>
        <a:prstGeom prst="rect">
          <a:avLst/>
        </a:prstGeom>
      </xdr:spPr>
    </xdr:pic>
    <xdr:clientData/>
  </xdr:twoCellAnchor>
  <xdr:twoCellAnchor editAs="oneCell">
    <xdr:from>
      <xdr:col>7</xdr:col>
      <xdr:colOff>931333</xdr:colOff>
      <xdr:row>153</xdr:row>
      <xdr:rowOff>95247</xdr:rowOff>
    </xdr:from>
    <xdr:to>
      <xdr:col>18</xdr:col>
      <xdr:colOff>113202</xdr:colOff>
      <xdr:row>176</xdr:row>
      <xdr:rowOff>151842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3199533" y="28146372"/>
          <a:ext cx="8783069" cy="4438095"/>
        </a:xfrm>
        <a:prstGeom prst="rect">
          <a:avLst/>
        </a:prstGeom>
      </xdr:spPr>
    </xdr:pic>
    <xdr:clientData/>
  </xdr:twoCellAnchor>
  <xdr:twoCellAnchor editAs="oneCell">
    <xdr:from>
      <xdr:col>6</xdr:col>
      <xdr:colOff>2254251</xdr:colOff>
      <xdr:row>173</xdr:row>
      <xdr:rowOff>63502</xdr:rowOff>
    </xdr:from>
    <xdr:to>
      <xdr:col>14</xdr:col>
      <xdr:colOff>396001</xdr:colOff>
      <xdr:row>193</xdr:row>
      <xdr:rowOff>158264</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2217401" y="31924627"/>
          <a:ext cx="7000000" cy="3904762"/>
        </a:xfrm>
        <a:prstGeom prst="rect">
          <a:avLst/>
        </a:prstGeom>
      </xdr:spPr>
    </xdr:pic>
    <xdr:clientData/>
  </xdr:twoCellAnchor>
  <xdr:twoCellAnchor editAs="oneCell">
    <xdr:from>
      <xdr:col>7</xdr:col>
      <xdr:colOff>677333</xdr:colOff>
      <xdr:row>170</xdr:row>
      <xdr:rowOff>42334</xdr:rowOff>
    </xdr:from>
    <xdr:to>
      <xdr:col>15</xdr:col>
      <xdr:colOff>469012</xdr:colOff>
      <xdr:row>190</xdr:row>
      <xdr:rowOff>60905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2945533" y="31331959"/>
          <a:ext cx="7106879" cy="38285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476251</xdr:colOff>
      <xdr:row>152</xdr:row>
      <xdr:rowOff>0</xdr:rowOff>
    </xdr:from>
    <xdr:to>
      <xdr:col>17</xdr:col>
      <xdr:colOff>676275</xdr:colOff>
      <xdr:row>166</xdr:row>
      <xdr:rowOff>160367</xdr:rowOff>
    </xdr:to>
    <xdr:pic>
      <xdr:nvPicPr>
        <xdr:cNvPr id="2" name="Imagen 1">
          <a:extLst>
            <a:ext uri="{FF2B5EF4-FFF2-40B4-BE49-F238E27FC236}">
              <a16:creationId xmlns:a16="http://schemas.microsoft.com/office/drawing/2014/main" id="{EE91E72A-23B4-49C8-A9D3-20BE092585AC}"/>
            </a:ext>
          </a:extLst>
        </xdr:cNvPr>
        <xdr:cNvPicPr>
          <a:picLocks noChangeAspect="1"/>
        </xdr:cNvPicPr>
      </xdr:nvPicPr>
      <xdr:blipFill rotWithShape="1">
        <a:blip xmlns:r="http://schemas.openxmlformats.org/officeDocument/2006/relationships" r:embed="rId1"/>
        <a:srcRect l="10543" t="30212" r="54972" b="16395"/>
        <a:stretch/>
      </xdr:blipFill>
      <xdr:spPr>
        <a:xfrm>
          <a:off x="18535651" y="30527625"/>
          <a:ext cx="3248024" cy="2827367"/>
        </a:xfrm>
        <a:prstGeom prst="rect">
          <a:avLst/>
        </a:prstGeom>
      </xdr:spPr>
    </xdr:pic>
    <xdr:clientData/>
  </xdr:twoCellAnchor>
  <xdr:twoCellAnchor editAs="oneCell">
    <xdr:from>
      <xdr:col>7</xdr:col>
      <xdr:colOff>931333</xdr:colOff>
      <xdr:row>153</xdr:row>
      <xdr:rowOff>95247</xdr:rowOff>
    </xdr:from>
    <xdr:to>
      <xdr:col>18</xdr:col>
      <xdr:colOff>113202</xdr:colOff>
      <xdr:row>176</xdr:row>
      <xdr:rowOff>151842</xdr:rowOff>
    </xdr:to>
    <xdr:pic>
      <xdr:nvPicPr>
        <xdr:cNvPr id="3" name="Imagen 2">
          <a:extLst>
            <a:ext uri="{FF2B5EF4-FFF2-40B4-BE49-F238E27FC236}">
              <a16:creationId xmlns:a16="http://schemas.microsoft.com/office/drawing/2014/main" id="{ECA7E360-C133-41B9-8CCD-0BB22F0D834C}"/>
            </a:ext>
          </a:extLst>
        </xdr:cNvPr>
        <xdr:cNvPicPr>
          <a:picLocks noChangeAspect="1"/>
        </xdr:cNvPicPr>
      </xdr:nvPicPr>
      <xdr:blipFill>
        <a:blip xmlns:r="http://schemas.openxmlformats.org/officeDocument/2006/relationships" r:embed="rId2"/>
        <a:stretch>
          <a:fillRect/>
        </a:stretch>
      </xdr:blipFill>
      <xdr:spPr>
        <a:xfrm>
          <a:off x="13199533" y="30813372"/>
          <a:ext cx="8783069" cy="4438095"/>
        </a:xfrm>
        <a:prstGeom prst="rect">
          <a:avLst/>
        </a:prstGeom>
      </xdr:spPr>
    </xdr:pic>
    <xdr:clientData/>
  </xdr:twoCellAnchor>
  <xdr:twoCellAnchor editAs="oneCell">
    <xdr:from>
      <xdr:col>6</xdr:col>
      <xdr:colOff>2254251</xdr:colOff>
      <xdr:row>173</xdr:row>
      <xdr:rowOff>63502</xdr:rowOff>
    </xdr:from>
    <xdr:to>
      <xdr:col>14</xdr:col>
      <xdr:colOff>396001</xdr:colOff>
      <xdr:row>193</xdr:row>
      <xdr:rowOff>158264</xdr:rowOff>
    </xdr:to>
    <xdr:pic>
      <xdr:nvPicPr>
        <xdr:cNvPr id="4" name="Imagen 3">
          <a:extLst>
            <a:ext uri="{FF2B5EF4-FFF2-40B4-BE49-F238E27FC236}">
              <a16:creationId xmlns:a16="http://schemas.microsoft.com/office/drawing/2014/main" id="{2E591193-3302-46ED-A93D-266D77663E91}"/>
            </a:ext>
          </a:extLst>
        </xdr:cNvPr>
        <xdr:cNvPicPr>
          <a:picLocks noChangeAspect="1"/>
        </xdr:cNvPicPr>
      </xdr:nvPicPr>
      <xdr:blipFill>
        <a:blip xmlns:r="http://schemas.openxmlformats.org/officeDocument/2006/relationships" r:embed="rId3"/>
        <a:stretch>
          <a:fillRect/>
        </a:stretch>
      </xdr:blipFill>
      <xdr:spPr>
        <a:xfrm>
          <a:off x="12217401" y="34591627"/>
          <a:ext cx="7000000" cy="3904762"/>
        </a:xfrm>
        <a:prstGeom prst="rect">
          <a:avLst/>
        </a:prstGeom>
      </xdr:spPr>
    </xdr:pic>
    <xdr:clientData/>
  </xdr:twoCellAnchor>
  <xdr:twoCellAnchor editAs="oneCell">
    <xdr:from>
      <xdr:col>7</xdr:col>
      <xdr:colOff>677333</xdr:colOff>
      <xdr:row>170</xdr:row>
      <xdr:rowOff>42334</xdr:rowOff>
    </xdr:from>
    <xdr:to>
      <xdr:col>15</xdr:col>
      <xdr:colOff>469012</xdr:colOff>
      <xdr:row>190</xdr:row>
      <xdr:rowOff>60905</xdr:rowOff>
    </xdr:to>
    <xdr:pic>
      <xdr:nvPicPr>
        <xdr:cNvPr id="5" name="Imagen 4">
          <a:extLst>
            <a:ext uri="{FF2B5EF4-FFF2-40B4-BE49-F238E27FC236}">
              <a16:creationId xmlns:a16="http://schemas.microsoft.com/office/drawing/2014/main" id="{7CAD42E1-124B-4C35-844E-9F120C85E377}"/>
            </a:ext>
          </a:extLst>
        </xdr:cNvPr>
        <xdr:cNvPicPr>
          <a:picLocks noChangeAspect="1"/>
        </xdr:cNvPicPr>
      </xdr:nvPicPr>
      <xdr:blipFill>
        <a:blip xmlns:r="http://schemas.openxmlformats.org/officeDocument/2006/relationships" r:embed="rId4"/>
        <a:stretch>
          <a:fillRect/>
        </a:stretch>
      </xdr:blipFill>
      <xdr:spPr>
        <a:xfrm>
          <a:off x="12945533" y="33998959"/>
          <a:ext cx="7106879" cy="382857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243417</xdr:colOff>
      <xdr:row>161</xdr:row>
      <xdr:rowOff>21164</xdr:rowOff>
    </xdr:from>
    <xdr:to>
      <xdr:col>17</xdr:col>
      <xdr:colOff>187286</xdr:colOff>
      <xdr:row>184</xdr:row>
      <xdr:rowOff>77759</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2520084" y="32035747"/>
          <a:ext cx="8780952" cy="4438095"/>
        </a:xfrm>
        <a:prstGeom prst="rect">
          <a:avLst/>
        </a:prstGeom>
      </xdr:spPr>
    </xdr:pic>
    <xdr:clientData/>
  </xdr:twoCellAnchor>
  <xdr:twoCellAnchor editAs="oneCell">
    <xdr:from>
      <xdr:col>5</xdr:col>
      <xdr:colOff>95251</xdr:colOff>
      <xdr:row>176</xdr:row>
      <xdr:rowOff>42336</xdr:rowOff>
    </xdr:from>
    <xdr:to>
      <xdr:col>9</xdr:col>
      <xdr:colOff>1048357</xdr:colOff>
      <xdr:row>196</xdr:row>
      <xdr:rowOff>133288</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8710084" y="34914419"/>
          <a:ext cx="7000000" cy="3904762"/>
        </a:xfrm>
        <a:prstGeom prst="rect">
          <a:avLst/>
        </a:prstGeom>
      </xdr:spPr>
    </xdr:pic>
    <xdr:clientData/>
  </xdr:twoCellAnchor>
  <xdr:twoCellAnchor editAs="oneCell">
    <xdr:from>
      <xdr:col>9</xdr:col>
      <xdr:colOff>127000</xdr:colOff>
      <xdr:row>165</xdr:row>
      <xdr:rowOff>1</xdr:rowOff>
    </xdr:from>
    <xdr:to>
      <xdr:col>17</xdr:col>
      <xdr:colOff>416096</xdr:colOff>
      <xdr:row>185</xdr:row>
      <xdr:rowOff>22382</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xfrm>
          <a:off x="14425083" y="32776584"/>
          <a:ext cx="7104762" cy="382857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152400</xdr:colOff>
      <xdr:row>1</xdr:row>
      <xdr:rowOff>171450</xdr:rowOff>
    </xdr:from>
    <xdr:to>
      <xdr:col>15</xdr:col>
      <xdr:colOff>430530</xdr:colOff>
      <xdr:row>21</xdr:row>
      <xdr:rowOff>172085</xdr:rowOff>
    </xdr:to>
    <xdr:pic>
      <xdr:nvPicPr>
        <xdr:cNvPr id="2" name="Imagen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tretch>
          <a:fillRect/>
        </a:stretch>
      </xdr:blipFill>
      <xdr:spPr>
        <a:xfrm>
          <a:off x="7686675" y="685800"/>
          <a:ext cx="5612130" cy="4867910"/>
        </a:xfrm>
        <a:prstGeom prst="rect">
          <a:avLst/>
        </a:prstGeom>
      </xdr:spPr>
    </xdr:pic>
    <xdr:clientData/>
  </xdr:twoCellAnchor>
  <xdr:twoCellAnchor editAs="oneCell">
    <xdr:from>
      <xdr:col>8</xdr:col>
      <xdr:colOff>219075</xdr:colOff>
      <xdr:row>23</xdr:row>
      <xdr:rowOff>0</xdr:rowOff>
    </xdr:from>
    <xdr:to>
      <xdr:col>15</xdr:col>
      <xdr:colOff>497205</xdr:colOff>
      <xdr:row>43</xdr:row>
      <xdr:rowOff>7620</xdr:rowOff>
    </xdr:to>
    <xdr:pic>
      <xdr:nvPicPr>
        <xdr:cNvPr id="3" name="Imagen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a:stretch>
          <a:fillRect/>
        </a:stretch>
      </xdr:blipFill>
      <xdr:spPr>
        <a:xfrm>
          <a:off x="9858375" y="5762625"/>
          <a:ext cx="5612130" cy="38557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657225</xdr:colOff>
      <xdr:row>49</xdr:row>
      <xdr:rowOff>0</xdr:rowOff>
    </xdr:from>
    <xdr:to>
      <xdr:col>10</xdr:col>
      <xdr:colOff>2684145</xdr:colOff>
      <xdr:row>66</xdr:row>
      <xdr:rowOff>93980</xdr:rowOff>
    </xdr:to>
    <xdr:pic>
      <xdr:nvPicPr>
        <xdr:cNvPr id="2" name="Imagen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tretch>
          <a:fillRect/>
        </a:stretch>
      </xdr:blipFill>
      <xdr:spPr>
        <a:xfrm>
          <a:off x="6981825" y="9791700"/>
          <a:ext cx="5612130" cy="4570730"/>
        </a:xfrm>
        <a:prstGeom prst="rect">
          <a:avLst/>
        </a:prstGeom>
      </xdr:spPr>
    </xdr:pic>
    <xdr:clientData/>
  </xdr:twoCellAnchor>
  <xdr:twoCellAnchor editAs="oneCell">
    <xdr:from>
      <xdr:col>10</xdr:col>
      <xdr:colOff>152400</xdr:colOff>
      <xdr:row>48</xdr:row>
      <xdr:rowOff>123825</xdr:rowOff>
    </xdr:from>
    <xdr:to>
      <xdr:col>14</xdr:col>
      <xdr:colOff>436245</xdr:colOff>
      <xdr:row>62</xdr:row>
      <xdr:rowOff>135890</xdr:rowOff>
    </xdr:to>
    <xdr:pic>
      <xdr:nvPicPr>
        <xdr:cNvPr id="3" name="Imagen 2">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2"/>
        <a:stretch>
          <a:fillRect/>
        </a:stretch>
      </xdr:blipFill>
      <xdr:spPr>
        <a:xfrm>
          <a:off x="10058400" y="9753600"/>
          <a:ext cx="5612130" cy="399161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19</xdr:col>
      <xdr:colOff>682870</xdr:colOff>
      <xdr:row>17</xdr:row>
      <xdr:rowOff>81329</xdr:rowOff>
    </xdr:from>
    <xdr:to>
      <xdr:col>25</xdr:col>
      <xdr:colOff>501896</xdr:colOff>
      <xdr:row>29</xdr:row>
      <xdr:rowOff>167054</xdr:rowOff>
    </xdr:to>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807945" y="3681779"/>
          <a:ext cx="4391026" cy="2905125"/>
        </a:xfrm>
        <a:prstGeom prst="rect">
          <a:avLst/>
        </a:prstGeom>
      </xdr:spPr>
    </xdr:pic>
    <xdr:clientData/>
  </xdr:twoCellAnchor>
  <xdr:twoCellAnchor editAs="oneCell">
    <xdr:from>
      <xdr:col>19</xdr:col>
      <xdr:colOff>712909</xdr:colOff>
      <xdr:row>33</xdr:row>
      <xdr:rowOff>12454</xdr:rowOff>
    </xdr:from>
    <xdr:to>
      <xdr:col>27</xdr:col>
      <xdr:colOff>446209</xdr:colOff>
      <xdr:row>74</xdr:row>
      <xdr:rowOff>79129</xdr:rowOff>
    </xdr:to>
    <xdr:pic>
      <xdr:nvPicPr>
        <xdr:cNvPr id="5" name="Imagen 4" descr="Conversión AWG MM2">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837984" y="6660904"/>
          <a:ext cx="5829300" cy="8286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57150</xdr:colOff>
      <xdr:row>4</xdr:row>
      <xdr:rowOff>114300</xdr:rowOff>
    </xdr:from>
    <xdr:to>
      <xdr:col>24</xdr:col>
      <xdr:colOff>666750</xdr:colOff>
      <xdr:row>17</xdr:row>
      <xdr:rowOff>95885</xdr:rowOff>
    </xdr:to>
    <xdr:pic>
      <xdr:nvPicPr>
        <xdr:cNvPr id="6" name="Imagen 5">
          <a:extLst>
            <a:ext uri="{FF2B5EF4-FFF2-40B4-BE49-F238E27FC236}">
              <a16:creationId xmlns:a16="http://schemas.microsoft.com/office/drawing/2014/main" id="{00000000-0008-0000-0B00-000006000000}"/>
            </a:ext>
          </a:extLst>
        </xdr:cNvPr>
        <xdr:cNvPicPr/>
      </xdr:nvPicPr>
      <xdr:blipFill>
        <a:blip xmlns:r="http://schemas.openxmlformats.org/officeDocument/2006/relationships" r:embed="rId3"/>
        <a:stretch>
          <a:fillRect/>
        </a:stretch>
      </xdr:blipFill>
      <xdr:spPr>
        <a:xfrm>
          <a:off x="10944225" y="1000125"/>
          <a:ext cx="3657600" cy="2553335"/>
        </a:xfrm>
        <a:prstGeom prst="rect">
          <a:avLst/>
        </a:prstGeom>
      </xdr:spPr>
    </xdr:pic>
    <xdr:clientData/>
  </xdr:twoCellAnchor>
  <xdr:twoCellAnchor editAs="oneCell">
    <xdr:from>
      <xdr:col>0</xdr:col>
      <xdr:colOff>112059</xdr:colOff>
      <xdr:row>46</xdr:row>
      <xdr:rowOff>139513</xdr:rowOff>
    </xdr:from>
    <xdr:to>
      <xdr:col>7</xdr:col>
      <xdr:colOff>929643</xdr:colOff>
      <xdr:row>69</xdr:row>
      <xdr:rowOff>166407</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4"/>
        <a:stretch>
          <a:fillRect/>
        </a:stretch>
      </xdr:blipFill>
      <xdr:spPr>
        <a:xfrm>
          <a:off x="112059" y="10336866"/>
          <a:ext cx="6868760" cy="4419600"/>
        </a:xfrm>
        <a:prstGeom prst="rect">
          <a:avLst/>
        </a:prstGeom>
      </xdr:spPr>
    </xdr:pic>
    <xdr:clientData/>
  </xdr:twoCellAnchor>
  <xdr:twoCellAnchor editAs="oneCell">
    <xdr:from>
      <xdr:col>9</xdr:col>
      <xdr:colOff>742950</xdr:colOff>
      <xdr:row>36</xdr:row>
      <xdr:rowOff>192181</xdr:rowOff>
    </xdr:from>
    <xdr:to>
      <xdr:col>14</xdr:col>
      <xdr:colOff>104775</xdr:colOff>
      <xdr:row>51</xdr:row>
      <xdr:rowOff>132902</xdr:rowOff>
    </xdr:to>
    <xdr:pic>
      <xdr:nvPicPr>
        <xdr:cNvPr id="8" name="Imagen 7">
          <a:extLst>
            <a:ext uri="{FF2B5EF4-FFF2-40B4-BE49-F238E27FC236}">
              <a16:creationId xmlns:a16="http://schemas.microsoft.com/office/drawing/2014/main" id="{00000000-0008-0000-0B00-000008000000}"/>
            </a:ext>
          </a:extLst>
        </xdr:cNvPr>
        <xdr:cNvPicPr/>
      </xdr:nvPicPr>
      <xdr:blipFill>
        <a:blip xmlns:r="http://schemas.openxmlformats.org/officeDocument/2006/relationships" r:embed="rId5"/>
        <a:stretch>
          <a:fillRect/>
        </a:stretch>
      </xdr:blipFill>
      <xdr:spPr>
        <a:xfrm>
          <a:off x="8542244" y="8081122"/>
          <a:ext cx="3799355" cy="3212839"/>
        </a:xfrm>
        <a:prstGeom prst="rect">
          <a:avLst/>
        </a:prstGeom>
      </xdr:spPr>
    </xdr:pic>
    <xdr:clientData/>
  </xdr:twoCellAnchor>
  <xdr:twoCellAnchor editAs="oneCell">
    <xdr:from>
      <xdr:col>8</xdr:col>
      <xdr:colOff>134092</xdr:colOff>
      <xdr:row>46</xdr:row>
      <xdr:rowOff>160242</xdr:rowOff>
    </xdr:from>
    <xdr:to>
      <xdr:col>14</xdr:col>
      <xdr:colOff>238564</xdr:colOff>
      <xdr:row>64</xdr:row>
      <xdr:rowOff>177611</xdr:rowOff>
    </xdr:to>
    <xdr:pic>
      <xdr:nvPicPr>
        <xdr:cNvPr id="9" name="Imagen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6"/>
        <a:stretch>
          <a:fillRect/>
        </a:stretch>
      </xdr:blipFill>
      <xdr:spPr>
        <a:xfrm>
          <a:off x="7171386" y="10357595"/>
          <a:ext cx="5304002" cy="34575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685800</xdr:colOff>
      <xdr:row>0</xdr:row>
      <xdr:rowOff>152400</xdr:rowOff>
    </xdr:from>
    <xdr:to>
      <xdr:col>15</xdr:col>
      <xdr:colOff>494467</xdr:colOff>
      <xdr:row>29</xdr:row>
      <xdr:rowOff>56425</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5257800" y="152400"/>
          <a:ext cx="6666667" cy="5800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0</xdr:colOff>
      <xdr:row>9</xdr:row>
      <xdr:rowOff>161925</xdr:rowOff>
    </xdr:from>
    <xdr:to>
      <xdr:col>5</xdr:col>
      <xdr:colOff>714375</xdr:colOff>
      <xdr:row>12</xdr:row>
      <xdr:rowOff>0</xdr:rowOff>
    </xdr:to>
    <xdr:pic>
      <xdr:nvPicPr>
        <xdr:cNvPr id="2" name="1 Imagen">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9125" y="1876425"/>
          <a:ext cx="60960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266700</xdr:colOff>
      <xdr:row>10</xdr:row>
      <xdr:rowOff>180975</xdr:rowOff>
    </xdr:from>
    <xdr:to>
      <xdr:col>2</xdr:col>
      <xdr:colOff>342900</xdr:colOff>
      <xdr:row>11</xdr:row>
      <xdr:rowOff>180975</xdr:rowOff>
    </xdr:to>
    <xdr:pic>
      <xdr:nvPicPr>
        <xdr:cNvPr id="3" name="3 Imagen">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90775" y="2085975"/>
          <a:ext cx="762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142875</xdr:colOff>
      <xdr:row>12</xdr:row>
      <xdr:rowOff>28575</xdr:rowOff>
    </xdr:from>
    <xdr:to>
      <xdr:col>2</xdr:col>
      <xdr:colOff>447675</xdr:colOff>
      <xdr:row>13</xdr:row>
      <xdr:rowOff>28575</xdr:rowOff>
    </xdr:to>
    <xdr:pic>
      <xdr:nvPicPr>
        <xdr:cNvPr id="4" name="4 Imagen">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2314575"/>
          <a:ext cx="304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18</xdr:row>
      <xdr:rowOff>161925</xdr:rowOff>
    </xdr:from>
    <xdr:to>
      <xdr:col>5</xdr:col>
      <xdr:colOff>714375</xdr:colOff>
      <xdr:row>21</xdr:row>
      <xdr:rowOff>0</xdr:rowOff>
    </xdr:to>
    <xdr:pic>
      <xdr:nvPicPr>
        <xdr:cNvPr id="5" name="1 Imagen">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9125" y="1876425"/>
          <a:ext cx="60960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266700</xdr:colOff>
      <xdr:row>19</xdr:row>
      <xdr:rowOff>180975</xdr:rowOff>
    </xdr:from>
    <xdr:to>
      <xdr:col>2</xdr:col>
      <xdr:colOff>342900</xdr:colOff>
      <xdr:row>20</xdr:row>
      <xdr:rowOff>180975</xdr:rowOff>
    </xdr:to>
    <xdr:pic>
      <xdr:nvPicPr>
        <xdr:cNvPr id="6" name="3 Imagen">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90775" y="2085975"/>
          <a:ext cx="762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142875</xdr:colOff>
      <xdr:row>21</xdr:row>
      <xdr:rowOff>28575</xdr:rowOff>
    </xdr:from>
    <xdr:to>
      <xdr:col>2</xdr:col>
      <xdr:colOff>447675</xdr:colOff>
      <xdr:row>22</xdr:row>
      <xdr:rowOff>28575</xdr:rowOff>
    </xdr:to>
    <xdr:pic>
      <xdr:nvPicPr>
        <xdr:cNvPr id="7" name="4 Imagen">
          <a:extLst>
            <a:ext uri="{FF2B5EF4-FFF2-40B4-BE49-F238E27FC236}">
              <a16:creationId xmlns:a16="http://schemas.microsoft.com/office/drawing/2014/main" id="{00000000-0008-0000-1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2314575"/>
          <a:ext cx="304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5</xdr:col>
      <xdr:colOff>0</xdr:colOff>
      <xdr:row>9</xdr:row>
      <xdr:rowOff>161925</xdr:rowOff>
    </xdr:from>
    <xdr:to>
      <xdr:col>5</xdr:col>
      <xdr:colOff>714375</xdr:colOff>
      <xdr:row>12</xdr:row>
      <xdr:rowOff>0</xdr:rowOff>
    </xdr:to>
    <xdr:pic>
      <xdr:nvPicPr>
        <xdr:cNvPr id="2" name="1 Imagen">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9125" y="1876425"/>
          <a:ext cx="60960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266700</xdr:colOff>
      <xdr:row>10</xdr:row>
      <xdr:rowOff>180975</xdr:rowOff>
    </xdr:from>
    <xdr:to>
      <xdr:col>2</xdr:col>
      <xdr:colOff>342900</xdr:colOff>
      <xdr:row>11</xdr:row>
      <xdr:rowOff>180975</xdr:rowOff>
    </xdr:to>
    <xdr:pic>
      <xdr:nvPicPr>
        <xdr:cNvPr id="3" name="3 Imagen">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90775" y="2085975"/>
          <a:ext cx="762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142875</xdr:colOff>
      <xdr:row>12</xdr:row>
      <xdr:rowOff>28575</xdr:rowOff>
    </xdr:from>
    <xdr:to>
      <xdr:col>2</xdr:col>
      <xdr:colOff>447675</xdr:colOff>
      <xdr:row>13</xdr:row>
      <xdr:rowOff>28575</xdr:rowOff>
    </xdr:to>
    <xdr:pic>
      <xdr:nvPicPr>
        <xdr:cNvPr id="4" name="4 Imagen">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2314575"/>
          <a:ext cx="304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5</xdr:col>
      <xdr:colOff>0</xdr:colOff>
      <xdr:row>9</xdr:row>
      <xdr:rowOff>161925</xdr:rowOff>
    </xdr:from>
    <xdr:to>
      <xdr:col>5</xdr:col>
      <xdr:colOff>714375</xdr:colOff>
      <xdr:row>12</xdr:row>
      <xdr:rowOff>0</xdr:rowOff>
    </xdr:to>
    <xdr:pic>
      <xdr:nvPicPr>
        <xdr:cNvPr id="6" name="1 Imagen">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29125" y="5495925"/>
          <a:ext cx="60960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266700</xdr:colOff>
      <xdr:row>10</xdr:row>
      <xdr:rowOff>180975</xdr:rowOff>
    </xdr:from>
    <xdr:to>
      <xdr:col>2</xdr:col>
      <xdr:colOff>342900</xdr:colOff>
      <xdr:row>11</xdr:row>
      <xdr:rowOff>180975</xdr:rowOff>
    </xdr:to>
    <xdr:pic>
      <xdr:nvPicPr>
        <xdr:cNvPr id="7" name="3 Imagen">
          <a:extLst>
            <a:ext uri="{FF2B5EF4-FFF2-40B4-BE49-F238E27FC236}">
              <a16:creationId xmlns:a16="http://schemas.microsoft.com/office/drawing/2014/main" id="{00000000-0008-0000-1300-000007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90775" y="5705475"/>
          <a:ext cx="762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142875</xdr:colOff>
      <xdr:row>12</xdr:row>
      <xdr:rowOff>28575</xdr:rowOff>
    </xdr:from>
    <xdr:to>
      <xdr:col>2</xdr:col>
      <xdr:colOff>447675</xdr:colOff>
      <xdr:row>13</xdr:row>
      <xdr:rowOff>28575</xdr:rowOff>
    </xdr:to>
    <xdr:pic>
      <xdr:nvPicPr>
        <xdr:cNvPr id="8" name="4 Imagen">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5934075"/>
          <a:ext cx="3048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ntiago\Downloads\PE0272_C&#225;lculos%20Electricos_Pivijay%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ciudadrenovablesas.sharepoint.com/sites/Proyectos/Proyectos%20en%20marcha/PE1299_EyALuisMartinez_Medellin_INT/16.%20Ingenier&#237;a%20de%20detalle/Dise&#241;o%20detallado/1.%20Memorias%20de%20c&#225;lculo/PE1299_EyALuisMartinez_Medellin_MC.xlsx" TargetMode="External"/><Relationship Id="rId2" Type="http://schemas.microsoft.com/office/2019/04/relationships/externalLinkLongPath" Target="https://ciudadrenovablesas.sharepoint.com/sites/Proyectos/Proyectos%20en%20marcha/PE1299_EyALuisMartinez_Medellin_INT/16.%20Ingenier&#237;a%20de%20detalle/Dise&#241;o%20detallado/1.%20Memorias%20de%20c&#225;lculo/PE1299_EyALuisMartinez_Medellin_MC.xlsx?6EBC4958" TargetMode="External"/><Relationship Id="rId1" Type="http://schemas.openxmlformats.org/officeDocument/2006/relationships/externalLinkPath" Target="file:///\\6EBC4958\PE1299_EyALuisMartinez_Medellin_M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_INV_PARALELO"/>
      <sheetName val="PV_INV_STRING"/>
      <sheetName val="INV1_TABLERO FV"/>
      <sheetName val="TABLERO FV_PTO CONEX"/>
      <sheetName val="Regulación_Voltaje"/>
      <sheetName val="Perdidas P_E"/>
      <sheetName val="Barraje_Pto conex"/>
      <sheetName val="Cap 2 NTC"/>
      <sheetName val="Cap 3 NTC"/>
      <sheetName val="Cap 9 NTC"/>
      <sheetName val="Tuberia"/>
      <sheetName val="Bandejas"/>
      <sheetName val="Cables"/>
      <sheetName val="Listas"/>
      <sheetName val="TABLA 2"/>
      <sheetName val="CAIDA DE TENSION TOTAL"/>
      <sheetName val="Acometida AC"/>
      <sheetName val="Symo 15.0-3"/>
      <sheetName val="Symo10.0-3"/>
      <sheetName val="Capacidad de Corriente"/>
      <sheetName val="Area c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5">
          <cell r="N15"/>
          <cell r="O15"/>
          <cell r="Q15"/>
          <cell r="R15"/>
          <cell r="S15"/>
          <cell r="T15"/>
          <cell r="U15"/>
          <cell r="V15"/>
        </row>
        <row r="16">
          <cell r="M16" t="str">
            <v>0,75 mm²</v>
          </cell>
          <cell r="N16" t="str">
            <v>18 AWG</v>
          </cell>
          <cell r="O16">
            <v>18</v>
          </cell>
          <cell r="P16">
            <v>0.82</v>
          </cell>
          <cell r="Q16">
            <v>7</v>
          </cell>
          <cell r="R16">
            <v>0.38</v>
          </cell>
          <cell r="S16">
            <v>1.17</v>
          </cell>
          <cell r="T16">
            <v>1.29</v>
          </cell>
          <cell r="U16">
            <v>26.08</v>
          </cell>
          <cell r="V16">
            <v>27.72</v>
          </cell>
        </row>
        <row r="17">
          <cell r="N17"/>
          <cell r="O17"/>
          <cell r="Q17"/>
          <cell r="R17"/>
          <cell r="S17"/>
          <cell r="T17"/>
          <cell r="U17"/>
          <cell r="V17"/>
        </row>
        <row r="18">
          <cell r="M18" t="str">
            <v>1,5 mm²</v>
          </cell>
          <cell r="N18" t="str">
            <v>16 AWG</v>
          </cell>
          <cell r="O18">
            <v>16</v>
          </cell>
          <cell r="P18">
            <v>1.31</v>
          </cell>
          <cell r="Q18">
            <v>7</v>
          </cell>
          <cell r="R18">
            <v>0.48</v>
          </cell>
          <cell r="S18">
            <v>1.47</v>
          </cell>
          <cell r="T18">
            <v>1.94</v>
          </cell>
          <cell r="U18">
            <v>16.37</v>
          </cell>
          <cell r="V18">
            <v>17.36</v>
          </cell>
        </row>
        <row r="19">
          <cell r="N19"/>
          <cell r="O19"/>
          <cell r="Q19"/>
          <cell r="R19"/>
          <cell r="S19"/>
          <cell r="T19"/>
          <cell r="U19"/>
          <cell r="V19"/>
        </row>
        <row r="20">
          <cell r="M20" t="str">
            <v>2,5 mm²</v>
          </cell>
          <cell r="N20" t="str">
            <v>14 AWG</v>
          </cell>
          <cell r="O20">
            <v>14</v>
          </cell>
          <cell r="P20">
            <v>2.08</v>
          </cell>
          <cell r="Q20">
            <v>7</v>
          </cell>
          <cell r="R20">
            <v>0.61</v>
          </cell>
          <cell r="S20">
            <v>1.85</v>
          </cell>
          <cell r="T20">
            <v>2.58</v>
          </cell>
          <cell r="U20">
            <v>10.3</v>
          </cell>
          <cell r="V20">
            <v>10.7</v>
          </cell>
        </row>
        <row r="21">
          <cell r="N21"/>
          <cell r="O21"/>
          <cell r="Q21"/>
          <cell r="R21"/>
          <cell r="S21"/>
          <cell r="T21"/>
          <cell r="U21"/>
          <cell r="V21"/>
        </row>
        <row r="22">
          <cell r="M22" t="str">
            <v>4 mm²</v>
          </cell>
          <cell r="N22" t="str">
            <v>12 AWG</v>
          </cell>
          <cell r="O22">
            <v>12</v>
          </cell>
          <cell r="P22">
            <v>3.31</v>
          </cell>
          <cell r="Q22">
            <v>7</v>
          </cell>
          <cell r="R22">
            <v>0.76</v>
          </cell>
          <cell r="S22">
            <v>2.34</v>
          </cell>
          <cell r="T22">
            <v>3.87</v>
          </cell>
          <cell r="U22">
            <v>6.49</v>
          </cell>
          <cell r="V22">
            <v>6.73</v>
          </cell>
        </row>
        <row r="23">
          <cell r="N23"/>
          <cell r="O23"/>
          <cell r="Q23"/>
          <cell r="R23"/>
          <cell r="S23"/>
          <cell r="T23"/>
          <cell r="U23"/>
          <cell r="V23"/>
        </row>
        <row r="24">
          <cell r="M24" t="str">
            <v>6 mm²</v>
          </cell>
          <cell r="N24" t="str">
            <v>10 AWG</v>
          </cell>
          <cell r="O24">
            <v>10</v>
          </cell>
          <cell r="P24">
            <v>5.26</v>
          </cell>
          <cell r="Q24">
            <v>7</v>
          </cell>
          <cell r="R24">
            <v>0.97</v>
          </cell>
          <cell r="S24">
            <v>2.95</v>
          </cell>
          <cell r="T24">
            <v>7.1</v>
          </cell>
          <cell r="U24">
            <v>4.07</v>
          </cell>
          <cell r="V24">
            <v>4.2300000000000004</v>
          </cell>
        </row>
        <row r="25">
          <cell r="N25"/>
          <cell r="O25"/>
          <cell r="Q25"/>
          <cell r="R25"/>
          <cell r="S25"/>
          <cell r="T25"/>
          <cell r="U25"/>
          <cell r="V25"/>
        </row>
        <row r="26">
          <cell r="M26" t="str">
            <v>10 mm²</v>
          </cell>
          <cell r="N26" t="str">
            <v>8 AWG</v>
          </cell>
          <cell r="O26">
            <v>8</v>
          </cell>
          <cell r="P26">
            <v>8.3699999999999992</v>
          </cell>
          <cell r="Q26">
            <v>7</v>
          </cell>
          <cell r="R26">
            <v>1.24</v>
          </cell>
          <cell r="S26">
            <v>3.71</v>
          </cell>
          <cell r="T26">
            <v>10.97</v>
          </cell>
          <cell r="U26">
            <v>2.5499999999999998</v>
          </cell>
          <cell r="V26">
            <v>2.65</v>
          </cell>
        </row>
        <row r="27">
          <cell r="M27" t="str">
            <v>16 mm²</v>
          </cell>
          <cell r="N27" t="str">
            <v>6 AWG</v>
          </cell>
          <cell r="O27">
            <v>6</v>
          </cell>
          <cell r="P27">
            <v>13.3</v>
          </cell>
          <cell r="Q27">
            <v>7</v>
          </cell>
          <cell r="R27">
            <v>1.55</v>
          </cell>
          <cell r="S27">
            <v>4.67</v>
          </cell>
          <cell r="T27">
            <v>17.420000000000002</v>
          </cell>
          <cell r="U27">
            <v>1.61</v>
          </cell>
          <cell r="V27">
            <v>1.67</v>
          </cell>
        </row>
        <row r="28">
          <cell r="M28" t="str">
            <v>25 mm²</v>
          </cell>
          <cell r="N28" t="str">
            <v>4 AWG</v>
          </cell>
          <cell r="O28">
            <v>4</v>
          </cell>
          <cell r="P28">
            <v>21.15</v>
          </cell>
          <cell r="Q28">
            <v>7</v>
          </cell>
          <cell r="R28">
            <v>1.96</v>
          </cell>
          <cell r="S28">
            <v>5.89</v>
          </cell>
          <cell r="T28">
            <v>27.1</v>
          </cell>
          <cell r="U28">
            <v>1.01</v>
          </cell>
          <cell r="V28">
            <v>1.05</v>
          </cell>
        </row>
        <row r="29">
          <cell r="N29" t="str">
            <v>3 AWG</v>
          </cell>
          <cell r="O29">
            <v>3</v>
          </cell>
          <cell r="P29">
            <v>26.66</v>
          </cell>
          <cell r="Q29">
            <v>7</v>
          </cell>
          <cell r="R29">
            <v>2.21</v>
          </cell>
          <cell r="S29">
            <v>6.6</v>
          </cell>
          <cell r="T29">
            <v>34.19</v>
          </cell>
          <cell r="U29">
            <v>0.8</v>
          </cell>
          <cell r="V29">
            <v>0.83299999999999996</v>
          </cell>
        </row>
        <row r="30">
          <cell r="M30" t="str">
            <v>35 mm²</v>
          </cell>
          <cell r="N30" t="str">
            <v>2 AWG</v>
          </cell>
          <cell r="O30">
            <v>2</v>
          </cell>
          <cell r="P30">
            <v>33.630000000000003</v>
          </cell>
          <cell r="Q30">
            <v>7</v>
          </cell>
          <cell r="R30">
            <v>2.46</v>
          </cell>
          <cell r="S30">
            <v>7.42</v>
          </cell>
          <cell r="T30">
            <v>43.23</v>
          </cell>
          <cell r="U30">
            <v>0.64</v>
          </cell>
          <cell r="V30">
            <v>0.65900000000000003</v>
          </cell>
        </row>
        <row r="31">
          <cell r="M31" t="str">
            <v>35 mm²</v>
          </cell>
          <cell r="N31" t="str">
            <v>1 AWG</v>
          </cell>
          <cell r="O31">
            <v>1</v>
          </cell>
          <cell r="P31">
            <v>42.41</v>
          </cell>
          <cell r="Q31">
            <v>19</v>
          </cell>
          <cell r="R31">
            <v>1.68</v>
          </cell>
          <cell r="S31">
            <v>8.43</v>
          </cell>
          <cell r="T31">
            <v>56.13</v>
          </cell>
          <cell r="U31">
            <v>0.51</v>
          </cell>
          <cell r="V31">
            <v>0.52500000000000002</v>
          </cell>
        </row>
        <row r="32">
          <cell r="M32" t="str">
            <v>50 mm²</v>
          </cell>
          <cell r="N32" t="str">
            <v>1/0 AWG</v>
          </cell>
          <cell r="O32" t="str">
            <v>1/0</v>
          </cell>
          <cell r="P32">
            <v>53.51</v>
          </cell>
          <cell r="Q32">
            <v>19</v>
          </cell>
          <cell r="R32">
            <v>1.88</v>
          </cell>
          <cell r="S32">
            <v>9.4499999999999993</v>
          </cell>
          <cell r="T32">
            <v>70.319999999999993</v>
          </cell>
          <cell r="U32">
            <v>0.4</v>
          </cell>
          <cell r="V32">
            <v>0.41699999999999998</v>
          </cell>
        </row>
        <row r="33">
          <cell r="M33" t="str">
            <v>75 mm²</v>
          </cell>
          <cell r="N33" t="str">
            <v>2/0 AWG</v>
          </cell>
          <cell r="O33" t="str">
            <v>2/0</v>
          </cell>
          <cell r="P33">
            <v>67.44</v>
          </cell>
          <cell r="Q33">
            <v>19</v>
          </cell>
          <cell r="R33">
            <v>2.13</v>
          </cell>
          <cell r="S33">
            <v>10.62</v>
          </cell>
          <cell r="T33">
            <v>88.39</v>
          </cell>
          <cell r="U33">
            <v>0.317</v>
          </cell>
          <cell r="V33">
            <v>0.33100000000000002</v>
          </cell>
        </row>
        <row r="34">
          <cell r="M34" t="str">
            <v>95 mm²</v>
          </cell>
          <cell r="N34" t="str">
            <v>3/0 AWG</v>
          </cell>
          <cell r="O34" t="str">
            <v>3/0</v>
          </cell>
          <cell r="P34">
            <v>85.03</v>
          </cell>
          <cell r="Q34">
            <v>19</v>
          </cell>
          <cell r="R34">
            <v>2.39</v>
          </cell>
          <cell r="S34">
            <v>11.94</v>
          </cell>
          <cell r="T34">
            <v>111.61</v>
          </cell>
          <cell r="U34">
            <v>0.251</v>
          </cell>
          <cell r="V34">
            <v>0.26100000000000001</v>
          </cell>
        </row>
        <row r="35">
          <cell r="M35" t="str">
            <v>95 mm²</v>
          </cell>
          <cell r="N35" t="str">
            <v>4/0 AWG</v>
          </cell>
          <cell r="O35" t="str">
            <v>4/0</v>
          </cell>
          <cell r="P35">
            <v>107.22</v>
          </cell>
          <cell r="Q35">
            <v>19</v>
          </cell>
          <cell r="R35">
            <v>2.69</v>
          </cell>
          <cell r="S35">
            <v>13.41</v>
          </cell>
          <cell r="T35">
            <v>141.29</v>
          </cell>
          <cell r="U35">
            <v>0.19900000000000001</v>
          </cell>
          <cell r="V35">
            <v>0.20499999999999999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V_INV_STRING"/>
      <sheetName val="PV_INV_PARALELO"/>
      <sheetName val="INV1_TABLERO FV"/>
      <sheetName val="INV1_TABLERO FV_N"/>
      <sheetName val="INV2_TABLERO FV"/>
      <sheetName val="INV2_TABLERO FV_N"/>
      <sheetName val="TABLERO FV_INTX"/>
      <sheetName val="Regulación_Voltaje"/>
      <sheetName val="Perdidas P_E "/>
      <sheetName val="Barraje_Pto conex"/>
      <sheetName val="Cap 2 NTC"/>
      <sheetName val="Cap 3 NTC"/>
      <sheetName val="Cap 9 NTC"/>
      <sheetName val="Tuberia"/>
      <sheetName val="Bandejas"/>
      <sheetName val="Cables"/>
      <sheetName val="Listas"/>
      <sheetName val="TABLA 2"/>
      <sheetName val="CAIDA DE TENSION TOTAL"/>
      <sheetName val="Acometida AC"/>
      <sheetName val="Symo 15.0-3"/>
      <sheetName val="Symo10.0-3"/>
      <sheetName val="Capacidad de Corriente"/>
      <sheetName val="Area cable"/>
    </sheetNames>
    <sheetDataSet>
      <sheetData sheetId="0">
        <row r="5">
          <cell r="B5">
            <v>570</v>
          </cell>
        </row>
      </sheetData>
      <sheetData sheetId="1"/>
      <sheetData sheetId="2">
        <row r="6">
          <cell r="B6">
            <v>220</v>
          </cell>
        </row>
        <row r="7">
          <cell r="B7">
            <v>45.5</v>
          </cell>
        </row>
      </sheetData>
      <sheetData sheetId="3"/>
      <sheetData sheetId="4"/>
      <sheetData sheetId="5"/>
      <sheetData sheetId="6"/>
      <sheetData sheetId="7"/>
      <sheetData sheetId="8"/>
      <sheetData sheetId="9"/>
      <sheetData sheetId="10"/>
      <sheetData sheetId="11"/>
      <sheetData sheetId="12">
        <row r="43">
          <cell r="P43" t="str">
            <v>CONDUIT PVC</v>
          </cell>
          <cell r="Q43" t="str">
            <v>CONDUIT METAL</v>
          </cell>
          <cell r="R43" t="str">
            <v>CONDUIT PVC</v>
          </cell>
          <cell r="S43" t="str">
            <v>CONDUIT METAL</v>
          </cell>
          <cell r="T43" t="str">
            <v>CONDUIT PVC</v>
          </cell>
          <cell r="U43" t="str">
            <v>CONDUIT METAL</v>
          </cell>
        </row>
        <row r="44">
          <cell r="N44" t="str">
            <v>14 AWG</v>
          </cell>
          <cell r="O44">
            <v>14</v>
          </cell>
          <cell r="P44">
            <v>0.19</v>
          </cell>
          <cell r="Q44">
            <v>0.24</v>
          </cell>
          <cell r="R44">
            <v>10.17</v>
          </cell>
          <cell r="S44">
            <v>10.17</v>
          </cell>
        </row>
        <row r="45">
          <cell r="N45" t="str">
            <v>12 AWG</v>
          </cell>
          <cell r="O45">
            <v>12</v>
          </cell>
          <cell r="P45">
            <v>0.17699999999999999</v>
          </cell>
          <cell r="Q45">
            <v>0.223</v>
          </cell>
          <cell r="R45">
            <v>6.56</v>
          </cell>
          <cell r="S45">
            <v>6.56</v>
          </cell>
          <cell r="T45">
            <v>10.49</v>
          </cell>
          <cell r="U45">
            <v>10.49</v>
          </cell>
        </row>
        <row r="46">
          <cell r="N46" t="str">
            <v>10 AWG</v>
          </cell>
          <cell r="O46">
            <v>10</v>
          </cell>
          <cell r="P46">
            <v>0.16400000000000001</v>
          </cell>
          <cell r="Q46">
            <v>0.20699999999999999</v>
          </cell>
          <cell r="R46">
            <v>3.94</v>
          </cell>
          <cell r="S46">
            <v>3.94</v>
          </cell>
          <cell r="T46">
            <v>6.56</v>
          </cell>
          <cell r="U46">
            <v>6.56</v>
          </cell>
        </row>
        <row r="47">
          <cell r="N47" t="str">
            <v>8 AWG</v>
          </cell>
          <cell r="O47">
            <v>8</v>
          </cell>
          <cell r="P47">
            <v>0.17100000000000001</v>
          </cell>
          <cell r="Q47">
            <v>0.21299999999999999</v>
          </cell>
          <cell r="R47">
            <v>2.56</v>
          </cell>
          <cell r="S47">
            <v>2.56</v>
          </cell>
          <cell r="T47">
            <v>4.2699999999999996</v>
          </cell>
          <cell r="U47">
            <v>4.2699999999999996</v>
          </cell>
        </row>
        <row r="48">
          <cell r="N48" t="str">
            <v>6 AWG</v>
          </cell>
          <cell r="O48">
            <v>6</v>
          </cell>
          <cell r="P48">
            <v>0.16700000000000001</v>
          </cell>
          <cell r="Q48">
            <v>0.21</v>
          </cell>
          <cell r="R48">
            <v>1.61</v>
          </cell>
          <cell r="S48">
            <v>1.61</v>
          </cell>
          <cell r="T48">
            <v>2.66</v>
          </cell>
          <cell r="U48">
            <v>2.66</v>
          </cell>
        </row>
        <row r="49">
          <cell r="N49" t="str">
            <v>4 AWG</v>
          </cell>
          <cell r="O49">
            <v>4</v>
          </cell>
          <cell r="P49">
            <v>0.157</v>
          </cell>
          <cell r="Q49">
            <v>0.19700000000000001</v>
          </cell>
          <cell r="R49">
            <v>1.02</v>
          </cell>
          <cell r="S49">
            <v>1.02</v>
          </cell>
          <cell r="T49">
            <v>1.67</v>
          </cell>
          <cell r="U49">
            <v>1.67</v>
          </cell>
        </row>
        <row r="50">
          <cell r="N50" t="str">
            <v>3 AWG</v>
          </cell>
          <cell r="O50">
            <v>3</v>
          </cell>
          <cell r="P50">
            <v>0.154</v>
          </cell>
          <cell r="Q50">
            <v>0.19400000000000001</v>
          </cell>
          <cell r="R50">
            <v>0.82</v>
          </cell>
          <cell r="S50">
            <v>0.82</v>
          </cell>
          <cell r="T50">
            <v>1.31</v>
          </cell>
          <cell r="U50">
            <v>1.31</v>
          </cell>
        </row>
        <row r="51">
          <cell r="N51" t="str">
            <v>2 AWG</v>
          </cell>
          <cell r="O51">
            <v>2</v>
          </cell>
          <cell r="P51">
            <v>0.14799999999999999</v>
          </cell>
          <cell r="Q51">
            <v>0.187</v>
          </cell>
          <cell r="R51">
            <v>0.623</v>
          </cell>
          <cell r="S51">
            <v>0.623</v>
          </cell>
          <cell r="T51">
            <v>1.05</v>
          </cell>
          <cell r="U51">
            <v>1.05</v>
          </cell>
        </row>
        <row r="52">
          <cell r="N52" t="str">
            <v>1 AWG</v>
          </cell>
          <cell r="O52">
            <v>1</v>
          </cell>
          <cell r="P52">
            <v>0.151</v>
          </cell>
          <cell r="Q52">
            <v>0.187</v>
          </cell>
          <cell r="R52">
            <v>0.52500000000000002</v>
          </cell>
          <cell r="S52">
            <v>0.52500000000000002</v>
          </cell>
          <cell r="T52">
            <v>0.82</v>
          </cell>
          <cell r="U52">
            <v>0.82</v>
          </cell>
        </row>
        <row r="53">
          <cell r="N53" t="str">
            <v>1/0 AWG</v>
          </cell>
          <cell r="O53" t="str">
            <v>1/0</v>
          </cell>
          <cell r="P53">
            <v>0.14399999999999999</v>
          </cell>
          <cell r="Q53">
            <v>0.18</v>
          </cell>
          <cell r="R53">
            <v>0.39400000000000002</v>
          </cell>
          <cell r="S53">
            <v>0.39400000000000002</v>
          </cell>
          <cell r="T53">
            <v>0.65600000000000003</v>
          </cell>
          <cell r="U53">
            <v>0.65600000000000003</v>
          </cell>
        </row>
        <row r="54">
          <cell r="N54" t="str">
            <v>2/0 AWG</v>
          </cell>
          <cell r="O54" t="str">
            <v>2/0</v>
          </cell>
          <cell r="P54">
            <v>0.14099999999999999</v>
          </cell>
          <cell r="Q54">
            <v>0.17699999999999999</v>
          </cell>
          <cell r="R54">
            <v>0.32800000000000001</v>
          </cell>
          <cell r="S54">
            <v>0.32800000000000001</v>
          </cell>
          <cell r="T54">
            <v>0.52500000000000002</v>
          </cell>
          <cell r="U54">
            <v>0.52500000000000002</v>
          </cell>
        </row>
        <row r="55">
          <cell r="N55" t="str">
            <v>3/0 AWG</v>
          </cell>
          <cell r="O55" t="str">
            <v>3/0</v>
          </cell>
          <cell r="P55">
            <v>0.13800000000000001</v>
          </cell>
          <cell r="Q55">
            <v>0.17100000000000001</v>
          </cell>
          <cell r="R55">
            <v>0.253</v>
          </cell>
          <cell r="S55">
            <v>0.25900000000000001</v>
          </cell>
          <cell r="T55">
            <v>0.42699999999999999</v>
          </cell>
          <cell r="U55">
            <v>0.42699999999999999</v>
          </cell>
        </row>
        <row r="56">
          <cell r="N56" t="str">
            <v>4/0 AWG</v>
          </cell>
          <cell r="O56" t="str">
            <v>4/0</v>
          </cell>
          <cell r="P56">
            <v>0.13500000000000001</v>
          </cell>
          <cell r="Q56">
            <v>0.16700000000000001</v>
          </cell>
          <cell r="R56">
            <v>0.20300000000000001</v>
          </cell>
          <cell r="S56">
            <v>0.20699999999999999</v>
          </cell>
          <cell r="T56">
            <v>0.32800000000000001</v>
          </cell>
          <cell r="U56">
            <v>0.32800000000000001</v>
          </cell>
        </row>
        <row r="57">
          <cell r="N57" t="str">
            <v>250 kcmil</v>
          </cell>
          <cell r="O57">
            <v>250</v>
          </cell>
          <cell r="P57">
            <v>0.13500000000000001</v>
          </cell>
          <cell r="Q57">
            <v>0.17100000000000001</v>
          </cell>
          <cell r="R57">
            <v>0.17100000000000001</v>
          </cell>
          <cell r="S57">
            <v>0.17699999999999999</v>
          </cell>
          <cell r="T57">
            <v>0.27900000000000003</v>
          </cell>
          <cell r="U57">
            <v>0.28199999999999997</v>
          </cell>
        </row>
        <row r="58">
          <cell r="N58" t="str">
            <v>300 kcmil</v>
          </cell>
          <cell r="O58">
            <v>300</v>
          </cell>
          <cell r="P58">
            <v>0.13500000000000001</v>
          </cell>
          <cell r="Q58">
            <v>0.16700000000000001</v>
          </cell>
          <cell r="R58">
            <v>0.14399999999999999</v>
          </cell>
          <cell r="S58">
            <v>0.14799999999999999</v>
          </cell>
          <cell r="T58">
            <v>0.23300000000000001</v>
          </cell>
          <cell r="U58">
            <v>0.23599999999999999</v>
          </cell>
        </row>
        <row r="59">
          <cell r="N59" t="str">
            <v>350 kcmil</v>
          </cell>
          <cell r="O59">
            <v>350</v>
          </cell>
          <cell r="P59">
            <v>0.13100000000000001</v>
          </cell>
          <cell r="Q59">
            <v>0.16400000000000001</v>
          </cell>
          <cell r="R59">
            <v>0.125</v>
          </cell>
          <cell r="S59">
            <v>0.128</v>
          </cell>
          <cell r="T59">
            <v>0.2</v>
          </cell>
          <cell r="U59">
            <v>0.20599999999999999</v>
          </cell>
        </row>
        <row r="60">
          <cell r="N60" t="str">
            <v>400 kcmil</v>
          </cell>
          <cell r="O60">
            <v>400</v>
          </cell>
          <cell r="P60">
            <v>0.13100000000000001</v>
          </cell>
          <cell r="Q60">
            <v>0.161</v>
          </cell>
          <cell r="R60">
            <v>0.108</v>
          </cell>
          <cell r="S60">
            <v>0.115</v>
          </cell>
          <cell r="T60">
            <v>0.17699999999999999</v>
          </cell>
          <cell r="U60">
            <v>0.18</v>
          </cell>
        </row>
        <row r="61">
          <cell r="N61" t="str">
            <v>500 kcmil</v>
          </cell>
          <cell r="O61">
            <v>500</v>
          </cell>
          <cell r="P61">
            <v>0.128</v>
          </cell>
          <cell r="Q61">
            <v>0.157</v>
          </cell>
          <cell r="R61">
            <v>8.8999999999999996E-2</v>
          </cell>
          <cell r="S61">
            <v>9.5000000000000001E-2</v>
          </cell>
          <cell r="T61">
            <v>0.14099999999999999</v>
          </cell>
          <cell r="U61">
            <v>0.14799999999999999</v>
          </cell>
        </row>
        <row r="62">
          <cell r="N62" t="str">
            <v>600 kcmil</v>
          </cell>
          <cell r="O62">
            <v>600</v>
          </cell>
          <cell r="P62">
            <v>0.129</v>
          </cell>
          <cell r="Q62">
            <v>0.157</v>
          </cell>
          <cell r="R62">
            <v>7.4999999999999997E-2</v>
          </cell>
          <cell r="S62">
            <v>8.2000000000000003E-2</v>
          </cell>
          <cell r="T62">
            <v>0.11799999999999999</v>
          </cell>
          <cell r="U62">
            <v>0.125</v>
          </cell>
        </row>
        <row r="63">
          <cell r="N63" t="str">
            <v>750 kcmil</v>
          </cell>
          <cell r="O63">
            <v>750</v>
          </cell>
          <cell r="P63">
            <v>0.125</v>
          </cell>
          <cell r="Q63">
            <v>0.157</v>
          </cell>
          <cell r="R63">
            <v>6.5000000000000002E-2</v>
          </cell>
          <cell r="S63">
            <v>6.9000000000000006E-2</v>
          </cell>
          <cell r="T63">
            <v>9.5000000000000001E-2</v>
          </cell>
          <cell r="U63">
            <v>0.10199999999999999</v>
          </cell>
        </row>
        <row r="64">
          <cell r="N64" t="str">
            <v>1000 kcmil</v>
          </cell>
          <cell r="O64">
            <v>1000</v>
          </cell>
          <cell r="P64">
            <v>0.121</v>
          </cell>
          <cell r="Q64">
            <v>0.151</v>
          </cell>
          <cell r="R64">
            <v>4.9000000000000002E-2</v>
          </cell>
          <cell r="S64">
            <v>5.8999999999999997E-2</v>
          </cell>
          <cell r="T64">
            <v>7.4999999999999997E-2</v>
          </cell>
          <cell r="U64">
            <v>8.2000000000000003E-2</v>
          </cell>
        </row>
      </sheetData>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0DDD12-0EE1-4873-AEA9-2E2BBC43A41A}" name="Tabla2" displayName="Tabla2" ref="C7:E8" totalsRowShown="0" headerRowDxfId="321" headerRowBorderDxfId="320" tableBorderDxfId="319" totalsRowBorderDxfId="318">
  <autoFilter ref="C7:E8" xr:uid="{3D0DDD12-0EE1-4873-AEA9-2E2BBC43A41A}"/>
  <tableColumns count="3">
    <tableColumn id="1" xr3:uid="{E09462B6-FB97-4654-B1AA-9431E8D09F60}" name="INVERSOR" dataDxfId="317"/>
    <tableColumn id="2" xr3:uid="{BACC7B7A-E578-47E7-A3F8-4F138E70A8AB}" name="% REG AC" dataDxfId="316" dataCellStyle="Porcentaje">
      <calculatedColumnFormula>AB2+AI2</calculatedColumnFormula>
    </tableColumn>
    <tableColumn id="3" xr3:uid="{0E812F1F-D3F8-4328-AEC5-400B6A638124}" name="% REGULACION TOTAL" dataDxfId="315" dataCellStyle="Porcentaje">
      <calculatedColumnFormula>AC2</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2EA789-208F-43FF-9DF5-DBEF79646274}" name="Tabla1" displayName="Tabla1" ref="A1:B8" totalsRowShown="0" headerRowBorderDxfId="3" tableBorderDxfId="4" totalsRowBorderDxfId="2">
  <autoFilter ref="A1:B8" xr:uid="{262EA789-208F-43FF-9DF5-DBEF79646274}"/>
  <tableColumns count="2">
    <tableColumn id="1" xr3:uid="{984DE16E-51C8-4025-BB06-B89CF2F9CD6D}" name="Columna1" dataDxfId="1"/>
    <tableColumn id="2" xr3:uid="{EB6790D1-33B5-4373-8BEF-AD53A65047CA}" name="Columna2"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C136-C1DE-43D1-ADD4-BF9D57D3D345}">
  <dimension ref="A5:B23"/>
  <sheetViews>
    <sheetView showGridLines="0" workbookViewId="0">
      <selection activeCell="B23" sqref="B23"/>
    </sheetView>
  </sheetViews>
  <sheetFormatPr baseColWidth="10" defaultRowHeight="14.4" x14ac:dyDescent="0.3"/>
  <cols>
    <col min="1" max="1" width="3" bestFit="1" customWidth="1"/>
    <col min="2" max="2" width="55" bestFit="1" customWidth="1"/>
  </cols>
  <sheetData>
    <row r="5" spans="1:2" x14ac:dyDescent="0.3">
      <c r="B5" s="236" t="s">
        <v>597</v>
      </c>
    </row>
    <row r="6" spans="1:2" x14ac:dyDescent="0.3">
      <c r="B6" s="43"/>
    </row>
    <row r="7" spans="1:2" x14ac:dyDescent="0.3">
      <c r="A7" s="236">
        <v>1</v>
      </c>
      <c r="B7" s="234" t="s">
        <v>585</v>
      </c>
    </row>
    <row r="8" spans="1:2" x14ac:dyDescent="0.3">
      <c r="A8" s="236">
        <v>2</v>
      </c>
      <c r="B8" s="234" t="s">
        <v>586</v>
      </c>
    </row>
    <row r="9" spans="1:2" x14ac:dyDescent="0.3">
      <c r="A9" s="236">
        <v>3</v>
      </c>
      <c r="B9" s="234" t="s">
        <v>587</v>
      </c>
    </row>
    <row r="10" spans="1:2" x14ac:dyDescent="0.3">
      <c r="A10" s="236">
        <v>4</v>
      </c>
      <c r="B10" s="234" t="s">
        <v>584</v>
      </c>
    </row>
    <row r="11" spans="1:2" x14ac:dyDescent="0.3">
      <c r="A11" s="236">
        <v>5</v>
      </c>
      <c r="B11" s="234" t="s">
        <v>588</v>
      </c>
    </row>
    <row r="12" spans="1:2" x14ac:dyDescent="0.3">
      <c r="A12" s="236">
        <v>6</v>
      </c>
      <c r="B12" s="234" t="s">
        <v>592</v>
      </c>
    </row>
    <row r="13" spans="1:2" x14ac:dyDescent="0.3">
      <c r="A13" s="236">
        <v>7</v>
      </c>
      <c r="B13" s="234" t="s">
        <v>593</v>
      </c>
    </row>
    <row r="14" spans="1:2" x14ac:dyDescent="0.3">
      <c r="A14" s="236">
        <v>8</v>
      </c>
      <c r="B14" s="234" t="s">
        <v>594</v>
      </c>
    </row>
    <row r="15" spans="1:2" x14ac:dyDescent="0.3">
      <c r="A15" s="236">
        <v>9</v>
      </c>
      <c r="B15" s="234" t="s">
        <v>595</v>
      </c>
    </row>
    <row r="16" spans="1:2" x14ac:dyDescent="0.3">
      <c r="A16" s="236">
        <v>10</v>
      </c>
      <c r="B16" s="234" t="s">
        <v>596</v>
      </c>
    </row>
    <row r="17" spans="1:2" x14ac:dyDescent="0.3">
      <c r="A17" s="236">
        <v>11</v>
      </c>
      <c r="B17" s="234" t="s">
        <v>589</v>
      </c>
    </row>
    <row r="18" spans="1:2" x14ac:dyDescent="0.3">
      <c r="A18" s="236">
        <v>12</v>
      </c>
      <c r="B18" s="234" t="s">
        <v>590</v>
      </c>
    </row>
    <row r="19" spans="1:2" x14ac:dyDescent="0.3">
      <c r="A19" s="236">
        <v>13</v>
      </c>
      <c r="B19" s="234" t="s">
        <v>591</v>
      </c>
    </row>
    <row r="20" spans="1:2" x14ac:dyDescent="0.3">
      <c r="A20" s="236">
        <v>14</v>
      </c>
      <c r="B20" s="234" t="s">
        <v>583</v>
      </c>
    </row>
    <row r="21" spans="1:2" x14ac:dyDescent="0.3">
      <c r="A21" s="236">
        <v>15</v>
      </c>
      <c r="B21" s="234" t="s">
        <v>598</v>
      </c>
    </row>
    <row r="22" spans="1:2" x14ac:dyDescent="0.3">
      <c r="A22" s="236">
        <v>16</v>
      </c>
      <c r="B22" s="234" t="s">
        <v>599</v>
      </c>
    </row>
    <row r="23" spans="1:2" x14ac:dyDescent="0.3">
      <c r="A23" s="236">
        <v>17</v>
      </c>
      <c r="B23" s="234" t="s">
        <v>654</v>
      </c>
    </row>
  </sheetData>
  <hyperlinks>
    <hyperlink ref="B7" location="PV_INV_STRING!A1" display="Calculo SSFV Strings a Inversor" xr:uid="{0D0A5539-CC6E-4174-BF3A-D3A68394EF25}"/>
    <hyperlink ref="B8" location="'INV1_TABLERO FV'!A1" display="Calculo SSFV Salida del inversor - Tablero AC" xr:uid="{AC641859-B2A4-4446-827C-60718D13CF2B}"/>
    <hyperlink ref="B9" location="'TABLERO FV_INTX'!A1" display="Calculo SSFV Tablero AC - Punto de Interconexión cliente" xr:uid="{51D89B43-655F-497E-B494-2C3597371411}"/>
    <hyperlink ref="B20" location="Dimensionamientodelsistema!A1" display="Dimensionamiento del Sistema" xr:uid="{C612C199-D427-49C1-B72A-CA597B827C6C}"/>
    <hyperlink ref="B10" location="Regulación_Voltaje!A1" display="Cálculo regulación de Voltaje" xr:uid="{E5142306-1723-4375-810A-81F462010DDE}"/>
    <hyperlink ref="B11" location="'Perdidas P_E '!A1" display="Pérdidas de energia en el SSFV" xr:uid="{1CFEE3E1-DC1F-4D84-B589-99A12A62A83E}"/>
    <hyperlink ref="B17" location="'Cap 2 NTC'!A1" display="NTC 2050 Puesta a tierra" xr:uid="{0E7C1E55-3562-4FE5-84A6-5777FCB8802B}"/>
    <hyperlink ref="B18" location="'Cap 3 NTC'!A1" display="NTC 2050 Tabla auxiliar para cálculo de conductores" xr:uid="{D180517D-20B0-41C5-B3B1-DFA92E8CEB5D}"/>
    <hyperlink ref="B19" location="'Cap 9 NTC'!A1" display="NTC 2050 Tabla auxiliar para cálculo de llenado de tuberias" xr:uid="{B5194D5F-31C4-49B0-AD93-9D397C04A07E}"/>
    <hyperlink ref="B12" location="'CAIDA DE TENSION TOTAL'!A1" display="Cálculo caida de tensión en el SSFV" xr:uid="{524936D9-B113-4A47-92E7-117311F7ED59}"/>
    <hyperlink ref="B13" location="Tuberia!A1" display="Tabla auxiliar información ficha técnica de tuberia  " xr:uid="{1E745F39-2596-466E-8934-C7A2444B02D2}"/>
    <hyperlink ref="B14" location="Tuberia!A1" display="Tabla auxiliar información ficha técnica de tuberia  " xr:uid="{70BAB7FD-2C3B-4240-8F0A-C1988D7BC4C3}"/>
    <hyperlink ref="B15" location="Cables!A1" display="Tabla auxiliar conversión áreas de cableado" xr:uid="{323D4237-F9FE-4642-9F29-022584C9E9A5}"/>
    <hyperlink ref="B16" location="'TABLA 2'!A1" display="NTC 2050 Tabla 310-16" xr:uid="{1AE55DFD-D626-4053-B61D-54EC32E9E2FB}"/>
    <hyperlink ref="B21" location="regulaciondelsistema!A1" display="Tabla resumen 2" xr:uid="{533C9BA2-B98E-406B-9EB5-7394212D2C1F}"/>
    <hyperlink ref="B22" location="perdidasdeenergia!A1" display="Tabla resumen 3" xr:uid="{D251D948-6CA5-49FB-AA44-85882EEF0144}"/>
    <hyperlink ref="B23" location="Vars!A1" display="Variables del sistema en la mémoria de cálculo" xr:uid="{EF894061-4EFA-4A80-B918-C67E39F29DB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4"/>
  <sheetViews>
    <sheetView showGridLines="0" topLeftCell="A68" zoomScale="90" zoomScaleNormal="90" workbookViewId="0">
      <selection activeCell="B72" sqref="B72"/>
    </sheetView>
  </sheetViews>
  <sheetFormatPr baseColWidth="10" defaultColWidth="11.44140625" defaultRowHeight="14.4" x14ac:dyDescent="0.3"/>
  <cols>
    <col min="1" max="1" width="38.6640625" customWidth="1"/>
    <col min="2" max="2" width="23.109375" customWidth="1"/>
    <col min="3" max="3" width="11.88671875" bestFit="1" customWidth="1"/>
    <col min="4" max="4" width="16.5546875" customWidth="1"/>
    <col min="5" max="5" width="38.88671875" customWidth="1"/>
    <col min="6" max="6" width="20.33203125" customWidth="1"/>
    <col min="7" max="7" width="34.5546875" customWidth="1"/>
    <col min="8" max="8" width="18.88671875" customWidth="1"/>
    <col min="10" max="10" width="22.33203125" customWidth="1"/>
  </cols>
  <sheetData>
    <row r="1" spans="1:8" x14ac:dyDescent="0.3">
      <c r="A1" s="43" t="s">
        <v>442</v>
      </c>
      <c r="H1" s="43" t="s">
        <v>315</v>
      </c>
    </row>
    <row r="2" spans="1:8" x14ac:dyDescent="0.3">
      <c r="A2" s="212" t="s">
        <v>298</v>
      </c>
      <c r="B2" s="212" t="s">
        <v>76</v>
      </c>
      <c r="H2" t="str">
        <f>IF(AND(B19&gt;=21,B19&lt;=25),"21-25",IF(AND(B19&gt;=26,B19&lt;=30),"26-30",IF(AND(B19&gt;=31,B19&lt;=35),"31-35",IF(AND(B19&gt;=36,B19&lt;=40),"36-40",IF(AND(B19&gt;=41,B19&lt;=45),"41-45",IF(AND(B19&gt;=46,B19&lt;=50),"46-50",IF(AND(B19&gt;=51,B19&lt;=55),"51-55",IF(AND(B19&gt;=56,B19&lt;=60),"56-60",IF(AND(B19&gt;=61,B19&lt;=70),"61-70",IF(AND(B19&gt;=71,B19&lt;=80),"71-80","ERROR"))))))))))</f>
        <v>21-25</v>
      </c>
    </row>
    <row r="3" spans="1:8" x14ac:dyDescent="0.3">
      <c r="A3" s="213" t="s">
        <v>296</v>
      </c>
      <c r="B3" s="214" t="s">
        <v>658</v>
      </c>
      <c r="H3">
        <f>IF(AND(B23&gt;=1,B23&lt;=3),1,IF(AND(B23&gt;=4,B23&lt;=6),"De 4 a 6",IF(AND(B23&gt;=7,B23&lt;=9),"De 7 a 9",IF(AND(B23&gt;=10,B23&lt;=20),"De 10 a 20",IF(AND(B23&gt;=21,B23&lt;=30),"De 21 a 30",IF(AND(B23&gt;=31,B23&lt;=40),"De 31 a 40",IF(B23&gt;=41,"De 41 y más","ERROR")))))))</f>
        <v>1</v>
      </c>
    </row>
    <row r="4" spans="1:8" x14ac:dyDescent="0.3">
      <c r="A4" s="213" t="s">
        <v>156</v>
      </c>
      <c r="B4" s="215" t="s">
        <v>659</v>
      </c>
      <c r="D4" t="s">
        <v>552</v>
      </c>
      <c r="H4" s="193">
        <f>IF(B20="COBRE",IF(OR(B21="90 ºC",B21="120 ºC"),INDEX('Cap 3 NTC'!P8:P37,MATCH(B32,'Cap 3 NTC'!P8:P37,-1)),IF(B21="75 ºC",INDEX('Cap 3 NTC'!O8:O37,MATCH(B32,'Cap 3 NTC'!O8:O37,-1)),INDEX('Cap 3 NTC'!N8:N37,MATCH(B32,'Cap 3 NTC'!N8:N37,-1)))),IF(OR(B21="90 ºC",B21="120 ºC"),INDEX('Cap 3 NTC'!S8:S37,MATCH(B32,'Cap 3 NTC'!S8:S37,-1)),IF(B21="75 ºC",INDEX('Cap 3 NTC'!R8:R37,MATCH(B32,'Cap 3 NTC'!R8:R37,-1)),INDEX('Cap 3 NTC'!Q8:Q37,MATCH(B32,'Cap 3 NTC'!Q8:Q37,-1)))))</f>
        <v>18</v>
      </c>
    </row>
    <row r="5" spans="1:8" x14ac:dyDescent="0.3">
      <c r="A5" s="213" t="s">
        <v>291</v>
      </c>
      <c r="B5" s="214">
        <v>570</v>
      </c>
      <c r="C5" s="276">
        <f>($B$5*$D$5)/1000</f>
        <v>10.83</v>
      </c>
      <c r="D5">
        <v>19</v>
      </c>
    </row>
    <row r="6" spans="1:8" x14ac:dyDescent="0.3">
      <c r="A6" s="213" t="s">
        <v>292</v>
      </c>
      <c r="B6" s="215">
        <v>51.91</v>
      </c>
      <c r="C6" s="45">
        <f>B6*$D$5</f>
        <v>986.29</v>
      </c>
    </row>
    <row r="7" spans="1:8" x14ac:dyDescent="0.3">
      <c r="A7" s="213" t="s">
        <v>293</v>
      </c>
      <c r="B7" s="214">
        <v>14.07</v>
      </c>
    </row>
    <row r="8" spans="1:8" x14ac:dyDescent="0.3">
      <c r="A8" s="213" t="s">
        <v>294</v>
      </c>
      <c r="B8" s="215">
        <v>43.76</v>
      </c>
      <c r="C8" s="223">
        <f>B8*$D$5</f>
        <v>831.43999999999994</v>
      </c>
    </row>
    <row r="9" spans="1:8" x14ac:dyDescent="0.3">
      <c r="A9" s="213" t="s">
        <v>295</v>
      </c>
      <c r="B9" s="214">
        <v>13.03</v>
      </c>
    </row>
    <row r="11" spans="1:8" ht="15.6" x14ac:dyDescent="0.3">
      <c r="A11" s="288" t="s">
        <v>299</v>
      </c>
      <c r="B11" s="288"/>
      <c r="C11" s="288"/>
      <c r="D11" s="288"/>
      <c r="E11" s="288"/>
      <c r="F11" s="288"/>
      <c r="G11" s="288"/>
    </row>
    <row r="12" spans="1:8" ht="12" customHeight="1" x14ac:dyDescent="0.3"/>
    <row r="13" spans="1:8" x14ac:dyDescent="0.3">
      <c r="A13" s="140" t="s">
        <v>530</v>
      </c>
      <c r="B13" s="23" t="s">
        <v>532</v>
      </c>
    </row>
    <row r="14" spans="1:8" x14ac:dyDescent="0.3">
      <c r="A14" s="140" t="s">
        <v>529</v>
      </c>
      <c r="B14" s="28">
        <v>1</v>
      </c>
      <c r="C14" t="s">
        <v>428</v>
      </c>
    </row>
    <row r="15" spans="1:8" x14ac:dyDescent="0.3">
      <c r="A15" s="140" t="s">
        <v>297</v>
      </c>
      <c r="B15" s="142">
        <f>B14*B7</f>
        <v>14.07</v>
      </c>
    </row>
    <row r="17" spans="1:7" ht="15.6" x14ac:dyDescent="0.3">
      <c r="A17" s="288" t="s">
        <v>415</v>
      </c>
      <c r="B17" s="288"/>
      <c r="C17" s="288"/>
      <c r="D17" s="288"/>
      <c r="E17" s="288"/>
      <c r="F17" s="288"/>
      <c r="G17" s="288"/>
    </row>
    <row r="18" spans="1:7" ht="12" customHeight="1" x14ac:dyDescent="0.3"/>
    <row r="19" spans="1:7" x14ac:dyDescent="0.3">
      <c r="A19" s="140" t="s">
        <v>311</v>
      </c>
      <c r="B19" s="28">
        <v>24</v>
      </c>
      <c r="C19" t="s">
        <v>312</v>
      </c>
    </row>
    <row r="20" spans="1:7" x14ac:dyDescent="0.3">
      <c r="A20" s="140" t="s">
        <v>314</v>
      </c>
      <c r="B20" s="23" t="s">
        <v>202</v>
      </c>
    </row>
    <row r="21" spans="1:7" x14ac:dyDescent="0.3">
      <c r="A21" s="140" t="s">
        <v>305</v>
      </c>
      <c r="B21" s="141" t="s">
        <v>194</v>
      </c>
    </row>
    <row r="22" spans="1:7" x14ac:dyDescent="0.3">
      <c r="A22" s="140" t="s">
        <v>414</v>
      </c>
      <c r="B22" s="141" t="s">
        <v>412</v>
      </c>
      <c r="C22" t="s">
        <v>429</v>
      </c>
    </row>
    <row r="23" spans="1:7" ht="28.8" x14ac:dyDescent="0.3">
      <c r="A23" s="140" t="s">
        <v>308</v>
      </c>
      <c r="B23" s="28">
        <v>2</v>
      </c>
      <c r="C23" t="s">
        <v>313</v>
      </c>
    </row>
    <row r="25" spans="1:7" x14ac:dyDescent="0.3">
      <c r="A25" s="43" t="s">
        <v>370</v>
      </c>
    </row>
    <row r="26" spans="1:7" x14ac:dyDescent="0.3">
      <c r="A26" s="140" t="s">
        <v>317</v>
      </c>
      <c r="B26" s="142">
        <f>1.25*B15</f>
        <v>17.587499999999999</v>
      </c>
      <c r="C26" t="s">
        <v>447</v>
      </c>
      <c r="G26" s="43"/>
    </row>
    <row r="28" spans="1:7" x14ac:dyDescent="0.3">
      <c r="A28" s="140" t="s">
        <v>157</v>
      </c>
      <c r="B28" s="142">
        <f>IF(B20="COBRE",VLOOKUP(H2,'Cap 3 NTC'!A41:D50,MATCH(B21,'Cap 3 NTC'!A4:D4,0),FALSE),VLOOKUP(H2,'Cap 3 NTC'!A41:G50,MATCH(B21,'Cap 3 NTC'!E4:G4,0)+4,FALSE))</f>
        <v>1.04</v>
      </c>
      <c r="C28" t="s">
        <v>309</v>
      </c>
      <c r="F28" t="s">
        <v>342</v>
      </c>
    </row>
    <row r="29" spans="1:7" x14ac:dyDescent="0.3">
      <c r="A29" s="140" t="s">
        <v>158</v>
      </c>
      <c r="B29" s="142">
        <f>IF(B22="BANDEJA PORTACABLES",1,IF(AND(B23&gt;=1,B23&lt;=3),1,VLOOKUP(H3,'Cap 3 NTC'!J41:K46,2,FALSE)))</f>
        <v>1</v>
      </c>
      <c r="C29" t="s">
        <v>310</v>
      </c>
      <c r="F29" s="44" t="s">
        <v>421</v>
      </c>
    </row>
    <row r="30" spans="1:7" x14ac:dyDescent="0.3">
      <c r="A30" s="140" t="s">
        <v>316</v>
      </c>
      <c r="B30" s="142">
        <f>B15/(B28*B29)</f>
        <v>13.528846153846153</v>
      </c>
      <c r="C30" t="s">
        <v>301</v>
      </c>
      <c r="G30" s="292" t="s">
        <v>416</v>
      </c>
    </row>
    <row r="31" spans="1:7" x14ac:dyDescent="0.3">
      <c r="G31" s="292"/>
    </row>
    <row r="32" spans="1:7" x14ac:dyDescent="0.3">
      <c r="A32" s="143" t="s">
        <v>389</v>
      </c>
      <c r="B32" s="142">
        <f>IF(B30&gt;=B26,B30,B26)</f>
        <v>17.587499999999999</v>
      </c>
      <c r="E32" s="45"/>
      <c r="G32" s="292"/>
    </row>
    <row r="33" spans="1:7" x14ac:dyDescent="0.3">
      <c r="A33" s="143" t="s">
        <v>318</v>
      </c>
      <c r="B33" s="196">
        <f>IF(B20="COBRE",IF(OR(B21="90 ºC",B21="120 ºC"),VLOOKUP(H4,'Cap 3 NTC'!P8:U37,6,FALSE),IF(B21="75 ºC",VLOOKUP(H4,'Cap 3 NTC'!O8:U37,7,FALSE),IF(B21="60 ºC",VLOOKUP(H4,'Cap 3 NTC'!N8:U37,8,FALSE)))),IF(OR(B21="90 ºC",B21="120 ºC"),VLOOKUP(H4,'Cap 3 NTC'!S8:U37,3,FALSE),IF(B21="75 ºC",VLOOKUP(H4,'Cap 3 NTC'!R8:U37,4,FALSE),IF(B21="60 ºC",VLOOKUP(H4,'Cap 3 NTC'!Q8:U37,5,FALSE)))))</f>
        <v>16</v>
      </c>
      <c r="C33" s="144"/>
      <c r="G33" s="292"/>
    </row>
    <row r="34" spans="1:7" x14ac:dyDescent="0.3">
      <c r="G34" s="292"/>
    </row>
    <row r="35" spans="1:7" x14ac:dyDescent="0.3">
      <c r="A35" s="143" t="s">
        <v>319</v>
      </c>
      <c r="B35" s="146" t="s">
        <v>56</v>
      </c>
      <c r="C35" t="s">
        <v>371</v>
      </c>
      <c r="G35" s="292"/>
    </row>
    <row r="36" spans="1:7" x14ac:dyDescent="0.3">
      <c r="A36" s="143" t="s">
        <v>475</v>
      </c>
      <c r="B36" s="196">
        <f>VLOOKUP(B35,Cables!F3:G28,2,FALSE)</f>
        <v>4</v>
      </c>
    </row>
    <row r="38" spans="1:7" ht="15.6" x14ac:dyDescent="0.3">
      <c r="A38" s="288" t="s">
        <v>422</v>
      </c>
      <c r="B38" s="288"/>
      <c r="C38" s="288"/>
      <c r="D38" s="288"/>
      <c r="E38" s="288"/>
      <c r="F38" s="288"/>
      <c r="G38" s="288"/>
    </row>
    <row r="39" spans="1:7" ht="12" customHeight="1" x14ac:dyDescent="0.3"/>
    <row r="40" spans="1:7" x14ac:dyDescent="0.3">
      <c r="A40" s="140" t="s">
        <v>328</v>
      </c>
      <c r="B40" s="142">
        <f>1.25*B15</f>
        <v>17.587499999999999</v>
      </c>
      <c r="C40" t="s">
        <v>448</v>
      </c>
    </row>
    <row r="42" spans="1:7" ht="28.8" x14ac:dyDescent="0.3">
      <c r="A42" s="140" t="s">
        <v>329</v>
      </c>
      <c r="B42" s="141">
        <v>20</v>
      </c>
      <c r="C42" t="s">
        <v>332</v>
      </c>
    </row>
    <row r="44" spans="1:7" x14ac:dyDescent="0.3">
      <c r="A44" s="147" t="str">
        <f>IF(B42&gt;=B40,"OK","ERROR")</f>
        <v>OK</v>
      </c>
      <c r="B44" s="289" t="str">
        <f>IF(A44="OK","Protección seleccionada es mayor a la corriente minima de OCPD",IF(A44="ERROR","La protección seleccionada debe ser mayor a la corriente minima de OCPD"))</f>
        <v>Protección seleccionada es mayor a la corriente minima de OCPD</v>
      </c>
      <c r="C44" s="289"/>
      <c r="D44" s="289"/>
      <c r="F44" s="44" t="s">
        <v>366</v>
      </c>
    </row>
    <row r="45" spans="1:7" x14ac:dyDescent="0.3">
      <c r="B45" s="289"/>
      <c r="C45" s="289"/>
      <c r="D45" s="289"/>
    </row>
    <row r="46" spans="1:7" ht="12" customHeight="1" x14ac:dyDescent="0.3"/>
    <row r="47" spans="1:7" ht="15.6" x14ac:dyDescent="0.3">
      <c r="A47" s="288" t="s">
        <v>336</v>
      </c>
      <c r="B47" s="288"/>
      <c r="C47" s="288"/>
      <c r="D47" s="288"/>
      <c r="E47" s="288"/>
      <c r="F47" s="288"/>
      <c r="G47" s="288"/>
    </row>
    <row r="48" spans="1:7" ht="12" customHeight="1" x14ac:dyDescent="0.3"/>
    <row r="49" spans="1:9" ht="28.8" x14ac:dyDescent="0.3">
      <c r="A49" s="140" t="s">
        <v>331</v>
      </c>
      <c r="B49" s="141" t="s">
        <v>192</v>
      </c>
      <c r="C49" s="290" t="s">
        <v>335</v>
      </c>
      <c r="D49" s="291"/>
      <c r="E49" s="291"/>
      <c r="F49" s="291"/>
      <c r="G49" s="291"/>
      <c r="H49" s="291"/>
      <c r="I49" s="291"/>
    </row>
    <row r="51" spans="1:9" ht="28.8" x14ac:dyDescent="0.3">
      <c r="A51" s="140" t="str">
        <f>CONCATENATE("Ampacidad del cable seleccionado @", B49, " [A]")</f>
        <v>Ampacidad del cable seleccionado @60 ºC [A]</v>
      </c>
      <c r="B51" s="145">
        <f>IF(B20="COBRE",IF(OR(B49="90 ºC",B49="120 ºC"),VLOOKUP(B35,'Cap 3 NTC'!M8:P37,4,FALSE),IF(B49="75 ºC",VLOOKUP(B35,'Cap 3 NTC'!M8:O37,3,FALSE),IF(B49="60 ºC",VLOOKUP(B35,'Cap 3 NTC'!M8:N37,2,FALSE)))),IF(OR(B49="90 ºC",B49="120 ºC"),VLOOKUP(B35,'Cap 3 NTC'!M8:S37,7,FALSE),IF(B49="75 ºC",VLOOKUP(B35,'Cap 3 NTC'!M8:R37,6,FALSE),IF(B49="60 ºC",VLOOKUP(B35,'Cap 3 NTC'!M8:Q37,5,FALSE)))))</f>
        <v>25</v>
      </c>
    </row>
    <row r="52" spans="1:9" x14ac:dyDescent="0.3">
      <c r="A52" s="140" t="s">
        <v>159</v>
      </c>
      <c r="B52" s="147" t="str">
        <f>IF(B51&gt;=B42,"SI","NO")</f>
        <v>SI</v>
      </c>
      <c r="C52" t="s">
        <v>333</v>
      </c>
    </row>
    <row r="54" spans="1:9" ht="28.8" x14ac:dyDescent="0.3">
      <c r="A54" s="140" t="str">
        <f>CONCATENATE("Ampacidad del cable seleccionado temperatura nominal @", B21, " [A]")</f>
        <v>Ampacidad del cable seleccionado temperatura nominal @90 ºC [A]</v>
      </c>
      <c r="B54" s="145">
        <f>IF(B20="COBRE",IF(OR(B21="90 ºC",B21="120 ºC"),VLOOKUP(B35,'Cap 3 NTC'!M8:P37,4,FALSE),IF(B21="75 ºC",VLOOKUP(B35,'Cap 3 NTC'!M8:O37,3,FALSE),IF(B21="60 ºC",VLOOKUP(B35,'Cap 3 NTC'!M8:N37,2,FALSE)))),IF(OR(B21="90 ºC",B21="120 ºC"),VLOOKUP(B35,'Cap 3 NTC'!M8:S37,7,FALSE),IF(B21="75 ºC",VLOOKUP(B35,'Cap 3 NTC'!M8:R37,6,FALSE),IF(B21="60 ºC",VLOOKUP(B35,'Cap 3 NTC'!M8:Q37,5,FALSE)))))</f>
        <v>30</v>
      </c>
    </row>
    <row r="55" spans="1:9" ht="28.8" x14ac:dyDescent="0.3">
      <c r="A55" s="140" t="s">
        <v>334</v>
      </c>
      <c r="B55" s="142">
        <f>B54*B29*B28</f>
        <v>31.200000000000003</v>
      </c>
      <c r="C55">
        <f>0.96*40</f>
        <v>38.4</v>
      </c>
      <c r="F55" s="43"/>
    </row>
    <row r="56" spans="1:9" x14ac:dyDescent="0.3">
      <c r="A56" s="140" t="s">
        <v>159</v>
      </c>
      <c r="B56" s="147" t="str">
        <f>IF(B55&gt;=B42,"SI","NO")</f>
        <v>SI</v>
      </c>
    </row>
    <row r="58" spans="1:9" x14ac:dyDescent="0.3">
      <c r="A58" s="147" t="str">
        <f>IF(AND(B56="SI",B52="SI"), "OK",IF(OR(B56="NO",B52="NO"),"ERROR"))</f>
        <v>OK</v>
      </c>
      <c r="B58" s="289" t="str">
        <f>IF(AND(B56="SI",B52="SI"), "La protección contra sobrecorrientes seleccionada funciona correctamente con el cable seleccionado",IF(OR(B56="NO",B52="NO"),"Realice un nuevo cálculo del cableado a utilizar o de la protección contra sobrecorrientes a utilizar"))</f>
        <v>La protección contra sobrecorrientes seleccionada funciona correctamente con el cable seleccionado</v>
      </c>
      <c r="C58" s="289"/>
      <c r="D58" s="289"/>
    </row>
    <row r="59" spans="1:9" x14ac:dyDescent="0.3">
      <c r="B59" s="289"/>
      <c r="C59" s="289"/>
      <c r="D59" s="289"/>
      <c r="E59" s="43"/>
    </row>
    <row r="60" spans="1:9" ht="12" customHeight="1" x14ac:dyDescent="0.3"/>
    <row r="61" spans="1:9" ht="15.6" x14ac:dyDescent="0.3">
      <c r="A61" s="288" t="s">
        <v>438</v>
      </c>
      <c r="B61" s="288"/>
      <c r="C61" s="288"/>
      <c r="D61" s="288"/>
      <c r="E61" s="288"/>
      <c r="F61" s="288"/>
      <c r="G61" s="288"/>
    </row>
    <row r="62" spans="1:9" ht="12" customHeight="1" x14ac:dyDescent="0.3"/>
    <row r="63" spans="1:9" x14ac:dyDescent="0.3">
      <c r="A63" s="140" t="s">
        <v>419</v>
      </c>
      <c r="B63" s="23" t="s">
        <v>202</v>
      </c>
    </row>
    <row r="64" spans="1:9" x14ac:dyDescent="0.3">
      <c r="A64" s="143" t="s">
        <v>380</v>
      </c>
      <c r="B64" s="196">
        <f>VLOOKUP(INDEX('Cap 2 NTC'!A36:A47,MATCH(B42,'Cap 2 NTC'!A36:A47,-1)),'Cap 2 NTC'!A36:C47,MATCH(PV_INV_STRING!B63,'Cap 2 NTC'!B34:C34,0)+1,FALSE)</f>
        <v>12</v>
      </c>
      <c r="C64" t="s">
        <v>378</v>
      </c>
    </row>
    <row r="66" spans="1:7" ht="28.8" x14ac:dyDescent="0.3">
      <c r="A66" s="143" t="s">
        <v>420</v>
      </c>
      <c r="B66" s="146" t="s">
        <v>57</v>
      </c>
      <c r="C66" t="s">
        <v>371</v>
      </c>
    </row>
    <row r="67" spans="1:7" x14ac:dyDescent="0.3">
      <c r="A67" s="143" t="s">
        <v>475</v>
      </c>
      <c r="B67" s="196">
        <f>VLOOKUP(B66,Cables!F3:G28,2,FALSE)</f>
        <v>6</v>
      </c>
    </row>
    <row r="69" spans="1:7" ht="15.6" x14ac:dyDescent="0.3">
      <c r="A69" s="288" t="s">
        <v>439</v>
      </c>
      <c r="B69" s="288"/>
      <c r="C69" s="288"/>
      <c r="D69" s="288"/>
      <c r="E69" s="288"/>
      <c r="F69" s="288"/>
      <c r="G69" s="288"/>
    </row>
    <row r="70" spans="1:7" ht="12" customHeight="1" x14ac:dyDescent="0.3"/>
    <row r="71" spans="1:7" x14ac:dyDescent="0.3">
      <c r="A71" s="43" t="s">
        <v>390</v>
      </c>
      <c r="E71" s="43" t="s">
        <v>391</v>
      </c>
    </row>
    <row r="72" spans="1:7" x14ac:dyDescent="0.3">
      <c r="A72" s="140" t="s">
        <v>423</v>
      </c>
      <c r="B72" s="141" t="s">
        <v>573</v>
      </c>
      <c r="E72" s="140" t="s">
        <v>423</v>
      </c>
      <c r="F72" s="141" t="s">
        <v>574</v>
      </c>
      <c r="G72" t="s">
        <v>436</v>
      </c>
    </row>
    <row r="73" spans="1:7" x14ac:dyDescent="0.3">
      <c r="A73" s="43" t="s">
        <v>375</v>
      </c>
      <c r="E73" s="43" t="s">
        <v>375</v>
      </c>
    </row>
    <row r="74" spans="1:7" x14ac:dyDescent="0.3">
      <c r="A74" s="140" t="s">
        <v>346</v>
      </c>
      <c r="B74" s="141" t="s">
        <v>349</v>
      </c>
      <c r="E74" s="140" t="s">
        <v>346</v>
      </c>
      <c r="F74" s="141" t="s">
        <v>349</v>
      </c>
    </row>
    <row r="75" spans="1:7" x14ac:dyDescent="0.3">
      <c r="A75" s="140" t="s">
        <v>360</v>
      </c>
      <c r="B75" s="141" t="s">
        <v>147</v>
      </c>
      <c r="E75" s="140" t="s">
        <v>360</v>
      </c>
      <c r="F75" s="141" t="s">
        <v>147</v>
      </c>
    </row>
    <row r="77" spans="1:7" x14ac:dyDescent="0.3">
      <c r="A77" s="140" t="s">
        <v>361</v>
      </c>
      <c r="B77" s="142">
        <f>PI()*(VLOOKUP(B75,Tuberia!A4:E14,MATCH(PV_INV_STRING!B74,Tuberia!A2:E2,0),FALSE)/2)^2</f>
        <v>596.50871208055162</v>
      </c>
      <c r="E77" s="140" t="s">
        <v>361</v>
      </c>
      <c r="F77" s="142">
        <f>PI()*(VLOOKUP(F75,Tuberia!A4:E14,MATCH(PV_INV_STRING!F74,Tuberia!A2:E2,0),FALSE)/2)^2</f>
        <v>596.50871208055162</v>
      </c>
    </row>
    <row r="79" spans="1:7" x14ac:dyDescent="0.3">
      <c r="A79" s="43" t="s">
        <v>376</v>
      </c>
      <c r="E79" s="43" t="s">
        <v>376</v>
      </c>
    </row>
    <row r="80" spans="1:7" x14ac:dyDescent="0.3">
      <c r="A80" s="140" t="s">
        <v>430</v>
      </c>
      <c r="B80" s="141" t="s">
        <v>553</v>
      </c>
      <c r="C80" t="s">
        <v>365</v>
      </c>
      <c r="E80" s="140" t="s">
        <v>430</v>
      </c>
      <c r="F80" s="141" t="s">
        <v>553</v>
      </c>
      <c r="G80" t="s">
        <v>365</v>
      </c>
    </row>
    <row r="81" spans="1:7" x14ac:dyDescent="0.3">
      <c r="A81" s="140" t="s">
        <v>432</v>
      </c>
      <c r="B81" s="141">
        <v>6</v>
      </c>
      <c r="E81" s="140" t="s">
        <v>432</v>
      </c>
      <c r="F81" s="141">
        <v>6</v>
      </c>
    </row>
    <row r="82" spans="1:7" x14ac:dyDescent="0.3">
      <c r="A82" s="140" t="s">
        <v>362</v>
      </c>
      <c r="B82" s="141">
        <v>5.8</v>
      </c>
      <c r="C82" t="s">
        <v>367</v>
      </c>
      <c r="E82" s="140" t="s">
        <v>362</v>
      </c>
      <c r="F82" s="141">
        <v>5.8</v>
      </c>
      <c r="G82" t="s">
        <v>367</v>
      </c>
    </row>
    <row r="83" spans="1:7" x14ac:dyDescent="0.3">
      <c r="A83" s="140" t="s">
        <v>516</v>
      </c>
      <c r="B83" s="142">
        <f>(PI()*((B82)/2)^2)*B81</f>
        <v>158.52476530014098</v>
      </c>
      <c r="E83" s="140" t="s">
        <v>516</v>
      </c>
      <c r="F83" s="142">
        <f>(PI()*((F82)/2)^2)*F81</f>
        <v>158.52476530014098</v>
      </c>
    </row>
    <row r="84" spans="1:7" x14ac:dyDescent="0.3">
      <c r="B84" s="45"/>
    </row>
    <row r="85" spans="1:7" x14ac:dyDescent="0.3">
      <c r="A85" s="140" t="s">
        <v>431</v>
      </c>
      <c r="B85" s="141"/>
      <c r="C85" t="s">
        <v>365</v>
      </c>
      <c r="E85" s="140" t="s">
        <v>431</v>
      </c>
      <c r="F85" s="141"/>
      <c r="G85" t="s">
        <v>365</v>
      </c>
    </row>
    <row r="86" spans="1:7" x14ac:dyDescent="0.3">
      <c r="A86" s="140" t="s">
        <v>433</v>
      </c>
      <c r="B86" s="141"/>
      <c r="E86" s="140" t="s">
        <v>433</v>
      </c>
      <c r="F86" s="141"/>
    </row>
    <row r="87" spans="1:7" x14ac:dyDescent="0.3">
      <c r="A87" s="140" t="s">
        <v>362</v>
      </c>
      <c r="B87" s="141"/>
      <c r="C87" t="s">
        <v>367</v>
      </c>
      <c r="E87" s="140" t="s">
        <v>362</v>
      </c>
      <c r="F87" s="141"/>
      <c r="G87" t="s">
        <v>367</v>
      </c>
    </row>
    <row r="88" spans="1:7" x14ac:dyDescent="0.3">
      <c r="A88" s="140" t="s">
        <v>515</v>
      </c>
      <c r="B88" s="142">
        <f>(PI()*((B87)/2)^2)*B86</f>
        <v>0</v>
      </c>
      <c r="E88" s="140" t="s">
        <v>515</v>
      </c>
      <c r="F88" s="142">
        <f>(PI()*((F87)/2)^2)*F86</f>
        <v>0</v>
      </c>
    </row>
    <row r="89" spans="1:7" ht="28.8" x14ac:dyDescent="0.3">
      <c r="A89" s="140" t="s">
        <v>368</v>
      </c>
      <c r="B89" s="142">
        <f>B88+B83</f>
        <v>158.52476530014098</v>
      </c>
      <c r="E89" s="140" t="s">
        <v>368</v>
      </c>
      <c r="F89" s="142">
        <f>F88+F83</f>
        <v>158.52476530014098</v>
      </c>
    </row>
    <row r="90" spans="1:7" x14ac:dyDescent="0.3">
      <c r="B90" s="45"/>
    </row>
    <row r="91" spans="1:7" x14ac:dyDescent="0.3">
      <c r="A91" s="43" t="s">
        <v>417</v>
      </c>
      <c r="E91" s="43" t="s">
        <v>417</v>
      </c>
    </row>
    <row r="92" spans="1:7" x14ac:dyDescent="0.3">
      <c r="A92" s="140" t="s">
        <v>364</v>
      </c>
      <c r="B92" s="141" t="s">
        <v>660</v>
      </c>
      <c r="C92" t="s">
        <v>365</v>
      </c>
      <c r="E92" s="140" t="s">
        <v>364</v>
      </c>
      <c r="F92" s="141" t="s">
        <v>554</v>
      </c>
      <c r="G92" t="s">
        <v>365</v>
      </c>
    </row>
    <row r="93" spans="1:7" x14ac:dyDescent="0.3">
      <c r="A93" s="140" t="s">
        <v>363</v>
      </c>
      <c r="B93" s="141">
        <v>1</v>
      </c>
      <c r="E93" s="140" t="s">
        <v>363</v>
      </c>
      <c r="F93" s="141">
        <v>1</v>
      </c>
    </row>
    <row r="94" spans="1:7" x14ac:dyDescent="0.3">
      <c r="A94" s="140" t="s">
        <v>362</v>
      </c>
      <c r="B94" s="141">
        <v>2.93</v>
      </c>
      <c r="C94" t="s">
        <v>367</v>
      </c>
      <c r="E94" s="140" t="s">
        <v>362</v>
      </c>
      <c r="F94" s="141">
        <v>3.7</v>
      </c>
      <c r="G94" t="s">
        <v>367</v>
      </c>
    </row>
    <row r="95" spans="1:7" ht="15.75" customHeight="1" x14ac:dyDescent="0.3">
      <c r="A95" s="140" t="s">
        <v>418</v>
      </c>
      <c r="B95" s="142">
        <f>(PI()*(B94/2)^2)*B93</f>
        <v>6.7425646929507543</v>
      </c>
      <c r="E95" s="140" t="s">
        <v>418</v>
      </c>
      <c r="F95" s="142">
        <f>(PI()*(F94/2)^2)*F93</f>
        <v>10.752100856911069</v>
      </c>
    </row>
    <row r="96" spans="1:7" x14ac:dyDescent="0.3">
      <c r="B96" s="45"/>
    </row>
    <row r="97" spans="1:7" x14ac:dyDescent="0.3">
      <c r="A97" s="140" t="s">
        <v>372</v>
      </c>
      <c r="B97" s="142">
        <f>SUM(B89,B95)</f>
        <v>165.26732999309175</v>
      </c>
      <c r="E97" s="140" t="s">
        <v>372</v>
      </c>
      <c r="F97" s="142">
        <f>SUM(F89,F95)</f>
        <v>169.27686615705204</v>
      </c>
    </row>
    <row r="99" spans="1:7" x14ac:dyDescent="0.3">
      <c r="A99" s="140" t="s">
        <v>160</v>
      </c>
      <c r="B99" s="149">
        <f>(B97/B77)</f>
        <v>0.2770576969725369</v>
      </c>
      <c r="E99" s="140" t="s">
        <v>160</v>
      </c>
      <c r="F99" s="149">
        <f>(F97/F77)</f>
        <v>0.28377936940205689</v>
      </c>
    </row>
    <row r="100" spans="1:7" x14ac:dyDescent="0.3">
      <c r="A100" s="140" t="s">
        <v>373</v>
      </c>
      <c r="B100" s="149">
        <f>IF(SUM(B93,B81)=1,'Cap 9 NTC'!C5,IF(SUM(B93,B81)=1,'Cap 9 NTC'!D5,IF(SUM(B93,B81)&gt;2,'Cap 9 NTC'!E5,"Error, número de conductores no puede ser negativo")))</f>
        <v>0.4</v>
      </c>
      <c r="C100" t="s">
        <v>374</v>
      </c>
      <c r="E100" s="140" t="s">
        <v>373</v>
      </c>
      <c r="F100" s="149">
        <f>IF(SUM(F93,F81)=1,'Cap 9 NTC'!G5,IF(SUM(F93,F81)=1,'Cap 9 NTC'!H5,IF(SUM(F93,F81)&gt;2,'Cap 9 NTC'!I5,"Error, número de conductores no puede ser negativo")))</f>
        <v>0</v>
      </c>
      <c r="G100" t="s">
        <v>374</v>
      </c>
    </row>
    <row r="102" spans="1:7" x14ac:dyDescent="0.3">
      <c r="A102" s="147" t="str">
        <f>IF(B99&lt;=B100,"OK",IF(B99&gt;B100,"ERROR"))</f>
        <v>OK</v>
      </c>
      <c r="B102" s="289" t="str">
        <f>IF(B99&lt;=B100,"La tuberia seleccionada cumple con los porcentajes de la tabla 1 del capitulo 9 de la NTC 2050",IF(B99&gt;B100,"La tuberia seleccionada NO cumple con los porcentajes de la tabla 1 del capitulo 9 de la NTC 2050"))</f>
        <v>La tuberia seleccionada cumple con los porcentajes de la tabla 1 del capitulo 9 de la NTC 2050</v>
      </c>
      <c r="C102" s="289"/>
      <c r="D102" s="289"/>
      <c r="E102" s="147" t="str">
        <f>IF(F99&lt;=F100,"OK",IF(F99&gt;F100,"ERROR"))</f>
        <v>ERROR</v>
      </c>
      <c r="F102" s="289" t="str">
        <f>IF(F99&lt;=F100,"La tuberia seleccionada cumple con los porcentajes de la tabla 1 del capitulo 9 de la NTC 2050",IF(F99&gt;F100,"La tuberia seleccionada NO cumple con los porcentajes de la tabla 1 del capitulo 9 de la NTC 2050"))</f>
        <v>La tuberia seleccionada NO cumple con los porcentajes de la tabla 1 del capitulo 9 de la NTC 2050</v>
      </c>
      <c r="G102" s="289"/>
    </row>
    <row r="103" spans="1:7" x14ac:dyDescent="0.3">
      <c r="B103" s="289"/>
      <c r="C103" s="289"/>
      <c r="D103" s="289"/>
      <c r="F103" s="289"/>
      <c r="G103" s="289"/>
    </row>
    <row r="104" spans="1:7" ht="12" customHeight="1" x14ac:dyDescent="0.3"/>
    <row r="105" spans="1:7" ht="15.6" x14ac:dyDescent="0.3">
      <c r="A105" s="288" t="s">
        <v>440</v>
      </c>
      <c r="B105" s="288"/>
      <c r="C105" s="288"/>
      <c r="D105" s="288"/>
      <c r="E105" s="288"/>
      <c r="F105" s="288"/>
      <c r="G105" s="288"/>
    </row>
    <row r="106" spans="1:7" ht="12" customHeight="1" x14ac:dyDescent="0.3"/>
    <row r="107" spans="1:7" hidden="1" x14ac:dyDescent="0.3">
      <c r="A107" s="43" t="s">
        <v>397</v>
      </c>
      <c r="E107" s="43" t="s">
        <v>398</v>
      </c>
    </row>
    <row r="108" spans="1:7" hidden="1" x14ac:dyDescent="0.3">
      <c r="A108" s="43" t="s">
        <v>343</v>
      </c>
      <c r="E108" s="43" t="s">
        <v>343</v>
      </c>
    </row>
    <row r="109" spans="1:7" hidden="1" x14ac:dyDescent="0.3">
      <c r="A109" s="140" t="s">
        <v>388</v>
      </c>
      <c r="B109" s="141"/>
      <c r="E109" s="140" t="s">
        <v>388</v>
      </c>
      <c r="F109" s="141"/>
    </row>
    <row r="110" spans="1:7" hidden="1" x14ac:dyDescent="0.3">
      <c r="A110" s="140" t="s">
        <v>392</v>
      </c>
      <c r="B110" s="141"/>
      <c r="E110" s="140" t="s">
        <v>392</v>
      </c>
      <c r="F110" s="141"/>
    </row>
    <row r="111" spans="1:7" hidden="1" x14ac:dyDescent="0.3">
      <c r="A111" s="140" t="s">
        <v>393</v>
      </c>
      <c r="B111" s="141"/>
      <c r="E111" s="140" t="s">
        <v>393</v>
      </c>
      <c r="F111" s="141"/>
    </row>
    <row r="112" spans="1:7" hidden="1" x14ac:dyDescent="0.3">
      <c r="A112" s="140" t="s">
        <v>394</v>
      </c>
      <c r="B112" s="141"/>
      <c r="C112" t="s">
        <v>345</v>
      </c>
      <c r="E112" s="140" t="s">
        <v>394</v>
      </c>
      <c r="F112" s="141"/>
      <c r="G112" t="s">
        <v>345</v>
      </c>
    </row>
    <row r="113" spans="1:7" hidden="1" x14ac:dyDescent="0.3">
      <c r="A113" s="140" t="s">
        <v>396</v>
      </c>
      <c r="B113" s="142">
        <f>B111*B110</f>
        <v>0</v>
      </c>
      <c r="E113" s="140" t="s">
        <v>396</v>
      </c>
      <c r="F113" s="142">
        <f>F111*F110</f>
        <v>0</v>
      </c>
    </row>
    <row r="114" spans="1:7" hidden="1" x14ac:dyDescent="0.3"/>
    <row r="115" spans="1:7" hidden="1" x14ac:dyDescent="0.3">
      <c r="A115" s="43" t="s">
        <v>376</v>
      </c>
      <c r="E115" s="43" t="s">
        <v>376</v>
      </c>
    </row>
    <row r="116" spans="1:7" hidden="1" x14ac:dyDescent="0.3">
      <c r="A116" s="140" t="s">
        <v>430</v>
      </c>
      <c r="B116" s="141"/>
      <c r="C116" t="s">
        <v>365</v>
      </c>
      <c r="E116" s="140" t="s">
        <v>430</v>
      </c>
      <c r="F116" s="141"/>
      <c r="G116" t="s">
        <v>365</v>
      </c>
    </row>
    <row r="117" spans="1:7" hidden="1" x14ac:dyDescent="0.3">
      <c r="A117" s="140" t="s">
        <v>432</v>
      </c>
      <c r="B117" s="141"/>
      <c r="E117" s="140" t="s">
        <v>432</v>
      </c>
      <c r="F117" s="141"/>
    </row>
    <row r="118" spans="1:7" hidden="1" x14ac:dyDescent="0.3">
      <c r="A118" s="140" t="s">
        <v>362</v>
      </c>
      <c r="B118" s="141"/>
      <c r="C118" t="s">
        <v>367</v>
      </c>
      <c r="E118" s="140" t="s">
        <v>362</v>
      </c>
      <c r="F118" s="141"/>
      <c r="G118" t="s">
        <v>367</v>
      </c>
    </row>
    <row r="119" spans="1:7" hidden="1" x14ac:dyDescent="0.3">
      <c r="A119" s="140" t="s">
        <v>516</v>
      </c>
      <c r="B119" s="142">
        <f>(PI()*((B118)/2)^2)*B117</f>
        <v>0</v>
      </c>
      <c r="E119" s="140" t="s">
        <v>516</v>
      </c>
      <c r="F119" s="142">
        <f>(PI()*((F118)/2)^2)*F117</f>
        <v>0</v>
      </c>
    </row>
    <row r="120" spans="1:7" hidden="1" x14ac:dyDescent="0.3"/>
    <row r="121" spans="1:7" hidden="1" x14ac:dyDescent="0.3">
      <c r="A121" s="140" t="s">
        <v>431</v>
      </c>
      <c r="B121" s="141"/>
      <c r="C121" t="s">
        <v>365</v>
      </c>
      <c r="E121" s="140" t="s">
        <v>431</v>
      </c>
      <c r="F121" s="141"/>
      <c r="G121" t="s">
        <v>365</v>
      </c>
    </row>
    <row r="122" spans="1:7" hidden="1" x14ac:dyDescent="0.3">
      <c r="A122" s="140" t="s">
        <v>433</v>
      </c>
      <c r="B122" s="141"/>
      <c r="E122" s="140" t="s">
        <v>433</v>
      </c>
      <c r="F122" s="141"/>
    </row>
    <row r="123" spans="1:7" hidden="1" x14ac:dyDescent="0.3">
      <c r="A123" s="140" t="s">
        <v>362</v>
      </c>
      <c r="B123" s="141"/>
      <c r="C123" t="s">
        <v>367</v>
      </c>
      <c r="E123" s="140" t="s">
        <v>362</v>
      </c>
      <c r="F123" s="141"/>
      <c r="G123" t="s">
        <v>367</v>
      </c>
    </row>
    <row r="124" spans="1:7" hidden="1" x14ac:dyDescent="0.3">
      <c r="A124" s="140" t="s">
        <v>515</v>
      </c>
      <c r="B124" s="142">
        <f>(PI()*((B123)/2)^2)*B122</f>
        <v>0</v>
      </c>
      <c r="E124" s="140" t="s">
        <v>515</v>
      </c>
      <c r="F124" s="142">
        <f>(PI()*((F123)/2)^2)*F122</f>
        <v>0</v>
      </c>
    </row>
    <row r="125" spans="1:7" ht="28.8" hidden="1" x14ac:dyDescent="0.3">
      <c r="A125" s="140" t="s">
        <v>368</v>
      </c>
      <c r="B125" s="142">
        <f>B124+B119</f>
        <v>0</v>
      </c>
      <c r="E125" s="140" t="s">
        <v>368</v>
      </c>
      <c r="F125" s="142">
        <f>F124+F119</f>
        <v>0</v>
      </c>
    </row>
    <row r="126" spans="1:7" hidden="1" x14ac:dyDescent="0.3"/>
    <row r="127" spans="1:7" hidden="1" x14ac:dyDescent="0.3">
      <c r="A127" s="43" t="s">
        <v>377</v>
      </c>
      <c r="E127" s="43" t="s">
        <v>377</v>
      </c>
    </row>
    <row r="128" spans="1:7" hidden="1" x14ac:dyDescent="0.3">
      <c r="A128" s="140" t="s">
        <v>364</v>
      </c>
      <c r="B128" s="141"/>
      <c r="C128" t="s">
        <v>365</v>
      </c>
      <c r="E128" s="140" t="s">
        <v>364</v>
      </c>
      <c r="F128" s="141"/>
      <c r="G128" t="s">
        <v>365</v>
      </c>
    </row>
    <row r="129" spans="1:8" hidden="1" x14ac:dyDescent="0.3">
      <c r="A129" s="140" t="s">
        <v>363</v>
      </c>
      <c r="B129" s="141"/>
      <c r="E129" s="140" t="s">
        <v>363</v>
      </c>
      <c r="F129" s="141"/>
    </row>
    <row r="130" spans="1:8" hidden="1" x14ac:dyDescent="0.3">
      <c r="A130" s="140" t="s">
        <v>362</v>
      </c>
      <c r="B130" s="141"/>
      <c r="C130" t="s">
        <v>367</v>
      </c>
      <c r="E130" s="140" t="s">
        <v>362</v>
      </c>
      <c r="F130" s="141"/>
      <c r="G130" t="s">
        <v>367</v>
      </c>
    </row>
    <row r="131" spans="1:8" hidden="1" x14ac:dyDescent="0.3">
      <c r="A131" s="140" t="s">
        <v>369</v>
      </c>
      <c r="B131" s="142">
        <f>(PI()*(B130/2)^2)*B129</f>
        <v>0</v>
      </c>
      <c r="E131" s="140" t="s">
        <v>369</v>
      </c>
      <c r="F131" s="142">
        <f>(PI()*(F130/2)^2)*F129</f>
        <v>0</v>
      </c>
    </row>
    <row r="132" spans="1:8" hidden="1" x14ac:dyDescent="0.3"/>
    <row r="133" spans="1:8" hidden="1" x14ac:dyDescent="0.3">
      <c r="A133" s="140" t="s">
        <v>399</v>
      </c>
      <c r="B133" s="142">
        <f>SUM(B130*B129,B117*B118,B123*B122)</f>
        <v>0</v>
      </c>
      <c r="C133" t="s">
        <v>404</v>
      </c>
      <c r="E133" s="140" t="s">
        <v>399</v>
      </c>
      <c r="F133" s="142">
        <f>SUM(F130*F129,F117*F118,F123*F122)</f>
        <v>0</v>
      </c>
      <c r="G133" t="s">
        <v>404</v>
      </c>
    </row>
    <row r="134" spans="1:8" hidden="1" x14ac:dyDescent="0.3">
      <c r="A134" s="140" t="s">
        <v>400</v>
      </c>
      <c r="B134" s="142">
        <f>B111</f>
        <v>0</v>
      </c>
      <c r="C134" t="s">
        <v>403</v>
      </c>
      <c r="E134" s="140" t="s">
        <v>400</v>
      </c>
      <c r="F134" s="142">
        <f>F111</f>
        <v>0</v>
      </c>
      <c r="G134" t="s">
        <v>403</v>
      </c>
    </row>
    <row r="135" spans="1:8" hidden="1" x14ac:dyDescent="0.3"/>
    <row r="136" spans="1:8" hidden="1" x14ac:dyDescent="0.3">
      <c r="A136" s="140" t="s">
        <v>372</v>
      </c>
      <c r="B136" s="142">
        <f>SUM(B125,B131)</f>
        <v>0</v>
      </c>
      <c r="E136" s="140" t="s">
        <v>372</v>
      </c>
      <c r="F136" s="142">
        <f>SUM(F125,F131)</f>
        <v>0</v>
      </c>
    </row>
    <row r="137" spans="1:8" hidden="1" x14ac:dyDescent="0.3"/>
    <row r="138" spans="1:8" hidden="1" x14ac:dyDescent="0.3">
      <c r="A138" s="140" t="s">
        <v>402</v>
      </c>
      <c r="B138" s="149" t="e">
        <f>B136/B113</f>
        <v>#DIV/0!</v>
      </c>
      <c r="E138" s="140" t="s">
        <v>402</v>
      </c>
      <c r="F138" s="149" t="e">
        <f>F136/F113</f>
        <v>#DIV/0!</v>
      </c>
    </row>
    <row r="139" spans="1:8" hidden="1" x14ac:dyDescent="0.3">
      <c r="A139" s="140" t="s">
        <v>401</v>
      </c>
      <c r="B139" s="149">
        <v>0.4</v>
      </c>
      <c r="C139" t="s">
        <v>344</v>
      </c>
      <c r="E139" s="140" t="s">
        <v>401</v>
      </c>
      <c r="F139" s="149">
        <v>0.4</v>
      </c>
      <c r="G139" t="s">
        <v>344</v>
      </c>
    </row>
    <row r="140" spans="1:8" hidden="1" x14ac:dyDescent="0.3"/>
    <row r="141" spans="1:8" ht="15" hidden="1" customHeight="1" x14ac:dyDescent="0.3">
      <c r="A141" s="147" t="e">
        <f>IF(AND(B138&lt;=B139,B133&lt;=B134),"OK",IF(OR(B138&gt;B139,B133&gt;B134),"ERROR"))</f>
        <v>#DIV/0!</v>
      </c>
      <c r="B141" s="289" t="e">
        <f>IF(AND(B138&lt;=B139,B133&lt;=B134),"La bandeja seleccionada cumple con el articulo 318-10 b) de la NTC 2050 y el articulo 20.3 i) del RETIE",IF(B138&gt;B139,"El porcentaje de ocupacion del area transversal de la bandeja es mayor al 40%",IF(B133&gt;B134,"la bandeja ")))</f>
        <v>#DIV/0!</v>
      </c>
      <c r="C141" s="289"/>
      <c r="D141" s="289"/>
      <c r="E141" s="147" t="e">
        <f>IF(AND(F138&lt;=F139,F133&lt;=F134),"OK",IF(OR(F138&gt;F139,F133&gt;F134),"ERROR"))</f>
        <v>#DIV/0!</v>
      </c>
      <c r="F141" s="289" t="e">
        <f>IF(AND(F138&lt;=F139,F133&lt;=F134),"La bandeja seleccionada cumple con el articulo 318-10 b) de la NTC 2050 y el articulo 20.3 i) del RETIE",IF(F138&gt;F139,"El porcentaje de ocupacion del area transversal de la bandeja es mayor al 40%",IF(F133&gt;F134,"la bandeja ")))</f>
        <v>#DIV/0!</v>
      </c>
      <c r="G141" s="289"/>
      <c r="H141" s="195"/>
    </row>
    <row r="142" spans="1:8" hidden="1" x14ac:dyDescent="0.3">
      <c r="B142" s="289"/>
      <c r="C142" s="289"/>
      <c r="D142" s="289"/>
      <c r="F142" s="289"/>
      <c r="G142" s="289"/>
      <c r="H142" s="195"/>
    </row>
    <row r="144" spans="1:8" ht="15.6" x14ac:dyDescent="0.3">
      <c r="A144" s="288" t="s">
        <v>441</v>
      </c>
      <c r="B144" s="288"/>
      <c r="C144" s="288"/>
      <c r="D144" s="288"/>
      <c r="E144" s="288"/>
      <c r="F144" s="288"/>
      <c r="G144" s="288"/>
    </row>
    <row r="145" spans="1:6" ht="12" customHeight="1" x14ac:dyDescent="0.3"/>
    <row r="146" spans="1:6" x14ac:dyDescent="0.3">
      <c r="A146" s="43" t="s">
        <v>424</v>
      </c>
      <c r="E146" s="43" t="s">
        <v>425</v>
      </c>
    </row>
    <row r="147" spans="1:6" x14ac:dyDescent="0.3">
      <c r="A147" s="140" t="s">
        <v>437</v>
      </c>
      <c r="B147" s="141"/>
      <c r="E147" s="140" t="s">
        <v>338</v>
      </c>
      <c r="F147" s="141"/>
    </row>
    <row r="148" spans="1:6" x14ac:dyDescent="0.3">
      <c r="A148" s="140" t="s">
        <v>337</v>
      </c>
      <c r="B148" s="141">
        <v>8</v>
      </c>
      <c r="E148" s="140" t="s">
        <v>337</v>
      </c>
      <c r="F148" s="141"/>
    </row>
    <row r="149" spans="1:6" x14ac:dyDescent="0.3">
      <c r="A149" s="140" t="s">
        <v>452</v>
      </c>
      <c r="B149" s="141">
        <v>15</v>
      </c>
      <c r="E149" s="140" t="s">
        <v>452</v>
      </c>
      <c r="F149" s="141"/>
    </row>
    <row r="151" spans="1:6" x14ac:dyDescent="0.3">
      <c r="A151" s="43" t="s">
        <v>406</v>
      </c>
      <c r="E151" s="43" t="s">
        <v>406</v>
      </c>
    </row>
    <row r="152" spans="1:6" x14ac:dyDescent="0.3">
      <c r="A152" s="140" t="s">
        <v>167</v>
      </c>
      <c r="B152" s="142">
        <f>B148*$B$8</f>
        <v>350.08</v>
      </c>
      <c r="E152" s="140" t="s">
        <v>167</v>
      </c>
      <c r="F152" s="142">
        <f>F148*$B$8</f>
        <v>0</v>
      </c>
    </row>
    <row r="153" spans="1:6" x14ac:dyDescent="0.3">
      <c r="A153" s="140" t="s">
        <v>163</v>
      </c>
      <c r="B153" s="142">
        <f>$B$9*$B$14</f>
        <v>13.03</v>
      </c>
      <c r="E153" s="140" t="s">
        <v>163</v>
      </c>
      <c r="F153" s="142">
        <f>$B$9*$B$14</f>
        <v>13.03</v>
      </c>
    </row>
    <row r="154" spans="1:6" x14ac:dyDescent="0.3">
      <c r="A154" s="140" t="s">
        <v>339</v>
      </c>
      <c r="B154" s="142">
        <f>IF(B20="COBRE",VLOOKUP(B35,'Cap 9 NTC'!N15:V35,9,FALSE))</f>
        <v>6.73</v>
      </c>
      <c r="E154" s="140" t="s">
        <v>339</v>
      </c>
      <c r="F154" s="142">
        <f>IF(B20="COBRE",VLOOKUP(B35,'Cap 9 NTC'!N15:V35,9,FALSE))</f>
        <v>6.73</v>
      </c>
    </row>
    <row r="156" spans="1:6" x14ac:dyDescent="0.3">
      <c r="A156" s="140" t="s">
        <v>340</v>
      </c>
      <c r="B156" s="142">
        <f>2*B153*(B149/1000)*B154</f>
        <v>2.630757</v>
      </c>
      <c r="E156" s="140" t="s">
        <v>340</v>
      </c>
      <c r="F156" s="142">
        <f>2*F153*(F149/1000)*F154</f>
        <v>0</v>
      </c>
    </row>
    <row r="157" spans="1:6" x14ac:dyDescent="0.3">
      <c r="A157" s="140" t="s">
        <v>341</v>
      </c>
      <c r="B157" s="149">
        <f>B156/B152</f>
        <v>7.5147309186471669E-3</v>
      </c>
      <c r="E157" s="140" t="s">
        <v>341</v>
      </c>
      <c r="F157" s="149" t="e">
        <f>F156/F152</f>
        <v>#DIV/0!</v>
      </c>
    </row>
    <row r="159" spans="1:6" x14ac:dyDescent="0.3">
      <c r="A159" s="147" t="str">
        <f>IF(B157&lt;3%,"OK",IF(B157&gt;=3%,"ERROR"))</f>
        <v>OK</v>
      </c>
      <c r="B159" s="43" t="str">
        <f>IF(B157&lt;3%,"Cumple con el articulo 27.3 c) del RETIE ",IF(B157&gt;=3%,"ERROR. Regulación de voltaje mayor al 3%. No cumple con el articulo 27.3 c) del RETIE "))</f>
        <v xml:space="preserve">Cumple con el articulo 27.3 c) del RETIE </v>
      </c>
      <c r="E159" s="147" t="e">
        <f>IF(F157&lt;3%,"OK",IF(F157&gt;=3%,"ERROR"))</f>
        <v>#DIV/0!</v>
      </c>
      <c r="F159" s="43" t="e">
        <f>IF(F157&lt;3%,"Cumple con el articulo 27.3 c) del RETIE ",IF(F157&gt;=3%,"ERROR. Regulación de voltaje mayor al 3%. No cumple con el articulo 27.3 c) del RETIE "))</f>
        <v>#DIV/0!</v>
      </c>
    </row>
    <row r="161" spans="1:6" x14ac:dyDescent="0.3">
      <c r="A161" s="43" t="s">
        <v>409</v>
      </c>
      <c r="E161" s="43" t="s">
        <v>409</v>
      </c>
    </row>
    <row r="162" spans="1:6" x14ac:dyDescent="0.3">
      <c r="A162" s="140" t="s">
        <v>405</v>
      </c>
      <c r="B162" s="142">
        <f>2*B154*($B$9^2)*(B149/1000)</f>
        <v>34.278763709999993</v>
      </c>
      <c r="E162" s="140" t="s">
        <v>405</v>
      </c>
      <c r="F162" s="142">
        <f>2*F154*($B$9^2)*(F149/1000)</f>
        <v>0</v>
      </c>
    </row>
    <row r="163" spans="1:6" x14ac:dyDescent="0.3">
      <c r="A163" s="140" t="s">
        <v>407</v>
      </c>
      <c r="B163" s="198">
        <v>5</v>
      </c>
      <c r="E163" s="140" t="s">
        <v>407</v>
      </c>
      <c r="F163" s="198"/>
    </row>
    <row r="164" spans="1:6" x14ac:dyDescent="0.3">
      <c r="A164" s="140" t="s">
        <v>408</v>
      </c>
      <c r="B164" s="142">
        <f>B163*B162*30/1000</f>
        <v>5.1418145564999982</v>
      </c>
      <c r="E164" s="140" t="s">
        <v>408</v>
      </c>
      <c r="F164" s="142">
        <f>F163*F162*30/1000</f>
        <v>0</v>
      </c>
    </row>
    <row r="166" spans="1:6" x14ac:dyDescent="0.3">
      <c r="A166" s="43" t="s">
        <v>427</v>
      </c>
      <c r="E166" s="43" t="s">
        <v>426</v>
      </c>
    </row>
    <row r="167" spans="1:6" x14ac:dyDescent="0.3">
      <c r="A167" s="140" t="s">
        <v>338</v>
      </c>
      <c r="B167" s="141"/>
      <c r="E167" s="140" t="s">
        <v>338</v>
      </c>
      <c r="F167" s="141"/>
    </row>
    <row r="168" spans="1:6" x14ac:dyDescent="0.3">
      <c r="A168" s="140" t="s">
        <v>337</v>
      </c>
      <c r="B168" s="141"/>
      <c r="E168" s="140" t="s">
        <v>337</v>
      </c>
      <c r="F168" s="141"/>
    </row>
    <row r="169" spans="1:6" x14ac:dyDescent="0.3">
      <c r="A169" s="140" t="s">
        <v>452</v>
      </c>
      <c r="B169" s="141"/>
      <c r="E169" s="140" t="s">
        <v>452</v>
      </c>
      <c r="F169" s="141"/>
    </row>
    <row r="171" spans="1:6" x14ac:dyDescent="0.3">
      <c r="A171" s="43" t="s">
        <v>406</v>
      </c>
      <c r="E171" s="43" t="s">
        <v>406</v>
      </c>
    </row>
    <row r="172" spans="1:6" x14ac:dyDescent="0.3">
      <c r="A172" s="140" t="s">
        <v>167</v>
      </c>
      <c r="B172" s="142">
        <f>B168*$B$8</f>
        <v>0</v>
      </c>
      <c r="E172" s="140" t="s">
        <v>167</v>
      </c>
      <c r="F172" s="142">
        <f>F168*$B$8</f>
        <v>0</v>
      </c>
    </row>
    <row r="173" spans="1:6" x14ac:dyDescent="0.3">
      <c r="A173" s="140" t="s">
        <v>163</v>
      </c>
      <c r="B173" s="142">
        <f>$B$9*$B$14</f>
        <v>13.03</v>
      </c>
      <c r="E173" s="140" t="s">
        <v>163</v>
      </c>
      <c r="F173" s="142">
        <f>$B$9*$B$14</f>
        <v>13.03</v>
      </c>
    </row>
    <row r="174" spans="1:6" x14ac:dyDescent="0.3">
      <c r="A174" s="140" t="s">
        <v>339</v>
      </c>
      <c r="B174" s="142">
        <f>IF(B20="COBRE",VLOOKUP(B35,'Cap 9 NTC'!N15:V35,9,FALSE))</f>
        <v>6.73</v>
      </c>
      <c r="E174" s="140" t="s">
        <v>339</v>
      </c>
      <c r="F174" s="142">
        <f>IF(B20="COBRE",VLOOKUP(B35,'Cap 9 NTC'!N15:V35,9,FALSE))</f>
        <v>6.73</v>
      </c>
    </row>
    <row r="176" spans="1:6" x14ac:dyDescent="0.3">
      <c r="A176" s="140" t="s">
        <v>340</v>
      </c>
      <c r="B176" s="142">
        <f>2*B173*(B169/1000)*B174</f>
        <v>0</v>
      </c>
      <c r="E176" s="140" t="s">
        <v>340</v>
      </c>
      <c r="F176" s="142">
        <f>2*F173*(F169/1000)*F174</f>
        <v>0</v>
      </c>
    </row>
    <row r="177" spans="1:6" x14ac:dyDescent="0.3">
      <c r="A177" s="140" t="s">
        <v>341</v>
      </c>
      <c r="B177" s="149" t="e">
        <f>B176/B172</f>
        <v>#DIV/0!</v>
      </c>
      <c r="E177" s="140" t="s">
        <v>341</v>
      </c>
      <c r="F177" s="149" t="e">
        <f>F176/F172</f>
        <v>#DIV/0!</v>
      </c>
    </row>
    <row r="179" spans="1:6" x14ac:dyDescent="0.3">
      <c r="A179" s="147" t="e">
        <f>IF(B177&lt;3%,"OK",IF(B177&gt;=3%,"ERROR"))</f>
        <v>#DIV/0!</v>
      </c>
      <c r="B179" s="43" t="e">
        <f>IF(B177&lt;3%,"Cumple con el articulo 27.3 c) del RETIE ",IF(B177&gt;=3%,"ERROR. Regulación de voltaje mayor al 3%. No cumple con el articulo 27.3 c) del RETIE "))</f>
        <v>#DIV/0!</v>
      </c>
      <c r="E179" s="147" t="e">
        <f>IF(F177&lt;3%,"OK",IF(F177&gt;=3%,"ERROR"))</f>
        <v>#DIV/0!</v>
      </c>
      <c r="F179" s="43" t="e">
        <f>IF(F177&lt;3%,"Cumple con el articulo 27.3 c) del RETIE ",IF(F177&gt;=3%,"ERROR. Regulación de voltaje mayor al 3%. No cumple con el articulo 27.3 c) del RETIE "))</f>
        <v>#DIV/0!</v>
      </c>
    </row>
    <row r="181" spans="1:6" x14ac:dyDescent="0.3">
      <c r="A181" s="43" t="s">
        <v>409</v>
      </c>
      <c r="E181" s="43" t="s">
        <v>409</v>
      </c>
    </row>
    <row r="182" spans="1:6" x14ac:dyDescent="0.3">
      <c r="A182" s="140" t="s">
        <v>405</v>
      </c>
      <c r="B182" s="142">
        <f>2*B174*($B$9^2)*(B169/1000)</f>
        <v>0</v>
      </c>
      <c r="E182" s="140" t="s">
        <v>405</v>
      </c>
      <c r="F182" s="142">
        <f>2*F174*($B$9^2)*(F169/1000)</f>
        <v>0</v>
      </c>
    </row>
    <row r="183" spans="1:6" x14ac:dyDescent="0.3">
      <c r="A183" s="140" t="s">
        <v>407</v>
      </c>
      <c r="B183" s="198"/>
      <c r="E183" s="140" t="s">
        <v>407</v>
      </c>
      <c r="F183" s="198"/>
    </row>
    <row r="184" spans="1:6" x14ac:dyDescent="0.3">
      <c r="A184" s="140" t="s">
        <v>408</v>
      </c>
      <c r="B184" s="142">
        <f>B183*B182*30/1000</f>
        <v>0</v>
      </c>
      <c r="E184" s="140" t="s">
        <v>408</v>
      </c>
      <c r="F184" s="142">
        <f>F183*F182*30/1000</f>
        <v>0</v>
      </c>
    </row>
  </sheetData>
  <mergeCells count="16">
    <mergeCell ref="A47:G47"/>
    <mergeCell ref="A11:G11"/>
    <mergeCell ref="A17:G17"/>
    <mergeCell ref="G30:G35"/>
    <mergeCell ref="A38:G38"/>
    <mergeCell ref="B44:D45"/>
    <mergeCell ref="A105:G105"/>
    <mergeCell ref="B141:D142"/>
    <mergeCell ref="F141:G142"/>
    <mergeCell ref="A144:G144"/>
    <mergeCell ref="C49:I49"/>
    <mergeCell ref="B58:D59"/>
    <mergeCell ref="A61:G61"/>
    <mergeCell ref="A69:G69"/>
    <mergeCell ref="B102:D103"/>
    <mergeCell ref="F102:G103"/>
  </mergeCells>
  <conditionalFormatting sqref="A44">
    <cfRule type="containsText" dxfId="314" priority="29" operator="containsText" text="OK">
      <formula>NOT(ISERROR(SEARCH("OK",A44)))</formula>
    </cfRule>
    <cfRule type="containsText" dxfId="313" priority="30" operator="containsText" text="ERROR">
      <formula>NOT(ISERROR(SEARCH("ERROR",A44)))</formula>
    </cfRule>
    <cfRule type="containsText" dxfId="312" priority="31" operator="containsText" text="SI">
      <formula>NOT(ISERROR(SEARCH("SI",A44)))</formula>
    </cfRule>
    <cfRule type="containsText" dxfId="311" priority="32" operator="containsText" text="NO">
      <formula>NOT(ISERROR(SEARCH("NO",A44)))</formula>
    </cfRule>
  </conditionalFormatting>
  <conditionalFormatting sqref="A58">
    <cfRule type="containsText" dxfId="310" priority="37" operator="containsText" text="OK">
      <formula>NOT(ISERROR(SEARCH("OK",A58)))</formula>
    </cfRule>
    <cfRule type="containsText" dxfId="309" priority="38" operator="containsText" text="ERROR">
      <formula>NOT(ISERROR(SEARCH("ERROR",A58)))</formula>
    </cfRule>
    <cfRule type="containsText" dxfId="308" priority="39" operator="containsText" text="SI">
      <formula>NOT(ISERROR(SEARCH("SI",A58)))</formula>
    </cfRule>
    <cfRule type="containsText" dxfId="307" priority="40" operator="containsText" text="NO">
      <formula>NOT(ISERROR(SEARCH("NO",A58)))</formula>
    </cfRule>
  </conditionalFormatting>
  <conditionalFormatting sqref="A102">
    <cfRule type="containsText" dxfId="306" priority="25" operator="containsText" text="OK">
      <formula>NOT(ISERROR(SEARCH("OK",A102)))</formula>
    </cfRule>
    <cfRule type="containsText" dxfId="305" priority="26" operator="containsText" text="ERROR">
      <formula>NOT(ISERROR(SEARCH("ERROR",A102)))</formula>
    </cfRule>
    <cfRule type="containsText" dxfId="304" priority="27" operator="containsText" text="SI">
      <formula>NOT(ISERROR(SEARCH("SI",A102)))</formula>
    </cfRule>
    <cfRule type="containsText" dxfId="303" priority="28" operator="containsText" text="NO">
      <formula>NOT(ISERROR(SEARCH("NO",A102)))</formula>
    </cfRule>
  </conditionalFormatting>
  <conditionalFormatting sqref="A141">
    <cfRule type="containsText" dxfId="302" priority="17" operator="containsText" text="OK">
      <formula>NOT(ISERROR(SEARCH("OK",A141)))</formula>
    </cfRule>
    <cfRule type="containsText" dxfId="301" priority="18" operator="containsText" text="ERROR">
      <formula>NOT(ISERROR(SEARCH("ERROR",A141)))</formula>
    </cfRule>
    <cfRule type="containsText" dxfId="300" priority="19" operator="containsText" text="SI">
      <formula>NOT(ISERROR(SEARCH("SI",A141)))</formula>
    </cfRule>
    <cfRule type="containsText" dxfId="299" priority="20" operator="containsText" text="NO">
      <formula>NOT(ISERROR(SEARCH("NO",A141)))</formula>
    </cfRule>
  </conditionalFormatting>
  <conditionalFormatting sqref="A159">
    <cfRule type="containsText" dxfId="298" priority="33" operator="containsText" text="OK">
      <formula>NOT(ISERROR(SEARCH("OK",A159)))</formula>
    </cfRule>
    <cfRule type="containsText" dxfId="297" priority="34" operator="containsText" text="ERROR">
      <formula>NOT(ISERROR(SEARCH("ERROR",A159)))</formula>
    </cfRule>
    <cfRule type="containsText" dxfId="296" priority="35" operator="containsText" text="SI">
      <formula>NOT(ISERROR(SEARCH("SI",A159)))</formula>
    </cfRule>
    <cfRule type="containsText" dxfId="295" priority="36" operator="containsText" text="NO">
      <formula>NOT(ISERROR(SEARCH("NO",A159)))</formula>
    </cfRule>
  </conditionalFormatting>
  <conditionalFormatting sqref="A179">
    <cfRule type="containsText" dxfId="294" priority="5" operator="containsText" text="OK">
      <formula>NOT(ISERROR(SEARCH("OK",A179)))</formula>
    </cfRule>
    <cfRule type="containsText" dxfId="293" priority="6" operator="containsText" text="ERROR">
      <formula>NOT(ISERROR(SEARCH("ERROR",A179)))</formula>
    </cfRule>
    <cfRule type="containsText" dxfId="292" priority="7" operator="containsText" text="SI">
      <formula>NOT(ISERROR(SEARCH("SI",A179)))</formula>
    </cfRule>
    <cfRule type="containsText" dxfId="291" priority="8" operator="containsText" text="NO">
      <formula>NOT(ISERROR(SEARCH("NO",A179)))</formula>
    </cfRule>
  </conditionalFormatting>
  <conditionalFormatting sqref="B52">
    <cfRule type="containsText" dxfId="290" priority="43" operator="containsText" text="SI">
      <formula>NOT(ISERROR(SEARCH("SI",B52)))</formula>
    </cfRule>
    <cfRule type="containsText" dxfId="289" priority="44" operator="containsText" text="NO">
      <formula>NOT(ISERROR(SEARCH("NO",B52)))</formula>
    </cfRule>
  </conditionalFormatting>
  <conditionalFormatting sqref="B56">
    <cfRule type="containsText" dxfId="288" priority="41" operator="containsText" text="SI">
      <formula>NOT(ISERROR(SEARCH("SI",B56)))</formula>
    </cfRule>
    <cfRule type="containsText" dxfId="287" priority="42" operator="containsText" text="NO">
      <formula>NOT(ISERROR(SEARCH("NO",B56)))</formula>
    </cfRule>
  </conditionalFormatting>
  <conditionalFormatting sqref="E102">
    <cfRule type="containsText" dxfId="286" priority="21" operator="containsText" text="OK">
      <formula>NOT(ISERROR(SEARCH("OK",E102)))</formula>
    </cfRule>
    <cfRule type="containsText" dxfId="285" priority="22" operator="containsText" text="ERROR">
      <formula>NOT(ISERROR(SEARCH("ERROR",E102)))</formula>
    </cfRule>
    <cfRule type="containsText" dxfId="284" priority="23" operator="containsText" text="SI">
      <formula>NOT(ISERROR(SEARCH("SI",E102)))</formula>
    </cfRule>
    <cfRule type="containsText" dxfId="283" priority="24" operator="containsText" text="NO">
      <formula>NOT(ISERROR(SEARCH("NO",E102)))</formula>
    </cfRule>
  </conditionalFormatting>
  <conditionalFormatting sqref="E141">
    <cfRule type="containsText" dxfId="282" priority="13" operator="containsText" text="OK">
      <formula>NOT(ISERROR(SEARCH("OK",E141)))</formula>
    </cfRule>
    <cfRule type="containsText" dxfId="281" priority="14" operator="containsText" text="ERROR">
      <formula>NOT(ISERROR(SEARCH("ERROR",E141)))</formula>
    </cfRule>
    <cfRule type="containsText" dxfId="280" priority="15" operator="containsText" text="SI">
      <formula>NOT(ISERROR(SEARCH("SI",E141)))</formula>
    </cfRule>
    <cfRule type="containsText" dxfId="279" priority="16" operator="containsText" text="NO">
      <formula>NOT(ISERROR(SEARCH("NO",E141)))</formula>
    </cfRule>
  </conditionalFormatting>
  <conditionalFormatting sqref="E159">
    <cfRule type="containsText" dxfId="278" priority="9" operator="containsText" text="OK">
      <formula>NOT(ISERROR(SEARCH("OK",E159)))</formula>
    </cfRule>
    <cfRule type="containsText" dxfId="277" priority="10" operator="containsText" text="ERROR">
      <formula>NOT(ISERROR(SEARCH("ERROR",E159)))</formula>
    </cfRule>
    <cfRule type="containsText" dxfId="276" priority="11" operator="containsText" text="SI">
      <formula>NOT(ISERROR(SEARCH("SI",E159)))</formula>
    </cfRule>
    <cfRule type="containsText" dxfId="275" priority="12" operator="containsText" text="NO">
      <formula>NOT(ISERROR(SEARCH("NO",E159)))</formula>
    </cfRule>
  </conditionalFormatting>
  <conditionalFormatting sqref="E179">
    <cfRule type="containsText" dxfId="274" priority="1" operator="containsText" text="OK">
      <formula>NOT(ISERROR(SEARCH("OK",E179)))</formula>
    </cfRule>
    <cfRule type="containsText" dxfId="273" priority="2" operator="containsText" text="ERROR">
      <formula>NOT(ISERROR(SEARCH("ERROR",E179)))</formula>
    </cfRule>
    <cfRule type="containsText" dxfId="272" priority="3" operator="containsText" text="SI">
      <formula>NOT(ISERROR(SEARCH("SI",E179)))</formula>
    </cfRule>
    <cfRule type="containsText" dxfId="271" priority="4" operator="containsText" text="NO">
      <formula>NOT(ISERROR(SEARCH("NO",E179)))</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100-000000000000}">
          <x14:formula1>
            <xm:f>Listas!$A$2:$A$4</xm:f>
          </x14:formula1>
          <xm:sqref>B20 B63</xm:sqref>
        </x14:dataValidation>
        <x14:dataValidation type="list" allowBlank="1" showInputMessage="1" showErrorMessage="1" xr:uid="{00000000-0002-0000-0100-000001000000}">
          <x14:formula1>
            <xm:f>Listas!$B$2:$B$5</xm:f>
          </x14:formula1>
          <xm:sqref>B49 B21</xm:sqref>
        </x14:dataValidation>
        <x14:dataValidation type="list" allowBlank="1" showInputMessage="1" showErrorMessage="1" xr:uid="{00000000-0002-0000-0100-000002000000}">
          <x14:formula1>
            <xm:f>Listas!$D$2:$D$5</xm:f>
          </x14:formula1>
          <xm:sqref>B74 F74</xm:sqref>
        </x14:dataValidation>
        <x14:dataValidation type="list" allowBlank="1" showInputMessage="1" showErrorMessage="1" xr:uid="{00000000-0002-0000-0100-000003000000}">
          <x14:formula1>
            <xm:f>Listas!$E$2:$E$12</xm:f>
          </x14:formula1>
          <xm:sqref>B75 F75</xm:sqref>
        </x14:dataValidation>
        <x14:dataValidation type="list" allowBlank="1" showInputMessage="1" showErrorMessage="1" xr:uid="{00000000-0002-0000-0100-000004000000}">
          <x14:formula1>
            <xm:f>Listas!$C$2:$C$31</xm:f>
          </x14:formula1>
          <xm:sqref>B35 B66</xm:sqref>
        </x14:dataValidation>
        <x14:dataValidation type="list" allowBlank="1" showInputMessage="1" showErrorMessage="1" xr:uid="{00000000-0002-0000-0100-000005000000}">
          <x14:formula1>
            <xm:f>Listas!$F$2:$F$4</xm:f>
          </x14:formula1>
          <xm:sqref>B22</xm:sqref>
        </x14:dataValidation>
        <x14:dataValidation type="list" allowBlank="1" showInputMessage="1" showErrorMessage="1" xr:uid="{00000000-0002-0000-0100-000006000000}">
          <x14:formula1>
            <xm:f>Listas!$H$2:$H$4</xm:f>
          </x14:formula1>
          <xm:sqref>B13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FE693-1338-4665-965B-B5C3F9DF21D5}">
  <dimension ref="A1:I184"/>
  <sheetViews>
    <sheetView showGridLines="0" zoomScale="90" zoomScaleNormal="90" workbookViewId="0">
      <selection activeCell="E6" sqref="E6"/>
    </sheetView>
  </sheetViews>
  <sheetFormatPr baseColWidth="10" defaultColWidth="11.44140625" defaultRowHeight="14.4" x14ac:dyDescent="0.3"/>
  <cols>
    <col min="1" max="1" width="38.6640625" customWidth="1"/>
    <col min="2" max="2" width="23.109375" customWidth="1"/>
    <col min="3" max="3" width="11.88671875" bestFit="1" customWidth="1"/>
    <col min="4" max="4" width="16.5546875" customWidth="1"/>
    <col min="5" max="5" width="38.88671875" customWidth="1"/>
    <col min="6" max="6" width="20.33203125" customWidth="1"/>
    <col min="7" max="7" width="34.5546875" customWidth="1"/>
    <col min="8" max="8" width="18.88671875" customWidth="1"/>
    <col min="10" max="10" width="22.33203125" customWidth="1"/>
  </cols>
  <sheetData>
    <row r="1" spans="1:8" x14ac:dyDescent="0.3">
      <c r="A1" s="43" t="s">
        <v>442</v>
      </c>
      <c r="H1" s="43" t="s">
        <v>315</v>
      </c>
    </row>
    <row r="2" spans="1:8" x14ac:dyDescent="0.3">
      <c r="A2" s="212" t="s">
        <v>298</v>
      </c>
      <c r="B2" s="212" t="s">
        <v>76</v>
      </c>
      <c r="H2" t="str">
        <f>IF(AND(B19&gt;=21,B19&lt;=25),"21-25",IF(AND(B19&gt;=26,B19&lt;=30),"26-30",IF(AND(B19&gt;=31,B19&lt;=35),"31-35",IF(AND(B19&gt;=36,B19&lt;=40),"36-40",IF(AND(B19&gt;=41,B19&lt;=45),"41-45",IF(AND(B19&gt;=46,B19&lt;=50),"46-50",IF(AND(B19&gt;=51,B19&lt;=55),"51-55",IF(AND(B19&gt;=56,B19&lt;=60),"56-60",IF(AND(B19&gt;=61,B19&lt;=70),"61-70",IF(AND(B19&gt;=71,B19&lt;=80),"71-80","ERROR"))))))))))</f>
        <v>21-25</v>
      </c>
    </row>
    <row r="3" spans="1:8" x14ac:dyDescent="0.3">
      <c r="A3" s="213" t="s">
        <v>296</v>
      </c>
      <c r="B3" s="214"/>
      <c r="H3" t="str">
        <f>IF(AND(B23&gt;=1,B23&lt;=3),1,IF(AND(B23&gt;=4,B23&lt;=6),"De 4 a 6",IF(AND(B23&gt;=7,B23&lt;=9),"De 7 a 9",IF(AND(B23&gt;=10,B23&lt;=20),"De 10 a 20",IF(AND(B23&gt;=21,B23&lt;=30),"De 21 a 30",IF(AND(B23&gt;=31,B23&lt;=40),"De 31 a 40",IF(B23&gt;=41,"De 41 y más","ERROR")))))))</f>
        <v>De 7 a 9</v>
      </c>
    </row>
    <row r="4" spans="1:8" x14ac:dyDescent="0.3">
      <c r="A4" s="213" t="s">
        <v>156</v>
      </c>
      <c r="B4" s="215"/>
      <c r="D4" t="s">
        <v>552</v>
      </c>
      <c r="H4" s="193">
        <f>IF(B20="COBRE",IF(OR(B21="90 ºC",B21="120 ºC"),INDEX('Cap 3 NTC'!P8:P37,MATCH(B32,'Cap 3 NTC'!P8:P37,-1)),IF(B21="75 ºC",INDEX('Cap 3 NTC'!O8:O37,MATCH(B32,'Cap 3 NTC'!O8:O37,-1)),INDEX('Cap 3 NTC'!N8:N37,MATCH(B32,'Cap 3 NTC'!N8:N37,-1)))),IF(OR(B21="90 ºC",B21="120 ºC"),INDEX('Cap 3 NTC'!S8:S37,MATCH(B32,'Cap 3 NTC'!S8:S37,-1)),IF(B21="75 ºC",INDEX('Cap 3 NTC'!R8:R37,MATCH(B32,'Cap 3 NTC'!R8:R37,-1)),INDEX('Cap 3 NTC'!Q8:Q37,MATCH(B32,'Cap 3 NTC'!Q8:Q37,-1)))))</f>
        <v>14</v>
      </c>
    </row>
    <row r="5" spans="1:8" x14ac:dyDescent="0.3">
      <c r="A5" s="213" t="s">
        <v>291</v>
      </c>
      <c r="B5" s="214"/>
      <c r="C5" s="223">
        <f>B5*$D$5</f>
        <v>0</v>
      </c>
      <c r="D5">
        <v>8</v>
      </c>
    </row>
    <row r="6" spans="1:8" x14ac:dyDescent="0.3">
      <c r="A6" s="213" t="s">
        <v>292</v>
      </c>
      <c r="B6" s="215"/>
      <c r="C6" s="223">
        <f>B6*$D$5</f>
        <v>0</v>
      </c>
    </row>
    <row r="7" spans="1:8" x14ac:dyDescent="0.3">
      <c r="A7" s="213" t="s">
        <v>293</v>
      </c>
      <c r="B7" s="214"/>
    </row>
    <row r="8" spans="1:8" x14ac:dyDescent="0.3">
      <c r="A8" s="213" t="s">
        <v>294</v>
      </c>
      <c r="B8" s="215"/>
      <c r="C8" s="223">
        <f>B8*$D$5</f>
        <v>0</v>
      </c>
    </row>
    <row r="9" spans="1:8" x14ac:dyDescent="0.3">
      <c r="A9" s="213" t="s">
        <v>295</v>
      </c>
      <c r="B9" s="214"/>
    </row>
    <row r="11" spans="1:8" ht="15.6" x14ac:dyDescent="0.3">
      <c r="A11" s="288" t="s">
        <v>299</v>
      </c>
      <c r="B11" s="288"/>
      <c r="C11" s="288"/>
      <c r="D11" s="288"/>
      <c r="E11" s="288"/>
      <c r="F11" s="288"/>
      <c r="G11" s="288"/>
    </row>
    <row r="12" spans="1:8" ht="12" customHeight="1" x14ac:dyDescent="0.3"/>
    <row r="13" spans="1:8" x14ac:dyDescent="0.3">
      <c r="A13" s="140" t="s">
        <v>530</v>
      </c>
      <c r="B13" s="23" t="s">
        <v>532</v>
      </c>
    </row>
    <row r="14" spans="1:8" x14ac:dyDescent="0.3">
      <c r="A14" s="140" t="s">
        <v>529</v>
      </c>
      <c r="B14" s="28">
        <v>1</v>
      </c>
      <c r="C14" t="s">
        <v>428</v>
      </c>
    </row>
    <row r="15" spans="1:8" x14ac:dyDescent="0.3">
      <c r="A15" s="140" t="s">
        <v>297</v>
      </c>
      <c r="B15" s="142">
        <f>B14*B7</f>
        <v>0</v>
      </c>
    </row>
    <row r="17" spans="1:7" ht="15.6" x14ac:dyDescent="0.3">
      <c r="A17" s="288" t="s">
        <v>415</v>
      </c>
      <c r="B17" s="288"/>
      <c r="C17" s="288"/>
      <c r="D17" s="288"/>
      <c r="E17" s="288"/>
      <c r="F17" s="288"/>
      <c r="G17" s="288"/>
    </row>
    <row r="18" spans="1:7" ht="12" customHeight="1" x14ac:dyDescent="0.3"/>
    <row r="19" spans="1:7" x14ac:dyDescent="0.3">
      <c r="A19" s="140" t="s">
        <v>311</v>
      </c>
      <c r="B19" s="28">
        <v>22</v>
      </c>
      <c r="C19" t="s">
        <v>312</v>
      </c>
    </row>
    <row r="20" spans="1:7" x14ac:dyDescent="0.3">
      <c r="A20" s="140" t="s">
        <v>314</v>
      </c>
      <c r="B20" s="23" t="s">
        <v>202</v>
      </c>
    </row>
    <row r="21" spans="1:7" x14ac:dyDescent="0.3">
      <c r="A21" s="140" t="s">
        <v>305</v>
      </c>
      <c r="B21" s="141" t="s">
        <v>194</v>
      </c>
    </row>
    <row r="22" spans="1:7" x14ac:dyDescent="0.3">
      <c r="A22" s="140" t="s">
        <v>414</v>
      </c>
      <c r="B22" s="141" t="s">
        <v>412</v>
      </c>
      <c r="C22" t="s">
        <v>429</v>
      </c>
    </row>
    <row r="23" spans="1:7" ht="28.8" x14ac:dyDescent="0.3">
      <c r="A23" s="140" t="s">
        <v>308</v>
      </c>
      <c r="B23" s="28">
        <v>8</v>
      </c>
      <c r="C23" t="s">
        <v>313</v>
      </c>
    </row>
    <row r="25" spans="1:7" x14ac:dyDescent="0.3">
      <c r="A25" s="43" t="s">
        <v>370</v>
      </c>
    </row>
    <row r="26" spans="1:7" x14ac:dyDescent="0.3">
      <c r="A26" s="140" t="s">
        <v>317</v>
      </c>
      <c r="B26" s="142">
        <f>1.25*B15</f>
        <v>0</v>
      </c>
      <c r="C26" t="s">
        <v>447</v>
      </c>
      <c r="G26" s="43"/>
    </row>
    <row r="28" spans="1:7" x14ac:dyDescent="0.3">
      <c r="A28" s="140" t="s">
        <v>157</v>
      </c>
      <c r="B28" s="142">
        <f>IF(B20="COBRE",VLOOKUP(H2,'Cap 3 NTC'!A41:D50,MATCH(B21,'Cap 3 NTC'!A4:D4,0),FALSE),VLOOKUP(H2,'Cap 3 NTC'!A41:G50,MATCH(B21,'Cap 3 NTC'!E4:G4,0)+4,FALSE))</f>
        <v>1.04</v>
      </c>
      <c r="C28" t="s">
        <v>309</v>
      </c>
      <c r="F28" t="s">
        <v>342</v>
      </c>
    </row>
    <row r="29" spans="1:7" x14ac:dyDescent="0.3">
      <c r="A29" s="140" t="s">
        <v>158</v>
      </c>
      <c r="B29" s="142">
        <f>IF(B22="BANDEJA PORTACABLES",1,IF(AND(B23&gt;=1,B23&lt;=3),1,VLOOKUP(H3,'Cap 3 NTC'!J41:K46,2,FALSE)))</f>
        <v>0.7</v>
      </c>
      <c r="C29" t="s">
        <v>310</v>
      </c>
      <c r="F29" s="44" t="s">
        <v>421</v>
      </c>
    </row>
    <row r="30" spans="1:7" x14ac:dyDescent="0.3">
      <c r="A30" s="140" t="s">
        <v>316</v>
      </c>
      <c r="B30" s="142">
        <f>B15/(B28*B29)</f>
        <v>0</v>
      </c>
      <c r="C30" t="s">
        <v>301</v>
      </c>
      <c r="G30" s="292" t="s">
        <v>416</v>
      </c>
    </row>
    <row r="31" spans="1:7" x14ac:dyDescent="0.3">
      <c r="G31" s="292"/>
    </row>
    <row r="32" spans="1:7" x14ac:dyDescent="0.3">
      <c r="A32" s="143" t="s">
        <v>389</v>
      </c>
      <c r="B32" s="142">
        <f>IF(B30&gt;=B26,B30,B26)</f>
        <v>0</v>
      </c>
      <c r="E32" s="45"/>
      <c r="G32" s="292"/>
    </row>
    <row r="33" spans="1:7" x14ac:dyDescent="0.3">
      <c r="A33" s="143" t="s">
        <v>318</v>
      </c>
      <c r="B33" s="196">
        <f>IF(B20="COBRE",IF(OR(B21="90 ºC",B21="120 ºC"),VLOOKUP(H4,'Cap 3 NTC'!P8:U37,6,FALSE),IF(B21="75 ºC",VLOOKUP(H4,'Cap 3 NTC'!O8:U37,7,FALSE),IF(B21="60 ºC",VLOOKUP(H4,'Cap 3 NTC'!N8:U37,8,FALSE)))),IF(OR(B21="90 ºC",B21="120 ºC"),VLOOKUP(H4,'Cap 3 NTC'!S8:U37,3,FALSE),IF(B21="75 ºC",VLOOKUP(H4,'Cap 3 NTC'!R8:U37,4,FALSE),IF(B21="60 ºC",VLOOKUP(H4,'Cap 3 NTC'!Q8:U37,5,FALSE)))))</f>
        <v>18</v>
      </c>
      <c r="C33" s="144"/>
      <c r="G33" s="292"/>
    </row>
    <row r="34" spans="1:7" x14ac:dyDescent="0.3">
      <c r="G34" s="292"/>
    </row>
    <row r="35" spans="1:7" x14ac:dyDescent="0.3">
      <c r="A35" s="143" t="s">
        <v>319</v>
      </c>
      <c r="B35" s="146" t="s">
        <v>56</v>
      </c>
      <c r="C35" t="s">
        <v>371</v>
      </c>
      <c r="G35" s="292"/>
    </row>
    <row r="36" spans="1:7" x14ac:dyDescent="0.3">
      <c r="A36" s="143" t="s">
        <v>475</v>
      </c>
      <c r="B36" s="196">
        <f>VLOOKUP(B35,Cables!F3:G28,2,FALSE)</f>
        <v>4</v>
      </c>
    </row>
    <row r="38" spans="1:7" ht="15.6" x14ac:dyDescent="0.3">
      <c r="A38" s="288" t="s">
        <v>422</v>
      </c>
      <c r="B38" s="288"/>
      <c r="C38" s="288"/>
      <c r="D38" s="288"/>
      <c r="E38" s="288"/>
      <c r="F38" s="288"/>
      <c r="G38" s="288"/>
    </row>
    <row r="39" spans="1:7" ht="12" customHeight="1" x14ac:dyDescent="0.3"/>
    <row r="40" spans="1:7" x14ac:dyDescent="0.3">
      <c r="A40" s="140" t="s">
        <v>328</v>
      </c>
      <c r="B40" s="142">
        <f>1.25*B15</f>
        <v>0</v>
      </c>
      <c r="C40" t="s">
        <v>448</v>
      </c>
    </row>
    <row r="42" spans="1:7" ht="28.8" x14ac:dyDescent="0.3">
      <c r="A42" s="140" t="s">
        <v>329</v>
      </c>
      <c r="B42" s="141">
        <v>15</v>
      </c>
      <c r="C42" t="s">
        <v>332</v>
      </c>
    </row>
    <row r="44" spans="1:7" x14ac:dyDescent="0.3">
      <c r="A44" s="147" t="str">
        <f>IF(B42&gt;=B40,"OK","ERROR")</f>
        <v>OK</v>
      </c>
      <c r="B44" s="289" t="str">
        <f>IF(A44="OK","Protección seleccionada es mayor a la corriente minima de OCPD",IF(A44="ERROR","La protección seleccionada debe ser mayor a la corriente minima de OCPD"))</f>
        <v>Protección seleccionada es mayor a la corriente minima de OCPD</v>
      </c>
      <c r="C44" s="289"/>
      <c r="D44" s="289"/>
      <c r="F44" s="44" t="s">
        <v>366</v>
      </c>
    </row>
    <row r="45" spans="1:7" x14ac:dyDescent="0.3">
      <c r="B45" s="289"/>
      <c r="C45" s="289"/>
      <c r="D45" s="289"/>
    </row>
    <row r="46" spans="1:7" ht="12" customHeight="1" x14ac:dyDescent="0.3"/>
    <row r="47" spans="1:7" ht="15.6" x14ac:dyDescent="0.3">
      <c r="A47" s="288" t="s">
        <v>336</v>
      </c>
      <c r="B47" s="288"/>
      <c r="C47" s="288"/>
      <c r="D47" s="288"/>
      <c r="E47" s="288"/>
      <c r="F47" s="288"/>
      <c r="G47" s="288"/>
    </row>
    <row r="48" spans="1:7" ht="12" customHeight="1" x14ac:dyDescent="0.3"/>
    <row r="49" spans="1:9" ht="28.8" x14ac:dyDescent="0.3">
      <c r="A49" s="140" t="s">
        <v>331</v>
      </c>
      <c r="B49" s="141" t="s">
        <v>192</v>
      </c>
      <c r="C49" s="290" t="s">
        <v>335</v>
      </c>
      <c r="D49" s="291"/>
      <c r="E49" s="291"/>
      <c r="F49" s="291"/>
      <c r="G49" s="291"/>
      <c r="H49" s="291"/>
      <c r="I49" s="291"/>
    </row>
    <row r="51" spans="1:9" ht="28.8" x14ac:dyDescent="0.3">
      <c r="A51" s="140" t="str">
        <f>CONCATENATE("Ampacidad del cable seleccionado @", B49, " [A]")</f>
        <v>Ampacidad del cable seleccionado @60 ºC [A]</v>
      </c>
      <c r="B51" s="145">
        <f>IF(B20="COBRE",IF(OR(B49="90 ºC",B49="120 ºC"),VLOOKUP(B35,'Cap 3 NTC'!M8:P37,4,FALSE),IF(B49="75 ºC",VLOOKUP(B35,'Cap 3 NTC'!M8:O37,3,FALSE),IF(B49="60 ºC",VLOOKUP(B35,'Cap 3 NTC'!M8:N37,2,FALSE)))),IF(OR(B49="90 ºC",B49="120 ºC"),VLOOKUP(B35,'Cap 3 NTC'!M8:S37,7,FALSE),IF(B49="75 ºC",VLOOKUP(B35,'Cap 3 NTC'!M8:R37,6,FALSE),IF(B49="60 ºC",VLOOKUP(B35,'Cap 3 NTC'!M8:Q37,5,FALSE)))))</f>
        <v>25</v>
      </c>
    </row>
    <row r="52" spans="1:9" x14ac:dyDescent="0.3">
      <c r="A52" s="140" t="s">
        <v>159</v>
      </c>
      <c r="B52" s="147" t="str">
        <f>IF(B51&gt;=B42,"SI","NO")</f>
        <v>SI</v>
      </c>
      <c r="C52" t="s">
        <v>333</v>
      </c>
    </row>
    <row r="54" spans="1:9" ht="28.8" x14ac:dyDescent="0.3">
      <c r="A54" s="140" t="str">
        <f>CONCATENATE("Ampacidad del cable seleccionado temperatura nominal @", B21, " [A]")</f>
        <v>Ampacidad del cable seleccionado temperatura nominal @90 ºC [A]</v>
      </c>
      <c r="B54" s="145">
        <f>IF(B20="COBRE",IF(OR(B21="90 ºC",B21="120 ºC"),VLOOKUP(B35,'Cap 3 NTC'!M8:P37,4,FALSE),IF(B21="75 ºC",VLOOKUP(B35,'Cap 3 NTC'!M8:O37,3,FALSE),IF(B21="60 ºC",VLOOKUP(B35,'Cap 3 NTC'!M8:N37,2,FALSE)))),IF(OR(B21="90 ºC",B21="120 ºC"),VLOOKUP(B35,'Cap 3 NTC'!M8:S37,7,FALSE),IF(B21="75 ºC",VLOOKUP(B35,'Cap 3 NTC'!M8:R37,6,FALSE),IF(B21="60 ºC",VLOOKUP(B35,'Cap 3 NTC'!M8:Q37,5,FALSE)))))</f>
        <v>30</v>
      </c>
    </row>
    <row r="55" spans="1:9" ht="28.8" x14ac:dyDescent="0.3">
      <c r="A55" s="140" t="s">
        <v>334</v>
      </c>
      <c r="B55" s="142">
        <f>B54*B29*B28</f>
        <v>21.84</v>
      </c>
      <c r="C55">
        <f>0.96*40</f>
        <v>38.4</v>
      </c>
      <c r="F55" s="43"/>
    </row>
    <row r="56" spans="1:9" x14ac:dyDescent="0.3">
      <c r="A56" s="140" t="s">
        <v>159</v>
      </c>
      <c r="B56" s="147" t="str">
        <f>IF(B55&gt;=B42,"SI","NO")</f>
        <v>SI</v>
      </c>
    </row>
    <row r="58" spans="1:9" x14ac:dyDescent="0.3">
      <c r="A58" s="147" t="str">
        <f>IF(AND(B56="SI",B52="SI"), "OK",IF(OR(B56="NO",B52="NO"),"ERROR"))</f>
        <v>OK</v>
      </c>
      <c r="B58" s="289" t="str">
        <f>IF(AND(B56="SI",B52="SI"), "La protección contra sobrecorrientes seleccionada funciona correctamente con el cable seleccionado",IF(OR(B56="NO",B52="NO"),"Realice un nuevo cálculo del cableado a utilizar o de la protección contra sobrecorrientes a utilizar"))</f>
        <v>La protección contra sobrecorrientes seleccionada funciona correctamente con el cable seleccionado</v>
      </c>
      <c r="C58" s="289"/>
      <c r="D58" s="289"/>
    </row>
    <row r="59" spans="1:9" x14ac:dyDescent="0.3">
      <c r="B59" s="289"/>
      <c r="C59" s="289"/>
      <c r="D59" s="289"/>
      <c r="E59" s="43"/>
    </row>
    <row r="60" spans="1:9" ht="12" customHeight="1" x14ac:dyDescent="0.3"/>
    <row r="61" spans="1:9" ht="15.6" x14ac:dyDescent="0.3">
      <c r="A61" s="288" t="s">
        <v>438</v>
      </c>
      <c r="B61" s="288"/>
      <c r="C61" s="288"/>
      <c r="D61" s="288"/>
      <c r="E61" s="288"/>
      <c r="F61" s="288"/>
      <c r="G61" s="288"/>
    </row>
    <row r="62" spans="1:9" ht="12" customHeight="1" x14ac:dyDescent="0.3"/>
    <row r="63" spans="1:9" x14ac:dyDescent="0.3">
      <c r="A63" s="140" t="s">
        <v>419</v>
      </c>
      <c r="B63" s="23" t="s">
        <v>202</v>
      </c>
    </row>
    <row r="64" spans="1:9" x14ac:dyDescent="0.3">
      <c r="A64" s="143" t="s">
        <v>380</v>
      </c>
      <c r="B64" s="196">
        <f>VLOOKUP(INDEX('Cap 2 NTC'!A36:A47,MATCH(B42,'Cap 2 NTC'!A36:A47,-1)),'Cap 2 NTC'!A36:C47,MATCH(PV_INV_PARALELO!B63,'Cap 2 NTC'!B34:C34,0)+1,FALSE)</f>
        <v>14</v>
      </c>
      <c r="C64" t="s">
        <v>378</v>
      </c>
    </row>
    <row r="66" spans="1:7" ht="28.8" x14ac:dyDescent="0.3">
      <c r="A66" s="143" t="s">
        <v>420</v>
      </c>
      <c r="B66" s="146" t="s">
        <v>58</v>
      </c>
      <c r="C66" t="s">
        <v>371</v>
      </c>
    </row>
    <row r="67" spans="1:7" x14ac:dyDescent="0.3">
      <c r="A67" s="143" t="s">
        <v>475</v>
      </c>
      <c r="B67" s="196">
        <f>VLOOKUP(B66,Cables!F3:G28,2,FALSE)</f>
        <v>10</v>
      </c>
    </row>
    <row r="69" spans="1:7" ht="15.6" x14ac:dyDescent="0.3">
      <c r="A69" s="288" t="s">
        <v>439</v>
      </c>
      <c r="B69" s="288"/>
      <c r="C69" s="288"/>
      <c r="D69" s="288"/>
      <c r="E69" s="288"/>
      <c r="F69" s="288"/>
      <c r="G69" s="288"/>
    </row>
    <row r="70" spans="1:7" ht="12" customHeight="1" x14ac:dyDescent="0.3"/>
    <row r="71" spans="1:7" x14ac:dyDescent="0.3">
      <c r="A71" s="43" t="s">
        <v>390</v>
      </c>
      <c r="E71" s="43" t="s">
        <v>391</v>
      </c>
    </row>
    <row r="72" spans="1:7" x14ac:dyDescent="0.3">
      <c r="A72" s="140" t="s">
        <v>423</v>
      </c>
      <c r="B72" s="141" t="s">
        <v>434</v>
      </c>
      <c r="E72" s="140" t="s">
        <v>423</v>
      </c>
      <c r="F72" s="141" t="s">
        <v>435</v>
      </c>
      <c r="G72" t="s">
        <v>436</v>
      </c>
    </row>
    <row r="73" spans="1:7" x14ac:dyDescent="0.3">
      <c r="A73" s="43" t="s">
        <v>375</v>
      </c>
      <c r="E73" s="43" t="s">
        <v>375</v>
      </c>
    </row>
    <row r="74" spans="1:7" x14ac:dyDescent="0.3">
      <c r="A74" s="140" t="s">
        <v>346</v>
      </c>
      <c r="B74" s="141" t="s">
        <v>348</v>
      </c>
      <c r="E74" s="140" t="s">
        <v>346</v>
      </c>
      <c r="F74" s="141"/>
    </row>
    <row r="75" spans="1:7" x14ac:dyDescent="0.3">
      <c r="A75" s="140" t="s">
        <v>360</v>
      </c>
      <c r="B75" s="141" t="s">
        <v>148</v>
      </c>
      <c r="E75" s="140" t="s">
        <v>360</v>
      </c>
      <c r="F75" s="141"/>
    </row>
    <row r="77" spans="1:7" x14ac:dyDescent="0.3">
      <c r="A77" s="140" t="s">
        <v>361</v>
      </c>
      <c r="B77" s="142">
        <f>PI()*(VLOOKUP(B75,Tuberia!A4:E14,MATCH(PV_INV_PARALELO!B74,Tuberia!A2:E2,0),FALSE)/2)^2</f>
        <v>964.97372319327462</v>
      </c>
      <c r="E77" s="140" t="s">
        <v>361</v>
      </c>
      <c r="F77" s="142" t="e">
        <f>PI()*(VLOOKUP(F75,Tuberia!A4:E14,MATCH(PV_INV_PARALELO!F74,Tuberia!A2:E2,0),FALSE)/2)^2</f>
        <v>#N/A</v>
      </c>
    </row>
    <row r="79" spans="1:7" x14ac:dyDescent="0.3">
      <c r="A79" s="43" t="s">
        <v>376</v>
      </c>
      <c r="E79" s="43" t="s">
        <v>376</v>
      </c>
    </row>
    <row r="80" spans="1:7" x14ac:dyDescent="0.3">
      <c r="A80" s="140" t="s">
        <v>430</v>
      </c>
      <c r="B80" s="141" t="s">
        <v>553</v>
      </c>
      <c r="C80" t="s">
        <v>365</v>
      </c>
      <c r="E80" s="140" t="s">
        <v>430</v>
      </c>
      <c r="F80" s="141"/>
      <c r="G80" t="s">
        <v>365</v>
      </c>
    </row>
    <row r="81" spans="1:7" x14ac:dyDescent="0.3">
      <c r="A81" s="140" t="s">
        <v>432</v>
      </c>
      <c r="B81" s="141">
        <v>2</v>
      </c>
      <c r="E81" s="140" t="s">
        <v>432</v>
      </c>
      <c r="F81" s="141"/>
    </row>
    <row r="82" spans="1:7" x14ac:dyDescent="0.3">
      <c r="A82" s="140" t="s">
        <v>362</v>
      </c>
      <c r="B82" s="141">
        <v>5.8</v>
      </c>
      <c r="C82" t="s">
        <v>367</v>
      </c>
      <c r="E82" s="140" t="s">
        <v>362</v>
      </c>
      <c r="F82" s="141"/>
      <c r="G82" t="s">
        <v>367</v>
      </c>
    </row>
    <row r="83" spans="1:7" x14ac:dyDescent="0.3">
      <c r="A83" s="140" t="s">
        <v>516</v>
      </c>
      <c r="B83" s="142">
        <f>(PI()*((B82)/2)^2)*B81</f>
        <v>52.841588433380323</v>
      </c>
      <c r="E83" s="140" t="s">
        <v>516</v>
      </c>
      <c r="F83" s="142">
        <f>(PI()*((F82)/2)^2)*F81</f>
        <v>0</v>
      </c>
    </row>
    <row r="84" spans="1:7" x14ac:dyDescent="0.3">
      <c r="B84" s="45"/>
    </row>
    <row r="85" spans="1:7" x14ac:dyDescent="0.3">
      <c r="A85" s="140" t="s">
        <v>431</v>
      </c>
      <c r="B85" s="141" t="s">
        <v>555</v>
      </c>
      <c r="C85" t="s">
        <v>365</v>
      </c>
      <c r="E85" s="140" t="s">
        <v>431</v>
      </c>
      <c r="F85" s="141"/>
      <c r="G85" t="s">
        <v>365</v>
      </c>
    </row>
    <row r="86" spans="1:7" x14ac:dyDescent="0.3">
      <c r="A86" s="140" t="s">
        <v>433</v>
      </c>
      <c r="B86" s="141">
        <v>4</v>
      </c>
      <c r="E86" s="140" t="s">
        <v>433</v>
      </c>
      <c r="F86" s="141"/>
    </row>
    <row r="87" spans="1:7" x14ac:dyDescent="0.3">
      <c r="A87" s="140" t="s">
        <v>362</v>
      </c>
      <c r="B87" s="141">
        <v>6.6</v>
      </c>
      <c r="C87" t="s">
        <v>367</v>
      </c>
      <c r="E87" s="140" t="s">
        <v>362</v>
      </c>
      <c r="F87" s="141"/>
      <c r="G87" t="s">
        <v>367</v>
      </c>
    </row>
    <row r="88" spans="1:7" x14ac:dyDescent="0.3">
      <c r="A88" s="140" t="s">
        <v>515</v>
      </c>
      <c r="B88" s="142">
        <f>(PI()*((B87)/2)^2)*B86</f>
        <v>136.84777599037136</v>
      </c>
      <c r="E88" s="140" t="s">
        <v>515</v>
      </c>
      <c r="F88" s="142">
        <f>(PI()*((F87)/2)^2)*F86</f>
        <v>0</v>
      </c>
    </row>
    <row r="89" spans="1:7" ht="28.8" x14ac:dyDescent="0.3">
      <c r="A89" s="140" t="s">
        <v>368</v>
      </c>
      <c r="B89" s="142">
        <f>B88+B83</f>
        <v>189.68936442375167</v>
      </c>
      <c r="E89" s="140" t="s">
        <v>368</v>
      </c>
      <c r="F89" s="142">
        <f>F88+F83</f>
        <v>0</v>
      </c>
    </row>
    <row r="90" spans="1:7" x14ac:dyDescent="0.3">
      <c r="B90" s="45"/>
    </row>
    <row r="91" spans="1:7" x14ac:dyDescent="0.3">
      <c r="A91" s="43" t="s">
        <v>417</v>
      </c>
      <c r="E91" s="43" t="s">
        <v>417</v>
      </c>
    </row>
    <row r="92" spans="1:7" x14ac:dyDescent="0.3">
      <c r="A92" s="140" t="s">
        <v>364</v>
      </c>
      <c r="B92" s="141" t="s">
        <v>554</v>
      </c>
      <c r="C92" t="s">
        <v>365</v>
      </c>
      <c r="E92" s="140" t="s">
        <v>364</v>
      </c>
      <c r="F92" s="141"/>
      <c r="G92" t="s">
        <v>365</v>
      </c>
    </row>
    <row r="93" spans="1:7" x14ac:dyDescent="0.3">
      <c r="A93" s="140" t="s">
        <v>363</v>
      </c>
      <c r="B93" s="141">
        <v>1</v>
      </c>
      <c r="E93" s="140" t="s">
        <v>363</v>
      </c>
      <c r="F93" s="141"/>
    </row>
    <row r="94" spans="1:7" x14ac:dyDescent="0.3">
      <c r="A94" s="140" t="s">
        <v>362</v>
      </c>
      <c r="B94" s="141">
        <v>3.7</v>
      </c>
      <c r="C94" t="s">
        <v>367</v>
      </c>
      <c r="E94" s="140" t="s">
        <v>362</v>
      </c>
      <c r="F94" s="141"/>
      <c r="G94" t="s">
        <v>367</v>
      </c>
    </row>
    <row r="95" spans="1:7" ht="15.75" customHeight="1" x14ac:dyDescent="0.3">
      <c r="A95" s="140" t="s">
        <v>418</v>
      </c>
      <c r="B95" s="142">
        <f>(PI()*(B94/2)^2)*B93</f>
        <v>10.752100856911069</v>
      </c>
      <c r="E95" s="140" t="s">
        <v>418</v>
      </c>
      <c r="F95" s="142">
        <f>(PI()*(F94/2)^2)*F93</f>
        <v>0</v>
      </c>
    </row>
    <row r="96" spans="1:7" x14ac:dyDescent="0.3">
      <c r="B96" s="45"/>
    </row>
    <row r="97" spans="1:7" x14ac:dyDescent="0.3">
      <c r="A97" s="140" t="s">
        <v>372</v>
      </c>
      <c r="B97" s="142">
        <f>SUM(B89,B95)</f>
        <v>200.44146528066273</v>
      </c>
      <c r="E97" s="140" t="s">
        <v>372</v>
      </c>
      <c r="F97" s="142">
        <f>SUM(F89,F95)</f>
        <v>0</v>
      </c>
    </row>
    <row r="99" spans="1:7" x14ac:dyDescent="0.3">
      <c r="A99" s="140" t="s">
        <v>160</v>
      </c>
      <c r="B99" s="149">
        <f>(B97/B77)</f>
        <v>0.20771701908873252</v>
      </c>
      <c r="E99" s="140" t="s">
        <v>160</v>
      </c>
      <c r="F99" s="149" t="e">
        <f>(F97/F77)</f>
        <v>#N/A</v>
      </c>
    </row>
    <row r="100" spans="1:7" x14ac:dyDescent="0.3">
      <c r="A100" s="140" t="s">
        <v>373</v>
      </c>
      <c r="B100" s="149">
        <f>IF(SUM(B93,B81)=1,'Cap 9 NTC'!C5,IF(SUM(B93,B81)=1,'Cap 9 NTC'!D5,IF(SUM(B93,B81)&gt;2,'Cap 9 NTC'!E5,"Error, número de conductores no puede ser negativo")))</f>
        <v>0.4</v>
      </c>
      <c r="C100" t="s">
        <v>374</v>
      </c>
      <c r="E100" s="140" t="s">
        <v>373</v>
      </c>
      <c r="F100" s="149" t="str">
        <f>IF(SUM(F93,F81)=1,'Cap 9 NTC'!G5,IF(SUM(F93,F81)=1,'Cap 9 NTC'!H5,IF(SUM(F93,F81)&gt;2,'Cap 9 NTC'!I5,"Error, número de conductores no puede ser negativo")))</f>
        <v>Error, número de conductores no puede ser negativo</v>
      </c>
      <c r="G100" t="s">
        <v>374</v>
      </c>
    </row>
    <row r="102" spans="1:7" x14ac:dyDescent="0.3">
      <c r="A102" s="147" t="str">
        <f>IF(B99&lt;=B100,"OK",IF(B99&gt;B100,"ERROR"))</f>
        <v>OK</v>
      </c>
      <c r="B102" s="289" t="str">
        <f>IF(B99&lt;=B100,"La tuberia seleccionada cumple con los porcentajes de la tabla 1 del capitulo 9 de la NTC 2050",IF(B99&gt;B100,"La tuberia seleccionada NO cumple con los porcentajes de la tabla 1 del capitulo 9 de la NTC 2050"))</f>
        <v>La tuberia seleccionada cumple con los porcentajes de la tabla 1 del capitulo 9 de la NTC 2050</v>
      </c>
      <c r="C102" s="289"/>
      <c r="D102" s="289"/>
      <c r="E102" s="147" t="e">
        <f>IF(F99&lt;=F100,"OK",IF(F99&gt;F100,"ERROR"))</f>
        <v>#N/A</v>
      </c>
      <c r="F102" s="289" t="e">
        <f>IF(F99&lt;=F100,"La tuberia seleccionada cumple con los porcentajes de la tabla 1 del capitulo 9 de la NTC 2050",IF(F99&gt;F100,"La tuberia seleccionada NO cumple con los porcentajes de la tabla 1 del capitulo 9 de la NTC 2050"))</f>
        <v>#N/A</v>
      </c>
      <c r="G102" s="289"/>
    </row>
    <row r="103" spans="1:7" x14ac:dyDescent="0.3">
      <c r="B103" s="289"/>
      <c r="C103" s="289"/>
      <c r="D103" s="289"/>
      <c r="F103" s="289"/>
      <c r="G103" s="289"/>
    </row>
    <row r="104" spans="1:7" ht="12" customHeight="1" x14ac:dyDescent="0.3"/>
    <row r="105" spans="1:7" ht="15.6" x14ac:dyDescent="0.3">
      <c r="A105" s="288" t="s">
        <v>440</v>
      </c>
      <c r="B105" s="288"/>
      <c r="C105" s="288"/>
      <c r="D105" s="288"/>
      <c r="E105" s="288"/>
      <c r="F105" s="288"/>
      <c r="G105" s="288"/>
    </row>
    <row r="106" spans="1:7" ht="12" customHeight="1" x14ac:dyDescent="0.3"/>
    <row r="107" spans="1:7" hidden="1" x14ac:dyDescent="0.3">
      <c r="A107" s="43" t="s">
        <v>397</v>
      </c>
      <c r="E107" s="43" t="s">
        <v>398</v>
      </c>
    </row>
    <row r="108" spans="1:7" hidden="1" x14ac:dyDescent="0.3">
      <c r="A108" s="43" t="s">
        <v>343</v>
      </c>
      <c r="E108" s="43" t="s">
        <v>343</v>
      </c>
    </row>
    <row r="109" spans="1:7" hidden="1" x14ac:dyDescent="0.3">
      <c r="A109" s="140" t="s">
        <v>388</v>
      </c>
      <c r="B109" s="141"/>
      <c r="E109" s="140" t="s">
        <v>388</v>
      </c>
      <c r="F109" s="141"/>
    </row>
    <row r="110" spans="1:7" hidden="1" x14ac:dyDescent="0.3">
      <c r="A110" s="140" t="s">
        <v>392</v>
      </c>
      <c r="B110" s="141"/>
      <c r="E110" s="140" t="s">
        <v>392</v>
      </c>
      <c r="F110" s="141"/>
    </row>
    <row r="111" spans="1:7" hidden="1" x14ac:dyDescent="0.3">
      <c r="A111" s="140" t="s">
        <v>393</v>
      </c>
      <c r="B111" s="141"/>
      <c r="E111" s="140" t="s">
        <v>393</v>
      </c>
      <c r="F111" s="141"/>
    </row>
    <row r="112" spans="1:7" hidden="1" x14ac:dyDescent="0.3">
      <c r="A112" s="140" t="s">
        <v>394</v>
      </c>
      <c r="B112" s="141"/>
      <c r="C112" t="s">
        <v>345</v>
      </c>
      <c r="E112" s="140" t="s">
        <v>394</v>
      </c>
      <c r="F112" s="141"/>
      <c r="G112" t="s">
        <v>345</v>
      </c>
    </row>
    <row r="113" spans="1:7" hidden="1" x14ac:dyDescent="0.3">
      <c r="A113" s="140" t="s">
        <v>396</v>
      </c>
      <c r="B113" s="142">
        <f>B111*B110</f>
        <v>0</v>
      </c>
      <c r="E113" s="140" t="s">
        <v>396</v>
      </c>
      <c r="F113" s="142">
        <f>F111*F110</f>
        <v>0</v>
      </c>
    </row>
    <row r="114" spans="1:7" hidden="1" x14ac:dyDescent="0.3"/>
    <row r="115" spans="1:7" hidden="1" x14ac:dyDescent="0.3">
      <c r="A115" s="43" t="s">
        <v>376</v>
      </c>
      <c r="E115" s="43" t="s">
        <v>376</v>
      </c>
    </row>
    <row r="116" spans="1:7" hidden="1" x14ac:dyDescent="0.3">
      <c r="A116" s="140" t="s">
        <v>430</v>
      </c>
      <c r="B116" s="141"/>
      <c r="C116" t="s">
        <v>365</v>
      </c>
      <c r="E116" s="140" t="s">
        <v>430</v>
      </c>
      <c r="F116" s="141"/>
      <c r="G116" t="s">
        <v>365</v>
      </c>
    </row>
    <row r="117" spans="1:7" hidden="1" x14ac:dyDescent="0.3">
      <c r="A117" s="140" t="s">
        <v>432</v>
      </c>
      <c r="B117" s="141"/>
      <c r="E117" s="140" t="s">
        <v>432</v>
      </c>
      <c r="F117" s="141"/>
    </row>
    <row r="118" spans="1:7" hidden="1" x14ac:dyDescent="0.3">
      <c r="A118" s="140" t="s">
        <v>362</v>
      </c>
      <c r="B118" s="141"/>
      <c r="C118" t="s">
        <v>367</v>
      </c>
      <c r="E118" s="140" t="s">
        <v>362</v>
      </c>
      <c r="F118" s="141"/>
      <c r="G118" t="s">
        <v>367</v>
      </c>
    </row>
    <row r="119" spans="1:7" hidden="1" x14ac:dyDescent="0.3">
      <c r="A119" s="140" t="s">
        <v>516</v>
      </c>
      <c r="B119" s="142">
        <f>(PI()*((B118)/2)^2)*B117</f>
        <v>0</v>
      </c>
      <c r="E119" s="140" t="s">
        <v>516</v>
      </c>
      <c r="F119" s="142">
        <f>(PI()*((F118)/2)^2)*F117</f>
        <v>0</v>
      </c>
    </row>
    <row r="120" spans="1:7" hidden="1" x14ac:dyDescent="0.3"/>
    <row r="121" spans="1:7" hidden="1" x14ac:dyDescent="0.3">
      <c r="A121" s="140" t="s">
        <v>431</v>
      </c>
      <c r="B121" s="141"/>
      <c r="C121" t="s">
        <v>365</v>
      </c>
      <c r="E121" s="140" t="s">
        <v>431</v>
      </c>
      <c r="F121" s="141"/>
      <c r="G121" t="s">
        <v>365</v>
      </c>
    </row>
    <row r="122" spans="1:7" hidden="1" x14ac:dyDescent="0.3">
      <c r="A122" s="140" t="s">
        <v>433</v>
      </c>
      <c r="B122" s="141"/>
      <c r="E122" s="140" t="s">
        <v>433</v>
      </c>
      <c r="F122" s="141"/>
    </row>
    <row r="123" spans="1:7" hidden="1" x14ac:dyDescent="0.3">
      <c r="A123" s="140" t="s">
        <v>362</v>
      </c>
      <c r="B123" s="141"/>
      <c r="C123" t="s">
        <v>367</v>
      </c>
      <c r="E123" s="140" t="s">
        <v>362</v>
      </c>
      <c r="F123" s="141"/>
      <c r="G123" t="s">
        <v>367</v>
      </c>
    </row>
    <row r="124" spans="1:7" hidden="1" x14ac:dyDescent="0.3">
      <c r="A124" s="140" t="s">
        <v>515</v>
      </c>
      <c r="B124" s="142">
        <f>(PI()*((B123)/2)^2)*B122</f>
        <v>0</v>
      </c>
      <c r="E124" s="140" t="s">
        <v>515</v>
      </c>
      <c r="F124" s="142">
        <f>(PI()*((F123)/2)^2)*F122</f>
        <v>0</v>
      </c>
    </row>
    <row r="125" spans="1:7" ht="28.8" hidden="1" x14ac:dyDescent="0.3">
      <c r="A125" s="140" t="s">
        <v>368</v>
      </c>
      <c r="B125" s="142">
        <f>B124+B119</f>
        <v>0</v>
      </c>
      <c r="E125" s="140" t="s">
        <v>368</v>
      </c>
      <c r="F125" s="142">
        <f>F124+F119</f>
        <v>0</v>
      </c>
    </row>
    <row r="126" spans="1:7" hidden="1" x14ac:dyDescent="0.3"/>
    <row r="127" spans="1:7" hidden="1" x14ac:dyDescent="0.3">
      <c r="A127" s="43" t="s">
        <v>377</v>
      </c>
      <c r="E127" s="43" t="s">
        <v>377</v>
      </c>
    </row>
    <row r="128" spans="1:7" hidden="1" x14ac:dyDescent="0.3">
      <c r="A128" s="140" t="s">
        <v>364</v>
      </c>
      <c r="B128" s="141"/>
      <c r="C128" t="s">
        <v>365</v>
      </c>
      <c r="E128" s="140" t="s">
        <v>364</v>
      </c>
      <c r="F128" s="141"/>
      <c r="G128" t="s">
        <v>365</v>
      </c>
    </row>
    <row r="129" spans="1:8" hidden="1" x14ac:dyDescent="0.3">
      <c r="A129" s="140" t="s">
        <v>363</v>
      </c>
      <c r="B129" s="141"/>
      <c r="E129" s="140" t="s">
        <v>363</v>
      </c>
      <c r="F129" s="141"/>
    </row>
    <row r="130" spans="1:8" hidden="1" x14ac:dyDescent="0.3">
      <c r="A130" s="140" t="s">
        <v>362</v>
      </c>
      <c r="B130" s="141"/>
      <c r="C130" t="s">
        <v>367</v>
      </c>
      <c r="E130" s="140" t="s">
        <v>362</v>
      </c>
      <c r="F130" s="141"/>
      <c r="G130" t="s">
        <v>367</v>
      </c>
    </row>
    <row r="131" spans="1:8" hidden="1" x14ac:dyDescent="0.3">
      <c r="A131" s="140" t="s">
        <v>369</v>
      </c>
      <c r="B131" s="142">
        <f>(PI()*(B130/2)^2)*B129</f>
        <v>0</v>
      </c>
      <c r="E131" s="140" t="s">
        <v>369</v>
      </c>
      <c r="F131" s="142">
        <f>(PI()*(F130/2)^2)*F129</f>
        <v>0</v>
      </c>
    </row>
    <row r="132" spans="1:8" hidden="1" x14ac:dyDescent="0.3"/>
    <row r="133" spans="1:8" hidden="1" x14ac:dyDescent="0.3">
      <c r="A133" s="140" t="s">
        <v>399</v>
      </c>
      <c r="B133" s="142">
        <f>SUM(B130*B129,B117*B118,B123*B122)</f>
        <v>0</v>
      </c>
      <c r="C133" t="s">
        <v>404</v>
      </c>
      <c r="E133" s="140" t="s">
        <v>399</v>
      </c>
      <c r="F133" s="142">
        <f>SUM(F130*F129,F117*F118,F123*F122)</f>
        <v>0</v>
      </c>
      <c r="G133" t="s">
        <v>404</v>
      </c>
    </row>
    <row r="134" spans="1:8" hidden="1" x14ac:dyDescent="0.3">
      <c r="A134" s="140" t="s">
        <v>400</v>
      </c>
      <c r="B134" s="142">
        <f>B111</f>
        <v>0</v>
      </c>
      <c r="C134" t="s">
        <v>403</v>
      </c>
      <c r="E134" s="140" t="s">
        <v>400</v>
      </c>
      <c r="F134" s="142">
        <f>F111</f>
        <v>0</v>
      </c>
      <c r="G134" t="s">
        <v>403</v>
      </c>
    </row>
    <row r="135" spans="1:8" hidden="1" x14ac:dyDescent="0.3"/>
    <row r="136" spans="1:8" hidden="1" x14ac:dyDescent="0.3">
      <c r="A136" s="140" t="s">
        <v>372</v>
      </c>
      <c r="B136" s="142">
        <f>SUM(B125,B131)</f>
        <v>0</v>
      </c>
      <c r="E136" s="140" t="s">
        <v>372</v>
      </c>
      <c r="F136" s="142">
        <f>SUM(F125,F131)</f>
        <v>0</v>
      </c>
    </row>
    <row r="137" spans="1:8" hidden="1" x14ac:dyDescent="0.3"/>
    <row r="138" spans="1:8" hidden="1" x14ac:dyDescent="0.3">
      <c r="A138" s="140" t="s">
        <v>402</v>
      </c>
      <c r="B138" s="149" t="e">
        <f>B136/B113</f>
        <v>#DIV/0!</v>
      </c>
      <c r="E138" s="140" t="s">
        <v>402</v>
      </c>
      <c r="F138" s="149" t="e">
        <f>F136/F113</f>
        <v>#DIV/0!</v>
      </c>
    </row>
    <row r="139" spans="1:8" hidden="1" x14ac:dyDescent="0.3">
      <c r="A139" s="140" t="s">
        <v>401</v>
      </c>
      <c r="B139" s="149">
        <v>0.4</v>
      </c>
      <c r="C139" t="s">
        <v>344</v>
      </c>
      <c r="E139" s="140" t="s">
        <v>401</v>
      </c>
      <c r="F139" s="149">
        <v>0.4</v>
      </c>
      <c r="G139" t="s">
        <v>344</v>
      </c>
    </row>
    <row r="140" spans="1:8" hidden="1" x14ac:dyDescent="0.3"/>
    <row r="141" spans="1:8" ht="15" hidden="1" customHeight="1" x14ac:dyDescent="0.3">
      <c r="A141" s="147" t="e">
        <f>IF(AND(B138&lt;=B139,B133&lt;=B134),"OK",IF(OR(B138&gt;B139,B133&gt;B134),"ERROR"))</f>
        <v>#DIV/0!</v>
      </c>
      <c r="B141" s="289" t="e">
        <f>IF(AND(B138&lt;=B139,B133&lt;=B134),"La bandeja seleccionada cumple con el articulo 318-10 b) de la NTC 2050 y el articulo 20.3 i) del RETIE",IF(B138&gt;B139,"El porcentaje de ocupacion del area transversal de la bandeja es mayor al 40%",IF(B133&gt;B134,"la bandeja ")))</f>
        <v>#DIV/0!</v>
      </c>
      <c r="C141" s="289"/>
      <c r="D141" s="289"/>
      <c r="E141" s="147" t="e">
        <f>IF(AND(F138&lt;=F139,F133&lt;=F134),"OK",IF(OR(F138&gt;F139,F133&gt;F134),"ERROR"))</f>
        <v>#DIV/0!</v>
      </c>
      <c r="F141" s="289" t="e">
        <f>IF(AND(F138&lt;=F139,F133&lt;=F134),"La bandeja seleccionada cumple con el articulo 318-10 b) de la NTC 2050 y el articulo 20.3 i) del RETIE",IF(F138&gt;F139,"El porcentaje de ocupacion del area transversal de la bandeja es mayor al 40%",IF(F133&gt;F134,"la bandeja ")))</f>
        <v>#DIV/0!</v>
      </c>
      <c r="G141" s="289"/>
      <c r="H141" s="195"/>
    </row>
    <row r="142" spans="1:8" hidden="1" x14ac:dyDescent="0.3">
      <c r="B142" s="289"/>
      <c r="C142" s="289"/>
      <c r="D142" s="289"/>
      <c r="F142" s="289"/>
      <c r="G142" s="289"/>
      <c r="H142" s="195"/>
    </row>
    <row r="144" spans="1:8" ht="15.6" x14ac:dyDescent="0.3">
      <c r="A144" s="288" t="s">
        <v>441</v>
      </c>
      <c r="B144" s="288"/>
      <c r="C144" s="288"/>
      <c r="D144" s="288"/>
      <c r="E144" s="288"/>
      <c r="F144" s="288"/>
      <c r="G144" s="288"/>
    </row>
    <row r="145" spans="1:6" ht="12" customHeight="1" x14ac:dyDescent="0.3"/>
    <row r="146" spans="1:6" x14ac:dyDescent="0.3">
      <c r="A146" s="43" t="s">
        <v>424</v>
      </c>
      <c r="E146" s="43" t="s">
        <v>425</v>
      </c>
    </row>
    <row r="147" spans="1:6" x14ac:dyDescent="0.3">
      <c r="A147" s="140" t="s">
        <v>437</v>
      </c>
      <c r="B147" s="141"/>
      <c r="E147" s="140" t="s">
        <v>338</v>
      </c>
      <c r="F147" s="141"/>
    </row>
    <row r="148" spans="1:6" x14ac:dyDescent="0.3">
      <c r="A148" s="140" t="s">
        <v>337</v>
      </c>
      <c r="B148" s="141">
        <v>16</v>
      </c>
      <c r="E148" s="140" t="s">
        <v>337</v>
      </c>
      <c r="F148" s="141"/>
    </row>
    <row r="149" spans="1:6" x14ac:dyDescent="0.3">
      <c r="A149" s="140" t="s">
        <v>452</v>
      </c>
      <c r="B149" s="141">
        <v>60</v>
      </c>
      <c r="E149" s="140" t="s">
        <v>452</v>
      </c>
      <c r="F149" s="141"/>
    </row>
    <row r="151" spans="1:6" x14ac:dyDescent="0.3">
      <c r="A151" s="43" t="s">
        <v>406</v>
      </c>
      <c r="E151" s="43" t="s">
        <v>406</v>
      </c>
    </row>
    <row r="152" spans="1:6" x14ac:dyDescent="0.3">
      <c r="A152" s="140" t="s">
        <v>167</v>
      </c>
      <c r="B152" s="142">
        <f>B148*$B$8</f>
        <v>0</v>
      </c>
      <c r="E152" s="140" t="s">
        <v>167</v>
      </c>
      <c r="F152" s="142">
        <f>F148*$B$8</f>
        <v>0</v>
      </c>
    </row>
    <row r="153" spans="1:6" x14ac:dyDescent="0.3">
      <c r="A153" s="140" t="s">
        <v>163</v>
      </c>
      <c r="B153" s="142">
        <f>$B$9*$B$14</f>
        <v>0</v>
      </c>
      <c r="E153" s="140" t="s">
        <v>163</v>
      </c>
      <c r="F153" s="142">
        <f>$B$9*$B$14</f>
        <v>0</v>
      </c>
    </row>
    <row r="154" spans="1:6" x14ac:dyDescent="0.3">
      <c r="A154" s="140" t="s">
        <v>339</v>
      </c>
      <c r="B154" s="142">
        <f>IF(B20="COBRE",VLOOKUP(B35,'Cap 9 NTC'!N15:V35,9,FALSE))</f>
        <v>6.73</v>
      </c>
      <c r="E154" s="140" t="s">
        <v>339</v>
      </c>
      <c r="F154" s="142">
        <f>IF(B20="COBRE",VLOOKUP(B35,'Cap 9 NTC'!N15:V35,9,FALSE))</f>
        <v>6.73</v>
      </c>
    </row>
    <row r="156" spans="1:6" x14ac:dyDescent="0.3">
      <c r="A156" s="140" t="s">
        <v>340</v>
      </c>
      <c r="B156" s="142">
        <f>2*B153*(B149/1000)*B154</f>
        <v>0</v>
      </c>
      <c r="E156" s="140" t="s">
        <v>340</v>
      </c>
      <c r="F156" s="142">
        <f>2*F153*(F149/1000)*F154</f>
        <v>0</v>
      </c>
    </row>
    <row r="157" spans="1:6" x14ac:dyDescent="0.3">
      <c r="A157" s="140" t="s">
        <v>341</v>
      </c>
      <c r="B157" s="149" t="e">
        <f>B156/B152</f>
        <v>#DIV/0!</v>
      </c>
      <c r="E157" s="140" t="s">
        <v>341</v>
      </c>
      <c r="F157" s="149" t="e">
        <f>F156/F152</f>
        <v>#DIV/0!</v>
      </c>
    </row>
    <row r="159" spans="1:6" x14ac:dyDescent="0.3">
      <c r="A159" s="147" t="e">
        <f>IF(B157&lt;3%,"OK",IF(B157&gt;=3%,"ERROR"))</f>
        <v>#DIV/0!</v>
      </c>
      <c r="B159" s="43" t="e">
        <f>IF(B157&lt;3%,"Cumple con el articulo 27.3 c) del RETIE ",IF(B157&gt;=3%,"ERROR. Regulación de voltaje mayor al 3%. No cumple con el articulo 27.3 c) del RETIE "))</f>
        <v>#DIV/0!</v>
      </c>
      <c r="E159" s="147" t="e">
        <f>IF(F157&lt;3%,"OK",IF(F157&gt;=3%,"ERROR"))</f>
        <v>#DIV/0!</v>
      </c>
      <c r="F159" s="43" t="e">
        <f>IF(F157&lt;3%,"Cumple con el articulo 27.3 c) del RETIE ",IF(F157&gt;=3%,"ERROR. Regulación de voltaje mayor al 3%. No cumple con el articulo 27.3 c) del RETIE "))</f>
        <v>#DIV/0!</v>
      </c>
    </row>
    <row r="161" spans="1:6" x14ac:dyDescent="0.3">
      <c r="A161" s="43" t="s">
        <v>409</v>
      </c>
      <c r="E161" s="43" t="s">
        <v>409</v>
      </c>
    </row>
    <row r="162" spans="1:6" x14ac:dyDescent="0.3">
      <c r="A162" s="140" t="s">
        <v>405</v>
      </c>
      <c r="B162" s="142">
        <f>2*B154*($B$9^2)*(B149/1000)</f>
        <v>0</v>
      </c>
      <c r="E162" s="140" t="s">
        <v>405</v>
      </c>
      <c r="F162" s="142">
        <f>2*F154*($B$9^2)*(F149/1000)</f>
        <v>0</v>
      </c>
    </row>
    <row r="163" spans="1:6" x14ac:dyDescent="0.3">
      <c r="A163" s="140" t="s">
        <v>407</v>
      </c>
      <c r="B163" s="198">
        <v>5</v>
      </c>
      <c r="E163" s="140" t="s">
        <v>407</v>
      </c>
      <c r="F163" s="198"/>
    </row>
    <row r="164" spans="1:6" x14ac:dyDescent="0.3">
      <c r="A164" s="140" t="s">
        <v>408</v>
      </c>
      <c r="B164" s="142">
        <f>B163*B162*30/1000</f>
        <v>0</v>
      </c>
      <c r="E164" s="140" t="s">
        <v>408</v>
      </c>
      <c r="F164" s="142">
        <f>F163*F162*30/1000</f>
        <v>0</v>
      </c>
    </row>
    <row r="166" spans="1:6" x14ac:dyDescent="0.3">
      <c r="A166" s="43" t="s">
        <v>427</v>
      </c>
      <c r="E166" s="43" t="s">
        <v>426</v>
      </c>
    </row>
    <row r="167" spans="1:6" x14ac:dyDescent="0.3">
      <c r="A167" s="140" t="s">
        <v>338</v>
      </c>
      <c r="B167" s="141"/>
      <c r="E167" s="140" t="s">
        <v>338</v>
      </c>
      <c r="F167" s="141"/>
    </row>
    <row r="168" spans="1:6" x14ac:dyDescent="0.3">
      <c r="A168" s="140" t="s">
        <v>337</v>
      </c>
      <c r="B168" s="141"/>
      <c r="E168" s="140" t="s">
        <v>337</v>
      </c>
      <c r="F168" s="141"/>
    </row>
    <row r="169" spans="1:6" x14ac:dyDescent="0.3">
      <c r="A169" s="140" t="s">
        <v>452</v>
      </c>
      <c r="B169" s="141"/>
      <c r="E169" s="140" t="s">
        <v>452</v>
      </c>
      <c r="F169" s="141"/>
    </row>
    <row r="171" spans="1:6" x14ac:dyDescent="0.3">
      <c r="A171" s="43" t="s">
        <v>406</v>
      </c>
      <c r="E171" s="43" t="s">
        <v>406</v>
      </c>
    </row>
    <row r="172" spans="1:6" x14ac:dyDescent="0.3">
      <c r="A172" s="140" t="s">
        <v>167</v>
      </c>
      <c r="B172" s="142">
        <f>B168*$B$8</f>
        <v>0</v>
      </c>
      <c r="E172" s="140" t="s">
        <v>167</v>
      </c>
      <c r="F172" s="142">
        <f>F168*$B$8</f>
        <v>0</v>
      </c>
    </row>
    <row r="173" spans="1:6" x14ac:dyDescent="0.3">
      <c r="A173" s="140" t="s">
        <v>163</v>
      </c>
      <c r="B173" s="142">
        <f>$B$9*$B$14</f>
        <v>0</v>
      </c>
      <c r="E173" s="140" t="s">
        <v>163</v>
      </c>
      <c r="F173" s="142">
        <f>$B$9*$B$14</f>
        <v>0</v>
      </c>
    </row>
    <row r="174" spans="1:6" x14ac:dyDescent="0.3">
      <c r="A174" s="140" t="s">
        <v>339</v>
      </c>
      <c r="B174" s="142">
        <f>IF(B20="COBRE",VLOOKUP(B35,'Cap 9 NTC'!N15:V35,9,FALSE))</f>
        <v>6.73</v>
      </c>
      <c r="E174" s="140" t="s">
        <v>339</v>
      </c>
      <c r="F174" s="142">
        <f>IF(B20="COBRE",VLOOKUP(B35,'Cap 9 NTC'!N15:V35,9,FALSE))</f>
        <v>6.73</v>
      </c>
    </row>
    <row r="176" spans="1:6" x14ac:dyDescent="0.3">
      <c r="A176" s="140" t="s">
        <v>340</v>
      </c>
      <c r="B176" s="142">
        <f>2*B173*(B169/1000)*B174</f>
        <v>0</v>
      </c>
      <c r="E176" s="140" t="s">
        <v>340</v>
      </c>
      <c r="F176" s="142">
        <f>2*F173*(F169/1000)*F174</f>
        <v>0</v>
      </c>
    </row>
    <row r="177" spans="1:6" x14ac:dyDescent="0.3">
      <c r="A177" s="140" t="s">
        <v>341</v>
      </c>
      <c r="B177" s="149" t="e">
        <f>B176/B172</f>
        <v>#DIV/0!</v>
      </c>
      <c r="E177" s="140" t="s">
        <v>341</v>
      </c>
      <c r="F177" s="149" t="e">
        <f>F176/F172</f>
        <v>#DIV/0!</v>
      </c>
    </row>
    <row r="179" spans="1:6" x14ac:dyDescent="0.3">
      <c r="A179" s="147" t="e">
        <f>IF(B177&lt;3%,"OK",IF(B177&gt;=3%,"ERROR"))</f>
        <v>#DIV/0!</v>
      </c>
      <c r="B179" s="43" t="e">
        <f>IF(B177&lt;3%,"Cumple con el articulo 27.3 c) del RETIE ",IF(B177&gt;=3%,"ERROR. Regulación de voltaje mayor al 3%. No cumple con el articulo 27.3 c) del RETIE "))</f>
        <v>#DIV/0!</v>
      </c>
      <c r="E179" s="147" t="e">
        <f>IF(F177&lt;3%,"OK",IF(F177&gt;=3%,"ERROR"))</f>
        <v>#DIV/0!</v>
      </c>
      <c r="F179" s="43" t="e">
        <f>IF(F177&lt;3%,"Cumple con el articulo 27.3 c) del RETIE ",IF(F177&gt;=3%,"ERROR. Regulación de voltaje mayor al 3%. No cumple con el articulo 27.3 c) del RETIE "))</f>
        <v>#DIV/0!</v>
      </c>
    </row>
    <row r="181" spans="1:6" x14ac:dyDescent="0.3">
      <c r="A181" s="43" t="s">
        <v>409</v>
      </c>
      <c r="E181" s="43" t="s">
        <v>409</v>
      </c>
    </row>
    <row r="182" spans="1:6" x14ac:dyDescent="0.3">
      <c r="A182" s="140" t="s">
        <v>405</v>
      </c>
      <c r="B182" s="142">
        <f>2*B174*($B$9^2)*(B169/1000)</f>
        <v>0</v>
      </c>
      <c r="E182" s="140" t="s">
        <v>405</v>
      </c>
      <c r="F182" s="142">
        <f>2*F174*($B$9^2)*(F169/1000)</f>
        <v>0</v>
      </c>
    </row>
    <row r="183" spans="1:6" x14ac:dyDescent="0.3">
      <c r="A183" s="140" t="s">
        <v>407</v>
      </c>
      <c r="B183" s="198"/>
      <c r="E183" s="140" t="s">
        <v>407</v>
      </c>
      <c r="F183" s="198"/>
    </row>
    <row r="184" spans="1:6" x14ac:dyDescent="0.3">
      <c r="A184" s="140" t="s">
        <v>408</v>
      </c>
      <c r="B184" s="142">
        <f>B183*B182*30/1000</f>
        <v>0</v>
      </c>
      <c r="E184" s="140" t="s">
        <v>408</v>
      </c>
      <c r="F184" s="142">
        <f>F183*F182*30/1000</f>
        <v>0</v>
      </c>
    </row>
  </sheetData>
  <mergeCells count="16">
    <mergeCell ref="A47:G47"/>
    <mergeCell ref="A11:G11"/>
    <mergeCell ref="A17:G17"/>
    <mergeCell ref="G30:G35"/>
    <mergeCell ref="A38:G38"/>
    <mergeCell ref="B44:D45"/>
    <mergeCell ref="A105:G105"/>
    <mergeCell ref="B141:D142"/>
    <mergeCell ref="F141:G142"/>
    <mergeCell ref="A144:G144"/>
    <mergeCell ref="C49:I49"/>
    <mergeCell ref="B58:D59"/>
    <mergeCell ref="A61:G61"/>
    <mergeCell ref="A69:G69"/>
    <mergeCell ref="B102:D103"/>
    <mergeCell ref="F102:G103"/>
  </mergeCells>
  <conditionalFormatting sqref="A44">
    <cfRule type="containsText" dxfId="270" priority="29" operator="containsText" text="OK">
      <formula>NOT(ISERROR(SEARCH("OK",A44)))</formula>
    </cfRule>
    <cfRule type="containsText" dxfId="269" priority="30" operator="containsText" text="ERROR">
      <formula>NOT(ISERROR(SEARCH("ERROR",A44)))</formula>
    </cfRule>
    <cfRule type="containsText" dxfId="268" priority="31" operator="containsText" text="SI">
      <formula>NOT(ISERROR(SEARCH("SI",A44)))</formula>
    </cfRule>
    <cfRule type="containsText" dxfId="267" priority="32" operator="containsText" text="NO">
      <formula>NOT(ISERROR(SEARCH("NO",A44)))</formula>
    </cfRule>
  </conditionalFormatting>
  <conditionalFormatting sqref="A58">
    <cfRule type="containsText" dxfId="266" priority="37" operator="containsText" text="OK">
      <formula>NOT(ISERROR(SEARCH("OK",A58)))</formula>
    </cfRule>
    <cfRule type="containsText" dxfId="265" priority="38" operator="containsText" text="ERROR">
      <formula>NOT(ISERROR(SEARCH("ERROR",A58)))</formula>
    </cfRule>
    <cfRule type="containsText" dxfId="264" priority="39" operator="containsText" text="SI">
      <formula>NOT(ISERROR(SEARCH("SI",A58)))</formula>
    </cfRule>
    <cfRule type="containsText" dxfId="263" priority="40" operator="containsText" text="NO">
      <formula>NOT(ISERROR(SEARCH("NO",A58)))</formula>
    </cfRule>
  </conditionalFormatting>
  <conditionalFormatting sqref="A102">
    <cfRule type="containsText" dxfId="262" priority="25" operator="containsText" text="OK">
      <formula>NOT(ISERROR(SEARCH("OK",A102)))</formula>
    </cfRule>
    <cfRule type="containsText" dxfId="261" priority="26" operator="containsText" text="ERROR">
      <formula>NOT(ISERROR(SEARCH("ERROR",A102)))</formula>
    </cfRule>
    <cfRule type="containsText" dxfId="260" priority="27" operator="containsText" text="SI">
      <formula>NOT(ISERROR(SEARCH("SI",A102)))</formula>
    </cfRule>
    <cfRule type="containsText" dxfId="259" priority="28" operator="containsText" text="NO">
      <formula>NOT(ISERROR(SEARCH("NO",A102)))</formula>
    </cfRule>
  </conditionalFormatting>
  <conditionalFormatting sqref="A141">
    <cfRule type="containsText" dxfId="258" priority="17" operator="containsText" text="OK">
      <formula>NOT(ISERROR(SEARCH("OK",A141)))</formula>
    </cfRule>
    <cfRule type="containsText" dxfId="257" priority="18" operator="containsText" text="ERROR">
      <formula>NOT(ISERROR(SEARCH("ERROR",A141)))</formula>
    </cfRule>
    <cfRule type="containsText" dxfId="256" priority="19" operator="containsText" text="SI">
      <formula>NOT(ISERROR(SEARCH("SI",A141)))</formula>
    </cfRule>
    <cfRule type="containsText" dxfId="255" priority="20" operator="containsText" text="NO">
      <formula>NOT(ISERROR(SEARCH("NO",A141)))</formula>
    </cfRule>
  </conditionalFormatting>
  <conditionalFormatting sqref="A159">
    <cfRule type="containsText" dxfId="254" priority="33" operator="containsText" text="OK">
      <formula>NOT(ISERROR(SEARCH("OK",A159)))</formula>
    </cfRule>
    <cfRule type="containsText" dxfId="253" priority="34" operator="containsText" text="ERROR">
      <formula>NOT(ISERROR(SEARCH("ERROR",A159)))</formula>
    </cfRule>
    <cfRule type="containsText" dxfId="252" priority="35" operator="containsText" text="SI">
      <formula>NOT(ISERROR(SEARCH("SI",A159)))</formula>
    </cfRule>
    <cfRule type="containsText" dxfId="251" priority="36" operator="containsText" text="NO">
      <formula>NOT(ISERROR(SEARCH("NO",A159)))</formula>
    </cfRule>
  </conditionalFormatting>
  <conditionalFormatting sqref="A179">
    <cfRule type="containsText" dxfId="250" priority="5" operator="containsText" text="OK">
      <formula>NOT(ISERROR(SEARCH("OK",A179)))</formula>
    </cfRule>
    <cfRule type="containsText" dxfId="249" priority="6" operator="containsText" text="ERROR">
      <formula>NOT(ISERROR(SEARCH("ERROR",A179)))</formula>
    </cfRule>
    <cfRule type="containsText" dxfId="248" priority="7" operator="containsText" text="SI">
      <formula>NOT(ISERROR(SEARCH("SI",A179)))</formula>
    </cfRule>
    <cfRule type="containsText" dxfId="247" priority="8" operator="containsText" text="NO">
      <formula>NOT(ISERROR(SEARCH("NO",A179)))</formula>
    </cfRule>
  </conditionalFormatting>
  <conditionalFormatting sqref="B52">
    <cfRule type="containsText" dxfId="246" priority="43" operator="containsText" text="SI">
      <formula>NOT(ISERROR(SEARCH("SI",B52)))</formula>
    </cfRule>
    <cfRule type="containsText" dxfId="245" priority="44" operator="containsText" text="NO">
      <formula>NOT(ISERROR(SEARCH("NO",B52)))</formula>
    </cfRule>
  </conditionalFormatting>
  <conditionalFormatting sqref="B56">
    <cfRule type="containsText" dxfId="244" priority="41" operator="containsText" text="SI">
      <formula>NOT(ISERROR(SEARCH("SI",B56)))</formula>
    </cfRule>
    <cfRule type="containsText" dxfId="243" priority="42" operator="containsText" text="NO">
      <formula>NOT(ISERROR(SEARCH("NO",B56)))</formula>
    </cfRule>
  </conditionalFormatting>
  <conditionalFormatting sqref="E102">
    <cfRule type="containsText" dxfId="242" priority="21" operator="containsText" text="OK">
      <formula>NOT(ISERROR(SEARCH("OK",E102)))</formula>
    </cfRule>
    <cfRule type="containsText" dxfId="241" priority="22" operator="containsText" text="ERROR">
      <formula>NOT(ISERROR(SEARCH("ERROR",E102)))</formula>
    </cfRule>
    <cfRule type="containsText" dxfId="240" priority="23" operator="containsText" text="SI">
      <formula>NOT(ISERROR(SEARCH("SI",E102)))</formula>
    </cfRule>
    <cfRule type="containsText" dxfId="239" priority="24" operator="containsText" text="NO">
      <formula>NOT(ISERROR(SEARCH("NO",E102)))</formula>
    </cfRule>
  </conditionalFormatting>
  <conditionalFormatting sqref="E141">
    <cfRule type="containsText" dxfId="238" priority="13" operator="containsText" text="OK">
      <formula>NOT(ISERROR(SEARCH("OK",E141)))</formula>
    </cfRule>
    <cfRule type="containsText" dxfId="237" priority="14" operator="containsText" text="ERROR">
      <formula>NOT(ISERROR(SEARCH("ERROR",E141)))</formula>
    </cfRule>
    <cfRule type="containsText" dxfId="236" priority="15" operator="containsText" text="SI">
      <formula>NOT(ISERROR(SEARCH("SI",E141)))</formula>
    </cfRule>
    <cfRule type="containsText" dxfId="235" priority="16" operator="containsText" text="NO">
      <formula>NOT(ISERROR(SEARCH("NO",E141)))</formula>
    </cfRule>
  </conditionalFormatting>
  <conditionalFormatting sqref="E159">
    <cfRule type="containsText" dxfId="234" priority="9" operator="containsText" text="OK">
      <formula>NOT(ISERROR(SEARCH("OK",E159)))</formula>
    </cfRule>
    <cfRule type="containsText" dxfId="233" priority="10" operator="containsText" text="ERROR">
      <formula>NOT(ISERROR(SEARCH("ERROR",E159)))</formula>
    </cfRule>
    <cfRule type="containsText" dxfId="232" priority="11" operator="containsText" text="SI">
      <formula>NOT(ISERROR(SEARCH("SI",E159)))</formula>
    </cfRule>
    <cfRule type="containsText" dxfId="231" priority="12" operator="containsText" text="NO">
      <formula>NOT(ISERROR(SEARCH("NO",E159)))</formula>
    </cfRule>
  </conditionalFormatting>
  <conditionalFormatting sqref="E179">
    <cfRule type="containsText" dxfId="230" priority="1" operator="containsText" text="OK">
      <formula>NOT(ISERROR(SEARCH("OK",E179)))</formula>
    </cfRule>
    <cfRule type="containsText" dxfId="229" priority="2" operator="containsText" text="ERROR">
      <formula>NOT(ISERROR(SEARCH("ERROR",E179)))</formula>
    </cfRule>
    <cfRule type="containsText" dxfId="228" priority="3" operator="containsText" text="SI">
      <formula>NOT(ISERROR(SEARCH("SI",E179)))</formula>
    </cfRule>
    <cfRule type="containsText" dxfId="227" priority="4" operator="containsText" text="NO">
      <formula>NOT(ISERROR(SEARCH("NO",E179)))</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38F08EAD-5E79-4698-A668-BF7D7407BB7E}">
          <x14:formula1>
            <xm:f>Listas!$H$2:$H$4</xm:f>
          </x14:formula1>
          <xm:sqref>B13</xm:sqref>
        </x14:dataValidation>
        <x14:dataValidation type="list" allowBlank="1" showInputMessage="1" showErrorMessage="1" xr:uid="{F46DD552-DB90-4CB3-8F64-ABBF71338EF9}">
          <x14:formula1>
            <xm:f>Listas!$F$2:$F$4</xm:f>
          </x14:formula1>
          <xm:sqref>B22</xm:sqref>
        </x14:dataValidation>
        <x14:dataValidation type="list" allowBlank="1" showInputMessage="1" showErrorMessage="1" xr:uid="{6708A444-FB37-4587-A0B9-CAE1C7172EB4}">
          <x14:formula1>
            <xm:f>Listas!$C$2:$C$31</xm:f>
          </x14:formula1>
          <xm:sqref>B35 B66</xm:sqref>
        </x14:dataValidation>
        <x14:dataValidation type="list" allowBlank="1" showInputMessage="1" showErrorMessage="1" xr:uid="{8B5D4D1B-42DA-4AFE-B160-DA7AAB892892}">
          <x14:formula1>
            <xm:f>Listas!$E$2:$E$12</xm:f>
          </x14:formula1>
          <xm:sqref>B75 F75</xm:sqref>
        </x14:dataValidation>
        <x14:dataValidation type="list" allowBlank="1" showInputMessage="1" showErrorMessage="1" xr:uid="{321768B3-0874-41B1-B555-D1CC0872EA5F}">
          <x14:formula1>
            <xm:f>Listas!$D$2:$D$5</xm:f>
          </x14:formula1>
          <xm:sqref>B74 F74</xm:sqref>
        </x14:dataValidation>
        <x14:dataValidation type="list" allowBlank="1" showInputMessage="1" showErrorMessage="1" xr:uid="{99860F02-76A9-4658-9BA9-6A3BD282081A}">
          <x14:formula1>
            <xm:f>Listas!$B$2:$B$5</xm:f>
          </x14:formula1>
          <xm:sqref>B49 B21</xm:sqref>
        </x14:dataValidation>
        <x14:dataValidation type="list" allowBlank="1" showInputMessage="1" showErrorMessage="1" xr:uid="{E764506A-0726-4D17-95FE-A3E1B7439A2A}">
          <x14:formula1>
            <xm:f>Listas!$A$2:$A$4</xm:f>
          </x14:formula1>
          <xm:sqref>B20 B63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D058-6722-4D22-890F-08A73E71BEF3}">
  <dimension ref="A1:I162"/>
  <sheetViews>
    <sheetView showGridLines="0" topLeftCell="A66" zoomScale="90" zoomScaleNormal="90" workbookViewId="0">
      <selection activeCell="B89" sqref="B89"/>
    </sheetView>
  </sheetViews>
  <sheetFormatPr baseColWidth="10" defaultColWidth="11.44140625" defaultRowHeight="14.4" x14ac:dyDescent="0.3"/>
  <cols>
    <col min="1" max="1" width="38.6640625" customWidth="1"/>
    <col min="2" max="2" width="23.109375" customWidth="1"/>
    <col min="3" max="3" width="11.88671875" bestFit="1" customWidth="1"/>
    <col min="4" max="4" width="16.5546875" customWidth="1"/>
    <col min="5" max="5" width="38.88671875" customWidth="1"/>
    <col min="6" max="6" width="20.33203125" customWidth="1"/>
    <col min="7" max="7" width="34.5546875" customWidth="1"/>
    <col min="8" max="8" width="18.88671875" customWidth="1"/>
    <col min="10" max="10" width="22.33203125" customWidth="1"/>
  </cols>
  <sheetData>
    <row r="1" spans="1:8" x14ac:dyDescent="0.3">
      <c r="A1" s="43" t="s">
        <v>443</v>
      </c>
      <c r="H1" s="43" t="s">
        <v>315</v>
      </c>
    </row>
    <row r="2" spans="1:8" x14ac:dyDescent="0.3">
      <c r="A2" s="212" t="s">
        <v>298</v>
      </c>
      <c r="B2" s="212" t="s">
        <v>76</v>
      </c>
      <c r="H2" t="str">
        <f>IF(AND(B16&gt;=21,B16&lt;=25),"21-25",IF(AND(B16&gt;=26,B16&lt;=30),"26-30",IF(AND(B16&gt;=31,B16&lt;=35),"31-35",IF(AND(B16&gt;=36,B16&lt;=40),"36-40",IF(AND(B16&gt;=41,B16&lt;=45),"41-45",IF(AND(B16&gt;=46,B16&lt;=50),"46-50",IF(AND(B16&gt;=51,B16&lt;=55),"51-55",IF(AND(B16&gt;=56,B16&lt;=60),"56-60",IF(AND(B16&gt;=61,B16&lt;=70),"61-70",IF(AND(B16&gt;=71,B16&lt;=80),"71-80","ERROR"))))))))))</f>
        <v>21-25</v>
      </c>
    </row>
    <row r="3" spans="1:8" x14ac:dyDescent="0.3">
      <c r="A3" s="213" t="s">
        <v>296</v>
      </c>
      <c r="B3" s="214" t="s">
        <v>578</v>
      </c>
      <c r="H3">
        <f>IF(AND(B20&gt;=1,B20&lt;=3),1,IF(AND(B20&gt;=4,B20&lt;=6),"De 4 a 6",IF(AND(B20&gt;=7,B20&lt;=9),"De 7 a 9",IF(AND(B20&gt;=10,B20&lt;=20),"De 10 a 20",IF(AND(B20&gt;=21,B20&lt;=30),"De 21 a 30",IF(AND(B20&gt;=31,B20&lt;=40),"De 31 a 40",IF(B20&gt;=41,"De 41 y más","ERROR")))))))</f>
        <v>1</v>
      </c>
    </row>
    <row r="4" spans="1:8" x14ac:dyDescent="0.3">
      <c r="A4" s="213" t="s">
        <v>156</v>
      </c>
      <c r="B4" s="215" t="s">
        <v>661</v>
      </c>
      <c r="H4" s="193">
        <f>IF(B17="COBRE",IF(OR(B18="90 ºC",B18="120 ºC"),INDEX('Cap 3 NTC'!P8:P37,MATCH(B29,'Cap 3 NTC'!P8:P37,-1)),IF(B18="75 ºC",INDEX('Cap 3 NTC'!O8:O37,MATCH(B29,'Cap 3 NTC'!O8:O37,-1)),INDEX('Cap 3 NTC'!N8:N37,MATCH(B29,'Cap 3 NTC'!N8:N37,-1)))),IF(OR(B18="90 ºC",B18="120 ºC"),INDEX('Cap 3 NTC'!S8:S37,MATCH(B29,'Cap 3 NTC'!S8:S37,-1)),IF(B18="75 ºC",INDEX('Cap 3 NTC'!R8:R37,MATCH(B29,'Cap 3 NTC'!R8:R37,-1)),INDEX('Cap 3 NTC'!Q8:Q37,MATCH(B29,'Cap 3 NTC'!Q8:Q37,-1)))))</f>
        <v>55</v>
      </c>
    </row>
    <row r="5" spans="1:8" x14ac:dyDescent="0.3">
      <c r="A5" s="213" t="s">
        <v>444</v>
      </c>
      <c r="B5" s="214">
        <v>10</v>
      </c>
    </row>
    <row r="6" spans="1:8" x14ac:dyDescent="0.3">
      <c r="A6" s="213" t="s">
        <v>445</v>
      </c>
      <c r="B6" s="215">
        <v>220</v>
      </c>
    </row>
    <row r="7" spans="1:8" x14ac:dyDescent="0.3">
      <c r="A7" s="213" t="s">
        <v>446</v>
      </c>
      <c r="B7" s="214">
        <v>45.5</v>
      </c>
    </row>
    <row r="8" spans="1:8" x14ac:dyDescent="0.3">
      <c r="A8" s="213" t="s">
        <v>450</v>
      </c>
      <c r="B8" s="215">
        <v>2</v>
      </c>
    </row>
    <row r="10" spans="1:8" ht="15.6" x14ac:dyDescent="0.3">
      <c r="A10" s="288" t="s">
        <v>299</v>
      </c>
      <c r="B10" s="288"/>
      <c r="C10" s="288"/>
      <c r="D10" s="288"/>
      <c r="E10" s="288"/>
      <c r="F10" s="288"/>
      <c r="G10" s="288"/>
    </row>
    <row r="11" spans="1:8" ht="12" customHeight="1" x14ac:dyDescent="0.3"/>
    <row r="12" spans="1:8" x14ac:dyDescent="0.3">
      <c r="A12" s="140" t="s">
        <v>297</v>
      </c>
      <c r="B12" s="142">
        <f>B7</f>
        <v>45.5</v>
      </c>
    </row>
    <row r="14" spans="1:8" ht="15.6" x14ac:dyDescent="0.3">
      <c r="A14" s="288" t="s">
        <v>415</v>
      </c>
      <c r="B14" s="288"/>
      <c r="C14" s="288"/>
      <c r="D14" s="288"/>
      <c r="E14" s="288"/>
      <c r="F14" s="288"/>
      <c r="G14" s="288"/>
    </row>
    <row r="15" spans="1:8" ht="12" customHeight="1" x14ac:dyDescent="0.3"/>
    <row r="16" spans="1:8" x14ac:dyDescent="0.3">
      <c r="A16" s="140" t="s">
        <v>311</v>
      </c>
      <c r="B16" s="28">
        <v>24</v>
      </c>
      <c r="C16" t="s">
        <v>312</v>
      </c>
    </row>
    <row r="17" spans="1:7" x14ac:dyDescent="0.3">
      <c r="A17" s="140" t="s">
        <v>314</v>
      </c>
      <c r="B17" s="23" t="s">
        <v>202</v>
      </c>
    </row>
    <row r="18" spans="1:7" x14ac:dyDescent="0.3">
      <c r="A18" s="140" t="s">
        <v>305</v>
      </c>
      <c r="B18" s="141" t="s">
        <v>194</v>
      </c>
    </row>
    <row r="19" spans="1:7" x14ac:dyDescent="0.3">
      <c r="A19" s="140" t="s">
        <v>414</v>
      </c>
      <c r="B19" s="141" t="s">
        <v>412</v>
      </c>
      <c r="C19" t="s">
        <v>429</v>
      </c>
    </row>
    <row r="20" spans="1:7" ht="28.8" x14ac:dyDescent="0.3">
      <c r="A20" s="140" t="s">
        <v>308</v>
      </c>
      <c r="B20" s="28">
        <v>2</v>
      </c>
      <c r="C20" t="s">
        <v>449</v>
      </c>
    </row>
    <row r="22" spans="1:7" x14ac:dyDescent="0.3">
      <c r="A22" s="43" t="s">
        <v>370</v>
      </c>
    </row>
    <row r="23" spans="1:7" x14ac:dyDescent="0.3">
      <c r="A23" s="140" t="s">
        <v>317</v>
      </c>
      <c r="B23" s="142">
        <f>B12</f>
        <v>45.5</v>
      </c>
      <c r="C23" t="s">
        <v>300</v>
      </c>
      <c r="G23" s="43"/>
    </row>
    <row r="25" spans="1:7" x14ac:dyDescent="0.3">
      <c r="A25" s="140" t="s">
        <v>157</v>
      </c>
      <c r="B25" s="142">
        <f>IF(B17="COBRE",VLOOKUP(H2,'Cap 3 NTC'!A41:D50,MATCH(B18,'Cap 3 NTC'!A4:D4,0),FALSE),VLOOKUP(H2,'Cap 3 NTC'!A41:G50,MATCH(B18,'Cap 3 NTC'!E4:G4,0)+4,FALSE))</f>
        <v>1.04</v>
      </c>
      <c r="C25" t="s">
        <v>309</v>
      </c>
      <c r="F25" t="s">
        <v>342</v>
      </c>
    </row>
    <row r="26" spans="1:7" x14ac:dyDescent="0.3">
      <c r="A26" s="140" t="s">
        <v>158</v>
      </c>
      <c r="B26" s="142">
        <f>IF(B19="BANDEJA PORTACABLES",1,IF(AND(B20&gt;=1,B20&lt;=3),1,VLOOKUP(H3,'Cap 3 NTC'!J41:K46,2,FALSE)))</f>
        <v>1</v>
      </c>
      <c r="C26" t="s">
        <v>310</v>
      </c>
      <c r="F26" s="44" t="s">
        <v>421</v>
      </c>
    </row>
    <row r="27" spans="1:7" x14ac:dyDescent="0.3">
      <c r="A27" s="140" t="s">
        <v>316</v>
      </c>
      <c r="B27" s="142">
        <f>B12/(B25*B26)</f>
        <v>43.75</v>
      </c>
      <c r="C27" t="s">
        <v>301</v>
      </c>
      <c r="G27" s="292" t="s">
        <v>416</v>
      </c>
    </row>
    <row r="28" spans="1:7" x14ac:dyDescent="0.3">
      <c r="G28" s="292"/>
    </row>
    <row r="29" spans="1:7" x14ac:dyDescent="0.3">
      <c r="A29" s="143" t="s">
        <v>389</v>
      </c>
      <c r="B29" s="142">
        <f>IF(B27&gt;=B23,B27,B23)</f>
        <v>45.5</v>
      </c>
      <c r="E29" s="45"/>
      <c r="G29" s="292"/>
    </row>
    <row r="30" spans="1:7" x14ac:dyDescent="0.3">
      <c r="A30" s="143" t="s">
        <v>318</v>
      </c>
      <c r="B30" s="196">
        <f>IF(B17="COBRE",IF(OR(B18="90 ºC",B18="120 ºC"),VLOOKUP(H4,'Cap 3 NTC'!P8:U37,6,FALSE),IF(B18="75 ºC",VLOOKUP(H4,'Cap 3 NTC'!O8:U37,7,FALSE),IF(B18="60 ºC",VLOOKUP(H4,'Cap 3 NTC'!N8:U37,8,FALSE)))),IF(OR(B18="90 ºC",B18="120 ºC"),VLOOKUP(H4,'Cap 3 NTC'!S8:U37,3,FALSE),IF(B18="75 ºC",VLOOKUP(H4,'Cap 3 NTC'!R8:U37,4,FALSE),IF(B18="60 ºC",VLOOKUP(H4,'Cap 3 NTC'!Q8:U37,5,FALSE)))))</f>
        <v>8</v>
      </c>
      <c r="C30" s="144"/>
      <c r="G30" s="292"/>
    </row>
    <row r="31" spans="1:7" x14ac:dyDescent="0.3">
      <c r="G31" s="292"/>
    </row>
    <row r="32" spans="1:7" x14ac:dyDescent="0.3">
      <c r="A32" s="143" t="s">
        <v>319</v>
      </c>
      <c r="B32" s="146" t="s">
        <v>59</v>
      </c>
      <c r="C32" t="s">
        <v>371</v>
      </c>
      <c r="G32" s="292"/>
    </row>
    <row r="34" spans="1:9" ht="15.6" x14ac:dyDescent="0.3">
      <c r="A34" s="288" t="s">
        <v>422</v>
      </c>
      <c r="B34" s="288"/>
      <c r="C34" s="288"/>
      <c r="D34" s="288"/>
      <c r="E34" s="288"/>
      <c r="F34" s="288"/>
      <c r="G34" s="288"/>
    </row>
    <row r="35" spans="1:9" ht="12" customHeight="1" x14ac:dyDescent="0.3"/>
    <row r="36" spans="1:9" x14ac:dyDescent="0.3">
      <c r="A36" s="140" t="s">
        <v>328</v>
      </c>
      <c r="B36" s="142">
        <f>B12</f>
        <v>45.5</v>
      </c>
      <c r="C36" t="s">
        <v>330</v>
      </c>
    </row>
    <row r="38" spans="1:9" ht="28.8" x14ac:dyDescent="0.3">
      <c r="A38" s="140" t="s">
        <v>329</v>
      </c>
      <c r="B38" s="141">
        <v>50</v>
      </c>
      <c r="C38" t="s">
        <v>332</v>
      </c>
    </row>
    <row r="40" spans="1:9" x14ac:dyDescent="0.3">
      <c r="A40" s="147" t="str">
        <f>IF(B38&gt;=B36,"OK","ERROR")</f>
        <v>OK</v>
      </c>
      <c r="B40" s="289" t="str">
        <f>IF(A40="OK","Protección seleccionada es mayor a la corriente minima de OCPD",IF(A40="ERROR","La protección seleccionada debe ser mayor a la corriente minima de OCPD"))</f>
        <v>Protección seleccionada es mayor a la corriente minima de OCPD</v>
      </c>
      <c r="C40" s="289"/>
      <c r="D40" s="289"/>
      <c r="F40" s="44" t="s">
        <v>366</v>
      </c>
    </row>
    <row r="41" spans="1:9" x14ac:dyDescent="0.3">
      <c r="B41" s="289"/>
      <c r="C41" s="289"/>
      <c r="D41" s="289"/>
    </row>
    <row r="42" spans="1:9" ht="12" customHeight="1" x14ac:dyDescent="0.3"/>
    <row r="43" spans="1:9" ht="15.6" x14ac:dyDescent="0.3">
      <c r="A43" s="288" t="s">
        <v>336</v>
      </c>
      <c r="B43" s="288"/>
      <c r="C43" s="288"/>
      <c r="D43" s="288"/>
      <c r="E43" s="288"/>
      <c r="F43" s="288"/>
      <c r="G43" s="288"/>
    </row>
    <row r="44" spans="1:9" ht="12" customHeight="1" x14ac:dyDescent="0.3"/>
    <row r="45" spans="1:9" ht="28.8" x14ac:dyDescent="0.3">
      <c r="A45" s="140" t="s">
        <v>331</v>
      </c>
      <c r="B45" s="141" t="s">
        <v>192</v>
      </c>
      <c r="C45" s="290" t="s">
        <v>335</v>
      </c>
      <c r="D45" s="291"/>
      <c r="E45" s="291"/>
      <c r="F45" s="291"/>
      <c r="G45" s="291"/>
      <c r="H45" s="291"/>
      <c r="I45" s="291"/>
    </row>
    <row r="47" spans="1:9" ht="28.8" x14ac:dyDescent="0.3">
      <c r="A47" s="140" t="str">
        <f>CONCATENATE("Ampacidad del cable seleccionado @", B45, " [A]")</f>
        <v>Ampacidad del cable seleccionado @60 ºC [A]</v>
      </c>
      <c r="B47" s="145">
        <f>IF(B17="COBRE",IF(OR(B45="90 ºC",B45="120 ºC"),VLOOKUP(B32,'Cap 3 NTC'!M8:P37,4,FALSE),IF(B45="75 ºC",VLOOKUP(B32,'Cap 3 NTC'!M8:O37,3,FALSE),IF(B45="60 ºC",VLOOKUP(B32,'Cap 3 NTC'!M8:N37,2,FALSE)))),IF(OR(B45="90 ºC",B45="120 ºC"),VLOOKUP(B32,'Cap 3 NTC'!M8:S37,7,FALSE),IF(B45="75 ºC",VLOOKUP(B32,'Cap 3 NTC'!M8:R37,6,FALSE),IF(B45="60 ºC",VLOOKUP(B32,'Cap 3 NTC'!M8:Q37,5,FALSE)))))</f>
        <v>55</v>
      </c>
    </row>
    <row r="48" spans="1:9" x14ac:dyDescent="0.3">
      <c r="A48" s="140" t="s">
        <v>159</v>
      </c>
      <c r="B48" s="147" t="str">
        <f>IF(B47&gt;=B38,"SI","NO")</f>
        <v>SI</v>
      </c>
      <c r="C48" t="s">
        <v>333</v>
      </c>
    </row>
    <row r="50" spans="1:7" ht="28.8" x14ac:dyDescent="0.3">
      <c r="A50" s="140" t="str">
        <f>CONCATENATE("Ampacidad del cable seleccionado temperatura nominal @", B18, " [A]")</f>
        <v>Ampacidad del cable seleccionado temperatura nominal @90 ºC [A]</v>
      </c>
      <c r="B50" s="145">
        <f>IF(B17="COBRE",IF(OR(B18="90 ºC",B18="120 ºC"),VLOOKUP(B32,'Cap 3 NTC'!M8:P37,4,FALSE),IF(B18="75 ºC",VLOOKUP(B32,'Cap 3 NTC'!M8:O37,3,FALSE),IF(B18="60 ºC",VLOOKUP(B32,'Cap 3 NTC'!M8:N37,2,FALSE)))),IF(OR(B18="90 ºC",B18="120 ºC"),VLOOKUP(B32,'Cap 3 NTC'!M8:S37,7,FALSE),IF(B18="75 ºC",VLOOKUP(B32,'Cap 3 NTC'!M8:R37,6,FALSE),IF(B18="60 ºC",VLOOKUP(B32,'Cap 3 NTC'!M8:Q37,5,FALSE)))))</f>
        <v>75</v>
      </c>
    </row>
    <row r="51" spans="1:7" ht="28.8" x14ac:dyDescent="0.3">
      <c r="A51" s="140" t="s">
        <v>334</v>
      </c>
      <c r="B51" s="142">
        <f>B50*B26*B25</f>
        <v>78</v>
      </c>
      <c r="F51" s="43"/>
    </row>
    <row r="52" spans="1:7" x14ac:dyDescent="0.3">
      <c r="A52" s="140" t="s">
        <v>159</v>
      </c>
      <c r="B52" s="147" t="str">
        <f>IF(B51&gt;=B38,"SI","NO")</f>
        <v>SI</v>
      </c>
    </row>
    <row r="54" spans="1:7" x14ac:dyDescent="0.3">
      <c r="A54" s="147" t="str">
        <f>IF(AND(B52="SI",B48="SI"), "OK",IF(OR(B52="NO",B48="NO"),"ERROR"))</f>
        <v>OK</v>
      </c>
      <c r="B54" s="289" t="str">
        <f>IF(AND(B52="SI",B48="SI"), "La protección contra sobrecorrientes seleccionada funciona correctamente con el cable seleccionado",IF(OR(B52="NO",B48="NO"),"Realice un nuevo cálculo del cableado a utilizar o de la protección contra sobrecorrientes a utilizar"))</f>
        <v>La protección contra sobrecorrientes seleccionada funciona correctamente con el cable seleccionado</v>
      </c>
      <c r="C54" s="289"/>
      <c r="D54" s="289"/>
    </row>
    <row r="55" spans="1:7" x14ac:dyDescent="0.3">
      <c r="B55" s="289"/>
      <c r="C55" s="289"/>
      <c r="D55" s="289"/>
      <c r="E55" s="43"/>
    </row>
    <row r="56" spans="1:7" ht="12" customHeight="1" x14ac:dyDescent="0.3"/>
    <row r="57" spans="1:7" ht="15.6" x14ac:dyDescent="0.3">
      <c r="A57" s="288" t="s">
        <v>438</v>
      </c>
      <c r="B57" s="288"/>
      <c r="C57" s="288"/>
      <c r="D57" s="288"/>
      <c r="E57" s="288"/>
      <c r="F57" s="288"/>
      <c r="G57" s="288"/>
    </row>
    <row r="58" spans="1:7" ht="12" customHeight="1" x14ac:dyDescent="0.3"/>
    <row r="59" spans="1:7" x14ac:dyDescent="0.3">
      <c r="A59" s="140" t="s">
        <v>419</v>
      </c>
      <c r="B59" s="23" t="s">
        <v>202</v>
      </c>
    </row>
    <row r="60" spans="1:7" x14ac:dyDescent="0.3">
      <c r="A60" s="143" t="s">
        <v>380</v>
      </c>
      <c r="B60" s="196">
        <f>VLOOKUP(INDEX('Cap 2 NTC'!A36:A47,MATCH(B38,'Cap 2 NTC'!A36:A47,-1)),'Cap 2 NTC'!A36:C47,MATCH('INV1_TABLERO FV'!B59,'Cap 2 NTC'!B34:C34,0)+1,FALSE)</f>
        <v>10</v>
      </c>
      <c r="C60" t="s">
        <v>378</v>
      </c>
    </row>
    <row r="62" spans="1:7" ht="28.8" x14ac:dyDescent="0.3">
      <c r="A62" s="143" t="s">
        <v>420</v>
      </c>
      <c r="B62" s="146" t="s">
        <v>57</v>
      </c>
      <c r="C62" t="s">
        <v>371</v>
      </c>
    </row>
    <row r="64" spans="1:7" ht="15.6" x14ac:dyDescent="0.3">
      <c r="A64" s="288" t="s">
        <v>439</v>
      </c>
      <c r="B64" s="288"/>
      <c r="C64" s="288"/>
      <c r="D64" s="288"/>
      <c r="E64" s="288"/>
      <c r="F64" s="288"/>
      <c r="G64" s="288"/>
    </row>
    <row r="65" spans="1:7" ht="12" customHeight="1" x14ac:dyDescent="0.3"/>
    <row r="66" spans="1:7" x14ac:dyDescent="0.3">
      <c r="A66" s="43" t="s">
        <v>390</v>
      </c>
      <c r="E66" s="43" t="s">
        <v>391</v>
      </c>
    </row>
    <row r="67" spans="1:7" x14ac:dyDescent="0.3">
      <c r="A67" s="140" t="s">
        <v>423</v>
      </c>
      <c r="B67" s="141" t="s">
        <v>525</v>
      </c>
      <c r="E67" s="140" t="s">
        <v>423</v>
      </c>
      <c r="F67" s="141"/>
    </row>
    <row r="68" spans="1:7" x14ac:dyDescent="0.3">
      <c r="A68" s="43" t="s">
        <v>375</v>
      </c>
      <c r="E68" s="43" t="s">
        <v>375</v>
      </c>
    </row>
    <row r="69" spans="1:7" x14ac:dyDescent="0.3">
      <c r="A69" s="140" t="s">
        <v>346</v>
      </c>
      <c r="B69" s="141" t="s">
        <v>348</v>
      </c>
      <c r="E69" s="140" t="s">
        <v>346</v>
      </c>
      <c r="F69" s="141" t="s">
        <v>348</v>
      </c>
    </row>
    <row r="70" spans="1:7" x14ac:dyDescent="0.3">
      <c r="A70" s="140" t="s">
        <v>360</v>
      </c>
      <c r="B70" s="141" t="s">
        <v>146</v>
      </c>
      <c r="E70" s="140" t="s">
        <v>360</v>
      </c>
      <c r="F70" s="141" t="s">
        <v>150</v>
      </c>
    </row>
    <row r="72" spans="1:7" x14ac:dyDescent="0.3">
      <c r="A72" s="140" t="s">
        <v>361</v>
      </c>
      <c r="B72" s="142">
        <f>PI()*(VLOOKUP(B70,Tuberia!A4:E14,MATCH('INV1_TABLERO FV'!B69,Tuberia!A2:E2,0),FALSE)/2)^2</f>
        <v>344.04221732770264</v>
      </c>
      <c r="E72" s="140" t="s">
        <v>361</v>
      </c>
      <c r="F72" s="142">
        <f>PI()*(VLOOKUP(F70,Tuberia!A4:E14,MATCH('INV1_TABLERO FV'!F69,Tuberia!A2:E2,0),FALSE)/2)^2</f>
        <v>2164.9021306617888</v>
      </c>
    </row>
    <row r="74" spans="1:7" x14ac:dyDescent="0.3">
      <c r="A74" s="43" t="s">
        <v>376</v>
      </c>
      <c r="E74" s="43" t="s">
        <v>376</v>
      </c>
    </row>
    <row r="75" spans="1:7" x14ac:dyDescent="0.3">
      <c r="A75" s="140" t="s">
        <v>430</v>
      </c>
      <c r="B75" s="141" t="s">
        <v>662</v>
      </c>
      <c r="C75" t="s">
        <v>365</v>
      </c>
      <c r="E75" s="140" t="s">
        <v>430</v>
      </c>
      <c r="F75" s="141"/>
      <c r="G75" t="s">
        <v>365</v>
      </c>
    </row>
    <row r="76" spans="1:7" x14ac:dyDescent="0.3">
      <c r="A76" s="140" t="s">
        <v>432</v>
      </c>
      <c r="B76" s="141">
        <v>2</v>
      </c>
      <c r="E76" s="140" t="s">
        <v>432</v>
      </c>
      <c r="F76" s="141"/>
    </row>
    <row r="77" spans="1:7" x14ac:dyDescent="0.3">
      <c r="A77" s="140" t="s">
        <v>362</v>
      </c>
      <c r="B77" s="141">
        <v>4.66</v>
      </c>
      <c r="C77" t="s">
        <v>367</v>
      </c>
      <c r="E77" s="140" t="s">
        <v>362</v>
      </c>
      <c r="F77" s="141"/>
      <c r="G77" t="s">
        <v>367</v>
      </c>
    </row>
    <row r="78" spans="1:7" x14ac:dyDescent="0.3">
      <c r="A78" s="140" t="s">
        <v>516</v>
      </c>
      <c r="B78" s="142">
        <f>(PI()*((B77)/2)^2)*B76</f>
        <v>34.110784714147258</v>
      </c>
      <c r="E78" s="140" t="s">
        <v>516</v>
      </c>
      <c r="F78" s="142">
        <f>(PI()*((F77)/2)^2)*F76</f>
        <v>0</v>
      </c>
    </row>
    <row r="79" spans="1:7" x14ac:dyDescent="0.3">
      <c r="B79" s="45">
        <f>(PI()*((B77)/2)^2)</f>
        <v>17.055392357073629</v>
      </c>
    </row>
    <row r="80" spans="1:7" x14ac:dyDescent="0.3">
      <c r="A80" s="140" t="s">
        <v>431</v>
      </c>
      <c r="B80" s="141"/>
      <c r="C80" t="s">
        <v>365</v>
      </c>
      <c r="E80" s="140" t="s">
        <v>431</v>
      </c>
      <c r="F80" s="141"/>
      <c r="G80" t="s">
        <v>365</v>
      </c>
    </row>
    <row r="81" spans="1:7" x14ac:dyDescent="0.3">
      <c r="A81" s="140" t="s">
        <v>433</v>
      </c>
      <c r="B81" s="141"/>
      <c r="E81" s="140" t="s">
        <v>433</v>
      </c>
      <c r="F81" s="141"/>
    </row>
    <row r="82" spans="1:7" x14ac:dyDescent="0.3">
      <c r="A82" s="140" t="s">
        <v>362</v>
      </c>
      <c r="B82" s="141"/>
      <c r="C82" t="s">
        <v>367</v>
      </c>
      <c r="E82" s="140" t="s">
        <v>362</v>
      </c>
      <c r="F82" s="141"/>
      <c r="G82" t="s">
        <v>367</v>
      </c>
    </row>
    <row r="83" spans="1:7" x14ac:dyDescent="0.3">
      <c r="A83" s="140" t="s">
        <v>515</v>
      </c>
      <c r="B83" s="142">
        <f>(PI()*((B82)/2)^2)*B81</f>
        <v>0</v>
      </c>
      <c r="E83" s="140" t="s">
        <v>515</v>
      </c>
      <c r="F83" s="142">
        <f>(PI()*((F82)/2)^2)*F81</f>
        <v>0</v>
      </c>
    </row>
    <row r="84" spans="1:7" ht="28.8" x14ac:dyDescent="0.3">
      <c r="A84" s="140" t="s">
        <v>368</v>
      </c>
      <c r="B84" s="142">
        <f>B83+B78</f>
        <v>34.110784714147258</v>
      </c>
      <c r="E84" s="140" t="s">
        <v>368</v>
      </c>
      <c r="F84" s="142">
        <f>F83+F78</f>
        <v>0</v>
      </c>
    </row>
    <row r="86" spans="1:7" x14ac:dyDescent="0.3">
      <c r="A86" s="43" t="s">
        <v>417</v>
      </c>
      <c r="E86" s="43" t="s">
        <v>417</v>
      </c>
    </row>
    <row r="87" spans="1:7" x14ac:dyDescent="0.3">
      <c r="A87" s="140" t="s">
        <v>364</v>
      </c>
      <c r="B87" s="141" t="s">
        <v>663</v>
      </c>
      <c r="C87" t="s">
        <v>365</v>
      </c>
      <c r="E87" s="140" t="s">
        <v>364</v>
      </c>
      <c r="F87" s="141"/>
      <c r="G87" t="s">
        <v>365</v>
      </c>
    </row>
    <row r="88" spans="1:7" x14ac:dyDescent="0.3">
      <c r="A88" s="140" t="s">
        <v>363</v>
      </c>
      <c r="B88" s="141">
        <v>1</v>
      </c>
      <c r="E88" s="140" t="s">
        <v>363</v>
      </c>
      <c r="F88" s="141"/>
    </row>
    <row r="89" spans="1:7" x14ac:dyDescent="0.3">
      <c r="A89" s="140" t="s">
        <v>362</v>
      </c>
      <c r="B89" s="141">
        <v>2.93</v>
      </c>
      <c r="C89" t="s">
        <v>367</v>
      </c>
      <c r="E89" s="140" t="s">
        <v>362</v>
      </c>
      <c r="F89" s="141"/>
      <c r="G89" t="s">
        <v>367</v>
      </c>
    </row>
    <row r="90" spans="1:7" ht="15.75" customHeight="1" x14ac:dyDescent="0.3">
      <c r="A90" s="140" t="s">
        <v>418</v>
      </c>
      <c r="B90" s="142">
        <f>(PI()*(B89/2)^2)*B88</f>
        <v>6.7425646929507543</v>
      </c>
      <c r="E90" s="140" t="s">
        <v>418</v>
      </c>
      <c r="F90" s="142">
        <f>(PI()*(F89/2)^2)*F88</f>
        <v>0</v>
      </c>
    </row>
    <row r="92" spans="1:7" x14ac:dyDescent="0.3">
      <c r="A92" s="140" t="s">
        <v>372</v>
      </c>
      <c r="B92" s="142">
        <f>SUM(B84,B90)</f>
        <v>40.853349407098008</v>
      </c>
      <c r="E92" s="140" t="s">
        <v>372</v>
      </c>
      <c r="F92" s="142">
        <f>SUM(F84,F90)</f>
        <v>0</v>
      </c>
    </row>
    <row r="94" spans="1:7" x14ac:dyDescent="0.3">
      <c r="A94" s="140" t="s">
        <v>160</v>
      </c>
      <c r="B94" s="149">
        <f>(B92/B72)</f>
        <v>0.11874516367328521</v>
      </c>
      <c r="E94" s="140" t="s">
        <v>160</v>
      </c>
      <c r="F94" s="149">
        <f>(F92/F72)</f>
        <v>0</v>
      </c>
    </row>
    <row r="95" spans="1:7" x14ac:dyDescent="0.3">
      <c r="A95" s="140" t="s">
        <v>373</v>
      </c>
      <c r="B95" s="149">
        <f>IF(SUM(B88,B76)=1,'Cap 9 NTC'!C5,IF(SUM(B88,B76)=1,'Cap 9 NTC'!D5,IF(SUM(B88,B76)&gt;2,'Cap 9 NTC'!E5,"Error, número de conductores no puede ser negativo")))</f>
        <v>0.4</v>
      </c>
      <c r="C95" t="s">
        <v>374</v>
      </c>
      <c r="E95" s="140" t="s">
        <v>373</v>
      </c>
      <c r="F95" s="149">
        <f>IF(SUM(F88,F76)=1,'Cap 9 NTC'!C5,IF(SUM(B88,B76)=1,'Cap 9 NTC'!D5,IF(SUM(B88,B76)&gt;2,'Cap 9 NTC'!E5,"Error, número de conductores no puede ser negativo")))</f>
        <v>0.4</v>
      </c>
      <c r="G95" t="s">
        <v>374</v>
      </c>
    </row>
    <row r="97" spans="1:7" x14ac:dyDescent="0.3">
      <c r="A97" s="147" t="str">
        <f>IF(B94&lt;=B95,"OK",IF(B94&gt;B95,"ERROR"))</f>
        <v>OK</v>
      </c>
      <c r="B97" s="289" t="str">
        <f>IF(B94&lt;=B95,"La tuberia seleccionada cumple con los porcentajes de la tabla 1 del capitulo 9 de la NTC 2050",IF(B94&gt;B95,"La tuberia seleccionada NO cumple con los porcentajes de la tabla 1 del capitulo 9 de la NTC 2050"))</f>
        <v>La tuberia seleccionada cumple con los porcentajes de la tabla 1 del capitulo 9 de la NTC 2050</v>
      </c>
      <c r="C97" s="289"/>
      <c r="D97" s="289"/>
      <c r="E97" s="147" t="str">
        <f>IF(F94&lt;=F95,"OK",IF(F94&gt;F95,"ERROR"))</f>
        <v>OK</v>
      </c>
      <c r="F97" s="289" t="str">
        <f>IF(F94&lt;=F95,"La tuberia seleccionada cumple con los porcentajes de la tabla 1 del capitulo 9 de la NTC 2050",IF(F94&gt;F95,"La tuberia seleccionada NO cumple con los porcentajes de la tabla 1 del capitulo 9 de la NTC 2050"))</f>
        <v>La tuberia seleccionada cumple con los porcentajes de la tabla 1 del capitulo 9 de la NTC 2050</v>
      </c>
      <c r="G97" s="289"/>
    </row>
    <row r="98" spans="1:7" x14ac:dyDescent="0.3">
      <c r="B98" s="289"/>
      <c r="C98" s="289"/>
      <c r="D98" s="289"/>
      <c r="F98" s="289"/>
      <c r="G98" s="289"/>
    </row>
    <row r="99" spans="1:7" ht="12" customHeight="1" x14ac:dyDescent="0.3"/>
    <row r="100" spans="1:7" ht="15.6" x14ac:dyDescent="0.3">
      <c r="A100" s="288" t="s">
        <v>440</v>
      </c>
      <c r="B100" s="288"/>
      <c r="C100" s="288"/>
      <c r="D100" s="288"/>
      <c r="E100" s="288"/>
      <c r="F100" s="288"/>
      <c r="G100" s="288"/>
    </row>
    <row r="101" spans="1:7" ht="12" customHeight="1" x14ac:dyDescent="0.3"/>
    <row r="102" spans="1:7" x14ac:dyDescent="0.3">
      <c r="A102" s="43" t="s">
        <v>397</v>
      </c>
      <c r="E102" s="43" t="s">
        <v>398</v>
      </c>
    </row>
    <row r="103" spans="1:7" x14ac:dyDescent="0.3">
      <c r="A103" s="43" t="s">
        <v>343</v>
      </c>
      <c r="E103" s="43" t="s">
        <v>343</v>
      </c>
    </row>
    <row r="104" spans="1:7" x14ac:dyDescent="0.3">
      <c r="A104" s="140" t="s">
        <v>388</v>
      </c>
      <c r="B104" s="141" t="s">
        <v>395</v>
      </c>
      <c r="E104" s="140" t="s">
        <v>388</v>
      </c>
      <c r="F104" s="141"/>
    </row>
    <row r="105" spans="1:7" x14ac:dyDescent="0.3">
      <c r="A105" s="140" t="s">
        <v>392</v>
      </c>
      <c r="B105" s="141">
        <v>80</v>
      </c>
      <c r="E105" s="140" t="s">
        <v>392</v>
      </c>
      <c r="F105" s="141"/>
    </row>
    <row r="106" spans="1:7" x14ac:dyDescent="0.3">
      <c r="A106" s="140" t="s">
        <v>393</v>
      </c>
      <c r="B106" s="141">
        <v>200</v>
      </c>
      <c r="E106" s="140" t="s">
        <v>393</v>
      </c>
      <c r="F106" s="141"/>
    </row>
    <row r="107" spans="1:7" x14ac:dyDescent="0.3">
      <c r="A107" s="140" t="s">
        <v>394</v>
      </c>
      <c r="B107" s="141">
        <v>150</v>
      </c>
      <c r="C107" t="s">
        <v>345</v>
      </c>
      <c r="E107" s="140" t="s">
        <v>394</v>
      </c>
      <c r="F107" s="141"/>
      <c r="G107" t="s">
        <v>345</v>
      </c>
    </row>
    <row r="108" spans="1:7" x14ac:dyDescent="0.3">
      <c r="A108" s="140" t="s">
        <v>396</v>
      </c>
      <c r="B108" s="142">
        <f>B106*B105</f>
        <v>16000</v>
      </c>
      <c r="E108" s="140" t="s">
        <v>396</v>
      </c>
      <c r="F108" s="142">
        <f>F106*F105</f>
        <v>0</v>
      </c>
    </row>
    <row r="110" spans="1:7" x14ac:dyDescent="0.3">
      <c r="A110" s="43" t="s">
        <v>376</v>
      </c>
      <c r="E110" s="43" t="s">
        <v>376</v>
      </c>
    </row>
    <row r="111" spans="1:7" x14ac:dyDescent="0.3">
      <c r="A111" s="140" t="s">
        <v>430</v>
      </c>
      <c r="B111" s="141" t="s">
        <v>549</v>
      </c>
      <c r="C111" t="s">
        <v>365</v>
      </c>
      <c r="E111" s="140" t="s">
        <v>364</v>
      </c>
      <c r="F111" s="141"/>
      <c r="G111" t="s">
        <v>365</v>
      </c>
    </row>
    <row r="112" spans="1:7" x14ac:dyDescent="0.3">
      <c r="A112" s="140" t="s">
        <v>432</v>
      </c>
      <c r="B112" s="141">
        <v>8</v>
      </c>
      <c r="E112" s="140" t="s">
        <v>363</v>
      </c>
      <c r="F112" s="141"/>
    </row>
    <row r="113" spans="1:7" x14ac:dyDescent="0.3">
      <c r="A113" s="140" t="s">
        <v>362</v>
      </c>
      <c r="B113" s="141">
        <v>12.03</v>
      </c>
      <c r="C113" t="s">
        <v>367</v>
      </c>
      <c r="E113" s="140" t="s">
        <v>362</v>
      </c>
      <c r="F113" s="141"/>
      <c r="G113" t="s">
        <v>367</v>
      </c>
    </row>
    <row r="114" spans="1:7" x14ac:dyDescent="0.3">
      <c r="A114" s="140" t="s">
        <v>516</v>
      </c>
      <c r="B114" s="142">
        <f>(PI()*((B113)/2)^2)*B112</f>
        <v>909.30823252180596</v>
      </c>
      <c r="E114" s="140" t="s">
        <v>516</v>
      </c>
      <c r="F114" s="142">
        <f>(PI()*((F113)/2)^2)*F112</f>
        <v>0</v>
      </c>
    </row>
    <row r="116" spans="1:7" x14ac:dyDescent="0.3">
      <c r="A116" s="140" t="s">
        <v>431</v>
      </c>
      <c r="B116" s="141"/>
      <c r="C116" t="s">
        <v>365</v>
      </c>
      <c r="E116" s="140" t="s">
        <v>364</v>
      </c>
      <c r="F116" s="141"/>
      <c r="G116" t="s">
        <v>365</v>
      </c>
    </row>
    <row r="117" spans="1:7" x14ac:dyDescent="0.3">
      <c r="A117" s="140" t="s">
        <v>433</v>
      </c>
      <c r="B117" s="141"/>
      <c r="E117" s="140" t="s">
        <v>363</v>
      </c>
      <c r="F117" s="141"/>
    </row>
    <row r="118" spans="1:7" x14ac:dyDescent="0.3">
      <c r="A118" s="140" t="s">
        <v>362</v>
      </c>
      <c r="B118" s="141"/>
      <c r="C118" t="s">
        <v>367</v>
      </c>
      <c r="E118" s="140" t="s">
        <v>362</v>
      </c>
      <c r="F118" s="141"/>
      <c r="G118" t="s">
        <v>367</v>
      </c>
    </row>
    <row r="119" spans="1:7" x14ac:dyDescent="0.3">
      <c r="A119" s="140" t="s">
        <v>515</v>
      </c>
      <c r="B119" s="142">
        <f>(PI()*((B118)/2)^2)*B117</f>
        <v>0</v>
      </c>
      <c r="E119" s="140" t="s">
        <v>515</v>
      </c>
      <c r="F119" s="142">
        <f>(PI()*((F118)/2)^2)*F117</f>
        <v>0</v>
      </c>
    </row>
    <row r="120" spans="1:7" ht="28.8" x14ac:dyDescent="0.3">
      <c r="A120" s="140" t="s">
        <v>368</v>
      </c>
      <c r="B120" s="142">
        <f>B119+B114</f>
        <v>909.30823252180596</v>
      </c>
      <c r="E120" s="140" t="s">
        <v>368</v>
      </c>
      <c r="F120" s="142">
        <f>F119+F114</f>
        <v>0</v>
      </c>
    </row>
    <row r="122" spans="1:7" x14ac:dyDescent="0.3">
      <c r="A122" s="43" t="s">
        <v>377</v>
      </c>
      <c r="E122" s="43" t="s">
        <v>377</v>
      </c>
    </row>
    <row r="123" spans="1:7" x14ac:dyDescent="0.3">
      <c r="A123" s="140" t="s">
        <v>364</v>
      </c>
      <c r="B123" s="141" t="s">
        <v>550</v>
      </c>
      <c r="C123" t="s">
        <v>365</v>
      </c>
      <c r="E123" s="140" t="s">
        <v>364</v>
      </c>
      <c r="F123" s="141"/>
      <c r="G123" t="s">
        <v>365</v>
      </c>
    </row>
    <row r="124" spans="1:7" x14ac:dyDescent="0.3">
      <c r="A124" s="140" t="s">
        <v>363</v>
      </c>
      <c r="B124" s="141">
        <v>2</v>
      </c>
      <c r="E124" s="140" t="s">
        <v>363</v>
      </c>
      <c r="F124" s="141"/>
    </row>
    <row r="125" spans="1:7" x14ac:dyDescent="0.3">
      <c r="A125" s="140" t="s">
        <v>362</v>
      </c>
      <c r="B125" s="141">
        <v>6.39</v>
      </c>
      <c r="C125" t="s">
        <v>367</v>
      </c>
      <c r="E125" s="140" t="s">
        <v>362</v>
      </c>
      <c r="F125" s="141"/>
      <c r="G125" t="s">
        <v>367</v>
      </c>
    </row>
    <row r="126" spans="1:7" x14ac:dyDescent="0.3">
      <c r="A126" s="140" t="s">
        <v>369</v>
      </c>
      <c r="B126" s="142">
        <f>(PI()*(B125/2)^2)*B124</f>
        <v>64.138912695321892</v>
      </c>
      <c r="E126" s="140" t="s">
        <v>369</v>
      </c>
      <c r="F126" s="142">
        <f>(PI()*(F125/2)^2)*F124</f>
        <v>0</v>
      </c>
    </row>
    <row r="128" spans="1:7" x14ac:dyDescent="0.3">
      <c r="A128" s="140" t="s">
        <v>399</v>
      </c>
      <c r="B128" s="142">
        <f>SUM(B125*B124,B112*B113,B118*B117)</f>
        <v>109.02</v>
      </c>
      <c r="C128" t="s">
        <v>404</v>
      </c>
      <c r="E128" s="140" t="s">
        <v>399</v>
      </c>
      <c r="F128" s="142">
        <f>SUM(F125*F124,F112*F113,F118*F117)</f>
        <v>0</v>
      </c>
      <c r="G128" t="s">
        <v>404</v>
      </c>
    </row>
    <row r="129" spans="1:8" x14ac:dyDescent="0.3">
      <c r="A129" s="140" t="s">
        <v>400</v>
      </c>
      <c r="B129" s="142">
        <f>B106</f>
        <v>200</v>
      </c>
      <c r="C129" t="s">
        <v>403</v>
      </c>
      <c r="E129" s="140" t="s">
        <v>400</v>
      </c>
      <c r="F129" s="142">
        <f>F106</f>
        <v>0</v>
      </c>
      <c r="G129" t="s">
        <v>403</v>
      </c>
    </row>
    <row r="131" spans="1:8" x14ac:dyDescent="0.3">
      <c r="A131" s="140" t="s">
        <v>372</v>
      </c>
      <c r="B131" s="142">
        <f>SUM(B120,B126)</f>
        <v>973.44714521712785</v>
      </c>
      <c r="E131" s="140" t="s">
        <v>372</v>
      </c>
      <c r="F131" s="142">
        <f>SUM(F120,F126)</f>
        <v>0</v>
      </c>
    </row>
    <row r="133" spans="1:8" x14ac:dyDescent="0.3">
      <c r="A133" s="140" t="s">
        <v>402</v>
      </c>
      <c r="B133" s="149">
        <f>B131/B108</f>
        <v>6.0840446576070489E-2</v>
      </c>
      <c r="E133" s="140" t="s">
        <v>402</v>
      </c>
      <c r="F133" s="149" t="e">
        <f>F131/F108</f>
        <v>#DIV/0!</v>
      </c>
    </row>
    <row r="134" spans="1:8" x14ac:dyDescent="0.3">
      <c r="A134" s="140" t="s">
        <v>401</v>
      </c>
      <c r="B134" s="149">
        <v>0.4</v>
      </c>
      <c r="C134" t="s">
        <v>344</v>
      </c>
      <c r="E134" s="140" t="s">
        <v>401</v>
      </c>
      <c r="F134" s="149">
        <v>0.4</v>
      </c>
      <c r="G134" t="s">
        <v>344</v>
      </c>
    </row>
    <row r="136" spans="1:8" ht="15" customHeight="1" x14ac:dyDescent="0.3">
      <c r="A136" s="147" t="str">
        <f>IF(AND(B133&lt;=B134,B128&lt;=B129),"OK",IF(OR(B133&gt;B134,B128&gt;B129),"ERROR"))</f>
        <v>OK</v>
      </c>
      <c r="B136" s="289" t="str">
        <f>IF(AND(B133&lt;=B134,B128&lt;=B129),"La bandeja seleccionada cumple con el articulo 318-10 b) de la NTC 2050 y el articulo 20.3 i) del RETIE",IF(B133&gt;B134,"El porcentaje de ocupacion del area transversal de la bandeja es mayor al 40%",IF(B128&gt;B129,"la bandeja ")))</f>
        <v>La bandeja seleccionada cumple con el articulo 318-10 b) de la NTC 2050 y el articulo 20.3 i) del RETIE</v>
      </c>
      <c r="C136" s="289"/>
      <c r="D136" s="289"/>
      <c r="E136" s="147" t="e">
        <f>IF(AND(F133&lt;=F134,F128&lt;=F129),"OK",IF(OR(F133&gt;F134,F128&gt;F129),"ERROR"))</f>
        <v>#DIV/0!</v>
      </c>
      <c r="F136" s="289" t="e">
        <f>IF(AND(F133&lt;=F134,F128&lt;=F129),"La bandeja seleccionada cumple con el articulo 318-10 b) de la NTC 2050 y el articulo 20.3 i) del RETIE",IF(F133&gt;F134,"El porcentaje de ocupacion del area transversal de la bandeja es mayor al 40%",IF(F128&gt;F129,"la bandeja ")))</f>
        <v>#DIV/0!</v>
      </c>
      <c r="G136" s="289"/>
      <c r="H136" s="195"/>
    </row>
    <row r="137" spans="1:8" x14ac:dyDescent="0.3">
      <c r="B137" s="289"/>
      <c r="C137" s="289"/>
      <c r="D137" s="289"/>
      <c r="F137" s="289"/>
      <c r="G137" s="289"/>
      <c r="H137" s="195"/>
    </row>
    <row r="139" spans="1:8" ht="15.6" x14ac:dyDescent="0.3">
      <c r="A139" s="288" t="s">
        <v>441</v>
      </c>
      <c r="B139" s="288"/>
      <c r="C139" s="288"/>
      <c r="D139" s="288"/>
      <c r="E139" s="288"/>
      <c r="F139" s="288"/>
      <c r="G139" s="288"/>
    </row>
    <row r="140" spans="1:8" ht="12" customHeight="1" x14ac:dyDescent="0.3"/>
    <row r="141" spans="1:8" x14ac:dyDescent="0.3">
      <c r="A141" s="43" t="s">
        <v>424</v>
      </c>
      <c r="E141" s="43" t="s">
        <v>425</v>
      </c>
    </row>
    <row r="142" spans="1:8" x14ac:dyDescent="0.3">
      <c r="A142" s="140" t="s">
        <v>437</v>
      </c>
      <c r="B142" s="141" t="s">
        <v>526</v>
      </c>
      <c r="E142" s="140" t="s">
        <v>437</v>
      </c>
      <c r="F142" s="141"/>
    </row>
    <row r="143" spans="1:8" ht="28.8" x14ac:dyDescent="0.3">
      <c r="A143" s="140" t="s">
        <v>451</v>
      </c>
      <c r="B143" s="141">
        <v>160</v>
      </c>
      <c r="E143" s="140" t="s">
        <v>451</v>
      </c>
      <c r="F143" s="141"/>
    </row>
    <row r="144" spans="1:8" x14ac:dyDescent="0.3">
      <c r="A144" s="140" t="s">
        <v>453</v>
      </c>
      <c r="B144" s="197">
        <v>1</v>
      </c>
      <c r="E144" s="140" t="s">
        <v>453</v>
      </c>
      <c r="F144" s="197"/>
    </row>
    <row r="145" spans="1:7" x14ac:dyDescent="0.3">
      <c r="A145" s="43"/>
      <c r="E145" s="43"/>
    </row>
    <row r="146" spans="1:7" x14ac:dyDescent="0.3">
      <c r="A146" s="140" t="s">
        <v>458</v>
      </c>
      <c r="B146" s="142">
        <f>$B$6</f>
        <v>220</v>
      </c>
      <c r="E146" s="140" t="s">
        <v>458</v>
      </c>
      <c r="F146" s="142">
        <f>$B$6</f>
        <v>220</v>
      </c>
    </row>
    <row r="147" spans="1:7" x14ac:dyDescent="0.3">
      <c r="A147" s="140" t="s">
        <v>459</v>
      </c>
      <c r="B147" s="142">
        <f>$B$12</f>
        <v>45.5</v>
      </c>
      <c r="E147" s="140" t="s">
        <v>459</v>
      </c>
      <c r="F147" s="142">
        <f>$B$12</f>
        <v>45.5</v>
      </c>
    </row>
    <row r="148" spans="1:7" x14ac:dyDescent="0.3">
      <c r="A148" s="43"/>
      <c r="E148" s="43"/>
    </row>
    <row r="149" spans="1:7" x14ac:dyDescent="0.3">
      <c r="A149" s="140" t="s">
        <v>460</v>
      </c>
      <c r="B149" s="197" t="s">
        <v>456</v>
      </c>
      <c r="E149" s="140" t="s">
        <v>460</v>
      </c>
      <c r="F149" s="197"/>
    </row>
    <row r="150" spans="1:7" x14ac:dyDescent="0.3">
      <c r="A150" s="140" t="s">
        <v>454</v>
      </c>
      <c r="B150" s="142">
        <f>IF(B17="COBRE",VLOOKUP(B32,'Cap 9 NTC'!N44:S64,MATCH(B149,'Cap 9 NTC'!R43:S43,0)+4,FALSE),VLOOKUP(B32,'Cap 9 NTC'!N44:U64,MATCH(B149,'Cap 9 NTC'!T43:U43,0)+6,FALSE))</f>
        <v>1.61</v>
      </c>
      <c r="C150" t="s">
        <v>461</v>
      </c>
      <c r="E150" s="140" t="s">
        <v>454</v>
      </c>
      <c r="F150" s="142" t="e">
        <f>IF(B17="COBRE",VLOOKUP(B32,'Cap 9 NTC'!N44:S64,MATCH(F149,'Cap 9 NTC'!R43:S43,0)+4,FALSE),VLOOKUP(B32,'Cap 9 NTC'!N44:U64,MATCH(F149,'Cap 9 NTC'!T43:U43,0)+6,FALSE))</f>
        <v>#N/A</v>
      </c>
      <c r="G150" t="s">
        <v>461</v>
      </c>
    </row>
    <row r="151" spans="1:7" x14ac:dyDescent="0.3">
      <c r="A151" s="140" t="s">
        <v>455</v>
      </c>
      <c r="B151" s="199">
        <f>VLOOKUP(B32,'Cap 9 NTC'!N44:Q64,MATCH(B149,'Cap 9 NTC'!P43:Q43,0)+2,FALSE)</f>
        <v>0.21</v>
      </c>
      <c r="C151" t="s">
        <v>461</v>
      </c>
      <c r="E151" s="140" t="s">
        <v>455</v>
      </c>
      <c r="F151" s="199" t="e">
        <f>VLOOKUP(B32,'Cap 9 NTC'!N44:Q64,MATCH(F149,'Cap 9 NTC'!P43:Q43,0)+2,FALSE)</f>
        <v>#N/A</v>
      </c>
      <c r="G151" t="s">
        <v>461</v>
      </c>
    </row>
    <row r="152" spans="1:7" x14ac:dyDescent="0.3">
      <c r="A152" s="140" t="s">
        <v>457</v>
      </c>
      <c r="B152" s="142">
        <f>((B150*B144)+B151*SIN(ACOS(B144)))</f>
        <v>1.61</v>
      </c>
      <c r="E152" s="140" t="s">
        <v>457</v>
      </c>
      <c r="F152" s="142" t="e">
        <f>((F150*F144)+F151*SIN(ACOS(F144)))</f>
        <v>#N/A</v>
      </c>
    </row>
    <row r="154" spans="1:7" x14ac:dyDescent="0.3">
      <c r="A154" s="140" t="s">
        <v>527</v>
      </c>
      <c r="B154" s="142">
        <f>SQRT(3)*B147*(B143/1000)*B152</f>
        <v>20.3010211053533</v>
      </c>
      <c r="E154" s="140" t="s">
        <v>527</v>
      </c>
      <c r="F154" s="142" t="e">
        <f>SQRT(3)*F147*(F143/1000)*F152</f>
        <v>#N/A</v>
      </c>
    </row>
    <row r="155" spans="1:7" x14ac:dyDescent="0.3">
      <c r="A155" s="140" t="s">
        <v>341</v>
      </c>
      <c r="B155" s="149">
        <f>B154/B146</f>
        <v>9.2277368660696815E-2</v>
      </c>
      <c r="E155" s="140" t="s">
        <v>341</v>
      </c>
      <c r="F155" s="149" t="e">
        <f>F154/F146</f>
        <v>#N/A</v>
      </c>
    </row>
    <row r="157" spans="1:7" x14ac:dyDescent="0.3">
      <c r="A157" s="147" t="str">
        <f>IF(B155&lt;3%,"OK",IF(B155&gt;=3%,"ERROR"))</f>
        <v>ERROR</v>
      </c>
      <c r="B157" s="43" t="str">
        <f>IF(B155&lt;3%,"Cumple con el articulo 27.3 c) del RETIE ",IF(B155&gt;=3%,"ERROR. Regulación de voltaje mayor al 3%. No cumple con el articulo 27.3 c) del RETIE "))</f>
        <v xml:space="preserve">ERROR. Regulación de voltaje mayor al 3%. No cumple con el articulo 27.3 c) del RETIE </v>
      </c>
      <c r="E157" s="147" t="e">
        <f>IF(F155&lt;3%,"OK",IF(F155&gt;=3%,"ERROR"))</f>
        <v>#N/A</v>
      </c>
      <c r="F157" s="43" t="e">
        <f>IF(F155&lt;3%,"Cumple con el articulo 27.3 c) del RETIE ",IF(F155&gt;=3%,"ERROR. Regulación de voltaje mayor al 3%. No cumple con el articulo 27.3 c) del RETIE "))</f>
        <v>#N/A</v>
      </c>
    </row>
    <row r="159" spans="1:7" x14ac:dyDescent="0.3">
      <c r="A159" s="43" t="s">
        <v>409</v>
      </c>
      <c r="E159" s="43" t="s">
        <v>409</v>
      </c>
    </row>
    <row r="160" spans="1:7" x14ac:dyDescent="0.3">
      <c r="A160" s="140" t="s">
        <v>405</v>
      </c>
      <c r="B160" s="142">
        <f>3*B152*($B$7^2)*(B143/1000)</f>
        <v>1599.8892000000001</v>
      </c>
      <c r="E160" s="140" t="s">
        <v>405</v>
      </c>
      <c r="F160" s="142" t="e">
        <f>3*F152*($B$7^2)*(F143/1000)</f>
        <v>#N/A</v>
      </c>
    </row>
    <row r="161" spans="1:6" x14ac:dyDescent="0.3">
      <c r="A161" s="140" t="s">
        <v>407</v>
      </c>
      <c r="B161" s="198">
        <v>5</v>
      </c>
      <c r="E161" s="140" t="s">
        <v>407</v>
      </c>
      <c r="F161" s="198"/>
    </row>
    <row r="162" spans="1:6" x14ac:dyDescent="0.3">
      <c r="A162" s="140" t="s">
        <v>408</v>
      </c>
      <c r="B162" s="142">
        <f>B161*B160*30/1000</f>
        <v>239.98338000000001</v>
      </c>
      <c r="E162" s="140" t="s">
        <v>408</v>
      </c>
      <c r="F162" s="142" t="e">
        <f>F161*F160*30/1000</f>
        <v>#N/A</v>
      </c>
    </row>
  </sheetData>
  <mergeCells count="16">
    <mergeCell ref="A100:G100"/>
    <mergeCell ref="B136:D137"/>
    <mergeCell ref="F136:G137"/>
    <mergeCell ref="A139:G139"/>
    <mergeCell ref="C45:I45"/>
    <mergeCell ref="B54:D55"/>
    <mergeCell ref="A57:G57"/>
    <mergeCell ref="A64:G64"/>
    <mergeCell ref="B97:D98"/>
    <mergeCell ref="F97:G98"/>
    <mergeCell ref="A43:G43"/>
    <mergeCell ref="A10:G10"/>
    <mergeCell ref="A14:G14"/>
    <mergeCell ref="G27:G32"/>
    <mergeCell ref="A34:G34"/>
    <mergeCell ref="B40:D41"/>
  </mergeCells>
  <conditionalFormatting sqref="A40">
    <cfRule type="containsText" dxfId="226" priority="29" operator="containsText" text="OK">
      <formula>NOT(ISERROR(SEARCH("OK",A40)))</formula>
    </cfRule>
    <cfRule type="containsText" dxfId="225" priority="30" operator="containsText" text="ERROR">
      <formula>NOT(ISERROR(SEARCH("ERROR",A40)))</formula>
    </cfRule>
    <cfRule type="containsText" dxfId="224" priority="31" operator="containsText" text="SI">
      <formula>NOT(ISERROR(SEARCH("SI",A40)))</formula>
    </cfRule>
    <cfRule type="containsText" dxfId="223" priority="32" operator="containsText" text="NO">
      <formula>NOT(ISERROR(SEARCH("NO",A40)))</formula>
    </cfRule>
  </conditionalFormatting>
  <conditionalFormatting sqref="A54">
    <cfRule type="containsText" dxfId="222" priority="37" operator="containsText" text="OK">
      <formula>NOT(ISERROR(SEARCH("OK",A54)))</formula>
    </cfRule>
    <cfRule type="containsText" dxfId="221" priority="38" operator="containsText" text="ERROR">
      <formula>NOT(ISERROR(SEARCH("ERROR",A54)))</formula>
    </cfRule>
    <cfRule type="containsText" dxfId="220" priority="39" operator="containsText" text="SI">
      <formula>NOT(ISERROR(SEARCH("SI",A54)))</formula>
    </cfRule>
    <cfRule type="containsText" dxfId="219" priority="40" operator="containsText" text="NO">
      <formula>NOT(ISERROR(SEARCH("NO",A54)))</formula>
    </cfRule>
  </conditionalFormatting>
  <conditionalFormatting sqref="A97">
    <cfRule type="containsText" dxfId="218" priority="25" operator="containsText" text="OK">
      <formula>NOT(ISERROR(SEARCH("OK",A97)))</formula>
    </cfRule>
    <cfRule type="containsText" dxfId="217" priority="26" operator="containsText" text="ERROR">
      <formula>NOT(ISERROR(SEARCH("ERROR",A97)))</formula>
    </cfRule>
    <cfRule type="containsText" dxfId="216" priority="27" operator="containsText" text="SI">
      <formula>NOT(ISERROR(SEARCH("SI",A97)))</formula>
    </cfRule>
    <cfRule type="containsText" dxfId="215" priority="28" operator="containsText" text="NO">
      <formula>NOT(ISERROR(SEARCH("NO",A97)))</formula>
    </cfRule>
  </conditionalFormatting>
  <conditionalFormatting sqref="A136">
    <cfRule type="containsText" dxfId="214" priority="17" operator="containsText" text="OK">
      <formula>NOT(ISERROR(SEARCH("OK",A136)))</formula>
    </cfRule>
    <cfRule type="containsText" dxfId="213" priority="18" operator="containsText" text="ERROR">
      <formula>NOT(ISERROR(SEARCH("ERROR",A136)))</formula>
    </cfRule>
    <cfRule type="containsText" dxfId="212" priority="19" operator="containsText" text="SI">
      <formula>NOT(ISERROR(SEARCH("SI",A136)))</formula>
    </cfRule>
    <cfRule type="containsText" dxfId="211" priority="20" operator="containsText" text="NO">
      <formula>NOT(ISERROR(SEARCH("NO",A136)))</formula>
    </cfRule>
  </conditionalFormatting>
  <conditionalFormatting sqref="A157">
    <cfRule type="containsText" dxfId="210" priority="33" operator="containsText" text="OK">
      <formula>NOT(ISERROR(SEARCH("OK",A157)))</formula>
    </cfRule>
    <cfRule type="containsText" dxfId="209" priority="34" operator="containsText" text="ERROR">
      <formula>NOT(ISERROR(SEARCH("ERROR",A157)))</formula>
    </cfRule>
    <cfRule type="containsText" dxfId="208" priority="35" operator="containsText" text="SI">
      <formula>NOT(ISERROR(SEARCH("SI",A157)))</formula>
    </cfRule>
    <cfRule type="containsText" dxfId="207" priority="36" operator="containsText" text="NO">
      <formula>NOT(ISERROR(SEARCH("NO",A157)))</formula>
    </cfRule>
  </conditionalFormatting>
  <conditionalFormatting sqref="A177">
    <cfRule type="containsText" dxfId="206" priority="9" operator="containsText" text="OK">
      <formula>NOT(ISERROR(SEARCH("OK",A177)))</formula>
    </cfRule>
    <cfRule type="containsText" dxfId="205" priority="10" operator="containsText" text="ERROR">
      <formula>NOT(ISERROR(SEARCH("ERROR",A177)))</formula>
    </cfRule>
    <cfRule type="containsText" dxfId="204" priority="11" operator="containsText" text="SI">
      <formula>NOT(ISERROR(SEARCH("SI",A177)))</formula>
    </cfRule>
    <cfRule type="containsText" dxfId="203" priority="12" operator="containsText" text="NO">
      <formula>NOT(ISERROR(SEARCH("NO",A177)))</formula>
    </cfRule>
  </conditionalFormatting>
  <conditionalFormatting sqref="B48">
    <cfRule type="containsText" dxfId="202" priority="43" operator="containsText" text="SI">
      <formula>NOT(ISERROR(SEARCH("SI",B48)))</formula>
    </cfRule>
    <cfRule type="containsText" dxfId="201" priority="44" operator="containsText" text="NO">
      <formula>NOT(ISERROR(SEARCH("NO",B48)))</formula>
    </cfRule>
  </conditionalFormatting>
  <conditionalFormatting sqref="B52">
    <cfRule type="containsText" dxfId="200" priority="41" operator="containsText" text="SI">
      <formula>NOT(ISERROR(SEARCH("SI",B52)))</formula>
    </cfRule>
    <cfRule type="containsText" dxfId="199" priority="42" operator="containsText" text="NO">
      <formula>NOT(ISERROR(SEARCH("NO",B52)))</formula>
    </cfRule>
  </conditionalFormatting>
  <conditionalFormatting sqref="E97">
    <cfRule type="containsText" dxfId="198" priority="21" operator="containsText" text="OK">
      <formula>NOT(ISERROR(SEARCH("OK",E97)))</formula>
    </cfRule>
    <cfRule type="containsText" dxfId="197" priority="22" operator="containsText" text="ERROR">
      <formula>NOT(ISERROR(SEARCH("ERROR",E97)))</formula>
    </cfRule>
    <cfRule type="containsText" dxfId="196" priority="23" operator="containsText" text="SI">
      <formula>NOT(ISERROR(SEARCH("SI",E97)))</formula>
    </cfRule>
    <cfRule type="containsText" dxfId="195" priority="24" operator="containsText" text="NO">
      <formula>NOT(ISERROR(SEARCH("NO",E97)))</formula>
    </cfRule>
  </conditionalFormatting>
  <conditionalFormatting sqref="E136">
    <cfRule type="containsText" dxfId="194" priority="13" operator="containsText" text="OK">
      <formula>NOT(ISERROR(SEARCH("OK",E136)))</formula>
    </cfRule>
    <cfRule type="containsText" dxfId="193" priority="14" operator="containsText" text="ERROR">
      <formula>NOT(ISERROR(SEARCH("ERROR",E136)))</formula>
    </cfRule>
    <cfRule type="containsText" dxfId="192" priority="15" operator="containsText" text="SI">
      <formula>NOT(ISERROR(SEARCH("SI",E136)))</formula>
    </cfRule>
    <cfRule type="containsText" dxfId="191" priority="16" operator="containsText" text="NO">
      <formula>NOT(ISERROR(SEARCH("NO",E136)))</formula>
    </cfRule>
  </conditionalFormatting>
  <conditionalFormatting sqref="E157">
    <cfRule type="containsText" dxfId="190" priority="1" operator="containsText" text="OK">
      <formula>NOT(ISERROR(SEARCH("OK",E157)))</formula>
    </cfRule>
    <cfRule type="containsText" dxfId="189" priority="2" operator="containsText" text="ERROR">
      <formula>NOT(ISERROR(SEARCH("ERROR",E157)))</formula>
    </cfRule>
    <cfRule type="containsText" dxfId="188" priority="3" operator="containsText" text="SI">
      <formula>NOT(ISERROR(SEARCH("SI",E157)))</formula>
    </cfRule>
    <cfRule type="containsText" dxfId="187" priority="4" operator="containsText" text="NO">
      <formula>NOT(ISERROR(SEARCH("NO",E157)))</formula>
    </cfRule>
  </conditionalFormatting>
  <conditionalFormatting sqref="E177">
    <cfRule type="containsText" dxfId="186" priority="5" operator="containsText" text="OK">
      <formula>NOT(ISERROR(SEARCH("OK",E177)))</formula>
    </cfRule>
    <cfRule type="containsText" dxfId="185" priority="6" operator="containsText" text="ERROR">
      <formula>NOT(ISERROR(SEARCH("ERROR",E177)))</formula>
    </cfRule>
    <cfRule type="containsText" dxfId="184" priority="7" operator="containsText" text="SI">
      <formula>NOT(ISERROR(SEARCH("SI",E177)))</formula>
    </cfRule>
    <cfRule type="containsText" dxfId="183" priority="8" operator="containsText" text="NO">
      <formula>NOT(ISERROR(SEARCH("NO",E177)))</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6097BA03-E21D-44EE-BF1D-F5A95D0D23D2}">
          <x14:formula1>
            <xm:f>Listas!$G$2:$G$3</xm:f>
          </x14:formula1>
          <xm:sqref>B149 F149</xm:sqref>
        </x14:dataValidation>
        <x14:dataValidation type="list" allowBlank="1" showInputMessage="1" showErrorMessage="1" xr:uid="{4B3AE228-138D-4C6D-9104-EDDE841C292F}">
          <x14:formula1>
            <xm:f>Listas!$A$2:$A$4</xm:f>
          </x14:formula1>
          <xm:sqref>B17 B59</xm:sqref>
        </x14:dataValidation>
        <x14:dataValidation type="list" allowBlank="1" showInputMessage="1" showErrorMessage="1" xr:uid="{640EBB75-CB0E-440C-BDEA-5DCDD55A9FD3}">
          <x14:formula1>
            <xm:f>Listas!$B$2:$B$5</xm:f>
          </x14:formula1>
          <xm:sqref>B45 B18</xm:sqref>
        </x14:dataValidation>
        <x14:dataValidation type="list" allowBlank="1" showInputMessage="1" showErrorMessage="1" xr:uid="{410C5679-EF1A-4D95-AA81-3804FBBDDFA0}">
          <x14:formula1>
            <xm:f>Listas!$D$2:$D$5</xm:f>
          </x14:formula1>
          <xm:sqref>B69 F69</xm:sqref>
        </x14:dataValidation>
        <x14:dataValidation type="list" allowBlank="1" showInputMessage="1" showErrorMessage="1" xr:uid="{59883E9E-042F-4B05-84F0-E598EF27AEC2}">
          <x14:formula1>
            <xm:f>Listas!$E$2:$E$12</xm:f>
          </x14:formula1>
          <xm:sqref>B70 F70</xm:sqref>
        </x14:dataValidation>
        <x14:dataValidation type="list" allowBlank="1" showInputMessage="1" showErrorMessage="1" xr:uid="{C5F477BB-9ACA-4C24-9EFA-83C39E8A9780}">
          <x14:formula1>
            <xm:f>Listas!$C$2:$C$31</xm:f>
          </x14:formula1>
          <xm:sqref>B32 B62</xm:sqref>
        </x14:dataValidation>
        <x14:dataValidation type="list" allowBlank="1" showInputMessage="1" showErrorMessage="1" xr:uid="{ACF50457-1E40-4ACB-8918-A347049309F5}">
          <x14:formula1>
            <xm:f>Listas!$F$2:$F$4</xm:f>
          </x14:formula1>
          <xm:sqref>B19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E9C98-CE55-41AC-9CF8-8E4FF36F0E3C}">
  <dimension ref="A1:I162"/>
  <sheetViews>
    <sheetView showGridLines="0" topLeftCell="A19" zoomScale="90" zoomScaleNormal="90" workbookViewId="0">
      <selection activeCell="D25" sqref="D25"/>
    </sheetView>
  </sheetViews>
  <sheetFormatPr baseColWidth="10" defaultColWidth="11.44140625" defaultRowHeight="14.4" x14ac:dyDescent="0.3"/>
  <cols>
    <col min="1" max="1" width="38.6640625" customWidth="1"/>
    <col min="2" max="2" width="23.109375" customWidth="1"/>
    <col min="3" max="3" width="11.88671875" bestFit="1" customWidth="1"/>
    <col min="4" max="4" width="16.5546875" customWidth="1"/>
    <col min="5" max="5" width="38.88671875" customWidth="1"/>
    <col min="6" max="6" width="20.33203125" customWidth="1"/>
    <col min="7" max="7" width="34.5546875" customWidth="1"/>
    <col min="8" max="8" width="18.88671875" customWidth="1"/>
    <col min="10" max="10" width="22.33203125" customWidth="1"/>
  </cols>
  <sheetData>
    <row r="1" spans="1:8" x14ac:dyDescent="0.3">
      <c r="A1" s="43" t="s">
        <v>443</v>
      </c>
      <c r="H1" s="43" t="s">
        <v>315</v>
      </c>
    </row>
    <row r="2" spans="1:8" x14ac:dyDescent="0.3">
      <c r="A2" s="212" t="s">
        <v>298</v>
      </c>
      <c r="B2" s="212" t="s">
        <v>76</v>
      </c>
      <c r="H2" t="str">
        <f>IF(AND(B16&gt;=21,B16&lt;=25),"21-25",IF(AND(B16&gt;=26,B16&lt;=30),"26-30",IF(AND(B16&gt;=31,B16&lt;=35),"31-35",IF(AND(B16&gt;=36,B16&lt;=40),"36-40",IF(AND(B16&gt;=41,B16&lt;=45),"41-45",IF(AND(B16&gt;=46,B16&lt;=50),"46-50",IF(AND(B16&gt;=51,B16&lt;=55),"51-55",IF(AND(B16&gt;=56,B16&lt;=60),"56-60",IF(AND(B16&gt;=61,B16&lt;=70),"61-70",IF(AND(B16&gt;=71,B16&lt;=80),"71-80","ERROR"))))))))))</f>
        <v>31-35</v>
      </c>
    </row>
    <row r="3" spans="1:8" x14ac:dyDescent="0.3">
      <c r="A3" s="213" t="s">
        <v>296</v>
      </c>
      <c r="B3" s="214" t="s">
        <v>578</v>
      </c>
      <c r="H3">
        <f>IF(AND(B20&gt;=1,B20&lt;=3),1,IF(AND(B20&gt;=4,B20&lt;=6),"De 4 a 6",IF(AND(B20&gt;=7,B20&lt;=9),"De 7 a 9",IF(AND(B20&gt;=10,B20&lt;=20),"De 10 a 20",IF(AND(B20&gt;=21,B20&lt;=30),"De 21 a 30",IF(AND(B20&gt;=31,B20&lt;=40),"De 31 a 40",IF(B20&gt;=41,"De 41 y más","ERROR")))))))</f>
        <v>1</v>
      </c>
    </row>
    <row r="4" spans="1:8" x14ac:dyDescent="0.3">
      <c r="A4" s="213" t="s">
        <v>156</v>
      </c>
      <c r="B4" s="215" t="s">
        <v>579</v>
      </c>
      <c r="H4" s="193">
        <f>IF(B17="COBRE",IF(OR(B18="90 ºC",B18="120 ºC"),INDEX('Cap 3 NTC'!P8:P37,MATCH(B29,'Cap 3 NTC'!P8:P37,-1)),IF(B18="75 ºC",INDEX('Cap 3 NTC'!O8:O37,MATCH(B29,'Cap 3 NTC'!O8:O37,-1)),INDEX('Cap 3 NTC'!N8:N37,MATCH(B29,'Cap 3 NTC'!N8:N37,-1)))),IF(OR(B18="90 ºC",B18="120 ºC"),INDEX('Cap 3 NTC'!S8:S37,MATCH(B29,'Cap 3 NTC'!S8:S37,-1)),IF(B18="75 ºC",INDEX('Cap 3 NTC'!R8:R37,MATCH(B29,'Cap 3 NTC'!R8:R37,-1)),INDEX('Cap 3 NTC'!Q8:Q37,MATCH(B29,'Cap 3 NTC'!Q8:Q37,-1)))))</f>
        <v>95</v>
      </c>
    </row>
    <row r="5" spans="1:8" x14ac:dyDescent="0.3">
      <c r="A5" s="213" t="s">
        <v>444</v>
      </c>
      <c r="B5" s="214">
        <v>36</v>
      </c>
    </row>
    <row r="6" spans="1:8" x14ac:dyDescent="0.3">
      <c r="A6" s="213" t="s">
        <v>445</v>
      </c>
      <c r="B6" s="215">
        <v>208</v>
      </c>
    </row>
    <row r="7" spans="1:8" x14ac:dyDescent="0.3">
      <c r="A7" s="213" t="s">
        <v>446</v>
      </c>
      <c r="B7" s="214">
        <v>94.5</v>
      </c>
    </row>
    <row r="8" spans="1:8" x14ac:dyDescent="0.3">
      <c r="A8" s="213" t="s">
        <v>450</v>
      </c>
      <c r="B8" s="215">
        <v>3</v>
      </c>
    </row>
    <row r="10" spans="1:8" ht="15.6" x14ac:dyDescent="0.3">
      <c r="A10" s="288" t="s">
        <v>299</v>
      </c>
      <c r="B10" s="288"/>
      <c r="C10" s="288"/>
      <c r="D10" s="288"/>
      <c r="E10" s="288"/>
      <c r="F10" s="288"/>
      <c r="G10" s="288"/>
    </row>
    <row r="11" spans="1:8" ht="12" customHeight="1" x14ac:dyDescent="0.3"/>
    <row r="12" spans="1:8" x14ac:dyDescent="0.3">
      <c r="A12" s="140" t="s">
        <v>297</v>
      </c>
      <c r="B12" s="142">
        <f>B7*70%</f>
        <v>66.149999999999991</v>
      </c>
    </row>
    <row r="14" spans="1:8" ht="15.6" x14ac:dyDescent="0.3">
      <c r="A14" s="288" t="s">
        <v>415</v>
      </c>
      <c r="B14" s="288"/>
      <c r="C14" s="288"/>
      <c r="D14" s="288"/>
      <c r="E14" s="288"/>
      <c r="F14" s="288"/>
      <c r="G14" s="288"/>
    </row>
    <row r="15" spans="1:8" ht="12" customHeight="1" x14ac:dyDescent="0.3"/>
    <row r="16" spans="1:8" x14ac:dyDescent="0.3">
      <c r="A16" s="140" t="s">
        <v>311</v>
      </c>
      <c r="B16" s="28">
        <v>32</v>
      </c>
      <c r="C16" t="s">
        <v>312</v>
      </c>
    </row>
    <row r="17" spans="1:7" x14ac:dyDescent="0.3">
      <c r="A17" s="140" t="s">
        <v>314</v>
      </c>
      <c r="B17" s="23" t="s">
        <v>202</v>
      </c>
    </row>
    <row r="18" spans="1:7" x14ac:dyDescent="0.3">
      <c r="A18" s="140" t="s">
        <v>305</v>
      </c>
      <c r="B18" s="141" t="s">
        <v>194</v>
      </c>
    </row>
    <row r="19" spans="1:7" x14ac:dyDescent="0.3">
      <c r="A19" s="140" t="s">
        <v>414</v>
      </c>
      <c r="B19" s="141" t="s">
        <v>412</v>
      </c>
      <c r="C19" t="s">
        <v>429</v>
      </c>
    </row>
    <row r="20" spans="1:7" ht="28.8" x14ac:dyDescent="0.3">
      <c r="A20" s="140" t="s">
        <v>308</v>
      </c>
      <c r="B20" s="28">
        <v>3</v>
      </c>
      <c r="C20" t="s">
        <v>449</v>
      </c>
    </row>
    <row r="22" spans="1:7" x14ac:dyDescent="0.3">
      <c r="A22" s="43" t="s">
        <v>370</v>
      </c>
    </row>
    <row r="23" spans="1:7" x14ac:dyDescent="0.3">
      <c r="A23" s="140" t="s">
        <v>317</v>
      </c>
      <c r="B23" s="142">
        <f>1.25*B12</f>
        <v>82.687499999999986</v>
      </c>
      <c r="C23" t="s">
        <v>300</v>
      </c>
      <c r="G23" s="43"/>
    </row>
    <row r="25" spans="1:7" x14ac:dyDescent="0.3">
      <c r="A25" s="140" t="s">
        <v>157</v>
      </c>
      <c r="B25" s="142">
        <f>IF(B17="COBRE",VLOOKUP(H2,'Cap 3 NTC'!A41:D50,MATCH(B18,'Cap 3 NTC'!A4:D4,0),FALSE),VLOOKUP(H2,'Cap 3 NTC'!A41:G50,MATCH(B18,'Cap 3 NTC'!E4:G4,0)+4,FALSE))</f>
        <v>0.96</v>
      </c>
      <c r="C25" t="s">
        <v>309</v>
      </c>
      <c r="F25" t="s">
        <v>342</v>
      </c>
    </row>
    <row r="26" spans="1:7" x14ac:dyDescent="0.3">
      <c r="A26" s="140" t="s">
        <v>158</v>
      </c>
      <c r="B26" s="142">
        <f>IF(B19="BANDEJA PORTACABLES",1,IF(AND(B20&gt;=1,B20&lt;=3),1,VLOOKUP(H3,'Cap 3 NTC'!J41:K46,2,FALSE)))</f>
        <v>1</v>
      </c>
      <c r="C26" t="s">
        <v>310</v>
      </c>
      <c r="F26" s="44" t="s">
        <v>421</v>
      </c>
    </row>
    <row r="27" spans="1:7" x14ac:dyDescent="0.3">
      <c r="A27" s="140" t="s">
        <v>316</v>
      </c>
      <c r="B27" s="142">
        <f>B12/(B25*B26)</f>
        <v>68.90625</v>
      </c>
      <c r="C27" t="s">
        <v>301</v>
      </c>
      <c r="G27" s="292" t="s">
        <v>416</v>
      </c>
    </row>
    <row r="28" spans="1:7" x14ac:dyDescent="0.3">
      <c r="G28" s="292"/>
    </row>
    <row r="29" spans="1:7" x14ac:dyDescent="0.3">
      <c r="A29" s="143" t="s">
        <v>389</v>
      </c>
      <c r="B29" s="142">
        <f>IF(B27&gt;=B23,B27,B23)</f>
        <v>82.687499999999986</v>
      </c>
      <c r="E29" s="45"/>
      <c r="G29" s="292"/>
    </row>
    <row r="30" spans="1:7" x14ac:dyDescent="0.3">
      <c r="A30" s="143" t="s">
        <v>318</v>
      </c>
      <c r="B30" s="196">
        <f>IF(B17="COBRE",IF(OR(B18="90 ºC",B18="120 ºC"),VLOOKUP(H4,'Cap 3 NTC'!P8:U37,6,FALSE),IF(B18="75 ºC",VLOOKUP(H4,'Cap 3 NTC'!O8:U37,7,FALSE),IF(B18="60 ºC",VLOOKUP(H4,'Cap 3 NTC'!N8:U37,8,FALSE)))),IF(OR(B18="90 ºC",B18="120 ºC"),VLOOKUP(H4,'Cap 3 NTC'!S8:U37,3,FALSE),IF(B18="75 ºC",VLOOKUP(H4,'Cap 3 NTC'!R8:U37,4,FALSE),IF(B18="60 ºC",VLOOKUP(H4,'Cap 3 NTC'!Q8:U37,5,FALSE)))))</f>
        <v>4</v>
      </c>
      <c r="C30" s="144"/>
      <c r="G30" s="292"/>
    </row>
    <row r="31" spans="1:7" x14ac:dyDescent="0.3">
      <c r="G31" s="292"/>
    </row>
    <row r="32" spans="1:7" x14ac:dyDescent="0.3">
      <c r="A32" s="143" t="s">
        <v>319</v>
      </c>
      <c r="B32" s="146" t="s">
        <v>60</v>
      </c>
      <c r="C32" t="s">
        <v>371</v>
      </c>
      <c r="G32" s="292"/>
    </row>
    <row r="34" spans="1:9" ht="15.6" x14ac:dyDescent="0.3">
      <c r="A34" s="288" t="s">
        <v>422</v>
      </c>
      <c r="B34" s="288"/>
      <c r="C34" s="288"/>
      <c r="D34" s="288"/>
      <c r="E34" s="288"/>
      <c r="F34" s="288"/>
      <c r="G34" s="288"/>
    </row>
    <row r="35" spans="1:9" ht="12" customHeight="1" x14ac:dyDescent="0.3"/>
    <row r="36" spans="1:9" x14ac:dyDescent="0.3">
      <c r="A36" s="140" t="s">
        <v>328</v>
      </c>
      <c r="B36" s="142">
        <f>1.25*B12</f>
        <v>82.687499999999986</v>
      </c>
      <c r="C36" t="s">
        <v>330</v>
      </c>
    </row>
    <row r="38" spans="1:9" ht="28.8" x14ac:dyDescent="0.3">
      <c r="A38" s="140" t="s">
        <v>329</v>
      </c>
      <c r="B38" s="141">
        <v>125</v>
      </c>
      <c r="C38" t="s">
        <v>332</v>
      </c>
    </row>
    <row r="40" spans="1:9" x14ac:dyDescent="0.3">
      <c r="A40" s="147" t="str">
        <f>IF(B38&gt;=B36,"OK","ERROR")</f>
        <v>OK</v>
      </c>
      <c r="B40" s="289" t="str">
        <f>IF(A40="OK","Protección seleccionada es mayor a la corriente minima de OCPD",IF(A40="ERROR","La protección seleccionada debe ser mayor a la corriente minima de OCPD"))</f>
        <v>Protección seleccionada es mayor a la corriente minima de OCPD</v>
      </c>
      <c r="C40" s="289"/>
      <c r="D40" s="289"/>
      <c r="F40" s="44" t="s">
        <v>366</v>
      </c>
    </row>
    <row r="41" spans="1:9" x14ac:dyDescent="0.3">
      <c r="B41" s="289"/>
      <c r="C41" s="289"/>
      <c r="D41" s="289"/>
    </row>
    <row r="42" spans="1:9" ht="12" customHeight="1" x14ac:dyDescent="0.3"/>
    <row r="43" spans="1:9" ht="15.6" x14ac:dyDescent="0.3">
      <c r="A43" s="288" t="s">
        <v>336</v>
      </c>
      <c r="B43" s="288"/>
      <c r="C43" s="288"/>
      <c r="D43" s="288"/>
      <c r="E43" s="288"/>
      <c r="F43" s="288"/>
      <c r="G43" s="288"/>
    </row>
    <row r="44" spans="1:9" ht="12" customHeight="1" x14ac:dyDescent="0.3"/>
    <row r="45" spans="1:9" ht="28.8" x14ac:dyDescent="0.3">
      <c r="A45" s="140" t="s">
        <v>331</v>
      </c>
      <c r="B45" s="141" t="s">
        <v>193</v>
      </c>
      <c r="C45" s="290" t="s">
        <v>335</v>
      </c>
      <c r="D45" s="291"/>
      <c r="E45" s="291"/>
      <c r="F45" s="291"/>
      <c r="G45" s="291"/>
      <c r="H45" s="291"/>
      <c r="I45" s="291"/>
    </row>
    <row r="47" spans="1:9" ht="28.8" x14ac:dyDescent="0.3">
      <c r="A47" s="140" t="str">
        <f>CONCATENATE("Ampacidad del cable seleccionado @", B45, " [A]")</f>
        <v>Ampacidad del cable seleccionado @75 ºC [A]</v>
      </c>
      <c r="B47" s="145">
        <f>IF(B17="COBRE",IF(OR(B45="90 ºC",B45="120 ºC"),VLOOKUP(B32,'Cap 3 NTC'!M8:P37,4,FALSE),IF(B45="75 ºC",VLOOKUP(B32,'Cap 3 NTC'!M8:O37,3,FALSE),IF(B45="60 ºC",VLOOKUP(B32,'Cap 3 NTC'!M8:N37,2,FALSE)))),IF(OR(B45="90 ºC",B45="120 ºC"),VLOOKUP(B32,'Cap 3 NTC'!M8:S37,7,FALSE),IF(B45="75 ºC",VLOOKUP(B32,'Cap 3 NTC'!M8:R37,6,FALSE),IF(B45="60 ºC",VLOOKUP(B32,'Cap 3 NTC'!M8:Q37,5,FALSE)))))</f>
        <v>85</v>
      </c>
    </row>
    <row r="48" spans="1:9" x14ac:dyDescent="0.3">
      <c r="A48" s="140" t="s">
        <v>159</v>
      </c>
      <c r="B48" s="147" t="str">
        <f>IF(B47&gt;=B38,"SI","NO")</f>
        <v>NO</v>
      </c>
      <c r="C48" t="s">
        <v>333</v>
      </c>
    </row>
    <row r="50" spans="1:7" ht="28.8" x14ac:dyDescent="0.3">
      <c r="A50" s="140" t="str">
        <f>CONCATENATE("Ampacidad del cable seleccionado temperatura nominal @", B18, " [A]")</f>
        <v>Ampacidad del cable seleccionado temperatura nominal @90 ºC [A]</v>
      </c>
      <c r="B50" s="145">
        <f>IF(B17="COBRE",IF(OR(B18="90 ºC",B18="120 ºC"),VLOOKUP(B32,'Cap 3 NTC'!M8:P37,4,FALSE),IF(B18="75 ºC",VLOOKUP(B32,'Cap 3 NTC'!M8:O37,3,FALSE),IF(B18="60 ºC",VLOOKUP(B32,'Cap 3 NTC'!M8:N37,2,FALSE)))),IF(OR(B18="90 ºC",B18="120 ºC"),VLOOKUP(B32,'Cap 3 NTC'!M8:S37,7,FALSE),IF(B18="75 ºC",VLOOKUP(B32,'Cap 3 NTC'!M8:R37,6,FALSE),IF(B18="60 ºC",VLOOKUP(B32,'Cap 3 NTC'!M8:Q37,5,FALSE)))))</f>
        <v>95</v>
      </c>
    </row>
    <row r="51" spans="1:7" ht="28.8" x14ac:dyDescent="0.3">
      <c r="A51" s="140" t="s">
        <v>334</v>
      </c>
      <c r="B51" s="142">
        <f>B50*B26*B25</f>
        <v>91.2</v>
      </c>
      <c r="F51" s="43"/>
    </row>
    <row r="52" spans="1:7" x14ac:dyDescent="0.3">
      <c r="A52" s="140" t="s">
        <v>159</v>
      </c>
      <c r="B52" s="147" t="str">
        <f>IF(B51&gt;=B38,"SI","NO")</f>
        <v>NO</v>
      </c>
    </row>
    <row r="54" spans="1:7" x14ac:dyDescent="0.3">
      <c r="A54" s="147" t="str">
        <f>IF(AND(B52="SI",B48="SI"), "OK",IF(OR(B52="NO",B48="NO"),"ERROR"))</f>
        <v>ERROR</v>
      </c>
      <c r="B54" s="289" t="str">
        <f>IF(AND(B52="SI",B48="SI"), "La protección contra sobrecorrientes seleccionada funciona correctamente con el cable seleccionado",IF(OR(B52="NO",B48="NO"),"Realice un nuevo cálculo del cableado a utilizar o de la protección contra sobrecorrientes a utilizar"))</f>
        <v>Realice un nuevo cálculo del cableado a utilizar o de la protección contra sobrecorrientes a utilizar</v>
      </c>
      <c r="C54" s="289"/>
      <c r="D54" s="289"/>
    </row>
    <row r="55" spans="1:7" x14ac:dyDescent="0.3">
      <c r="B55" s="289"/>
      <c r="C55" s="289"/>
      <c r="D55" s="289"/>
      <c r="E55" s="43"/>
    </row>
    <row r="56" spans="1:7" ht="12" customHeight="1" x14ac:dyDescent="0.3"/>
    <row r="57" spans="1:7" ht="15.6" x14ac:dyDescent="0.3">
      <c r="A57" s="288" t="s">
        <v>438</v>
      </c>
      <c r="B57" s="288"/>
      <c r="C57" s="288"/>
      <c r="D57" s="288"/>
      <c r="E57" s="288"/>
      <c r="F57" s="288"/>
      <c r="G57" s="288"/>
    </row>
    <row r="58" spans="1:7" ht="12" customHeight="1" x14ac:dyDescent="0.3"/>
    <row r="59" spans="1:7" x14ac:dyDescent="0.3">
      <c r="A59" s="140" t="s">
        <v>419</v>
      </c>
      <c r="B59" s="23" t="s">
        <v>202</v>
      </c>
    </row>
    <row r="60" spans="1:7" x14ac:dyDescent="0.3">
      <c r="A60" s="143" t="s">
        <v>380</v>
      </c>
      <c r="B60" s="196">
        <f>VLOOKUP(INDEX('Cap 2 NTC'!A36:A47,MATCH(B38,'Cap 2 NTC'!A36:A47,-1)),'Cap 2 NTC'!A36:C47,MATCH('INV1_TABLERO FV_N'!B59,'Cap 2 NTC'!B34:C34,0)+1,FALSE)</f>
        <v>6</v>
      </c>
      <c r="C60" t="s">
        <v>378</v>
      </c>
    </row>
    <row r="62" spans="1:7" ht="28.8" x14ac:dyDescent="0.3">
      <c r="A62" s="143" t="s">
        <v>420</v>
      </c>
      <c r="B62" s="146" t="s">
        <v>59</v>
      </c>
      <c r="C62" t="s">
        <v>371</v>
      </c>
    </row>
    <row r="64" spans="1:7" ht="15.6" x14ac:dyDescent="0.3">
      <c r="A64" s="288" t="s">
        <v>439</v>
      </c>
      <c r="B64" s="288"/>
      <c r="C64" s="288"/>
      <c r="D64" s="288"/>
      <c r="E64" s="288"/>
      <c r="F64" s="288"/>
      <c r="G64" s="288"/>
    </row>
    <row r="65" spans="1:7" ht="12" customHeight="1" x14ac:dyDescent="0.3"/>
    <row r="66" spans="1:7" x14ac:dyDescent="0.3">
      <c r="A66" s="43" t="s">
        <v>390</v>
      </c>
      <c r="E66" s="43" t="s">
        <v>391</v>
      </c>
    </row>
    <row r="67" spans="1:7" x14ac:dyDescent="0.3">
      <c r="A67" s="140" t="s">
        <v>423</v>
      </c>
      <c r="B67" s="141" t="s">
        <v>525</v>
      </c>
      <c r="E67" s="140" t="s">
        <v>423</v>
      </c>
      <c r="F67" s="141"/>
    </row>
    <row r="68" spans="1:7" x14ac:dyDescent="0.3">
      <c r="A68" s="43" t="s">
        <v>375</v>
      </c>
      <c r="E68" s="43" t="s">
        <v>375</v>
      </c>
    </row>
    <row r="69" spans="1:7" x14ac:dyDescent="0.3">
      <c r="A69" s="140" t="s">
        <v>346</v>
      </c>
      <c r="B69" s="141" t="s">
        <v>348</v>
      </c>
      <c r="E69" s="140" t="s">
        <v>346</v>
      </c>
      <c r="F69" s="141" t="s">
        <v>348</v>
      </c>
    </row>
    <row r="70" spans="1:7" x14ac:dyDescent="0.3">
      <c r="A70" s="140" t="s">
        <v>360</v>
      </c>
      <c r="B70" s="141" t="s">
        <v>148</v>
      </c>
      <c r="E70" s="140" t="s">
        <v>360</v>
      </c>
      <c r="F70" s="141" t="s">
        <v>150</v>
      </c>
    </row>
    <row r="72" spans="1:7" x14ac:dyDescent="0.3">
      <c r="A72" s="140" t="s">
        <v>361</v>
      </c>
      <c r="B72" s="142">
        <f>PI()*(VLOOKUP(B70,Tuberia!A4:E14,MATCH('INV1_TABLERO FV_N'!B69,Tuberia!A2:E2,0),FALSE)/2)^2</f>
        <v>964.97372319327462</v>
      </c>
      <c r="E72" s="140" t="s">
        <v>361</v>
      </c>
      <c r="F72" s="142">
        <f>PI()*(VLOOKUP(F70,Tuberia!A4:E14,MATCH('INV1_TABLERO FV_N'!F69,Tuberia!A2:E2,0),FALSE)/2)^2</f>
        <v>2164.9021306617888</v>
      </c>
    </row>
    <row r="74" spans="1:7" x14ac:dyDescent="0.3">
      <c r="A74" s="43" t="s">
        <v>376</v>
      </c>
      <c r="E74" s="43" t="s">
        <v>376</v>
      </c>
    </row>
    <row r="75" spans="1:7" x14ac:dyDescent="0.3">
      <c r="A75" s="140" t="s">
        <v>430</v>
      </c>
      <c r="B75" s="141" t="s">
        <v>576</v>
      </c>
      <c r="C75" t="s">
        <v>365</v>
      </c>
      <c r="E75" s="140" t="s">
        <v>430</v>
      </c>
      <c r="F75" s="141"/>
      <c r="G75" t="s">
        <v>365</v>
      </c>
    </row>
    <row r="76" spans="1:7" x14ac:dyDescent="0.3">
      <c r="A76" s="140" t="s">
        <v>432</v>
      </c>
      <c r="B76" s="141">
        <v>2</v>
      </c>
      <c r="E76" s="140" t="s">
        <v>432</v>
      </c>
      <c r="F76" s="141"/>
    </row>
    <row r="77" spans="1:7" x14ac:dyDescent="0.3">
      <c r="A77" s="140" t="s">
        <v>362</v>
      </c>
      <c r="B77" s="141">
        <v>12</v>
      </c>
      <c r="C77" t="s">
        <v>367</v>
      </c>
      <c r="E77" s="140" t="s">
        <v>362</v>
      </c>
      <c r="F77" s="141"/>
      <c r="G77" t="s">
        <v>367</v>
      </c>
    </row>
    <row r="78" spans="1:7" x14ac:dyDescent="0.3">
      <c r="A78" s="140" t="s">
        <v>516</v>
      </c>
      <c r="B78" s="142">
        <f>(PI()*((B77)/2)^2)*B76</f>
        <v>226.1946710584651</v>
      </c>
      <c r="E78" s="140" t="s">
        <v>516</v>
      </c>
      <c r="F78" s="142">
        <f>(PI()*((F77)/2)^2)*F76</f>
        <v>0</v>
      </c>
    </row>
    <row r="79" spans="1:7" x14ac:dyDescent="0.3">
      <c r="B79" s="45">
        <f>(PI()*((B77)/2)^2)</f>
        <v>113.09733552923255</v>
      </c>
    </row>
    <row r="80" spans="1:7" x14ac:dyDescent="0.3">
      <c r="A80" s="140" t="s">
        <v>431</v>
      </c>
      <c r="B80" s="141"/>
      <c r="C80" t="s">
        <v>365</v>
      </c>
      <c r="E80" s="140" t="s">
        <v>431</v>
      </c>
      <c r="F80" s="141"/>
      <c r="G80" t="s">
        <v>365</v>
      </c>
    </row>
    <row r="81" spans="1:7" x14ac:dyDescent="0.3">
      <c r="A81" s="140" t="s">
        <v>433</v>
      </c>
      <c r="B81" s="141"/>
      <c r="E81" s="140" t="s">
        <v>433</v>
      </c>
      <c r="F81" s="141"/>
    </row>
    <row r="82" spans="1:7" x14ac:dyDescent="0.3">
      <c r="A82" s="140" t="s">
        <v>362</v>
      </c>
      <c r="B82" s="141"/>
      <c r="C82" t="s">
        <v>367</v>
      </c>
      <c r="E82" s="140" t="s">
        <v>362</v>
      </c>
      <c r="F82" s="141"/>
      <c r="G82" t="s">
        <v>367</v>
      </c>
    </row>
    <row r="83" spans="1:7" x14ac:dyDescent="0.3">
      <c r="A83" s="140" t="s">
        <v>515</v>
      </c>
      <c r="B83" s="142">
        <f>(PI()*((B82)/2)^2)*B81</f>
        <v>0</v>
      </c>
      <c r="E83" s="140" t="s">
        <v>515</v>
      </c>
      <c r="F83" s="142">
        <f>(PI()*((F82)/2)^2)*F81</f>
        <v>0</v>
      </c>
    </row>
    <row r="84" spans="1:7" ht="28.8" x14ac:dyDescent="0.3">
      <c r="A84" s="140" t="s">
        <v>368</v>
      </c>
      <c r="B84" s="142">
        <f>B83+B78</f>
        <v>226.1946710584651</v>
      </c>
      <c r="E84" s="140" t="s">
        <v>368</v>
      </c>
      <c r="F84" s="142">
        <f>F83+F78</f>
        <v>0</v>
      </c>
    </row>
    <row r="86" spans="1:7" x14ac:dyDescent="0.3">
      <c r="A86" s="43" t="s">
        <v>417</v>
      </c>
      <c r="E86" s="43" t="s">
        <v>417</v>
      </c>
    </row>
    <row r="87" spans="1:7" x14ac:dyDescent="0.3">
      <c r="A87" s="140" t="s">
        <v>364</v>
      </c>
      <c r="B87" s="141" t="s">
        <v>554</v>
      </c>
      <c r="C87" t="s">
        <v>365</v>
      </c>
      <c r="E87" s="140" t="s">
        <v>364</v>
      </c>
      <c r="F87" s="141"/>
      <c r="G87" t="s">
        <v>365</v>
      </c>
    </row>
    <row r="88" spans="1:7" x14ac:dyDescent="0.3">
      <c r="A88" s="140" t="s">
        <v>363</v>
      </c>
      <c r="B88" s="141">
        <v>0</v>
      </c>
      <c r="E88" s="140" t="s">
        <v>363</v>
      </c>
      <c r="F88" s="141"/>
    </row>
    <row r="89" spans="1:7" x14ac:dyDescent="0.3">
      <c r="A89" s="140" t="s">
        <v>362</v>
      </c>
      <c r="B89" s="141">
        <v>3.7</v>
      </c>
      <c r="C89" t="s">
        <v>367</v>
      </c>
      <c r="E89" s="140" t="s">
        <v>362</v>
      </c>
      <c r="F89" s="141"/>
      <c r="G89" t="s">
        <v>367</v>
      </c>
    </row>
    <row r="90" spans="1:7" ht="15.75" customHeight="1" x14ac:dyDescent="0.3">
      <c r="A90" s="140" t="s">
        <v>418</v>
      </c>
      <c r="B90" s="142">
        <f>(PI()*(B89/2)^2)*B88</f>
        <v>0</v>
      </c>
      <c r="E90" s="140" t="s">
        <v>418</v>
      </c>
      <c r="F90" s="142">
        <f>(PI()*(F89/2)^2)*F88</f>
        <v>0</v>
      </c>
    </row>
    <row r="92" spans="1:7" x14ac:dyDescent="0.3">
      <c r="A92" s="140" t="s">
        <v>372</v>
      </c>
      <c r="B92" s="142">
        <f>SUM(B84,B90)</f>
        <v>226.1946710584651</v>
      </c>
      <c r="E92" s="140" t="s">
        <v>372</v>
      </c>
      <c r="F92" s="142">
        <f>SUM(F84,F90)</f>
        <v>0</v>
      </c>
    </row>
    <row r="94" spans="1:7" x14ac:dyDescent="0.3">
      <c r="A94" s="140" t="s">
        <v>160</v>
      </c>
      <c r="B94" s="149">
        <f>(B92/B72)</f>
        <v>0.23440500567201514</v>
      </c>
      <c r="E94" s="140" t="s">
        <v>160</v>
      </c>
      <c r="F94" s="149">
        <f>(F92/F72)</f>
        <v>0</v>
      </c>
    </row>
    <row r="95" spans="1:7" x14ac:dyDescent="0.3">
      <c r="A95" s="140" t="s">
        <v>373</v>
      </c>
      <c r="B95" s="149" t="str">
        <f>IF(SUM(B88,B76)=1,'Cap 9 NTC'!C5,IF(SUM(B88,B76)=1,'Cap 9 NTC'!D5,IF(SUM(B88,B76)&gt;2,'Cap 9 NTC'!E5,"Error, número de conductores no puede ser negativo")))</f>
        <v>Error, número de conductores no puede ser negativo</v>
      </c>
      <c r="C95" t="s">
        <v>374</v>
      </c>
      <c r="E95" s="140" t="s">
        <v>373</v>
      </c>
      <c r="F95" s="149" t="str">
        <f>IF(SUM(F88,F76)=1,'Cap 9 NTC'!C5,IF(SUM(B88,B76)=1,'Cap 9 NTC'!D5,IF(SUM(B88,B76)&gt;2,'Cap 9 NTC'!E5,"Error, número de conductores no puede ser negativo")))</f>
        <v>Error, número de conductores no puede ser negativo</v>
      </c>
      <c r="G95" t="s">
        <v>374</v>
      </c>
    </row>
    <row r="97" spans="1:7" x14ac:dyDescent="0.3">
      <c r="A97" s="147" t="str">
        <f>IF(B94&lt;=B95,"OK",IF(B94&gt;B95,"ERROR"))</f>
        <v>OK</v>
      </c>
      <c r="B97" s="289" t="str">
        <f>IF(B94&lt;=B95,"La tuberia seleccionada cumple con los porcentajes de la tabla 1 del capitulo 9 de la NTC 2050",IF(B94&gt;B95,"La tuberia seleccionada NO cumple con los porcentajes de la tabla 1 del capitulo 9 de la NTC 2050"))</f>
        <v>La tuberia seleccionada cumple con los porcentajes de la tabla 1 del capitulo 9 de la NTC 2050</v>
      </c>
      <c r="C97" s="289"/>
      <c r="D97" s="289"/>
      <c r="E97" s="147" t="str">
        <f>IF(F94&lt;=F95,"OK",IF(F94&gt;F95,"ERROR"))</f>
        <v>OK</v>
      </c>
      <c r="F97" s="289" t="str">
        <f>IF(F94&lt;=F95,"La tuberia seleccionada cumple con los porcentajes de la tabla 1 del capitulo 9 de la NTC 2050",IF(F94&gt;F95,"La tuberia seleccionada NO cumple con los porcentajes de la tabla 1 del capitulo 9 de la NTC 2050"))</f>
        <v>La tuberia seleccionada cumple con los porcentajes de la tabla 1 del capitulo 9 de la NTC 2050</v>
      </c>
      <c r="G97" s="289"/>
    </row>
    <row r="98" spans="1:7" x14ac:dyDescent="0.3">
      <c r="B98" s="289"/>
      <c r="C98" s="289"/>
      <c r="D98" s="289"/>
      <c r="F98" s="289"/>
      <c r="G98" s="289"/>
    </row>
    <row r="99" spans="1:7" ht="12" customHeight="1" x14ac:dyDescent="0.3"/>
    <row r="100" spans="1:7" ht="15.6" x14ac:dyDescent="0.3">
      <c r="A100" s="288" t="s">
        <v>440</v>
      </c>
      <c r="B100" s="288"/>
      <c r="C100" s="288"/>
      <c r="D100" s="288"/>
      <c r="E100" s="288"/>
      <c r="F100" s="288"/>
      <c r="G100" s="288"/>
    </row>
    <row r="101" spans="1:7" ht="12" customHeight="1" x14ac:dyDescent="0.3"/>
    <row r="102" spans="1:7" x14ac:dyDescent="0.3">
      <c r="A102" s="43" t="s">
        <v>397</v>
      </c>
      <c r="E102" s="43" t="s">
        <v>398</v>
      </c>
    </row>
    <row r="103" spans="1:7" x14ac:dyDescent="0.3">
      <c r="A103" s="43" t="s">
        <v>343</v>
      </c>
      <c r="E103" s="43" t="s">
        <v>343</v>
      </c>
    </row>
    <row r="104" spans="1:7" x14ac:dyDescent="0.3">
      <c r="A104" s="140" t="s">
        <v>388</v>
      </c>
      <c r="B104" s="141" t="s">
        <v>395</v>
      </c>
      <c r="E104" s="140" t="s">
        <v>388</v>
      </c>
      <c r="F104" s="141"/>
    </row>
    <row r="105" spans="1:7" x14ac:dyDescent="0.3">
      <c r="A105" s="140" t="s">
        <v>392</v>
      </c>
      <c r="B105" s="141">
        <v>80</v>
      </c>
      <c r="E105" s="140" t="s">
        <v>392</v>
      </c>
      <c r="F105" s="141"/>
    </row>
    <row r="106" spans="1:7" x14ac:dyDescent="0.3">
      <c r="A106" s="140" t="s">
        <v>393</v>
      </c>
      <c r="B106" s="141">
        <v>200</v>
      </c>
      <c r="E106" s="140" t="s">
        <v>393</v>
      </c>
      <c r="F106" s="141"/>
    </row>
    <row r="107" spans="1:7" x14ac:dyDescent="0.3">
      <c r="A107" s="140" t="s">
        <v>394</v>
      </c>
      <c r="B107" s="141">
        <v>150</v>
      </c>
      <c r="C107" t="s">
        <v>345</v>
      </c>
      <c r="E107" s="140" t="s">
        <v>394</v>
      </c>
      <c r="F107" s="141"/>
      <c r="G107" t="s">
        <v>345</v>
      </c>
    </row>
    <row r="108" spans="1:7" x14ac:dyDescent="0.3">
      <c r="A108" s="140" t="s">
        <v>396</v>
      </c>
      <c r="B108" s="142">
        <f>B106*B105</f>
        <v>16000</v>
      </c>
      <c r="E108" s="140" t="s">
        <v>396</v>
      </c>
      <c r="F108" s="142">
        <f>F106*F105</f>
        <v>0</v>
      </c>
    </row>
    <row r="110" spans="1:7" x14ac:dyDescent="0.3">
      <c r="A110" s="43" t="s">
        <v>376</v>
      </c>
      <c r="E110" s="43" t="s">
        <v>376</v>
      </c>
    </row>
    <row r="111" spans="1:7" x14ac:dyDescent="0.3">
      <c r="A111" s="140" t="s">
        <v>430</v>
      </c>
      <c r="B111" s="141" t="s">
        <v>549</v>
      </c>
      <c r="C111" t="s">
        <v>365</v>
      </c>
      <c r="E111" s="140" t="s">
        <v>364</v>
      </c>
      <c r="F111" s="141"/>
      <c r="G111" t="s">
        <v>365</v>
      </c>
    </row>
    <row r="112" spans="1:7" x14ac:dyDescent="0.3">
      <c r="A112" s="140" t="s">
        <v>432</v>
      </c>
      <c r="B112" s="141">
        <v>8</v>
      </c>
      <c r="E112" s="140" t="s">
        <v>363</v>
      </c>
      <c r="F112" s="141"/>
    </row>
    <row r="113" spans="1:7" x14ac:dyDescent="0.3">
      <c r="A113" s="140" t="s">
        <v>362</v>
      </c>
      <c r="B113" s="141">
        <v>12.03</v>
      </c>
      <c r="C113" t="s">
        <v>367</v>
      </c>
      <c r="E113" s="140" t="s">
        <v>362</v>
      </c>
      <c r="F113" s="141"/>
      <c r="G113" t="s">
        <v>367</v>
      </c>
    </row>
    <row r="114" spans="1:7" x14ac:dyDescent="0.3">
      <c r="A114" s="140" t="s">
        <v>516</v>
      </c>
      <c r="B114" s="142">
        <f>(PI()*((B113)/2)^2)*B112</f>
        <v>909.30823252180596</v>
      </c>
      <c r="E114" s="140" t="s">
        <v>516</v>
      </c>
      <c r="F114" s="142">
        <f>(PI()*((F113)/2)^2)*F112</f>
        <v>0</v>
      </c>
    </row>
    <row r="116" spans="1:7" x14ac:dyDescent="0.3">
      <c r="A116" s="140" t="s">
        <v>431</v>
      </c>
      <c r="B116" s="141"/>
      <c r="C116" t="s">
        <v>365</v>
      </c>
      <c r="E116" s="140" t="s">
        <v>364</v>
      </c>
      <c r="F116" s="141"/>
      <c r="G116" t="s">
        <v>365</v>
      </c>
    </row>
    <row r="117" spans="1:7" x14ac:dyDescent="0.3">
      <c r="A117" s="140" t="s">
        <v>433</v>
      </c>
      <c r="B117" s="141"/>
      <c r="E117" s="140" t="s">
        <v>363</v>
      </c>
      <c r="F117" s="141"/>
    </row>
    <row r="118" spans="1:7" x14ac:dyDescent="0.3">
      <c r="A118" s="140" t="s">
        <v>362</v>
      </c>
      <c r="B118" s="141"/>
      <c r="C118" t="s">
        <v>367</v>
      </c>
      <c r="E118" s="140" t="s">
        <v>362</v>
      </c>
      <c r="F118" s="141"/>
      <c r="G118" t="s">
        <v>367</v>
      </c>
    </row>
    <row r="119" spans="1:7" x14ac:dyDescent="0.3">
      <c r="A119" s="140" t="s">
        <v>515</v>
      </c>
      <c r="B119" s="142">
        <f>(PI()*((B118)/2)^2)*B117</f>
        <v>0</v>
      </c>
      <c r="E119" s="140" t="s">
        <v>515</v>
      </c>
      <c r="F119" s="142">
        <f>(PI()*((F118)/2)^2)*F117</f>
        <v>0</v>
      </c>
    </row>
    <row r="120" spans="1:7" ht="28.8" x14ac:dyDescent="0.3">
      <c r="A120" s="140" t="s">
        <v>368</v>
      </c>
      <c r="B120" s="142">
        <f>B119+B114</f>
        <v>909.30823252180596</v>
      </c>
      <c r="E120" s="140" t="s">
        <v>368</v>
      </c>
      <c r="F120" s="142">
        <f>F119+F114</f>
        <v>0</v>
      </c>
    </row>
    <row r="122" spans="1:7" x14ac:dyDescent="0.3">
      <c r="A122" s="43" t="s">
        <v>377</v>
      </c>
      <c r="E122" s="43" t="s">
        <v>377</v>
      </c>
    </row>
    <row r="123" spans="1:7" x14ac:dyDescent="0.3">
      <c r="A123" s="140" t="s">
        <v>364</v>
      </c>
      <c r="B123" s="141" t="s">
        <v>550</v>
      </c>
      <c r="C123" t="s">
        <v>365</v>
      </c>
      <c r="E123" s="140" t="s">
        <v>364</v>
      </c>
      <c r="F123" s="141"/>
      <c r="G123" t="s">
        <v>365</v>
      </c>
    </row>
    <row r="124" spans="1:7" x14ac:dyDescent="0.3">
      <c r="A124" s="140" t="s">
        <v>363</v>
      </c>
      <c r="B124" s="141">
        <v>2</v>
      </c>
      <c r="E124" s="140" t="s">
        <v>363</v>
      </c>
      <c r="F124" s="141"/>
    </row>
    <row r="125" spans="1:7" x14ac:dyDescent="0.3">
      <c r="A125" s="140" t="s">
        <v>362</v>
      </c>
      <c r="B125" s="141">
        <v>6.39</v>
      </c>
      <c r="C125" t="s">
        <v>367</v>
      </c>
      <c r="E125" s="140" t="s">
        <v>362</v>
      </c>
      <c r="F125" s="141"/>
      <c r="G125" t="s">
        <v>367</v>
      </c>
    </row>
    <row r="126" spans="1:7" x14ac:dyDescent="0.3">
      <c r="A126" s="140" t="s">
        <v>369</v>
      </c>
      <c r="B126" s="142">
        <f>(PI()*(B125/2)^2)*B124</f>
        <v>64.138912695321892</v>
      </c>
      <c r="E126" s="140" t="s">
        <v>369</v>
      </c>
      <c r="F126" s="142">
        <f>(PI()*(F125/2)^2)*F124</f>
        <v>0</v>
      </c>
    </row>
    <row r="128" spans="1:7" x14ac:dyDescent="0.3">
      <c r="A128" s="140" t="s">
        <v>399</v>
      </c>
      <c r="B128" s="142">
        <f>SUM(B125*B124,B112*B113,B118*B117)</f>
        <v>109.02</v>
      </c>
      <c r="C128" t="s">
        <v>404</v>
      </c>
      <c r="E128" s="140" t="s">
        <v>399</v>
      </c>
      <c r="F128" s="142">
        <f>SUM(F125*F124,F112*F113,F118*F117)</f>
        <v>0</v>
      </c>
      <c r="G128" t="s">
        <v>404</v>
      </c>
    </row>
    <row r="129" spans="1:8" x14ac:dyDescent="0.3">
      <c r="A129" s="140" t="s">
        <v>400</v>
      </c>
      <c r="B129" s="142">
        <f>B106</f>
        <v>200</v>
      </c>
      <c r="C129" t="s">
        <v>403</v>
      </c>
      <c r="E129" s="140" t="s">
        <v>400</v>
      </c>
      <c r="F129" s="142">
        <f>F106</f>
        <v>0</v>
      </c>
      <c r="G129" t="s">
        <v>403</v>
      </c>
    </row>
    <row r="131" spans="1:8" x14ac:dyDescent="0.3">
      <c r="A131" s="140" t="s">
        <v>372</v>
      </c>
      <c r="B131" s="142">
        <f>SUM(B120,B126)</f>
        <v>973.44714521712785</v>
      </c>
      <c r="E131" s="140" t="s">
        <v>372</v>
      </c>
      <c r="F131" s="142">
        <f>SUM(F120,F126)</f>
        <v>0</v>
      </c>
    </row>
    <row r="133" spans="1:8" x14ac:dyDescent="0.3">
      <c r="A133" s="140" t="s">
        <v>402</v>
      </c>
      <c r="B133" s="149">
        <f>B131/B108</f>
        <v>6.0840446576070489E-2</v>
      </c>
      <c r="E133" s="140" t="s">
        <v>402</v>
      </c>
      <c r="F133" s="149" t="e">
        <f>F131/F108</f>
        <v>#DIV/0!</v>
      </c>
    </row>
    <row r="134" spans="1:8" x14ac:dyDescent="0.3">
      <c r="A134" s="140" t="s">
        <v>401</v>
      </c>
      <c r="B134" s="149">
        <v>0.4</v>
      </c>
      <c r="C134" t="s">
        <v>344</v>
      </c>
      <c r="E134" s="140" t="s">
        <v>401</v>
      </c>
      <c r="F134" s="149">
        <v>0.4</v>
      </c>
      <c r="G134" t="s">
        <v>344</v>
      </c>
    </row>
    <row r="136" spans="1:8" ht="15" customHeight="1" x14ac:dyDescent="0.3">
      <c r="A136" s="147" t="str">
        <f>IF(AND(B133&lt;=B134,B128&lt;=B129),"OK",IF(OR(B133&gt;B134,B128&gt;B129),"ERROR"))</f>
        <v>OK</v>
      </c>
      <c r="B136" s="289" t="str">
        <f>IF(AND(B133&lt;=B134,B128&lt;=B129),"La bandeja seleccionada cumple con el articulo 318-10 b) de la NTC 2050 y el articulo 20.3 i) del RETIE",IF(B133&gt;B134,"El porcentaje de ocupacion del area transversal de la bandeja es mayor al 40%",IF(B128&gt;B129,"la bandeja ")))</f>
        <v>La bandeja seleccionada cumple con el articulo 318-10 b) de la NTC 2050 y el articulo 20.3 i) del RETIE</v>
      </c>
      <c r="C136" s="289"/>
      <c r="D136" s="289"/>
      <c r="E136" s="147" t="e">
        <f>IF(AND(F133&lt;=F134,F128&lt;=F129),"OK",IF(OR(F133&gt;F134,F128&gt;F129),"ERROR"))</f>
        <v>#DIV/0!</v>
      </c>
      <c r="F136" s="289" t="e">
        <f>IF(AND(F133&lt;=F134,F128&lt;=F129),"La bandeja seleccionada cumple con el articulo 318-10 b) de la NTC 2050 y el articulo 20.3 i) del RETIE",IF(F133&gt;F134,"El porcentaje de ocupacion del area transversal de la bandeja es mayor al 40%",IF(F128&gt;F129,"la bandeja ")))</f>
        <v>#DIV/0!</v>
      </c>
      <c r="G136" s="289"/>
      <c r="H136" s="195"/>
    </row>
    <row r="137" spans="1:8" x14ac:dyDescent="0.3">
      <c r="B137" s="289"/>
      <c r="C137" s="289"/>
      <c r="D137" s="289"/>
      <c r="F137" s="289"/>
      <c r="G137" s="289"/>
      <c r="H137" s="195"/>
    </row>
    <row r="139" spans="1:8" ht="15.6" x14ac:dyDescent="0.3">
      <c r="A139" s="288" t="s">
        <v>441</v>
      </c>
      <c r="B139" s="288"/>
      <c r="C139" s="288"/>
      <c r="D139" s="288"/>
      <c r="E139" s="288"/>
      <c r="F139" s="288"/>
      <c r="G139" s="288"/>
    </row>
    <row r="140" spans="1:8" ht="12" customHeight="1" x14ac:dyDescent="0.3"/>
    <row r="141" spans="1:8" x14ac:dyDescent="0.3">
      <c r="A141" s="43" t="s">
        <v>424</v>
      </c>
      <c r="E141" s="43" t="s">
        <v>425</v>
      </c>
    </row>
    <row r="142" spans="1:8" x14ac:dyDescent="0.3">
      <c r="A142" s="140" t="s">
        <v>437</v>
      </c>
      <c r="B142" s="141" t="s">
        <v>526</v>
      </c>
      <c r="E142" s="140" t="s">
        <v>437</v>
      </c>
      <c r="F142" s="141"/>
    </row>
    <row r="143" spans="1:8" ht="28.8" x14ac:dyDescent="0.3">
      <c r="A143" s="140" t="s">
        <v>451</v>
      </c>
      <c r="B143" s="141">
        <v>160</v>
      </c>
      <c r="E143" s="140" t="s">
        <v>451</v>
      </c>
      <c r="F143" s="141"/>
    </row>
    <row r="144" spans="1:8" x14ac:dyDescent="0.3">
      <c r="A144" s="140" t="s">
        <v>453</v>
      </c>
      <c r="B144" s="197">
        <v>1</v>
      </c>
      <c r="E144" s="140" t="s">
        <v>453</v>
      </c>
      <c r="F144" s="197"/>
    </row>
    <row r="145" spans="1:7" x14ac:dyDescent="0.3">
      <c r="A145" s="43"/>
      <c r="E145" s="43"/>
    </row>
    <row r="146" spans="1:7" x14ac:dyDescent="0.3">
      <c r="A146" s="140" t="s">
        <v>458</v>
      </c>
      <c r="B146" s="142">
        <f>$B$6</f>
        <v>208</v>
      </c>
      <c r="E146" s="140" t="s">
        <v>458</v>
      </c>
      <c r="F146" s="142">
        <f>$B$6</f>
        <v>208</v>
      </c>
    </row>
    <row r="147" spans="1:7" x14ac:dyDescent="0.3">
      <c r="A147" s="140" t="s">
        <v>459</v>
      </c>
      <c r="B147" s="142">
        <f>$B$12</f>
        <v>66.149999999999991</v>
      </c>
      <c r="E147" s="140" t="s">
        <v>459</v>
      </c>
      <c r="F147" s="142">
        <f>$B$12</f>
        <v>66.149999999999991</v>
      </c>
    </row>
    <row r="148" spans="1:7" x14ac:dyDescent="0.3">
      <c r="A148" s="43"/>
      <c r="E148" s="43"/>
    </row>
    <row r="149" spans="1:7" x14ac:dyDescent="0.3">
      <c r="A149" s="140" t="s">
        <v>460</v>
      </c>
      <c r="B149" s="197" t="s">
        <v>456</v>
      </c>
      <c r="E149" s="140" t="s">
        <v>460</v>
      </c>
      <c r="F149" s="197"/>
    </row>
    <row r="150" spans="1:7" x14ac:dyDescent="0.3">
      <c r="A150" s="140" t="s">
        <v>454</v>
      </c>
      <c r="B150" s="142">
        <f>IF(B17="COBRE",VLOOKUP(B32,'Cap 9 NTC'!N44:S64,MATCH(B149,'Cap 9 NTC'!R43:S43,0)+4,FALSE),VLOOKUP(B32,'Cap 9 NTC'!N44:U64,MATCH(B149,'Cap 9 NTC'!T43:U43,0)+6,FALSE))</f>
        <v>1.02</v>
      </c>
      <c r="C150" t="s">
        <v>461</v>
      </c>
      <c r="E150" s="140" t="s">
        <v>454</v>
      </c>
      <c r="F150" s="142" t="e">
        <f>IF(B17="COBRE",VLOOKUP(B32,'Cap 9 NTC'!N44:S64,MATCH(F149,'Cap 9 NTC'!R43:S43,0)+4,FALSE),VLOOKUP(B32,'Cap 9 NTC'!N44:U64,MATCH(F149,'Cap 9 NTC'!T43:U43,0)+6,FALSE))</f>
        <v>#N/A</v>
      </c>
      <c r="G150" t="s">
        <v>461</v>
      </c>
    </row>
    <row r="151" spans="1:7" x14ac:dyDescent="0.3">
      <c r="A151" s="140" t="s">
        <v>455</v>
      </c>
      <c r="B151" s="199">
        <f>VLOOKUP(B32,'Cap 9 NTC'!N44:Q64,MATCH(B149,'Cap 9 NTC'!P43:Q43,0)+2,FALSE)</f>
        <v>0.19700000000000001</v>
      </c>
      <c r="C151" t="s">
        <v>461</v>
      </c>
      <c r="E151" s="140" t="s">
        <v>455</v>
      </c>
      <c r="F151" s="199" t="e">
        <f>VLOOKUP(B32,'Cap 9 NTC'!N44:Q64,MATCH(F149,'Cap 9 NTC'!P43:Q43,0)+2,FALSE)</f>
        <v>#N/A</v>
      </c>
      <c r="G151" t="s">
        <v>461</v>
      </c>
    </row>
    <row r="152" spans="1:7" x14ac:dyDescent="0.3">
      <c r="A152" s="140" t="s">
        <v>457</v>
      </c>
      <c r="B152" s="142">
        <f>((B150*B144)+B151*SIN(ACOS(B144)))</f>
        <v>1.02</v>
      </c>
      <c r="E152" s="140" t="s">
        <v>457</v>
      </c>
      <c r="F152" s="142" t="e">
        <f>((F150*F144)+F151*SIN(ACOS(F144)))</f>
        <v>#N/A</v>
      </c>
    </row>
    <row r="154" spans="1:7" x14ac:dyDescent="0.3">
      <c r="A154" s="140" t="s">
        <v>527</v>
      </c>
      <c r="B154" s="142">
        <f>SQRT(3)*B147*(B143/1000)*B152</f>
        <v>18.698666262255173</v>
      </c>
      <c r="E154" s="140" t="s">
        <v>527</v>
      </c>
      <c r="F154" s="142" t="e">
        <f>SQRT(3)*F147*(F143/1000)*F152</f>
        <v>#N/A</v>
      </c>
    </row>
    <row r="155" spans="1:7" x14ac:dyDescent="0.3">
      <c r="A155" s="140" t="s">
        <v>341</v>
      </c>
      <c r="B155" s="149">
        <f>B154/B146</f>
        <v>8.9897433953149877E-2</v>
      </c>
      <c r="E155" s="140" t="s">
        <v>341</v>
      </c>
      <c r="F155" s="149" t="e">
        <f>F154/F146</f>
        <v>#N/A</v>
      </c>
    </row>
    <row r="157" spans="1:7" x14ac:dyDescent="0.3">
      <c r="A157" s="147" t="str">
        <f>IF(B155&lt;3%,"OK",IF(B155&gt;=3%,"ERROR"))</f>
        <v>ERROR</v>
      </c>
      <c r="B157" s="43" t="str">
        <f>IF(B155&lt;3%,"Cumple con el articulo 27.3 c) del RETIE ",IF(B155&gt;=3%,"ERROR. Regulación de voltaje mayor al 3%. No cumple con el articulo 27.3 c) del RETIE "))</f>
        <v xml:space="preserve">ERROR. Regulación de voltaje mayor al 3%. No cumple con el articulo 27.3 c) del RETIE </v>
      </c>
      <c r="E157" s="147" t="e">
        <f>IF(F155&lt;3%,"OK",IF(F155&gt;=3%,"ERROR"))</f>
        <v>#N/A</v>
      </c>
      <c r="F157" s="43" t="e">
        <f>IF(F155&lt;3%,"Cumple con el articulo 27.3 c) del RETIE ",IF(F155&gt;=3%,"ERROR. Regulación de voltaje mayor al 3%. No cumple con el articulo 27.3 c) del RETIE "))</f>
        <v>#N/A</v>
      </c>
    </row>
    <row r="159" spans="1:7" x14ac:dyDescent="0.3">
      <c r="A159" s="43" t="s">
        <v>409</v>
      </c>
      <c r="E159" s="43" t="s">
        <v>409</v>
      </c>
    </row>
    <row r="160" spans="1:7" x14ac:dyDescent="0.3">
      <c r="A160" s="140" t="s">
        <v>405</v>
      </c>
      <c r="B160" s="142">
        <f>3*B152*($B$7^2)*(B143/1000)</f>
        <v>4372.2503999999999</v>
      </c>
      <c r="E160" s="140" t="s">
        <v>405</v>
      </c>
      <c r="F160" s="142" t="e">
        <f>3*F152*($B$7^2)*(F143/1000)</f>
        <v>#N/A</v>
      </c>
    </row>
    <row r="161" spans="1:6" x14ac:dyDescent="0.3">
      <c r="A161" s="140" t="s">
        <v>407</v>
      </c>
      <c r="B161" s="198">
        <v>5</v>
      </c>
      <c r="E161" s="140" t="s">
        <v>407</v>
      </c>
      <c r="F161" s="198"/>
    </row>
    <row r="162" spans="1:6" x14ac:dyDescent="0.3">
      <c r="A162" s="140" t="s">
        <v>408</v>
      </c>
      <c r="B162" s="142">
        <f>B161*B160*30/1000</f>
        <v>655.83756000000005</v>
      </c>
      <c r="E162" s="140" t="s">
        <v>408</v>
      </c>
      <c r="F162" s="142" t="e">
        <f>F161*F160*30/1000</f>
        <v>#N/A</v>
      </c>
    </row>
  </sheetData>
  <mergeCells count="16">
    <mergeCell ref="A100:G100"/>
    <mergeCell ref="B136:D137"/>
    <mergeCell ref="F136:G137"/>
    <mergeCell ref="A139:G139"/>
    <mergeCell ref="C45:I45"/>
    <mergeCell ref="B54:D55"/>
    <mergeCell ref="A57:G57"/>
    <mergeCell ref="A64:G64"/>
    <mergeCell ref="B97:D98"/>
    <mergeCell ref="F97:G98"/>
    <mergeCell ref="A43:G43"/>
    <mergeCell ref="A10:G10"/>
    <mergeCell ref="A14:G14"/>
    <mergeCell ref="G27:G32"/>
    <mergeCell ref="A34:G34"/>
    <mergeCell ref="B40:D41"/>
  </mergeCells>
  <conditionalFormatting sqref="A40">
    <cfRule type="containsText" dxfId="182" priority="29" operator="containsText" text="OK">
      <formula>NOT(ISERROR(SEARCH("OK",A40)))</formula>
    </cfRule>
    <cfRule type="containsText" dxfId="181" priority="30" operator="containsText" text="ERROR">
      <formula>NOT(ISERROR(SEARCH("ERROR",A40)))</formula>
    </cfRule>
    <cfRule type="containsText" dxfId="180" priority="31" operator="containsText" text="SI">
      <formula>NOT(ISERROR(SEARCH("SI",A40)))</formula>
    </cfRule>
    <cfRule type="containsText" dxfId="179" priority="32" operator="containsText" text="NO">
      <formula>NOT(ISERROR(SEARCH("NO",A40)))</formula>
    </cfRule>
  </conditionalFormatting>
  <conditionalFormatting sqref="A54">
    <cfRule type="containsText" dxfId="178" priority="37" operator="containsText" text="OK">
      <formula>NOT(ISERROR(SEARCH("OK",A54)))</formula>
    </cfRule>
    <cfRule type="containsText" dxfId="177" priority="38" operator="containsText" text="ERROR">
      <formula>NOT(ISERROR(SEARCH("ERROR",A54)))</formula>
    </cfRule>
    <cfRule type="containsText" dxfId="176" priority="39" operator="containsText" text="SI">
      <formula>NOT(ISERROR(SEARCH("SI",A54)))</formula>
    </cfRule>
    <cfRule type="containsText" dxfId="175" priority="40" operator="containsText" text="NO">
      <formula>NOT(ISERROR(SEARCH("NO",A54)))</formula>
    </cfRule>
  </conditionalFormatting>
  <conditionalFormatting sqref="A97">
    <cfRule type="containsText" dxfId="174" priority="25" operator="containsText" text="OK">
      <formula>NOT(ISERROR(SEARCH("OK",A97)))</formula>
    </cfRule>
    <cfRule type="containsText" dxfId="173" priority="26" operator="containsText" text="ERROR">
      <formula>NOT(ISERROR(SEARCH("ERROR",A97)))</formula>
    </cfRule>
    <cfRule type="containsText" dxfId="172" priority="27" operator="containsText" text="SI">
      <formula>NOT(ISERROR(SEARCH("SI",A97)))</formula>
    </cfRule>
    <cfRule type="containsText" dxfId="171" priority="28" operator="containsText" text="NO">
      <formula>NOT(ISERROR(SEARCH("NO",A97)))</formula>
    </cfRule>
  </conditionalFormatting>
  <conditionalFormatting sqref="A136">
    <cfRule type="containsText" dxfId="170" priority="17" operator="containsText" text="OK">
      <formula>NOT(ISERROR(SEARCH("OK",A136)))</formula>
    </cfRule>
    <cfRule type="containsText" dxfId="169" priority="18" operator="containsText" text="ERROR">
      <formula>NOT(ISERROR(SEARCH("ERROR",A136)))</formula>
    </cfRule>
    <cfRule type="containsText" dxfId="168" priority="19" operator="containsText" text="SI">
      <formula>NOT(ISERROR(SEARCH("SI",A136)))</formula>
    </cfRule>
    <cfRule type="containsText" dxfId="167" priority="20" operator="containsText" text="NO">
      <formula>NOT(ISERROR(SEARCH("NO",A136)))</formula>
    </cfRule>
  </conditionalFormatting>
  <conditionalFormatting sqref="A157">
    <cfRule type="containsText" dxfId="166" priority="33" operator="containsText" text="OK">
      <formula>NOT(ISERROR(SEARCH("OK",A157)))</formula>
    </cfRule>
    <cfRule type="containsText" dxfId="165" priority="34" operator="containsText" text="ERROR">
      <formula>NOT(ISERROR(SEARCH("ERROR",A157)))</formula>
    </cfRule>
    <cfRule type="containsText" dxfId="164" priority="35" operator="containsText" text="SI">
      <formula>NOT(ISERROR(SEARCH("SI",A157)))</formula>
    </cfRule>
    <cfRule type="containsText" dxfId="163" priority="36" operator="containsText" text="NO">
      <formula>NOT(ISERROR(SEARCH("NO",A157)))</formula>
    </cfRule>
  </conditionalFormatting>
  <conditionalFormatting sqref="A177">
    <cfRule type="containsText" dxfId="162" priority="9" operator="containsText" text="OK">
      <formula>NOT(ISERROR(SEARCH("OK",A177)))</formula>
    </cfRule>
    <cfRule type="containsText" dxfId="161" priority="10" operator="containsText" text="ERROR">
      <formula>NOT(ISERROR(SEARCH("ERROR",A177)))</formula>
    </cfRule>
    <cfRule type="containsText" dxfId="160" priority="11" operator="containsText" text="SI">
      <formula>NOT(ISERROR(SEARCH("SI",A177)))</formula>
    </cfRule>
    <cfRule type="containsText" dxfId="159" priority="12" operator="containsText" text="NO">
      <formula>NOT(ISERROR(SEARCH("NO",A177)))</formula>
    </cfRule>
  </conditionalFormatting>
  <conditionalFormatting sqref="B48">
    <cfRule type="containsText" dxfId="158" priority="43" operator="containsText" text="SI">
      <formula>NOT(ISERROR(SEARCH("SI",B48)))</formula>
    </cfRule>
    <cfRule type="containsText" dxfId="157" priority="44" operator="containsText" text="NO">
      <formula>NOT(ISERROR(SEARCH("NO",B48)))</formula>
    </cfRule>
  </conditionalFormatting>
  <conditionalFormatting sqref="B52">
    <cfRule type="containsText" dxfId="156" priority="41" operator="containsText" text="SI">
      <formula>NOT(ISERROR(SEARCH("SI",B52)))</formula>
    </cfRule>
    <cfRule type="containsText" dxfId="155" priority="42" operator="containsText" text="NO">
      <formula>NOT(ISERROR(SEARCH("NO",B52)))</formula>
    </cfRule>
  </conditionalFormatting>
  <conditionalFormatting sqref="E97">
    <cfRule type="containsText" dxfId="154" priority="21" operator="containsText" text="OK">
      <formula>NOT(ISERROR(SEARCH("OK",E97)))</formula>
    </cfRule>
    <cfRule type="containsText" dxfId="153" priority="22" operator="containsText" text="ERROR">
      <formula>NOT(ISERROR(SEARCH("ERROR",E97)))</formula>
    </cfRule>
    <cfRule type="containsText" dxfId="152" priority="23" operator="containsText" text="SI">
      <formula>NOT(ISERROR(SEARCH("SI",E97)))</formula>
    </cfRule>
    <cfRule type="containsText" dxfId="151" priority="24" operator="containsText" text="NO">
      <formula>NOT(ISERROR(SEARCH("NO",E97)))</formula>
    </cfRule>
  </conditionalFormatting>
  <conditionalFormatting sqref="E136">
    <cfRule type="containsText" dxfId="150" priority="13" operator="containsText" text="OK">
      <formula>NOT(ISERROR(SEARCH("OK",E136)))</formula>
    </cfRule>
    <cfRule type="containsText" dxfId="149" priority="14" operator="containsText" text="ERROR">
      <formula>NOT(ISERROR(SEARCH("ERROR",E136)))</formula>
    </cfRule>
    <cfRule type="containsText" dxfId="148" priority="15" operator="containsText" text="SI">
      <formula>NOT(ISERROR(SEARCH("SI",E136)))</formula>
    </cfRule>
    <cfRule type="containsText" dxfId="147" priority="16" operator="containsText" text="NO">
      <formula>NOT(ISERROR(SEARCH("NO",E136)))</formula>
    </cfRule>
  </conditionalFormatting>
  <conditionalFormatting sqref="E157">
    <cfRule type="containsText" dxfId="146" priority="1" operator="containsText" text="OK">
      <formula>NOT(ISERROR(SEARCH("OK",E157)))</formula>
    </cfRule>
    <cfRule type="containsText" dxfId="145" priority="2" operator="containsText" text="ERROR">
      <formula>NOT(ISERROR(SEARCH("ERROR",E157)))</formula>
    </cfRule>
    <cfRule type="containsText" dxfId="144" priority="3" operator="containsText" text="SI">
      <formula>NOT(ISERROR(SEARCH("SI",E157)))</formula>
    </cfRule>
    <cfRule type="containsText" dxfId="143" priority="4" operator="containsText" text="NO">
      <formula>NOT(ISERROR(SEARCH("NO",E157)))</formula>
    </cfRule>
  </conditionalFormatting>
  <conditionalFormatting sqref="E177">
    <cfRule type="containsText" dxfId="142" priority="5" operator="containsText" text="OK">
      <formula>NOT(ISERROR(SEARCH("OK",E177)))</formula>
    </cfRule>
    <cfRule type="containsText" dxfId="141" priority="6" operator="containsText" text="ERROR">
      <formula>NOT(ISERROR(SEARCH("ERROR",E177)))</formula>
    </cfRule>
    <cfRule type="containsText" dxfId="140" priority="7" operator="containsText" text="SI">
      <formula>NOT(ISERROR(SEARCH("SI",E177)))</formula>
    </cfRule>
    <cfRule type="containsText" dxfId="139" priority="8" operator="containsText" text="NO">
      <formula>NOT(ISERROR(SEARCH("NO",E177)))</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6192A9C6-E53C-47DF-A542-BB74FEB8476B}">
          <x14:formula1>
            <xm:f>Listas!$F$2:$F$4</xm:f>
          </x14:formula1>
          <xm:sqref>B19</xm:sqref>
        </x14:dataValidation>
        <x14:dataValidation type="list" allowBlank="1" showInputMessage="1" showErrorMessage="1" xr:uid="{4ED1A688-A768-41A1-8E4F-325C2E420ED1}">
          <x14:formula1>
            <xm:f>Listas!$C$2:$C$31</xm:f>
          </x14:formula1>
          <xm:sqref>B32 B62</xm:sqref>
        </x14:dataValidation>
        <x14:dataValidation type="list" allowBlank="1" showInputMessage="1" showErrorMessage="1" xr:uid="{DFE1BD04-7BD4-4F41-B6C0-3755261E26C5}">
          <x14:formula1>
            <xm:f>Listas!$E$2:$E$12</xm:f>
          </x14:formula1>
          <xm:sqref>B70 F70</xm:sqref>
        </x14:dataValidation>
        <x14:dataValidation type="list" allowBlank="1" showInputMessage="1" showErrorMessage="1" xr:uid="{7DF9C5B3-4368-4694-8490-69AA82BC71B1}">
          <x14:formula1>
            <xm:f>Listas!$D$2:$D$5</xm:f>
          </x14:formula1>
          <xm:sqref>B69 F69</xm:sqref>
        </x14:dataValidation>
        <x14:dataValidation type="list" allowBlank="1" showInputMessage="1" showErrorMessage="1" xr:uid="{C42F8AF5-6BB6-4213-9A07-ADE1D256E9A6}">
          <x14:formula1>
            <xm:f>Listas!$B$2:$B$5</xm:f>
          </x14:formula1>
          <xm:sqref>B45 B18</xm:sqref>
        </x14:dataValidation>
        <x14:dataValidation type="list" allowBlank="1" showInputMessage="1" showErrorMessage="1" xr:uid="{84505C1B-6D6A-439E-A061-6F4392399D8E}">
          <x14:formula1>
            <xm:f>Listas!$A$2:$A$4</xm:f>
          </x14:formula1>
          <xm:sqref>B17 B59</xm:sqref>
        </x14:dataValidation>
        <x14:dataValidation type="list" allowBlank="1" showInputMessage="1" showErrorMessage="1" xr:uid="{3CEA9E53-7B2F-4197-B2C6-A7A8150A99C2}">
          <x14:formula1>
            <xm:f>Listas!$G$2:$G$3</xm:f>
          </x14:formula1>
          <xm:sqref>B149 F149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2"/>
  <sheetViews>
    <sheetView showGridLines="0" topLeftCell="A4" zoomScale="90" zoomScaleNormal="90" workbookViewId="0">
      <selection activeCell="D11" sqref="D11"/>
    </sheetView>
  </sheetViews>
  <sheetFormatPr baseColWidth="10" defaultColWidth="11.44140625" defaultRowHeight="14.4" x14ac:dyDescent="0.3"/>
  <cols>
    <col min="1" max="1" width="38.6640625" customWidth="1"/>
    <col min="2" max="2" width="23.109375" customWidth="1"/>
    <col min="3" max="3" width="11.88671875" bestFit="1" customWidth="1"/>
    <col min="4" max="4" width="16.5546875" customWidth="1"/>
    <col min="5" max="5" width="38.88671875" customWidth="1"/>
    <col min="6" max="6" width="20.33203125" customWidth="1"/>
    <col min="7" max="7" width="34.5546875" customWidth="1"/>
    <col min="8" max="8" width="18.88671875" customWidth="1"/>
    <col min="10" max="10" width="22.33203125" customWidth="1"/>
  </cols>
  <sheetData>
    <row r="1" spans="1:8" x14ac:dyDescent="0.3">
      <c r="A1" s="43" t="s">
        <v>443</v>
      </c>
      <c r="H1" s="43" t="s">
        <v>315</v>
      </c>
    </row>
    <row r="2" spans="1:8" x14ac:dyDescent="0.3">
      <c r="A2" s="212" t="s">
        <v>298</v>
      </c>
      <c r="B2" s="212" t="s">
        <v>76</v>
      </c>
      <c r="H2" t="str">
        <f>IF(AND(B16&gt;=21,B16&lt;=25),"21-25",IF(AND(B16&gt;=26,B16&lt;=30),"26-30",IF(AND(B16&gt;=31,B16&lt;=35),"31-35",IF(AND(B16&gt;=36,B16&lt;=40),"36-40",IF(AND(B16&gt;=41,B16&lt;=45),"41-45",IF(AND(B16&gt;=46,B16&lt;=50),"46-50",IF(AND(B16&gt;=51,B16&lt;=55),"51-55",IF(AND(B16&gt;=56,B16&lt;=60),"56-60",IF(AND(B16&gt;=61,B16&lt;=70),"61-70",IF(AND(B16&gt;=71,B16&lt;=80),"71-80","ERROR"))))))))))</f>
        <v>31-35</v>
      </c>
    </row>
    <row r="3" spans="1:8" x14ac:dyDescent="0.3">
      <c r="A3" s="213" t="s">
        <v>296</v>
      </c>
      <c r="B3" s="214" t="s">
        <v>578</v>
      </c>
      <c r="H3">
        <f>IF(AND(B20&gt;=1,B20&lt;=3),1,IF(AND(B20&gt;=4,B20&lt;=6),"De 4 a 6",IF(AND(B20&gt;=7,B20&lt;=9),"De 7 a 9",IF(AND(B20&gt;=10,B20&lt;=20),"De 10 a 20",IF(AND(B20&gt;=21,B20&lt;=30),"De 21 a 30",IF(AND(B20&gt;=31,B20&lt;=40),"De 31 a 40",IF(B20&gt;=41,"De 41 y más","ERROR")))))))</f>
        <v>1</v>
      </c>
    </row>
    <row r="4" spans="1:8" x14ac:dyDescent="0.3">
      <c r="A4" s="213" t="s">
        <v>156</v>
      </c>
      <c r="B4" s="215" t="s">
        <v>580</v>
      </c>
      <c r="H4" s="193">
        <f>IF(B17="COBRE",IF(OR(B18="90 ºC",B18="120 ºC"),INDEX('Cap 3 NTC'!P8:P37,MATCH(B29,'Cap 3 NTC'!P8:P37,-1)),IF(B18="75 ºC",INDEX('Cap 3 NTC'!O8:O37,MATCH(B29,'Cap 3 NTC'!O8:O37,-1)),INDEX('Cap 3 NTC'!N8:N37,MATCH(B29,'Cap 3 NTC'!N8:N37,-1)))),IF(OR(B18="90 ºC",B18="120 ºC"),INDEX('Cap 3 NTC'!S8:S37,MATCH(B29,'Cap 3 NTC'!S8:S37,-1)),IF(B18="75 ºC",INDEX('Cap 3 NTC'!R8:R37,MATCH(B29,'Cap 3 NTC'!R8:R37,-1)),INDEX('Cap 3 NTC'!Q8:Q37,MATCH(B29,'Cap 3 NTC'!Q8:Q37,-1)))))</f>
        <v>110</v>
      </c>
    </row>
    <row r="5" spans="1:8" x14ac:dyDescent="0.3">
      <c r="A5" s="213" t="s">
        <v>444</v>
      </c>
      <c r="B5" s="214">
        <v>30</v>
      </c>
    </row>
    <row r="6" spans="1:8" x14ac:dyDescent="0.3">
      <c r="A6" s="213" t="s">
        <v>445</v>
      </c>
      <c r="B6" s="215">
        <v>208</v>
      </c>
    </row>
    <row r="7" spans="1:8" x14ac:dyDescent="0.3">
      <c r="A7" s="213" t="s">
        <v>446</v>
      </c>
      <c r="B7" s="214">
        <v>87.4</v>
      </c>
    </row>
    <row r="8" spans="1:8" x14ac:dyDescent="0.3">
      <c r="A8" s="213" t="s">
        <v>450</v>
      </c>
      <c r="B8" s="215">
        <v>3</v>
      </c>
    </row>
    <row r="10" spans="1:8" ht="15.6" x14ac:dyDescent="0.3">
      <c r="A10" s="288" t="s">
        <v>299</v>
      </c>
      <c r="B10" s="288"/>
      <c r="C10" s="288"/>
      <c r="D10" s="288"/>
      <c r="E10" s="288"/>
      <c r="F10" s="288"/>
      <c r="G10" s="288"/>
    </row>
    <row r="11" spans="1:8" ht="12" customHeight="1" x14ac:dyDescent="0.3"/>
    <row r="12" spans="1:8" x14ac:dyDescent="0.3">
      <c r="A12" s="140" t="s">
        <v>297</v>
      </c>
      <c r="B12" s="142">
        <f>B7</f>
        <v>87.4</v>
      </c>
    </row>
    <row r="14" spans="1:8" ht="15.6" x14ac:dyDescent="0.3">
      <c r="A14" s="288" t="s">
        <v>415</v>
      </c>
      <c r="B14" s="288"/>
      <c r="C14" s="288"/>
      <c r="D14" s="288"/>
      <c r="E14" s="288"/>
      <c r="F14" s="288"/>
      <c r="G14" s="288"/>
    </row>
    <row r="15" spans="1:8" ht="12" customHeight="1" x14ac:dyDescent="0.3"/>
    <row r="16" spans="1:8" x14ac:dyDescent="0.3">
      <c r="A16" s="140" t="s">
        <v>311</v>
      </c>
      <c r="B16" s="28">
        <v>32</v>
      </c>
      <c r="C16" t="s">
        <v>312</v>
      </c>
    </row>
    <row r="17" spans="1:7" x14ac:dyDescent="0.3">
      <c r="A17" s="140" t="s">
        <v>314</v>
      </c>
      <c r="B17" s="23" t="s">
        <v>202</v>
      </c>
    </row>
    <row r="18" spans="1:7" x14ac:dyDescent="0.3">
      <c r="A18" s="140" t="s">
        <v>305</v>
      </c>
      <c r="B18" s="141" t="s">
        <v>194</v>
      </c>
    </row>
    <row r="19" spans="1:7" x14ac:dyDescent="0.3">
      <c r="A19" s="140" t="s">
        <v>414</v>
      </c>
      <c r="B19" s="141" t="s">
        <v>411</v>
      </c>
      <c r="C19" t="s">
        <v>429</v>
      </c>
    </row>
    <row r="20" spans="1:7" ht="28.8" x14ac:dyDescent="0.3">
      <c r="A20" s="140" t="s">
        <v>308</v>
      </c>
      <c r="B20" s="28">
        <v>3</v>
      </c>
      <c r="C20" t="s">
        <v>449</v>
      </c>
    </row>
    <row r="22" spans="1:7" x14ac:dyDescent="0.3">
      <c r="A22" s="43" t="s">
        <v>370</v>
      </c>
    </row>
    <row r="23" spans="1:7" x14ac:dyDescent="0.3">
      <c r="A23" s="140" t="s">
        <v>317</v>
      </c>
      <c r="B23" s="142">
        <f>1.25*B12</f>
        <v>109.25</v>
      </c>
      <c r="C23" t="s">
        <v>300</v>
      </c>
      <c r="G23" s="43"/>
    </row>
    <row r="25" spans="1:7" x14ac:dyDescent="0.3">
      <c r="A25" s="140" t="s">
        <v>157</v>
      </c>
      <c r="B25" s="142">
        <f>IF(B17="COBRE",VLOOKUP(H2,'Cap 3 NTC'!A41:D50,MATCH(B18,'Cap 3 NTC'!A4:D4,0),FALSE),VLOOKUP(H2,'Cap 3 NTC'!A41:G50,MATCH(B18,'Cap 3 NTC'!E4:G4,0)+4,FALSE))</f>
        <v>0.96</v>
      </c>
      <c r="C25" t="s">
        <v>309</v>
      </c>
      <c r="F25" t="s">
        <v>342</v>
      </c>
    </row>
    <row r="26" spans="1:7" x14ac:dyDescent="0.3">
      <c r="A26" s="140" t="s">
        <v>158</v>
      </c>
      <c r="B26" s="142">
        <f>IF(B19="BANDEJA PORTACABLES",1,IF(AND(B20&gt;=1,B20&lt;=3),1,VLOOKUP(H3,'Cap 3 NTC'!J41:K46,2,FALSE)))</f>
        <v>1</v>
      </c>
      <c r="C26" t="s">
        <v>310</v>
      </c>
      <c r="F26" s="44" t="s">
        <v>421</v>
      </c>
    </row>
    <row r="27" spans="1:7" x14ac:dyDescent="0.3">
      <c r="A27" s="140" t="s">
        <v>316</v>
      </c>
      <c r="B27" s="142">
        <f>B12/(B25*B26)</f>
        <v>91.041666666666671</v>
      </c>
      <c r="C27" t="s">
        <v>301</v>
      </c>
      <c r="G27" s="292" t="s">
        <v>416</v>
      </c>
    </row>
    <row r="28" spans="1:7" x14ac:dyDescent="0.3">
      <c r="G28" s="292"/>
    </row>
    <row r="29" spans="1:7" x14ac:dyDescent="0.3">
      <c r="A29" s="143" t="s">
        <v>389</v>
      </c>
      <c r="B29" s="142">
        <f>IF(B27&gt;=B23,B27,B23)</f>
        <v>109.25</v>
      </c>
      <c r="E29" s="45"/>
      <c r="G29" s="292"/>
    </row>
    <row r="30" spans="1:7" x14ac:dyDescent="0.3">
      <c r="A30" s="143" t="s">
        <v>318</v>
      </c>
      <c r="B30" s="196">
        <f>IF(B17="COBRE",IF(OR(B18="90 ºC",B18="120 ºC"),VLOOKUP(H4,'Cap 3 NTC'!P8:U37,6,FALSE),IF(B18="75 ºC",VLOOKUP(H4,'Cap 3 NTC'!O8:U37,7,FALSE),IF(B18="60 ºC",VLOOKUP(H4,'Cap 3 NTC'!N8:U37,8,FALSE)))),IF(OR(B18="90 ºC",B18="120 ºC"),VLOOKUP(H4,'Cap 3 NTC'!S8:U37,3,FALSE),IF(B18="75 ºC",VLOOKUP(H4,'Cap 3 NTC'!R8:U37,4,FALSE),IF(B18="60 ºC",VLOOKUP(H4,'Cap 3 NTC'!Q8:U37,5,FALSE)))))</f>
        <v>3</v>
      </c>
      <c r="C30" s="144"/>
      <c r="G30" s="292"/>
    </row>
    <row r="31" spans="1:7" x14ac:dyDescent="0.3">
      <c r="G31" s="292"/>
    </row>
    <row r="32" spans="1:7" x14ac:dyDescent="0.3">
      <c r="A32" s="143" t="s">
        <v>319</v>
      </c>
      <c r="B32" s="146" t="s">
        <v>61</v>
      </c>
      <c r="C32" t="s">
        <v>371</v>
      </c>
      <c r="G32" s="292"/>
    </row>
    <row r="34" spans="1:9" ht="15.6" x14ac:dyDescent="0.3">
      <c r="A34" s="288" t="s">
        <v>422</v>
      </c>
      <c r="B34" s="288"/>
      <c r="C34" s="288"/>
      <c r="D34" s="288"/>
      <c r="E34" s="288"/>
      <c r="F34" s="288"/>
      <c r="G34" s="288"/>
    </row>
    <row r="35" spans="1:9" ht="12" customHeight="1" x14ac:dyDescent="0.3"/>
    <row r="36" spans="1:9" x14ac:dyDescent="0.3">
      <c r="A36" s="140" t="s">
        <v>328</v>
      </c>
      <c r="B36" s="142">
        <f>1.25*B12</f>
        <v>109.25</v>
      </c>
      <c r="C36" t="s">
        <v>330</v>
      </c>
    </row>
    <row r="38" spans="1:9" ht="28.8" x14ac:dyDescent="0.3">
      <c r="A38" s="140" t="s">
        <v>329</v>
      </c>
      <c r="B38" s="141">
        <v>100</v>
      </c>
      <c r="C38" t="s">
        <v>332</v>
      </c>
    </row>
    <row r="40" spans="1:9" x14ac:dyDescent="0.3">
      <c r="A40" s="147" t="str">
        <f>IF(B38&gt;=B36,"OK","ERROR")</f>
        <v>ERROR</v>
      </c>
      <c r="B40" s="289" t="str">
        <f>IF(A40="OK","Protección seleccionada es mayor a la corriente minima de OCPD",IF(A40="ERROR","La protección seleccionada debe ser mayor a la corriente minima de OCPD"))</f>
        <v>La protección seleccionada debe ser mayor a la corriente minima de OCPD</v>
      </c>
      <c r="C40" s="289"/>
      <c r="D40" s="289"/>
      <c r="F40" s="44" t="s">
        <v>366</v>
      </c>
    </row>
    <row r="41" spans="1:9" x14ac:dyDescent="0.3">
      <c r="B41" s="289"/>
      <c r="C41" s="289"/>
      <c r="D41" s="289"/>
    </row>
    <row r="42" spans="1:9" ht="12" customHeight="1" x14ac:dyDescent="0.3"/>
    <row r="43" spans="1:9" ht="15.6" x14ac:dyDescent="0.3">
      <c r="A43" s="288" t="s">
        <v>336</v>
      </c>
      <c r="B43" s="288"/>
      <c r="C43" s="288"/>
      <c r="D43" s="288"/>
      <c r="E43" s="288"/>
      <c r="F43" s="288"/>
      <c r="G43" s="288"/>
    </row>
    <row r="44" spans="1:9" ht="12" customHeight="1" x14ac:dyDescent="0.3"/>
    <row r="45" spans="1:9" ht="28.8" x14ac:dyDescent="0.3">
      <c r="A45" s="140" t="s">
        <v>331</v>
      </c>
      <c r="B45" s="141" t="s">
        <v>193</v>
      </c>
      <c r="C45" s="290" t="s">
        <v>335</v>
      </c>
      <c r="D45" s="291"/>
      <c r="E45" s="291"/>
      <c r="F45" s="291"/>
      <c r="G45" s="291"/>
      <c r="H45" s="291"/>
      <c r="I45" s="291"/>
    </row>
    <row r="47" spans="1:9" ht="28.8" x14ac:dyDescent="0.3">
      <c r="A47" s="140" t="str">
        <f>CONCATENATE("Ampacidad del cable seleccionado @", B45, " [A]")</f>
        <v>Ampacidad del cable seleccionado @75 ºC [A]</v>
      </c>
      <c r="B47" s="145">
        <f>IF(B17="COBRE",IF(OR(B45="90 ºC",B45="120 ºC"),VLOOKUP(B32,'Cap 3 NTC'!M8:P37,4,FALSE),IF(B45="75 ºC",VLOOKUP(B32,'Cap 3 NTC'!M8:O37,3,FALSE),IF(B45="60 ºC",VLOOKUP(B32,'Cap 3 NTC'!M8:N37,2,FALSE)))),IF(OR(B45="90 ºC",B45="120 ºC"),VLOOKUP(B32,'Cap 3 NTC'!M8:S37,7,FALSE),IF(B45="75 ºC",VLOOKUP(B32,'Cap 3 NTC'!M8:R37,6,FALSE),IF(B45="60 ºC",VLOOKUP(B32,'Cap 3 NTC'!M8:Q37,5,FALSE)))))</f>
        <v>115</v>
      </c>
    </row>
    <row r="48" spans="1:9" x14ac:dyDescent="0.3">
      <c r="A48" s="140" t="s">
        <v>159</v>
      </c>
      <c r="B48" s="147" t="str">
        <f>IF(B47&gt;=B38,"SI","NO")</f>
        <v>SI</v>
      </c>
      <c r="C48" t="s">
        <v>333</v>
      </c>
    </row>
    <row r="50" spans="1:7" ht="28.8" x14ac:dyDescent="0.3">
      <c r="A50" s="140" t="str">
        <f>CONCATENATE("Ampacidad del cable seleccionado temperatura nominal @", B18, " [A]")</f>
        <v>Ampacidad del cable seleccionado temperatura nominal @90 ºC [A]</v>
      </c>
      <c r="B50" s="145">
        <f>IF(B17="COBRE",IF(OR(B18="90 ºC",B18="120 ºC"),VLOOKUP(B32,'Cap 3 NTC'!M8:P37,4,FALSE),IF(B18="75 ºC",VLOOKUP(B32,'Cap 3 NTC'!M8:O37,3,FALSE),IF(B18="60 ºC",VLOOKUP(B32,'Cap 3 NTC'!M8:N37,2,FALSE)))),IF(OR(B18="90 ºC",B18="120 ºC"),VLOOKUP(B32,'Cap 3 NTC'!M8:S37,7,FALSE),IF(B18="75 ºC",VLOOKUP(B32,'Cap 3 NTC'!M8:R37,6,FALSE),IF(B18="60 ºC",VLOOKUP(B32,'Cap 3 NTC'!M8:Q37,5,FALSE)))))</f>
        <v>130</v>
      </c>
      <c r="D50">
        <f>260*60%</f>
        <v>156</v>
      </c>
    </row>
    <row r="51" spans="1:7" ht="28.8" x14ac:dyDescent="0.3">
      <c r="A51" s="140" t="s">
        <v>334</v>
      </c>
      <c r="B51" s="142">
        <f>B50*B26*B25</f>
        <v>124.8</v>
      </c>
      <c r="F51" s="43"/>
    </row>
    <row r="52" spans="1:7" x14ac:dyDescent="0.3">
      <c r="A52" s="140" t="s">
        <v>159</v>
      </c>
      <c r="B52" s="147" t="str">
        <f>IF(B51&gt;=B38,"SI","NO")</f>
        <v>SI</v>
      </c>
    </row>
    <row r="54" spans="1:7" x14ac:dyDescent="0.3">
      <c r="A54" s="147" t="str">
        <f>IF(AND(B52="SI",B48="SI"), "OK",IF(OR(B52="NO",B48="NO"),"ERROR"))</f>
        <v>OK</v>
      </c>
      <c r="B54" s="289" t="str">
        <f>IF(AND(B52="SI",B48="SI"), "La protección contra sobrecorrientes seleccionada funciona correctamente con el cable seleccionado",IF(OR(B52="NO",B48="NO"),"Realice un nuevo cálculo del cableado a utilizar o de la protección contra sobrecorrientes a utilizar"))</f>
        <v>La protección contra sobrecorrientes seleccionada funciona correctamente con el cable seleccionado</v>
      </c>
      <c r="C54" s="289"/>
      <c r="D54" s="289"/>
    </row>
    <row r="55" spans="1:7" x14ac:dyDescent="0.3">
      <c r="B55" s="289"/>
      <c r="C55" s="289"/>
      <c r="D55" s="289"/>
      <c r="E55" s="43"/>
    </row>
    <row r="56" spans="1:7" ht="12" customHeight="1" x14ac:dyDescent="0.3"/>
    <row r="57" spans="1:7" ht="15.6" x14ac:dyDescent="0.3">
      <c r="A57" s="288" t="s">
        <v>438</v>
      </c>
      <c r="B57" s="288"/>
      <c r="C57" s="288"/>
      <c r="D57" s="288"/>
      <c r="E57" s="288"/>
      <c r="F57" s="288"/>
      <c r="G57" s="288"/>
    </row>
    <row r="58" spans="1:7" ht="12" customHeight="1" x14ac:dyDescent="0.3"/>
    <row r="59" spans="1:7" x14ac:dyDescent="0.3">
      <c r="A59" s="140" t="s">
        <v>419</v>
      </c>
      <c r="B59" s="23" t="s">
        <v>202</v>
      </c>
    </row>
    <row r="60" spans="1:7" x14ac:dyDescent="0.3">
      <c r="A60" s="143" t="s">
        <v>380</v>
      </c>
      <c r="B60" s="196">
        <f>VLOOKUP(INDEX('Cap 2 NTC'!A36:A47,MATCH(B38,'Cap 2 NTC'!A36:A47,-1)),'Cap 2 NTC'!A36:C47,MATCH('INV2_TABLERO FV'!B59,'Cap 2 NTC'!B34:C34,0)+1,FALSE)</f>
        <v>8</v>
      </c>
      <c r="C60" t="s">
        <v>378</v>
      </c>
    </row>
    <row r="62" spans="1:7" ht="28.8" x14ac:dyDescent="0.3">
      <c r="A62" s="143" t="s">
        <v>420</v>
      </c>
      <c r="B62" s="146" t="s">
        <v>58</v>
      </c>
      <c r="C62" t="s">
        <v>371</v>
      </c>
    </row>
    <row r="64" spans="1:7" ht="15.6" x14ac:dyDescent="0.3">
      <c r="A64" s="288" t="s">
        <v>439</v>
      </c>
      <c r="B64" s="288"/>
      <c r="C64" s="288"/>
      <c r="D64" s="288"/>
      <c r="E64" s="288"/>
      <c r="F64" s="288"/>
      <c r="G64" s="288"/>
    </row>
    <row r="65" spans="1:7" ht="12" customHeight="1" x14ac:dyDescent="0.3"/>
    <row r="66" spans="1:7" x14ac:dyDescent="0.3">
      <c r="A66" s="43" t="s">
        <v>390</v>
      </c>
      <c r="E66" s="43" t="s">
        <v>391</v>
      </c>
    </row>
    <row r="67" spans="1:7" x14ac:dyDescent="0.3">
      <c r="A67" s="140" t="s">
        <v>423</v>
      </c>
      <c r="B67" s="141" t="s">
        <v>525</v>
      </c>
      <c r="E67" s="140" t="s">
        <v>423</v>
      </c>
      <c r="F67" s="141"/>
    </row>
    <row r="68" spans="1:7" x14ac:dyDescent="0.3">
      <c r="A68" s="43" t="s">
        <v>375</v>
      </c>
      <c r="E68" s="43" t="s">
        <v>375</v>
      </c>
    </row>
    <row r="69" spans="1:7" x14ac:dyDescent="0.3">
      <c r="A69" s="140" t="s">
        <v>346</v>
      </c>
      <c r="B69" s="141" t="s">
        <v>348</v>
      </c>
      <c r="E69" s="140" t="s">
        <v>346</v>
      </c>
      <c r="F69" s="141"/>
    </row>
    <row r="70" spans="1:7" x14ac:dyDescent="0.3">
      <c r="A70" s="140" t="s">
        <v>360</v>
      </c>
      <c r="B70" s="141" t="s">
        <v>151</v>
      </c>
      <c r="E70" s="140" t="s">
        <v>360</v>
      </c>
      <c r="F70" s="141"/>
    </row>
    <row r="72" spans="1:7" x14ac:dyDescent="0.3">
      <c r="A72" s="140" t="s">
        <v>361</v>
      </c>
      <c r="B72" s="142">
        <f>PI()*(VLOOKUP(B70,Tuberia!A4:E14,MATCH('INV2_TABLERO FV'!B69,Tuberia!A2:E2,0),FALSE)/2)^2</f>
        <v>3779.2073005090911</v>
      </c>
      <c r="E72" s="140" t="s">
        <v>361</v>
      </c>
      <c r="F72" s="142" t="e">
        <f>PI()*(VLOOKUP(F70,Tuberia!A4:E14,MATCH('INV2_TABLERO FV'!F69,Tuberia!A2:E2,0),FALSE)/2)^2</f>
        <v>#N/A</v>
      </c>
    </row>
    <row r="74" spans="1:7" x14ac:dyDescent="0.3">
      <c r="A74" s="43" t="s">
        <v>376</v>
      </c>
      <c r="E74" s="43" t="s">
        <v>376</v>
      </c>
    </row>
    <row r="75" spans="1:7" x14ac:dyDescent="0.3">
      <c r="A75" s="140" t="s">
        <v>430</v>
      </c>
      <c r="B75" s="141" t="s">
        <v>549</v>
      </c>
      <c r="C75" t="s">
        <v>365</v>
      </c>
      <c r="E75" s="140" t="s">
        <v>430</v>
      </c>
      <c r="F75" s="141"/>
      <c r="G75" t="s">
        <v>365</v>
      </c>
    </row>
    <row r="76" spans="1:7" x14ac:dyDescent="0.3">
      <c r="A76" s="140" t="s">
        <v>432</v>
      </c>
      <c r="B76" s="141">
        <v>8</v>
      </c>
      <c r="E76" s="140" t="s">
        <v>432</v>
      </c>
      <c r="F76" s="141"/>
    </row>
    <row r="77" spans="1:7" x14ac:dyDescent="0.3">
      <c r="A77" s="140" t="s">
        <v>362</v>
      </c>
      <c r="B77" s="141">
        <v>12.03</v>
      </c>
      <c r="C77" t="s">
        <v>367</v>
      </c>
      <c r="E77" s="140" t="s">
        <v>362</v>
      </c>
      <c r="F77" s="141"/>
      <c r="G77" t="s">
        <v>367</v>
      </c>
    </row>
    <row r="78" spans="1:7" x14ac:dyDescent="0.3">
      <c r="A78" s="140" t="s">
        <v>516</v>
      </c>
      <c r="B78" s="142">
        <f>(PI()*((B77)/2)^2)*B76</f>
        <v>909.30823252180596</v>
      </c>
      <c r="E78" s="140" t="s">
        <v>516</v>
      </c>
      <c r="F78" s="142">
        <f>(PI()*((F77)/2)^2)*F76</f>
        <v>0</v>
      </c>
    </row>
    <row r="79" spans="1:7" x14ac:dyDescent="0.3">
      <c r="B79" s="45">
        <f>(PI()*((B77)/2)^2)</f>
        <v>113.66352906522575</v>
      </c>
    </row>
    <row r="80" spans="1:7" x14ac:dyDescent="0.3">
      <c r="A80" s="140" t="s">
        <v>431</v>
      </c>
      <c r="B80" s="141"/>
      <c r="C80" t="s">
        <v>365</v>
      </c>
      <c r="E80" s="140" t="s">
        <v>431</v>
      </c>
      <c r="F80" s="141"/>
      <c r="G80" t="s">
        <v>365</v>
      </c>
    </row>
    <row r="81" spans="1:7" x14ac:dyDescent="0.3">
      <c r="A81" s="140" t="s">
        <v>433</v>
      </c>
      <c r="B81" s="141"/>
      <c r="E81" s="140" t="s">
        <v>433</v>
      </c>
      <c r="F81" s="141"/>
    </row>
    <row r="82" spans="1:7" x14ac:dyDescent="0.3">
      <c r="A82" s="140" t="s">
        <v>362</v>
      </c>
      <c r="B82" s="141"/>
      <c r="C82" t="s">
        <v>367</v>
      </c>
      <c r="E82" s="140" t="s">
        <v>362</v>
      </c>
      <c r="F82" s="141"/>
      <c r="G82" t="s">
        <v>367</v>
      </c>
    </row>
    <row r="83" spans="1:7" x14ac:dyDescent="0.3">
      <c r="A83" s="140" t="s">
        <v>515</v>
      </c>
      <c r="B83" s="142">
        <f>(PI()*((B82)/2)^2)*B81</f>
        <v>0</v>
      </c>
      <c r="E83" s="140" t="s">
        <v>515</v>
      </c>
      <c r="F83" s="142">
        <f>(PI()*((F82)/2)^2)*F81</f>
        <v>0</v>
      </c>
    </row>
    <row r="84" spans="1:7" ht="28.8" x14ac:dyDescent="0.3">
      <c r="A84" s="140" t="s">
        <v>368</v>
      </c>
      <c r="B84" s="142">
        <f>B83+B78</f>
        <v>909.30823252180596</v>
      </c>
      <c r="E84" s="140" t="s">
        <v>368</v>
      </c>
      <c r="F84" s="142">
        <f>F83+F78</f>
        <v>0</v>
      </c>
    </row>
    <row r="86" spans="1:7" x14ac:dyDescent="0.3">
      <c r="A86" s="43" t="s">
        <v>417</v>
      </c>
      <c r="E86" s="43" t="s">
        <v>417</v>
      </c>
    </row>
    <row r="87" spans="1:7" x14ac:dyDescent="0.3">
      <c r="A87" s="140" t="s">
        <v>364</v>
      </c>
      <c r="B87" s="141" t="s">
        <v>550</v>
      </c>
      <c r="C87" t="s">
        <v>365</v>
      </c>
      <c r="E87" s="140" t="s">
        <v>364</v>
      </c>
      <c r="F87" s="141"/>
      <c r="G87" t="s">
        <v>365</v>
      </c>
    </row>
    <row r="88" spans="1:7" x14ac:dyDescent="0.3">
      <c r="A88" s="140" t="s">
        <v>363</v>
      </c>
      <c r="B88" s="141">
        <v>2</v>
      </c>
      <c r="E88" s="140" t="s">
        <v>363</v>
      </c>
      <c r="F88" s="141"/>
    </row>
    <row r="89" spans="1:7" x14ac:dyDescent="0.3">
      <c r="A89" s="140" t="s">
        <v>362</v>
      </c>
      <c r="B89" s="141">
        <v>6.39</v>
      </c>
      <c r="C89" t="s">
        <v>367</v>
      </c>
      <c r="E89" s="140" t="s">
        <v>362</v>
      </c>
      <c r="F89" s="141"/>
      <c r="G89" t="s">
        <v>367</v>
      </c>
    </row>
    <row r="90" spans="1:7" ht="15.75" customHeight="1" x14ac:dyDescent="0.3">
      <c r="A90" s="140" t="s">
        <v>418</v>
      </c>
      <c r="B90" s="142">
        <f>(PI()*(B89/2)^2)*B88</f>
        <v>64.138912695321892</v>
      </c>
      <c r="E90" s="140" t="s">
        <v>418</v>
      </c>
      <c r="F90" s="142">
        <f>(PI()*(F89/2)^2)*F88</f>
        <v>0</v>
      </c>
    </row>
    <row r="92" spans="1:7" x14ac:dyDescent="0.3">
      <c r="A92" s="140" t="s">
        <v>372</v>
      </c>
      <c r="B92" s="142">
        <f>SUM(B84,B90)</f>
        <v>973.44714521712785</v>
      </c>
      <c r="E92" s="140" t="s">
        <v>372</v>
      </c>
      <c r="F92" s="142">
        <f>SUM(F84,F90)</f>
        <v>0</v>
      </c>
    </row>
    <row r="94" spans="1:7" x14ac:dyDescent="0.3">
      <c r="A94" s="140" t="s">
        <v>160</v>
      </c>
      <c r="B94" s="149">
        <f>(B92/B72)</f>
        <v>0.25757971654161343</v>
      </c>
      <c r="E94" s="140" t="s">
        <v>160</v>
      </c>
      <c r="F94" s="149" t="e">
        <f>(F92/F72)</f>
        <v>#N/A</v>
      </c>
    </row>
    <row r="95" spans="1:7" x14ac:dyDescent="0.3">
      <c r="A95" s="140" t="s">
        <v>373</v>
      </c>
      <c r="B95" s="149">
        <f>IF(SUM(B88,B76)=1,'Cap 9 NTC'!C5,IF(SUM(B88,B76)=1,'Cap 9 NTC'!D5,IF(SUM(B88,B76)&gt;2,'Cap 9 NTC'!E5,"Error, número de conductores no puede ser negativo")))</f>
        <v>0.4</v>
      </c>
      <c r="C95" t="s">
        <v>374</v>
      </c>
      <c r="E95" s="140" t="s">
        <v>373</v>
      </c>
      <c r="F95" s="149">
        <f>IF(SUM(F88,F76)=1,'Cap 9 NTC'!C5,IF(SUM(B88,B76)=1,'Cap 9 NTC'!D5,IF(SUM(B88,B76)&gt;2,'Cap 9 NTC'!E5,"Error, número de conductores no puede ser negativo")))</f>
        <v>0.4</v>
      </c>
      <c r="G95" t="s">
        <v>374</v>
      </c>
    </row>
    <row r="97" spans="1:7" x14ac:dyDescent="0.3">
      <c r="A97" s="147" t="str">
        <f>IF(B94&lt;=B95,"OK",IF(B94&gt;B95,"ERROR"))</f>
        <v>OK</v>
      </c>
      <c r="B97" s="289" t="str">
        <f>IF(B94&lt;=B95,"La tuberia seleccionada cumple con los porcentajes de la tabla 1 del capitulo 9 de la NTC 2050",IF(B94&gt;B95,"La tuberia seleccionada NO cumple con los porcentajes de la tabla 1 del capitulo 9 de la NTC 2050"))</f>
        <v>La tuberia seleccionada cumple con los porcentajes de la tabla 1 del capitulo 9 de la NTC 2050</v>
      </c>
      <c r="C97" s="289"/>
      <c r="D97" s="289"/>
      <c r="E97" s="147" t="e">
        <f>IF(F94&lt;=F95,"OK",IF(F94&gt;F95,"ERROR"))</f>
        <v>#N/A</v>
      </c>
      <c r="F97" s="289" t="e">
        <f>IF(F94&lt;=F95,"La tuberia seleccionada cumple con los porcentajes de la tabla 1 del capitulo 9 de la NTC 2050",IF(F94&gt;F95,"La tuberia seleccionada NO cumple con los porcentajes de la tabla 1 del capitulo 9 de la NTC 2050"))</f>
        <v>#N/A</v>
      </c>
      <c r="G97" s="289"/>
    </row>
    <row r="98" spans="1:7" x14ac:dyDescent="0.3">
      <c r="B98" s="289"/>
      <c r="C98" s="289"/>
      <c r="D98" s="289"/>
      <c r="F98" s="289"/>
      <c r="G98" s="289"/>
    </row>
    <row r="99" spans="1:7" ht="12" customHeight="1" x14ac:dyDescent="0.3"/>
    <row r="100" spans="1:7" ht="15.6" x14ac:dyDescent="0.3">
      <c r="A100" s="288" t="s">
        <v>440</v>
      </c>
      <c r="B100" s="288"/>
      <c r="C100" s="288"/>
      <c r="D100" s="288"/>
      <c r="E100" s="288"/>
      <c r="F100" s="288"/>
      <c r="G100" s="288"/>
    </row>
    <row r="101" spans="1:7" ht="12" customHeight="1" x14ac:dyDescent="0.3"/>
    <row r="102" spans="1:7" x14ac:dyDescent="0.3">
      <c r="A102" s="43" t="s">
        <v>397</v>
      </c>
      <c r="E102" s="43" t="s">
        <v>398</v>
      </c>
    </row>
    <row r="103" spans="1:7" x14ac:dyDescent="0.3">
      <c r="A103" s="43" t="s">
        <v>343</v>
      </c>
      <c r="E103" s="43" t="s">
        <v>343</v>
      </c>
    </row>
    <row r="104" spans="1:7" x14ac:dyDescent="0.3">
      <c r="A104" s="140" t="s">
        <v>388</v>
      </c>
      <c r="B104" s="141" t="s">
        <v>395</v>
      </c>
      <c r="E104" s="140" t="s">
        <v>388</v>
      </c>
      <c r="F104" s="141"/>
    </row>
    <row r="105" spans="1:7" x14ac:dyDescent="0.3">
      <c r="A105" s="140" t="s">
        <v>392</v>
      </c>
      <c r="B105" s="141">
        <v>80</v>
      </c>
      <c r="E105" s="140" t="s">
        <v>392</v>
      </c>
      <c r="F105" s="141"/>
    </row>
    <row r="106" spans="1:7" x14ac:dyDescent="0.3">
      <c r="A106" s="140" t="s">
        <v>393</v>
      </c>
      <c r="B106" s="141">
        <v>200</v>
      </c>
      <c r="E106" s="140" t="s">
        <v>393</v>
      </c>
      <c r="F106" s="141"/>
    </row>
    <row r="107" spans="1:7" x14ac:dyDescent="0.3">
      <c r="A107" s="140" t="s">
        <v>394</v>
      </c>
      <c r="B107" s="141">
        <v>150</v>
      </c>
      <c r="C107" t="s">
        <v>345</v>
      </c>
      <c r="E107" s="140" t="s">
        <v>394</v>
      </c>
      <c r="F107" s="141"/>
      <c r="G107" t="s">
        <v>345</v>
      </c>
    </row>
    <row r="108" spans="1:7" x14ac:dyDescent="0.3">
      <c r="A108" s="140" t="s">
        <v>396</v>
      </c>
      <c r="B108" s="142">
        <f>B106*B105</f>
        <v>16000</v>
      </c>
      <c r="E108" s="140" t="s">
        <v>396</v>
      </c>
      <c r="F108" s="142">
        <f>F106*F105</f>
        <v>0</v>
      </c>
    </row>
    <row r="110" spans="1:7" x14ac:dyDescent="0.3">
      <c r="A110" s="43" t="s">
        <v>376</v>
      </c>
      <c r="E110" s="43" t="s">
        <v>376</v>
      </c>
    </row>
    <row r="111" spans="1:7" x14ac:dyDescent="0.3">
      <c r="A111" s="140" t="s">
        <v>430</v>
      </c>
      <c r="B111" s="141" t="s">
        <v>549</v>
      </c>
      <c r="C111" t="s">
        <v>365</v>
      </c>
      <c r="E111" s="140" t="s">
        <v>364</v>
      </c>
      <c r="F111" s="141"/>
      <c r="G111" t="s">
        <v>365</v>
      </c>
    </row>
    <row r="112" spans="1:7" x14ac:dyDescent="0.3">
      <c r="A112" s="140" t="s">
        <v>432</v>
      </c>
      <c r="B112" s="141">
        <v>8</v>
      </c>
      <c r="E112" s="140" t="s">
        <v>363</v>
      </c>
      <c r="F112" s="141"/>
    </row>
    <row r="113" spans="1:7" x14ac:dyDescent="0.3">
      <c r="A113" s="140" t="s">
        <v>362</v>
      </c>
      <c r="B113" s="141">
        <v>12.03</v>
      </c>
      <c r="C113" t="s">
        <v>367</v>
      </c>
      <c r="E113" s="140" t="s">
        <v>362</v>
      </c>
      <c r="F113" s="141"/>
      <c r="G113" t="s">
        <v>367</v>
      </c>
    </row>
    <row r="114" spans="1:7" x14ac:dyDescent="0.3">
      <c r="A114" s="140" t="s">
        <v>516</v>
      </c>
      <c r="B114" s="142">
        <f>(PI()*((B113)/2)^2)*B112</f>
        <v>909.30823252180596</v>
      </c>
      <c r="E114" s="140" t="s">
        <v>516</v>
      </c>
      <c r="F114" s="142">
        <f>(PI()*((F113)/2)^2)*F112</f>
        <v>0</v>
      </c>
    </row>
    <row r="116" spans="1:7" x14ac:dyDescent="0.3">
      <c r="A116" s="140" t="s">
        <v>431</v>
      </c>
      <c r="B116" s="141"/>
      <c r="C116" t="s">
        <v>365</v>
      </c>
      <c r="E116" s="140" t="s">
        <v>364</v>
      </c>
      <c r="F116" s="141"/>
      <c r="G116" t="s">
        <v>365</v>
      </c>
    </row>
    <row r="117" spans="1:7" x14ac:dyDescent="0.3">
      <c r="A117" s="140" t="s">
        <v>433</v>
      </c>
      <c r="B117" s="141"/>
      <c r="E117" s="140" t="s">
        <v>363</v>
      </c>
      <c r="F117" s="141"/>
    </row>
    <row r="118" spans="1:7" x14ac:dyDescent="0.3">
      <c r="A118" s="140" t="s">
        <v>362</v>
      </c>
      <c r="B118" s="141"/>
      <c r="C118" t="s">
        <v>367</v>
      </c>
      <c r="E118" s="140" t="s">
        <v>362</v>
      </c>
      <c r="F118" s="141"/>
      <c r="G118" t="s">
        <v>367</v>
      </c>
    </row>
    <row r="119" spans="1:7" x14ac:dyDescent="0.3">
      <c r="A119" s="140" t="s">
        <v>515</v>
      </c>
      <c r="B119" s="142">
        <f>(PI()*((B118)/2)^2)*B117</f>
        <v>0</v>
      </c>
      <c r="E119" s="140" t="s">
        <v>515</v>
      </c>
      <c r="F119" s="142">
        <f>(PI()*((F118)/2)^2)*F117</f>
        <v>0</v>
      </c>
    </row>
    <row r="120" spans="1:7" ht="28.8" x14ac:dyDescent="0.3">
      <c r="A120" s="140" t="s">
        <v>368</v>
      </c>
      <c r="B120" s="142">
        <f>B119+B114</f>
        <v>909.30823252180596</v>
      </c>
      <c r="E120" s="140" t="s">
        <v>368</v>
      </c>
      <c r="F120" s="142">
        <f>F119+F114</f>
        <v>0</v>
      </c>
    </row>
    <row r="122" spans="1:7" x14ac:dyDescent="0.3">
      <c r="A122" s="43" t="s">
        <v>377</v>
      </c>
      <c r="E122" s="43" t="s">
        <v>377</v>
      </c>
    </row>
    <row r="123" spans="1:7" x14ac:dyDescent="0.3">
      <c r="A123" s="140" t="s">
        <v>364</v>
      </c>
      <c r="B123" s="141" t="s">
        <v>550</v>
      </c>
      <c r="C123" t="s">
        <v>365</v>
      </c>
      <c r="E123" s="140" t="s">
        <v>364</v>
      </c>
      <c r="F123" s="141"/>
      <c r="G123" t="s">
        <v>365</v>
      </c>
    </row>
    <row r="124" spans="1:7" x14ac:dyDescent="0.3">
      <c r="A124" s="140" t="s">
        <v>363</v>
      </c>
      <c r="B124" s="141">
        <v>2</v>
      </c>
      <c r="E124" s="140" t="s">
        <v>363</v>
      </c>
      <c r="F124" s="141"/>
    </row>
    <row r="125" spans="1:7" x14ac:dyDescent="0.3">
      <c r="A125" s="140" t="s">
        <v>362</v>
      </c>
      <c r="B125" s="141">
        <v>6.39</v>
      </c>
      <c r="C125" t="s">
        <v>367</v>
      </c>
      <c r="E125" s="140" t="s">
        <v>362</v>
      </c>
      <c r="F125" s="141"/>
      <c r="G125" t="s">
        <v>367</v>
      </c>
    </row>
    <row r="126" spans="1:7" x14ac:dyDescent="0.3">
      <c r="A126" s="140" t="s">
        <v>369</v>
      </c>
      <c r="B126" s="142">
        <f>(PI()*(B125/2)^2)*B124</f>
        <v>64.138912695321892</v>
      </c>
      <c r="E126" s="140" t="s">
        <v>369</v>
      </c>
      <c r="F126" s="142">
        <f>(PI()*(F125/2)^2)*F124</f>
        <v>0</v>
      </c>
    </row>
    <row r="128" spans="1:7" x14ac:dyDescent="0.3">
      <c r="A128" s="140" t="s">
        <v>399</v>
      </c>
      <c r="B128" s="142">
        <f>SUM(B125*B124,B112*B113,B118*B117)</f>
        <v>109.02</v>
      </c>
      <c r="C128" t="s">
        <v>404</v>
      </c>
      <c r="E128" s="140" t="s">
        <v>399</v>
      </c>
      <c r="F128" s="142">
        <f>SUM(F125*F124,F112*F113,F118*F117)</f>
        <v>0</v>
      </c>
      <c r="G128" t="s">
        <v>404</v>
      </c>
    </row>
    <row r="129" spans="1:8" x14ac:dyDescent="0.3">
      <c r="A129" s="140" t="s">
        <v>400</v>
      </c>
      <c r="B129" s="142">
        <f>B106</f>
        <v>200</v>
      </c>
      <c r="C129" t="s">
        <v>403</v>
      </c>
      <c r="E129" s="140" t="s">
        <v>400</v>
      </c>
      <c r="F129" s="142">
        <f>F106</f>
        <v>0</v>
      </c>
      <c r="G129" t="s">
        <v>403</v>
      </c>
    </row>
    <row r="131" spans="1:8" x14ac:dyDescent="0.3">
      <c r="A131" s="140" t="s">
        <v>372</v>
      </c>
      <c r="B131" s="142">
        <f>SUM(B120,B126)</f>
        <v>973.44714521712785</v>
      </c>
      <c r="E131" s="140" t="s">
        <v>372</v>
      </c>
      <c r="F131" s="142">
        <f>SUM(F120,F126)</f>
        <v>0</v>
      </c>
    </row>
    <row r="133" spans="1:8" x14ac:dyDescent="0.3">
      <c r="A133" s="140" t="s">
        <v>402</v>
      </c>
      <c r="B133" s="149">
        <f>B131/B108</f>
        <v>6.0840446576070489E-2</v>
      </c>
      <c r="E133" s="140" t="s">
        <v>402</v>
      </c>
      <c r="F133" s="149" t="e">
        <f>F131/F108</f>
        <v>#DIV/0!</v>
      </c>
    </row>
    <row r="134" spans="1:8" x14ac:dyDescent="0.3">
      <c r="A134" s="140" t="s">
        <v>401</v>
      </c>
      <c r="B134" s="149">
        <v>0.4</v>
      </c>
      <c r="C134" t="s">
        <v>344</v>
      </c>
      <c r="E134" s="140" t="s">
        <v>401</v>
      </c>
      <c r="F134" s="149">
        <v>0.4</v>
      </c>
      <c r="G134" t="s">
        <v>344</v>
      </c>
    </row>
    <row r="136" spans="1:8" ht="15" customHeight="1" x14ac:dyDescent="0.3">
      <c r="A136" s="147" t="str">
        <f>IF(AND(B133&lt;=B134,B128&lt;=B129),"OK",IF(OR(B133&gt;B134,B128&gt;B129),"ERROR"))</f>
        <v>OK</v>
      </c>
      <c r="B136" s="289" t="str">
        <f>IF(AND(B133&lt;=B134,B128&lt;=B129),"La bandeja seleccionada cumple con el articulo 318-10 b) de la NTC 2050 y el articulo 20.3 i) del RETIE",IF(B133&gt;B134,"El porcentaje de ocupacion del area transversal de la bandeja es mayor al 40%",IF(B128&gt;B129,"la bandeja ")))</f>
        <v>La bandeja seleccionada cumple con el articulo 318-10 b) de la NTC 2050 y el articulo 20.3 i) del RETIE</v>
      </c>
      <c r="C136" s="289"/>
      <c r="D136" s="289"/>
      <c r="E136" s="147" t="e">
        <f>IF(AND(F133&lt;=F134,F128&lt;=F129),"OK",IF(OR(F133&gt;F134,F128&gt;F129),"ERROR"))</f>
        <v>#DIV/0!</v>
      </c>
      <c r="F136" s="289" t="e">
        <f>IF(AND(F133&lt;=F134,F128&lt;=F129),"La bandeja seleccionada cumple con el articulo 318-10 b) de la NTC 2050 y el articulo 20.3 i) del RETIE",IF(F133&gt;F134,"El porcentaje de ocupacion del area transversal de la bandeja es mayor al 40%",IF(F128&gt;F129,"la bandeja ")))</f>
        <v>#DIV/0!</v>
      </c>
      <c r="G136" s="289"/>
      <c r="H136" s="195"/>
    </row>
    <row r="137" spans="1:8" x14ac:dyDescent="0.3">
      <c r="B137" s="289"/>
      <c r="C137" s="289"/>
      <c r="D137" s="289"/>
      <c r="F137" s="289"/>
      <c r="G137" s="289"/>
      <c r="H137" s="195"/>
    </row>
    <row r="139" spans="1:8" ht="15.6" x14ac:dyDescent="0.3">
      <c r="A139" s="288" t="s">
        <v>441</v>
      </c>
      <c r="B139" s="288"/>
      <c r="C139" s="288"/>
      <c r="D139" s="288"/>
      <c r="E139" s="288"/>
      <c r="F139" s="288"/>
      <c r="G139" s="288"/>
    </row>
    <row r="140" spans="1:8" ht="12" customHeight="1" x14ac:dyDescent="0.3"/>
    <row r="141" spans="1:8" x14ac:dyDescent="0.3">
      <c r="A141" s="43" t="s">
        <v>424</v>
      </c>
      <c r="E141" s="43" t="s">
        <v>425</v>
      </c>
    </row>
    <row r="142" spans="1:8" x14ac:dyDescent="0.3">
      <c r="A142" s="140" t="s">
        <v>437</v>
      </c>
      <c r="B142" s="141" t="s">
        <v>526</v>
      </c>
      <c r="E142" s="140" t="s">
        <v>437</v>
      </c>
      <c r="F142" s="141"/>
    </row>
    <row r="143" spans="1:8" ht="28.8" x14ac:dyDescent="0.3">
      <c r="A143" s="140" t="s">
        <v>451</v>
      </c>
      <c r="B143" s="141">
        <v>5</v>
      </c>
      <c r="E143" s="140" t="s">
        <v>451</v>
      </c>
      <c r="F143" s="141"/>
    </row>
    <row r="144" spans="1:8" x14ac:dyDescent="0.3">
      <c r="A144" s="140" t="s">
        <v>453</v>
      </c>
      <c r="B144" s="197">
        <v>1</v>
      </c>
      <c r="E144" s="140" t="s">
        <v>453</v>
      </c>
      <c r="F144" s="197"/>
    </row>
    <row r="145" spans="1:7" x14ac:dyDescent="0.3">
      <c r="A145" s="43"/>
      <c r="E145" s="43"/>
    </row>
    <row r="146" spans="1:7" x14ac:dyDescent="0.3">
      <c r="A146" s="140" t="s">
        <v>458</v>
      </c>
      <c r="B146" s="142">
        <f>$B$6</f>
        <v>208</v>
      </c>
      <c r="E146" s="140" t="s">
        <v>458</v>
      </c>
      <c r="F146" s="142">
        <f>$B$6</f>
        <v>208</v>
      </c>
    </row>
    <row r="147" spans="1:7" x14ac:dyDescent="0.3">
      <c r="A147" s="140" t="s">
        <v>459</v>
      </c>
      <c r="B147" s="142">
        <f>$B$12</f>
        <v>87.4</v>
      </c>
      <c r="E147" s="140" t="s">
        <v>459</v>
      </c>
      <c r="F147" s="142">
        <f>$B$12</f>
        <v>87.4</v>
      </c>
    </row>
    <row r="148" spans="1:7" x14ac:dyDescent="0.3">
      <c r="A148" s="43"/>
      <c r="E148" s="43"/>
    </row>
    <row r="149" spans="1:7" x14ac:dyDescent="0.3">
      <c r="A149" s="140" t="s">
        <v>460</v>
      </c>
      <c r="B149" s="197" t="s">
        <v>456</v>
      </c>
      <c r="E149" s="140" t="s">
        <v>460</v>
      </c>
      <c r="F149" s="197"/>
    </row>
    <row r="150" spans="1:7" x14ac:dyDescent="0.3">
      <c r="A150" s="140" t="s">
        <v>454</v>
      </c>
      <c r="B150" s="142">
        <f>IF(B17="COBRE",VLOOKUP(B32,'Cap 9 NTC'!N44:S64,MATCH(B149,'Cap 9 NTC'!R43:S43,0)+4,FALSE),VLOOKUP(B32,'Cap 9 NTC'!N44:U64,MATCH(B149,'Cap 9 NTC'!T43:U43,0)+6,FALSE))</f>
        <v>0.623</v>
      </c>
      <c r="C150" t="s">
        <v>461</v>
      </c>
      <c r="E150" s="140" t="s">
        <v>454</v>
      </c>
      <c r="F150" s="142" t="e">
        <f>IF(B17="COBRE",VLOOKUP(B32,'Cap 9 NTC'!N44:S64,MATCH(F149,'Cap 9 NTC'!R43:S43,0)+4,FALSE),VLOOKUP(B32,'Cap 9 NTC'!N44:U64,MATCH(F149,'Cap 9 NTC'!T43:U43,0)+6,FALSE))</f>
        <v>#N/A</v>
      </c>
      <c r="G150" t="s">
        <v>461</v>
      </c>
    </row>
    <row r="151" spans="1:7" x14ac:dyDescent="0.3">
      <c r="A151" s="140" t="s">
        <v>455</v>
      </c>
      <c r="B151" s="199">
        <f>VLOOKUP(B32,'Cap 9 NTC'!N44:Q64,MATCH(B149,'Cap 9 NTC'!P43:Q43,0)+2,FALSE)</f>
        <v>0.187</v>
      </c>
      <c r="C151" t="s">
        <v>461</v>
      </c>
      <c r="E151" s="140" t="s">
        <v>455</v>
      </c>
      <c r="F151" s="199" t="e">
        <f>VLOOKUP(B32,'Cap 9 NTC'!N44:Q64,MATCH(F149,'Cap 9 NTC'!P43:Q43,0)+2,FALSE)</f>
        <v>#N/A</v>
      </c>
      <c r="G151" t="s">
        <v>461</v>
      </c>
    </row>
    <row r="152" spans="1:7" x14ac:dyDescent="0.3">
      <c r="A152" s="140" t="s">
        <v>457</v>
      </c>
      <c r="B152" s="142">
        <f>((B150*B144)+B151*SIN(ACOS(B144)))</f>
        <v>0.623</v>
      </c>
      <c r="E152" s="140" t="s">
        <v>457</v>
      </c>
      <c r="F152" s="142" t="e">
        <f>((F150*F144)+F151*SIN(ACOS(F144)))</f>
        <v>#N/A</v>
      </c>
    </row>
    <row r="154" spans="1:7" x14ac:dyDescent="0.3">
      <c r="A154" s="140" t="s">
        <v>527</v>
      </c>
      <c r="B154" s="142">
        <f>SQRT(3)*B147*(B143/1000)*B152</f>
        <v>0.47155256441143439</v>
      </c>
      <c r="E154" s="140" t="s">
        <v>527</v>
      </c>
      <c r="F154" s="142" t="e">
        <f>SQRT(3)*F147*(F143/1000)*F152</f>
        <v>#N/A</v>
      </c>
    </row>
    <row r="155" spans="1:7" x14ac:dyDescent="0.3">
      <c r="A155" s="140" t="s">
        <v>341</v>
      </c>
      <c r="B155" s="149">
        <f>B154/B146</f>
        <v>2.2670796365934346E-3</v>
      </c>
      <c r="E155" s="140" t="s">
        <v>341</v>
      </c>
      <c r="F155" s="149" t="e">
        <f>F154/F146</f>
        <v>#N/A</v>
      </c>
    </row>
    <row r="157" spans="1:7" x14ac:dyDescent="0.3">
      <c r="A157" s="147" t="str">
        <f>IF(B155&lt;3%,"OK",IF(B155&gt;=3%,"ERROR"))</f>
        <v>OK</v>
      </c>
      <c r="B157" s="43" t="str">
        <f>IF(B155&lt;3%,"Cumple con el articulo 27.3 c) del RETIE ",IF(B155&gt;=3%,"ERROR. Regulación de voltaje mayor al 3%. No cumple con el articulo 27.3 c) del RETIE "))</f>
        <v xml:space="preserve">Cumple con el articulo 27.3 c) del RETIE </v>
      </c>
      <c r="E157" s="147" t="e">
        <f>IF(F155&lt;3%,"OK",IF(F155&gt;=3%,"ERROR"))</f>
        <v>#N/A</v>
      </c>
      <c r="F157" s="43" t="e">
        <f>IF(F155&lt;3%,"Cumple con el articulo 27.3 c) del RETIE ",IF(F155&gt;=3%,"ERROR. Regulación de voltaje mayor al 3%. No cumple con el articulo 27.3 c) del RETIE "))</f>
        <v>#N/A</v>
      </c>
    </row>
    <row r="159" spans="1:7" x14ac:dyDescent="0.3">
      <c r="A159" s="43" t="s">
        <v>409</v>
      </c>
      <c r="E159" s="43" t="s">
        <v>409</v>
      </c>
    </row>
    <row r="160" spans="1:7" x14ac:dyDescent="0.3">
      <c r="A160" s="140" t="s">
        <v>405</v>
      </c>
      <c r="B160" s="142">
        <f>3*B152*($B$7^2)*(B143/1000)</f>
        <v>71.384212200000007</v>
      </c>
      <c r="E160" s="140" t="s">
        <v>405</v>
      </c>
      <c r="F160" s="142" t="e">
        <f>3*F152*($B$7^2)*(F143/1000)</f>
        <v>#N/A</v>
      </c>
    </row>
    <row r="161" spans="1:6" x14ac:dyDescent="0.3">
      <c r="A161" s="140" t="s">
        <v>407</v>
      </c>
      <c r="B161" s="198">
        <v>5</v>
      </c>
      <c r="E161" s="140" t="s">
        <v>407</v>
      </c>
      <c r="F161" s="198"/>
    </row>
    <row r="162" spans="1:6" x14ac:dyDescent="0.3">
      <c r="A162" s="140" t="s">
        <v>408</v>
      </c>
      <c r="B162" s="142">
        <f>B161*B160*30/1000</f>
        <v>10.70763183</v>
      </c>
      <c r="E162" s="140" t="s">
        <v>408</v>
      </c>
      <c r="F162" s="142" t="e">
        <f>F161*F160*30/1000</f>
        <v>#N/A</v>
      </c>
    </row>
  </sheetData>
  <mergeCells count="16">
    <mergeCell ref="A100:G100"/>
    <mergeCell ref="B136:D137"/>
    <mergeCell ref="F136:G137"/>
    <mergeCell ref="A139:G139"/>
    <mergeCell ref="C45:I45"/>
    <mergeCell ref="B54:D55"/>
    <mergeCell ref="A57:G57"/>
    <mergeCell ref="A64:G64"/>
    <mergeCell ref="B97:D98"/>
    <mergeCell ref="F97:G98"/>
    <mergeCell ref="A43:G43"/>
    <mergeCell ref="A10:G10"/>
    <mergeCell ref="A14:G14"/>
    <mergeCell ref="G27:G32"/>
    <mergeCell ref="A34:G34"/>
    <mergeCell ref="B40:D41"/>
  </mergeCells>
  <conditionalFormatting sqref="A40">
    <cfRule type="containsText" dxfId="138" priority="33" operator="containsText" text="OK">
      <formula>NOT(ISERROR(SEARCH("OK",A40)))</formula>
    </cfRule>
    <cfRule type="containsText" dxfId="137" priority="34" operator="containsText" text="ERROR">
      <formula>NOT(ISERROR(SEARCH("ERROR",A40)))</formula>
    </cfRule>
    <cfRule type="containsText" dxfId="136" priority="35" operator="containsText" text="SI">
      <formula>NOT(ISERROR(SEARCH("SI",A40)))</formula>
    </cfRule>
    <cfRule type="containsText" dxfId="135" priority="36" operator="containsText" text="NO">
      <formula>NOT(ISERROR(SEARCH("NO",A40)))</formula>
    </cfRule>
  </conditionalFormatting>
  <conditionalFormatting sqref="A54">
    <cfRule type="containsText" dxfId="134" priority="41" operator="containsText" text="OK">
      <formula>NOT(ISERROR(SEARCH("OK",A54)))</formula>
    </cfRule>
    <cfRule type="containsText" dxfId="133" priority="42" operator="containsText" text="ERROR">
      <formula>NOT(ISERROR(SEARCH("ERROR",A54)))</formula>
    </cfRule>
    <cfRule type="containsText" dxfId="132" priority="43" operator="containsText" text="SI">
      <formula>NOT(ISERROR(SEARCH("SI",A54)))</formula>
    </cfRule>
    <cfRule type="containsText" dxfId="131" priority="44" operator="containsText" text="NO">
      <formula>NOT(ISERROR(SEARCH("NO",A54)))</formula>
    </cfRule>
  </conditionalFormatting>
  <conditionalFormatting sqref="A97">
    <cfRule type="containsText" dxfId="130" priority="29" operator="containsText" text="OK">
      <formula>NOT(ISERROR(SEARCH("OK",A97)))</formula>
    </cfRule>
    <cfRule type="containsText" dxfId="129" priority="30" operator="containsText" text="ERROR">
      <formula>NOT(ISERROR(SEARCH("ERROR",A97)))</formula>
    </cfRule>
    <cfRule type="containsText" dxfId="128" priority="31" operator="containsText" text="SI">
      <formula>NOT(ISERROR(SEARCH("SI",A97)))</formula>
    </cfRule>
    <cfRule type="containsText" dxfId="127" priority="32" operator="containsText" text="NO">
      <formula>NOT(ISERROR(SEARCH("NO",A97)))</formula>
    </cfRule>
  </conditionalFormatting>
  <conditionalFormatting sqref="A136">
    <cfRule type="containsText" dxfId="126" priority="21" operator="containsText" text="OK">
      <formula>NOT(ISERROR(SEARCH("OK",A136)))</formula>
    </cfRule>
    <cfRule type="containsText" dxfId="125" priority="22" operator="containsText" text="ERROR">
      <formula>NOT(ISERROR(SEARCH("ERROR",A136)))</formula>
    </cfRule>
    <cfRule type="containsText" dxfId="124" priority="23" operator="containsText" text="SI">
      <formula>NOT(ISERROR(SEARCH("SI",A136)))</formula>
    </cfRule>
    <cfRule type="containsText" dxfId="123" priority="24" operator="containsText" text="NO">
      <formula>NOT(ISERROR(SEARCH("NO",A136)))</formula>
    </cfRule>
  </conditionalFormatting>
  <conditionalFormatting sqref="A157">
    <cfRule type="containsText" dxfId="122" priority="37" operator="containsText" text="OK">
      <formula>NOT(ISERROR(SEARCH("OK",A157)))</formula>
    </cfRule>
    <cfRule type="containsText" dxfId="121" priority="38" operator="containsText" text="ERROR">
      <formula>NOT(ISERROR(SEARCH("ERROR",A157)))</formula>
    </cfRule>
    <cfRule type="containsText" dxfId="120" priority="39" operator="containsText" text="SI">
      <formula>NOT(ISERROR(SEARCH("SI",A157)))</formula>
    </cfRule>
    <cfRule type="containsText" dxfId="119" priority="40" operator="containsText" text="NO">
      <formula>NOT(ISERROR(SEARCH("NO",A157)))</formula>
    </cfRule>
  </conditionalFormatting>
  <conditionalFormatting sqref="A177">
    <cfRule type="containsText" dxfId="118" priority="9" operator="containsText" text="OK">
      <formula>NOT(ISERROR(SEARCH("OK",A177)))</formula>
    </cfRule>
    <cfRule type="containsText" dxfId="117" priority="10" operator="containsText" text="ERROR">
      <formula>NOT(ISERROR(SEARCH("ERROR",A177)))</formula>
    </cfRule>
    <cfRule type="containsText" dxfId="116" priority="11" operator="containsText" text="SI">
      <formula>NOT(ISERROR(SEARCH("SI",A177)))</formula>
    </cfRule>
    <cfRule type="containsText" dxfId="115" priority="12" operator="containsText" text="NO">
      <formula>NOT(ISERROR(SEARCH("NO",A177)))</formula>
    </cfRule>
  </conditionalFormatting>
  <conditionalFormatting sqref="B48">
    <cfRule type="containsText" dxfId="114" priority="47" operator="containsText" text="SI">
      <formula>NOT(ISERROR(SEARCH("SI",B48)))</formula>
    </cfRule>
    <cfRule type="containsText" dxfId="113" priority="48" operator="containsText" text="NO">
      <formula>NOT(ISERROR(SEARCH("NO",B48)))</formula>
    </cfRule>
  </conditionalFormatting>
  <conditionalFormatting sqref="B52">
    <cfRule type="containsText" dxfId="112" priority="45" operator="containsText" text="SI">
      <formula>NOT(ISERROR(SEARCH("SI",B52)))</formula>
    </cfRule>
    <cfRule type="containsText" dxfId="111" priority="46" operator="containsText" text="NO">
      <formula>NOT(ISERROR(SEARCH("NO",B52)))</formula>
    </cfRule>
  </conditionalFormatting>
  <conditionalFormatting sqref="E97">
    <cfRule type="containsText" dxfId="110" priority="25" operator="containsText" text="OK">
      <formula>NOT(ISERROR(SEARCH("OK",E97)))</formula>
    </cfRule>
    <cfRule type="containsText" dxfId="109" priority="26" operator="containsText" text="ERROR">
      <formula>NOT(ISERROR(SEARCH("ERROR",E97)))</formula>
    </cfRule>
    <cfRule type="containsText" dxfId="108" priority="27" operator="containsText" text="SI">
      <formula>NOT(ISERROR(SEARCH("SI",E97)))</formula>
    </cfRule>
    <cfRule type="containsText" dxfId="107" priority="28" operator="containsText" text="NO">
      <formula>NOT(ISERROR(SEARCH("NO",E97)))</formula>
    </cfRule>
  </conditionalFormatting>
  <conditionalFormatting sqref="E136">
    <cfRule type="containsText" dxfId="106" priority="17" operator="containsText" text="OK">
      <formula>NOT(ISERROR(SEARCH("OK",E136)))</formula>
    </cfRule>
    <cfRule type="containsText" dxfId="105" priority="18" operator="containsText" text="ERROR">
      <formula>NOT(ISERROR(SEARCH("ERROR",E136)))</formula>
    </cfRule>
    <cfRule type="containsText" dxfId="104" priority="19" operator="containsText" text="SI">
      <formula>NOT(ISERROR(SEARCH("SI",E136)))</formula>
    </cfRule>
    <cfRule type="containsText" dxfId="103" priority="20" operator="containsText" text="NO">
      <formula>NOT(ISERROR(SEARCH("NO",E136)))</formula>
    </cfRule>
  </conditionalFormatting>
  <conditionalFormatting sqref="E157">
    <cfRule type="containsText" dxfId="102" priority="1" operator="containsText" text="OK">
      <formula>NOT(ISERROR(SEARCH("OK",E157)))</formula>
    </cfRule>
    <cfRule type="containsText" dxfId="101" priority="2" operator="containsText" text="ERROR">
      <formula>NOT(ISERROR(SEARCH("ERROR",E157)))</formula>
    </cfRule>
    <cfRule type="containsText" dxfId="100" priority="3" operator="containsText" text="SI">
      <formula>NOT(ISERROR(SEARCH("SI",E157)))</formula>
    </cfRule>
    <cfRule type="containsText" dxfId="99" priority="4" operator="containsText" text="NO">
      <formula>NOT(ISERROR(SEARCH("NO",E157)))</formula>
    </cfRule>
  </conditionalFormatting>
  <conditionalFormatting sqref="E177">
    <cfRule type="containsText" dxfId="98" priority="5" operator="containsText" text="OK">
      <formula>NOT(ISERROR(SEARCH("OK",E177)))</formula>
    </cfRule>
    <cfRule type="containsText" dxfId="97" priority="6" operator="containsText" text="ERROR">
      <formula>NOT(ISERROR(SEARCH("ERROR",E177)))</formula>
    </cfRule>
    <cfRule type="containsText" dxfId="96" priority="7" operator="containsText" text="SI">
      <formula>NOT(ISERROR(SEARCH("SI",E177)))</formula>
    </cfRule>
    <cfRule type="containsText" dxfId="95" priority="8" operator="containsText" text="NO">
      <formula>NOT(ISERROR(SEARCH("NO",E177)))</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200-000000000000}">
          <x14:formula1>
            <xm:f>Listas!$F$2:$F$4</xm:f>
          </x14:formula1>
          <xm:sqref>B19</xm:sqref>
        </x14:dataValidation>
        <x14:dataValidation type="list" allowBlank="1" showInputMessage="1" showErrorMessage="1" xr:uid="{00000000-0002-0000-0200-000001000000}">
          <x14:formula1>
            <xm:f>Listas!$C$2:$C$31</xm:f>
          </x14:formula1>
          <xm:sqref>B32 B62</xm:sqref>
        </x14:dataValidation>
        <x14:dataValidation type="list" allowBlank="1" showInputMessage="1" showErrorMessage="1" xr:uid="{00000000-0002-0000-0200-000002000000}">
          <x14:formula1>
            <xm:f>Listas!$E$2:$E$12</xm:f>
          </x14:formula1>
          <xm:sqref>B70 F70</xm:sqref>
        </x14:dataValidation>
        <x14:dataValidation type="list" allowBlank="1" showInputMessage="1" showErrorMessage="1" xr:uid="{00000000-0002-0000-0200-000003000000}">
          <x14:formula1>
            <xm:f>Listas!$D$2:$D$5</xm:f>
          </x14:formula1>
          <xm:sqref>B69 F69</xm:sqref>
        </x14:dataValidation>
        <x14:dataValidation type="list" allowBlank="1" showInputMessage="1" showErrorMessage="1" xr:uid="{00000000-0002-0000-0200-000004000000}">
          <x14:formula1>
            <xm:f>Listas!$B$2:$B$5</xm:f>
          </x14:formula1>
          <xm:sqref>B45 B18</xm:sqref>
        </x14:dataValidation>
        <x14:dataValidation type="list" allowBlank="1" showInputMessage="1" showErrorMessage="1" xr:uid="{00000000-0002-0000-0200-000005000000}">
          <x14:formula1>
            <xm:f>Listas!$A$2:$A$4</xm:f>
          </x14:formula1>
          <xm:sqref>B17 B59</xm:sqref>
        </x14:dataValidation>
        <x14:dataValidation type="list" allowBlank="1" showInputMessage="1" showErrorMessage="1" xr:uid="{00000000-0002-0000-0200-000006000000}">
          <x14:formula1>
            <xm:f>Listas!$G$2:$G$3</xm:f>
          </x14:formula1>
          <xm:sqref>B149 F149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1364-688D-4CD4-A6D7-DCDC3F15F66E}">
  <dimension ref="A1:I162"/>
  <sheetViews>
    <sheetView showGridLines="0" topLeftCell="A21" zoomScale="90" zoomScaleNormal="90" workbookViewId="0">
      <selection activeCell="D30" sqref="D30"/>
    </sheetView>
  </sheetViews>
  <sheetFormatPr baseColWidth="10" defaultColWidth="11.44140625" defaultRowHeight="14.4" x14ac:dyDescent="0.3"/>
  <cols>
    <col min="1" max="1" width="38.6640625" customWidth="1"/>
    <col min="2" max="2" width="23.109375" customWidth="1"/>
    <col min="3" max="3" width="11.88671875" bestFit="1" customWidth="1"/>
    <col min="4" max="4" width="16.5546875" customWidth="1"/>
    <col min="5" max="5" width="38.88671875" customWidth="1"/>
    <col min="6" max="6" width="20.33203125" customWidth="1"/>
    <col min="7" max="7" width="34.5546875" customWidth="1"/>
    <col min="8" max="8" width="18.88671875" customWidth="1"/>
    <col min="10" max="10" width="22.33203125" customWidth="1"/>
  </cols>
  <sheetData>
    <row r="1" spans="1:8" x14ac:dyDescent="0.3">
      <c r="A1" s="43" t="s">
        <v>443</v>
      </c>
      <c r="H1" s="43" t="s">
        <v>315</v>
      </c>
    </row>
    <row r="2" spans="1:8" x14ac:dyDescent="0.3">
      <c r="A2" s="212" t="s">
        <v>298</v>
      </c>
      <c r="B2" s="212" t="s">
        <v>76</v>
      </c>
      <c r="H2" t="str">
        <f>IF(AND(B16&gt;=21,B16&lt;=25),"21-25",IF(AND(B16&gt;=26,B16&lt;=30),"26-30",IF(AND(B16&gt;=31,B16&lt;=35),"31-35",IF(AND(B16&gt;=36,B16&lt;=40),"36-40",IF(AND(B16&gt;=41,B16&lt;=45),"41-45",IF(AND(B16&gt;=46,B16&lt;=50),"46-50",IF(AND(B16&gt;=51,B16&lt;=55),"51-55",IF(AND(B16&gt;=56,B16&lt;=60),"56-60",IF(AND(B16&gt;=61,B16&lt;=70),"61-70",IF(AND(B16&gt;=71,B16&lt;=80),"71-80","ERROR"))))))))))</f>
        <v>31-35</v>
      </c>
    </row>
    <row r="3" spans="1:8" x14ac:dyDescent="0.3">
      <c r="A3" s="213" t="s">
        <v>296</v>
      </c>
      <c r="B3" s="214" t="s">
        <v>578</v>
      </c>
      <c r="H3">
        <f>IF(AND(B20&gt;=1,B20&lt;=3),1,IF(AND(B20&gt;=4,B20&lt;=6),"De 4 a 6",IF(AND(B20&gt;=7,B20&lt;=9),"De 7 a 9",IF(AND(B20&gt;=10,B20&lt;=20),"De 10 a 20",IF(AND(B20&gt;=21,B20&lt;=30),"De 21 a 30",IF(AND(B20&gt;=31,B20&lt;=40),"De 31 a 40",IF(B20&gt;=41,"De 41 y más","ERROR")))))))</f>
        <v>1</v>
      </c>
    </row>
    <row r="4" spans="1:8" x14ac:dyDescent="0.3">
      <c r="A4" s="213" t="s">
        <v>156</v>
      </c>
      <c r="B4" s="215" t="s">
        <v>580</v>
      </c>
      <c r="H4" s="193">
        <f>IF(B17="COBRE",IF(OR(B18="90 ºC",B18="120 ºC"),INDEX('Cap 3 NTC'!P8:P37,MATCH(B29,'Cap 3 NTC'!P8:P37,-1)),IF(B18="75 ºC",INDEX('Cap 3 NTC'!O8:O37,MATCH(B29,'Cap 3 NTC'!O8:O37,-1)),INDEX('Cap 3 NTC'!N8:N37,MATCH(B29,'Cap 3 NTC'!N8:N37,-1)))),IF(OR(B18="90 ºC",B18="120 ºC"),INDEX('Cap 3 NTC'!S8:S37,MATCH(B29,'Cap 3 NTC'!S8:S37,-1)),IF(B18="75 ºC",INDEX('Cap 3 NTC'!R8:R37,MATCH(B29,'Cap 3 NTC'!R8:R37,-1)),INDEX('Cap 3 NTC'!Q8:Q37,MATCH(B29,'Cap 3 NTC'!Q8:Q37,-1)))))</f>
        <v>95</v>
      </c>
    </row>
    <row r="5" spans="1:8" x14ac:dyDescent="0.3">
      <c r="A5" s="213" t="s">
        <v>444</v>
      </c>
      <c r="B5" s="214">
        <v>30</v>
      </c>
    </row>
    <row r="6" spans="1:8" x14ac:dyDescent="0.3">
      <c r="A6" s="213" t="s">
        <v>445</v>
      </c>
      <c r="B6" s="215">
        <v>208</v>
      </c>
    </row>
    <row r="7" spans="1:8" x14ac:dyDescent="0.3">
      <c r="A7" s="213" t="s">
        <v>446</v>
      </c>
      <c r="B7" s="214">
        <v>87.4</v>
      </c>
    </row>
    <row r="8" spans="1:8" x14ac:dyDescent="0.3">
      <c r="A8" s="213" t="s">
        <v>450</v>
      </c>
      <c r="B8" s="215">
        <v>3</v>
      </c>
    </row>
    <row r="10" spans="1:8" ht="15.6" x14ac:dyDescent="0.3">
      <c r="A10" s="288" t="s">
        <v>299</v>
      </c>
      <c r="B10" s="288"/>
      <c r="C10" s="288"/>
      <c r="D10" s="288"/>
      <c r="E10" s="288"/>
      <c r="F10" s="288"/>
      <c r="G10" s="288"/>
    </row>
    <row r="11" spans="1:8" ht="12" customHeight="1" x14ac:dyDescent="0.3"/>
    <row r="12" spans="1:8" x14ac:dyDescent="0.3">
      <c r="A12" s="140" t="s">
        <v>297</v>
      </c>
      <c r="B12" s="142">
        <f>B7*70%</f>
        <v>61.18</v>
      </c>
    </row>
    <row r="14" spans="1:8" ht="15.6" x14ac:dyDescent="0.3">
      <c r="A14" s="288" t="s">
        <v>415</v>
      </c>
      <c r="B14" s="288"/>
      <c r="C14" s="288"/>
      <c r="D14" s="288"/>
      <c r="E14" s="288"/>
      <c r="F14" s="288"/>
      <c r="G14" s="288"/>
    </row>
    <row r="15" spans="1:8" ht="12" customHeight="1" x14ac:dyDescent="0.3"/>
    <row r="16" spans="1:8" x14ac:dyDescent="0.3">
      <c r="A16" s="140" t="s">
        <v>311</v>
      </c>
      <c r="B16" s="28">
        <v>32</v>
      </c>
      <c r="C16" t="s">
        <v>312</v>
      </c>
    </row>
    <row r="17" spans="1:7" x14ac:dyDescent="0.3">
      <c r="A17" s="140" t="s">
        <v>314</v>
      </c>
      <c r="B17" s="23" t="s">
        <v>202</v>
      </c>
    </row>
    <row r="18" spans="1:7" x14ac:dyDescent="0.3">
      <c r="A18" s="140" t="s">
        <v>305</v>
      </c>
      <c r="B18" s="141" t="s">
        <v>194</v>
      </c>
    </row>
    <row r="19" spans="1:7" x14ac:dyDescent="0.3">
      <c r="A19" s="140" t="s">
        <v>414</v>
      </c>
      <c r="B19" s="141" t="s">
        <v>411</v>
      </c>
      <c r="C19" t="s">
        <v>429</v>
      </c>
    </row>
    <row r="20" spans="1:7" ht="28.8" x14ac:dyDescent="0.3">
      <c r="A20" s="140" t="s">
        <v>308</v>
      </c>
      <c r="B20" s="28">
        <v>3</v>
      </c>
      <c r="C20" t="s">
        <v>449</v>
      </c>
    </row>
    <row r="22" spans="1:7" x14ac:dyDescent="0.3">
      <c r="A22" s="43" t="s">
        <v>370</v>
      </c>
    </row>
    <row r="23" spans="1:7" x14ac:dyDescent="0.3">
      <c r="A23" s="140" t="s">
        <v>317</v>
      </c>
      <c r="B23" s="142">
        <f>1.25*B12</f>
        <v>76.474999999999994</v>
      </c>
      <c r="C23" t="s">
        <v>300</v>
      </c>
      <c r="G23" s="43"/>
    </row>
    <row r="25" spans="1:7" x14ac:dyDescent="0.3">
      <c r="A25" s="140" t="s">
        <v>157</v>
      </c>
      <c r="B25" s="142">
        <f>IF(B17="COBRE",VLOOKUP(H2,'Cap 3 NTC'!A41:D50,MATCH(B18,'Cap 3 NTC'!A4:D4,0),FALSE),VLOOKUP(H2,'Cap 3 NTC'!A41:G50,MATCH(B18,'Cap 3 NTC'!E4:G4,0)+4,FALSE))</f>
        <v>0.96</v>
      </c>
      <c r="C25" t="s">
        <v>309</v>
      </c>
      <c r="F25" t="s">
        <v>342</v>
      </c>
    </row>
    <row r="26" spans="1:7" x14ac:dyDescent="0.3">
      <c r="A26" s="140" t="s">
        <v>158</v>
      </c>
      <c r="B26" s="142">
        <f>IF(B19="BANDEJA PORTACABLES",1,IF(AND(B20&gt;=1,B20&lt;=3),1,VLOOKUP(H3,'Cap 3 NTC'!J41:K46,2,FALSE)))</f>
        <v>1</v>
      </c>
      <c r="C26" t="s">
        <v>310</v>
      </c>
      <c r="F26" s="44" t="s">
        <v>421</v>
      </c>
    </row>
    <row r="27" spans="1:7" x14ac:dyDescent="0.3">
      <c r="A27" s="140" t="s">
        <v>316</v>
      </c>
      <c r="B27" s="142">
        <f>B12/(B25*B26)</f>
        <v>63.729166666666671</v>
      </c>
      <c r="C27" t="s">
        <v>301</v>
      </c>
      <c r="G27" s="292" t="s">
        <v>416</v>
      </c>
    </row>
    <row r="28" spans="1:7" x14ac:dyDescent="0.3">
      <c r="G28" s="292"/>
    </row>
    <row r="29" spans="1:7" x14ac:dyDescent="0.3">
      <c r="A29" s="143" t="s">
        <v>389</v>
      </c>
      <c r="B29" s="142">
        <f>IF(B27&gt;=B23,B27,B23)</f>
        <v>76.474999999999994</v>
      </c>
      <c r="E29" s="45"/>
      <c r="G29" s="292"/>
    </row>
    <row r="30" spans="1:7" x14ac:dyDescent="0.3">
      <c r="A30" s="143" t="s">
        <v>318</v>
      </c>
      <c r="B30" s="196">
        <f>IF(B17="COBRE",IF(OR(B18="90 ºC",B18="120 ºC"),VLOOKUP(H4,'Cap 3 NTC'!P8:U37,6,FALSE),IF(B18="75 ºC",VLOOKUP(H4,'Cap 3 NTC'!O8:U37,7,FALSE),IF(B18="60 ºC",VLOOKUP(H4,'Cap 3 NTC'!N8:U37,8,FALSE)))),IF(OR(B18="90 ºC",B18="120 ºC"),VLOOKUP(H4,'Cap 3 NTC'!S8:U37,3,FALSE),IF(B18="75 ºC",VLOOKUP(H4,'Cap 3 NTC'!R8:U37,4,FALSE),IF(B18="60 ºC",VLOOKUP(H4,'Cap 3 NTC'!Q8:U37,5,FALSE)))))</f>
        <v>4</v>
      </c>
      <c r="C30" s="144"/>
      <c r="G30" s="292"/>
    </row>
    <row r="31" spans="1:7" x14ac:dyDescent="0.3">
      <c r="G31" s="292"/>
    </row>
    <row r="32" spans="1:7" x14ac:dyDescent="0.3">
      <c r="A32" s="143" t="s">
        <v>319</v>
      </c>
      <c r="B32" s="146" t="s">
        <v>60</v>
      </c>
      <c r="C32" t="s">
        <v>371</v>
      </c>
      <c r="G32" s="292"/>
    </row>
    <row r="34" spans="1:9" ht="15.6" x14ac:dyDescent="0.3">
      <c r="A34" s="288" t="s">
        <v>422</v>
      </c>
      <c r="B34" s="288"/>
      <c r="C34" s="288"/>
      <c r="D34" s="288"/>
      <c r="E34" s="288"/>
      <c r="F34" s="288"/>
      <c r="G34" s="288"/>
    </row>
    <row r="35" spans="1:9" ht="12" customHeight="1" x14ac:dyDescent="0.3"/>
    <row r="36" spans="1:9" x14ac:dyDescent="0.3">
      <c r="A36" s="140" t="s">
        <v>328</v>
      </c>
      <c r="B36" s="142">
        <f>1.25*B12</f>
        <v>76.474999999999994</v>
      </c>
      <c r="C36" t="s">
        <v>330</v>
      </c>
    </row>
    <row r="38" spans="1:9" ht="28.8" x14ac:dyDescent="0.3">
      <c r="A38" s="140" t="s">
        <v>329</v>
      </c>
      <c r="B38" s="141">
        <v>100</v>
      </c>
      <c r="C38" t="s">
        <v>332</v>
      </c>
    </row>
    <row r="40" spans="1:9" x14ac:dyDescent="0.3">
      <c r="A40" s="147" t="str">
        <f>IF(B38&gt;=B36,"OK","ERROR")</f>
        <v>OK</v>
      </c>
      <c r="B40" s="289" t="str">
        <f>IF(A40="OK","Protección seleccionada es mayor a la corriente minima de OCPD",IF(A40="ERROR","La protección seleccionada debe ser mayor a la corriente minima de OCPD"))</f>
        <v>Protección seleccionada es mayor a la corriente minima de OCPD</v>
      </c>
      <c r="C40" s="289"/>
      <c r="D40" s="289"/>
      <c r="F40" s="44" t="s">
        <v>366</v>
      </c>
    </row>
    <row r="41" spans="1:9" x14ac:dyDescent="0.3">
      <c r="B41" s="289"/>
      <c r="C41" s="289"/>
      <c r="D41" s="289"/>
    </row>
    <row r="42" spans="1:9" ht="12" customHeight="1" x14ac:dyDescent="0.3"/>
    <row r="43" spans="1:9" ht="15.6" x14ac:dyDescent="0.3">
      <c r="A43" s="288" t="s">
        <v>336</v>
      </c>
      <c r="B43" s="288"/>
      <c r="C43" s="288"/>
      <c r="D43" s="288"/>
      <c r="E43" s="288"/>
      <c r="F43" s="288"/>
      <c r="G43" s="288"/>
    </row>
    <row r="44" spans="1:9" ht="12" customHeight="1" x14ac:dyDescent="0.3"/>
    <row r="45" spans="1:9" ht="28.8" x14ac:dyDescent="0.3">
      <c r="A45" s="140" t="s">
        <v>331</v>
      </c>
      <c r="B45" s="141" t="s">
        <v>193</v>
      </c>
      <c r="C45" s="290" t="s">
        <v>335</v>
      </c>
      <c r="D45" s="291"/>
      <c r="E45" s="291"/>
      <c r="F45" s="291"/>
      <c r="G45" s="291"/>
      <c r="H45" s="291"/>
      <c r="I45" s="291"/>
    </row>
    <row r="47" spans="1:9" ht="28.8" x14ac:dyDescent="0.3">
      <c r="A47" s="140" t="str">
        <f>CONCATENATE("Ampacidad del cable seleccionado @", B45, " [A]")</f>
        <v>Ampacidad del cable seleccionado @75 ºC [A]</v>
      </c>
      <c r="B47" s="145">
        <f>IF(B17="COBRE",IF(OR(B45="90 ºC",B45="120 ºC"),VLOOKUP(B32,'Cap 3 NTC'!M8:P37,4,FALSE),IF(B45="75 ºC",VLOOKUP(B32,'Cap 3 NTC'!M8:O37,3,FALSE),IF(B45="60 ºC",VLOOKUP(B32,'Cap 3 NTC'!M8:N37,2,FALSE)))),IF(OR(B45="90 ºC",B45="120 ºC"),VLOOKUP(B32,'Cap 3 NTC'!M8:S37,7,FALSE),IF(B45="75 ºC",VLOOKUP(B32,'Cap 3 NTC'!M8:R37,6,FALSE),IF(B45="60 ºC",VLOOKUP(B32,'Cap 3 NTC'!M8:Q37,5,FALSE)))))</f>
        <v>85</v>
      </c>
    </row>
    <row r="48" spans="1:9" x14ac:dyDescent="0.3">
      <c r="A48" s="140" t="s">
        <v>159</v>
      </c>
      <c r="B48" s="147" t="str">
        <f>IF(B47&gt;=B38,"SI","NO")</f>
        <v>NO</v>
      </c>
      <c r="C48" t="s">
        <v>333</v>
      </c>
    </row>
    <row r="50" spans="1:7" ht="28.8" x14ac:dyDescent="0.3">
      <c r="A50" s="140" t="str">
        <f>CONCATENATE("Ampacidad del cable seleccionado temperatura nominal @", B18, " [A]")</f>
        <v>Ampacidad del cable seleccionado temperatura nominal @90 ºC [A]</v>
      </c>
      <c r="B50" s="145">
        <f>IF(B17="COBRE",IF(OR(B18="90 ºC",B18="120 ºC"),VLOOKUP(B32,'Cap 3 NTC'!M8:P37,4,FALSE),IF(B18="75 ºC",VLOOKUP(B32,'Cap 3 NTC'!M8:O37,3,FALSE),IF(B18="60 ºC",VLOOKUP(B32,'Cap 3 NTC'!M8:N37,2,FALSE)))),IF(OR(B18="90 ºC",B18="120 ºC"),VLOOKUP(B32,'Cap 3 NTC'!M8:S37,7,FALSE),IF(B18="75 ºC",VLOOKUP(B32,'Cap 3 NTC'!M8:R37,6,FALSE),IF(B18="60 ºC",VLOOKUP(B32,'Cap 3 NTC'!M8:Q37,5,FALSE)))))</f>
        <v>95</v>
      </c>
      <c r="D50">
        <f>260*60%</f>
        <v>156</v>
      </c>
    </row>
    <row r="51" spans="1:7" ht="28.8" x14ac:dyDescent="0.3">
      <c r="A51" s="140" t="s">
        <v>334</v>
      </c>
      <c r="B51" s="142">
        <f>B50*B26*B25</f>
        <v>91.2</v>
      </c>
      <c r="F51" s="43"/>
    </row>
    <row r="52" spans="1:7" x14ac:dyDescent="0.3">
      <c r="A52" s="140" t="s">
        <v>159</v>
      </c>
      <c r="B52" s="147" t="str">
        <f>IF(B51&gt;=B38,"SI","NO")</f>
        <v>NO</v>
      </c>
    </row>
    <row r="54" spans="1:7" x14ac:dyDescent="0.3">
      <c r="A54" s="147" t="str">
        <f>IF(AND(B52="SI",B48="SI"), "OK",IF(OR(B52="NO",B48="NO"),"ERROR"))</f>
        <v>ERROR</v>
      </c>
      <c r="B54" s="289" t="str">
        <f>IF(AND(B52="SI",B48="SI"), "La protección contra sobrecorrientes seleccionada funciona correctamente con el cable seleccionado",IF(OR(B52="NO",B48="NO"),"Realice un nuevo cálculo del cableado a utilizar o de la protección contra sobrecorrientes a utilizar"))</f>
        <v>Realice un nuevo cálculo del cableado a utilizar o de la protección contra sobrecorrientes a utilizar</v>
      </c>
      <c r="C54" s="289"/>
      <c r="D54" s="289"/>
    </row>
    <row r="55" spans="1:7" x14ac:dyDescent="0.3">
      <c r="B55" s="289"/>
      <c r="C55" s="289"/>
      <c r="D55" s="289"/>
      <c r="E55" s="43"/>
    </row>
    <row r="56" spans="1:7" ht="12" customHeight="1" x14ac:dyDescent="0.3"/>
    <row r="57" spans="1:7" ht="15.6" x14ac:dyDescent="0.3">
      <c r="A57" s="288" t="s">
        <v>438</v>
      </c>
      <c r="B57" s="288"/>
      <c r="C57" s="288"/>
      <c r="D57" s="288"/>
      <c r="E57" s="288"/>
      <c r="F57" s="288"/>
      <c r="G57" s="288"/>
    </row>
    <row r="58" spans="1:7" ht="12" customHeight="1" x14ac:dyDescent="0.3"/>
    <row r="59" spans="1:7" x14ac:dyDescent="0.3">
      <c r="A59" s="140" t="s">
        <v>419</v>
      </c>
      <c r="B59" s="23" t="s">
        <v>202</v>
      </c>
    </row>
    <row r="60" spans="1:7" x14ac:dyDescent="0.3">
      <c r="A60" s="143" t="s">
        <v>380</v>
      </c>
      <c r="B60" s="196">
        <f>VLOOKUP(INDEX('Cap 2 NTC'!A36:A47,MATCH(B38,'Cap 2 NTC'!A36:A47,-1)),'Cap 2 NTC'!A36:C47,MATCH('INV2_TABLERO FV_N'!B59,'Cap 2 NTC'!B34:C34,0)+1,FALSE)</f>
        <v>8</v>
      </c>
      <c r="C60" t="s">
        <v>378</v>
      </c>
    </row>
    <row r="62" spans="1:7" ht="28.8" x14ac:dyDescent="0.3">
      <c r="A62" s="143" t="s">
        <v>420</v>
      </c>
      <c r="B62" s="146" t="s">
        <v>58</v>
      </c>
      <c r="C62" t="s">
        <v>371</v>
      </c>
    </row>
    <row r="64" spans="1:7" ht="15.6" x14ac:dyDescent="0.3">
      <c r="A64" s="288" t="s">
        <v>439</v>
      </c>
      <c r="B64" s="288"/>
      <c r="C64" s="288"/>
      <c r="D64" s="288"/>
      <c r="E64" s="288"/>
      <c r="F64" s="288"/>
      <c r="G64" s="288"/>
    </row>
    <row r="65" spans="1:7" ht="12" customHeight="1" x14ac:dyDescent="0.3"/>
    <row r="66" spans="1:7" x14ac:dyDescent="0.3">
      <c r="A66" s="43" t="s">
        <v>390</v>
      </c>
      <c r="E66" s="43" t="s">
        <v>391</v>
      </c>
    </row>
    <row r="67" spans="1:7" x14ac:dyDescent="0.3">
      <c r="A67" s="140" t="s">
        <v>423</v>
      </c>
      <c r="B67" s="141" t="s">
        <v>525</v>
      </c>
      <c r="E67" s="140" t="s">
        <v>423</v>
      </c>
      <c r="F67" s="141"/>
    </row>
    <row r="68" spans="1:7" x14ac:dyDescent="0.3">
      <c r="A68" s="43" t="s">
        <v>375</v>
      </c>
      <c r="E68" s="43" t="s">
        <v>375</v>
      </c>
    </row>
    <row r="69" spans="1:7" x14ac:dyDescent="0.3">
      <c r="A69" s="140" t="s">
        <v>346</v>
      </c>
      <c r="B69" s="141" t="s">
        <v>348</v>
      </c>
      <c r="E69" s="140" t="s">
        <v>346</v>
      </c>
      <c r="F69" s="141"/>
    </row>
    <row r="70" spans="1:7" x14ac:dyDescent="0.3">
      <c r="A70" s="140" t="s">
        <v>360</v>
      </c>
      <c r="B70" s="141" t="s">
        <v>151</v>
      </c>
      <c r="E70" s="140" t="s">
        <v>360</v>
      </c>
      <c r="F70" s="141"/>
    </row>
    <row r="72" spans="1:7" x14ac:dyDescent="0.3">
      <c r="A72" s="140" t="s">
        <v>361</v>
      </c>
      <c r="B72" s="142">
        <f>PI()*(VLOOKUP(B70,Tuberia!A4:E14,MATCH('INV2_TABLERO FV_N'!B69,Tuberia!A2:E2,0),FALSE)/2)^2</f>
        <v>3779.2073005090911</v>
      </c>
      <c r="E72" s="140" t="s">
        <v>361</v>
      </c>
      <c r="F72" s="142" t="e">
        <f>PI()*(VLOOKUP(F70,Tuberia!A4:E14,MATCH('INV2_TABLERO FV_N'!F69,Tuberia!A2:E2,0),FALSE)/2)^2</f>
        <v>#N/A</v>
      </c>
    </row>
    <row r="74" spans="1:7" x14ac:dyDescent="0.3">
      <c r="A74" s="43" t="s">
        <v>376</v>
      </c>
      <c r="E74" s="43" t="s">
        <v>376</v>
      </c>
    </row>
    <row r="75" spans="1:7" x14ac:dyDescent="0.3">
      <c r="A75" s="140" t="s">
        <v>430</v>
      </c>
      <c r="B75" s="141" t="s">
        <v>549</v>
      </c>
      <c r="C75" t="s">
        <v>365</v>
      </c>
      <c r="E75" s="140" t="s">
        <v>430</v>
      </c>
      <c r="F75" s="141"/>
      <c r="G75" t="s">
        <v>365</v>
      </c>
    </row>
    <row r="76" spans="1:7" x14ac:dyDescent="0.3">
      <c r="A76" s="140" t="s">
        <v>432</v>
      </c>
      <c r="B76" s="141">
        <v>8</v>
      </c>
      <c r="E76" s="140" t="s">
        <v>432</v>
      </c>
      <c r="F76" s="141"/>
    </row>
    <row r="77" spans="1:7" x14ac:dyDescent="0.3">
      <c r="A77" s="140" t="s">
        <v>362</v>
      </c>
      <c r="B77" s="141">
        <v>12.03</v>
      </c>
      <c r="C77" t="s">
        <v>367</v>
      </c>
      <c r="E77" s="140" t="s">
        <v>362</v>
      </c>
      <c r="F77" s="141"/>
      <c r="G77" t="s">
        <v>367</v>
      </c>
    </row>
    <row r="78" spans="1:7" x14ac:dyDescent="0.3">
      <c r="A78" s="140" t="s">
        <v>516</v>
      </c>
      <c r="B78" s="142">
        <f>(PI()*((B77)/2)^2)*B76</f>
        <v>909.30823252180596</v>
      </c>
      <c r="E78" s="140" t="s">
        <v>516</v>
      </c>
      <c r="F78" s="142">
        <f>(PI()*((F77)/2)^2)*F76</f>
        <v>0</v>
      </c>
    </row>
    <row r="79" spans="1:7" x14ac:dyDescent="0.3">
      <c r="B79" s="45">
        <f>(PI()*((B77)/2)^2)</f>
        <v>113.66352906522575</v>
      </c>
    </row>
    <row r="80" spans="1:7" x14ac:dyDescent="0.3">
      <c r="A80" s="140" t="s">
        <v>431</v>
      </c>
      <c r="B80" s="141"/>
      <c r="C80" t="s">
        <v>365</v>
      </c>
      <c r="E80" s="140" t="s">
        <v>431</v>
      </c>
      <c r="F80" s="141"/>
      <c r="G80" t="s">
        <v>365</v>
      </c>
    </row>
    <row r="81" spans="1:7" x14ac:dyDescent="0.3">
      <c r="A81" s="140" t="s">
        <v>433</v>
      </c>
      <c r="B81" s="141"/>
      <c r="E81" s="140" t="s">
        <v>433</v>
      </c>
      <c r="F81" s="141"/>
    </row>
    <row r="82" spans="1:7" x14ac:dyDescent="0.3">
      <c r="A82" s="140" t="s">
        <v>362</v>
      </c>
      <c r="B82" s="141"/>
      <c r="C82" t="s">
        <v>367</v>
      </c>
      <c r="E82" s="140" t="s">
        <v>362</v>
      </c>
      <c r="F82" s="141"/>
      <c r="G82" t="s">
        <v>367</v>
      </c>
    </row>
    <row r="83" spans="1:7" x14ac:dyDescent="0.3">
      <c r="A83" s="140" t="s">
        <v>515</v>
      </c>
      <c r="B83" s="142">
        <f>(PI()*((B82)/2)^2)*B81</f>
        <v>0</v>
      </c>
      <c r="E83" s="140" t="s">
        <v>515</v>
      </c>
      <c r="F83" s="142">
        <f>(PI()*((F82)/2)^2)*F81</f>
        <v>0</v>
      </c>
    </row>
    <row r="84" spans="1:7" ht="28.8" x14ac:dyDescent="0.3">
      <c r="A84" s="140" t="s">
        <v>368</v>
      </c>
      <c r="B84" s="142">
        <f>B83+B78</f>
        <v>909.30823252180596</v>
      </c>
      <c r="E84" s="140" t="s">
        <v>368</v>
      </c>
      <c r="F84" s="142">
        <f>F83+F78</f>
        <v>0</v>
      </c>
    </row>
    <row r="86" spans="1:7" x14ac:dyDescent="0.3">
      <c r="A86" s="43" t="s">
        <v>417</v>
      </c>
      <c r="E86" s="43" t="s">
        <v>417</v>
      </c>
    </row>
    <row r="87" spans="1:7" x14ac:dyDescent="0.3">
      <c r="A87" s="140" t="s">
        <v>364</v>
      </c>
      <c r="B87" s="141" t="s">
        <v>550</v>
      </c>
      <c r="C87" t="s">
        <v>365</v>
      </c>
      <c r="E87" s="140" t="s">
        <v>364</v>
      </c>
      <c r="F87" s="141"/>
      <c r="G87" t="s">
        <v>365</v>
      </c>
    </row>
    <row r="88" spans="1:7" x14ac:dyDescent="0.3">
      <c r="A88" s="140" t="s">
        <v>363</v>
      </c>
      <c r="B88" s="141">
        <v>2</v>
      </c>
      <c r="E88" s="140" t="s">
        <v>363</v>
      </c>
      <c r="F88" s="141"/>
    </row>
    <row r="89" spans="1:7" x14ac:dyDescent="0.3">
      <c r="A89" s="140" t="s">
        <v>362</v>
      </c>
      <c r="B89" s="141">
        <v>6.39</v>
      </c>
      <c r="C89" t="s">
        <v>367</v>
      </c>
      <c r="E89" s="140" t="s">
        <v>362</v>
      </c>
      <c r="F89" s="141"/>
      <c r="G89" t="s">
        <v>367</v>
      </c>
    </row>
    <row r="90" spans="1:7" ht="15.75" customHeight="1" x14ac:dyDescent="0.3">
      <c r="A90" s="140" t="s">
        <v>418</v>
      </c>
      <c r="B90" s="142">
        <f>(PI()*(B89/2)^2)*B88</f>
        <v>64.138912695321892</v>
      </c>
      <c r="E90" s="140" t="s">
        <v>418</v>
      </c>
      <c r="F90" s="142">
        <f>(PI()*(F89/2)^2)*F88</f>
        <v>0</v>
      </c>
    </row>
    <row r="92" spans="1:7" x14ac:dyDescent="0.3">
      <c r="A92" s="140" t="s">
        <v>372</v>
      </c>
      <c r="B92" s="142">
        <f>SUM(B84,B90)</f>
        <v>973.44714521712785</v>
      </c>
      <c r="E92" s="140" t="s">
        <v>372</v>
      </c>
      <c r="F92" s="142">
        <f>SUM(F84,F90)</f>
        <v>0</v>
      </c>
    </row>
    <row r="94" spans="1:7" x14ac:dyDescent="0.3">
      <c r="A94" s="140" t="s">
        <v>160</v>
      </c>
      <c r="B94" s="149">
        <f>(B92/B72)</f>
        <v>0.25757971654161343</v>
      </c>
      <c r="E94" s="140" t="s">
        <v>160</v>
      </c>
      <c r="F94" s="149" t="e">
        <f>(F92/F72)</f>
        <v>#N/A</v>
      </c>
    </row>
    <row r="95" spans="1:7" x14ac:dyDescent="0.3">
      <c r="A95" s="140" t="s">
        <v>373</v>
      </c>
      <c r="B95" s="149">
        <f>IF(SUM(B88,B76)=1,'Cap 9 NTC'!C5,IF(SUM(B88,B76)=1,'Cap 9 NTC'!D5,IF(SUM(B88,B76)&gt;2,'Cap 9 NTC'!E5,"Error, número de conductores no puede ser negativo")))</f>
        <v>0.4</v>
      </c>
      <c r="C95" t="s">
        <v>374</v>
      </c>
      <c r="E95" s="140" t="s">
        <v>373</v>
      </c>
      <c r="F95" s="149">
        <f>IF(SUM(F88,F76)=1,'Cap 9 NTC'!C5,IF(SUM(B88,B76)=1,'Cap 9 NTC'!D5,IF(SUM(B88,B76)&gt;2,'Cap 9 NTC'!E5,"Error, número de conductores no puede ser negativo")))</f>
        <v>0.4</v>
      </c>
      <c r="G95" t="s">
        <v>374</v>
      </c>
    </row>
    <row r="97" spans="1:7" x14ac:dyDescent="0.3">
      <c r="A97" s="147" t="str">
        <f>IF(B94&lt;=B95,"OK",IF(B94&gt;B95,"ERROR"))</f>
        <v>OK</v>
      </c>
      <c r="B97" s="289" t="str">
        <f>IF(B94&lt;=B95,"La tuberia seleccionada cumple con los porcentajes de la tabla 1 del capitulo 9 de la NTC 2050",IF(B94&gt;B95,"La tuberia seleccionada NO cumple con los porcentajes de la tabla 1 del capitulo 9 de la NTC 2050"))</f>
        <v>La tuberia seleccionada cumple con los porcentajes de la tabla 1 del capitulo 9 de la NTC 2050</v>
      </c>
      <c r="C97" s="289"/>
      <c r="D97" s="289"/>
      <c r="E97" s="147" t="e">
        <f>IF(F94&lt;=F95,"OK",IF(F94&gt;F95,"ERROR"))</f>
        <v>#N/A</v>
      </c>
      <c r="F97" s="289" t="e">
        <f>IF(F94&lt;=F95,"La tuberia seleccionada cumple con los porcentajes de la tabla 1 del capitulo 9 de la NTC 2050",IF(F94&gt;F95,"La tuberia seleccionada NO cumple con los porcentajes de la tabla 1 del capitulo 9 de la NTC 2050"))</f>
        <v>#N/A</v>
      </c>
      <c r="G97" s="289"/>
    </row>
    <row r="98" spans="1:7" x14ac:dyDescent="0.3">
      <c r="B98" s="289"/>
      <c r="C98" s="289"/>
      <c r="D98" s="289"/>
      <c r="F98" s="289"/>
      <c r="G98" s="289"/>
    </row>
    <row r="99" spans="1:7" ht="12" customHeight="1" x14ac:dyDescent="0.3"/>
    <row r="100" spans="1:7" ht="15.6" x14ac:dyDescent="0.3">
      <c r="A100" s="288" t="s">
        <v>440</v>
      </c>
      <c r="B100" s="288"/>
      <c r="C100" s="288"/>
      <c r="D100" s="288"/>
      <c r="E100" s="288"/>
      <c r="F100" s="288"/>
      <c r="G100" s="288"/>
    </row>
    <row r="101" spans="1:7" ht="12" customHeight="1" x14ac:dyDescent="0.3"/>
    <row r="102" spans="1:7" x14ac:dyDescent="0.3">
      <c r="A102" s="43" t="s">
        <v>397</v>
      </c>
      <c r="E102" s="43" t="s">
        <v>398</v>
      </c>
    </row>
    <row r="103" spans="1:7" x14ac:dyDescent="0.3">
      <c r="A103" s="43" t="s">
        <v>343</v>
      </c>
      <c r="E103" s="43" t="s">
        <v>343</v>
      </c>
    </row>
    <row r="104" spans="1:7" x14ac:dyDescent="0.3">
      <c r="A104" s="140" t="s">
        <v>388</v>
      </c>
      <c r="B104" s="141" t="s">
        <v>395</v>
      </c>
      <c r="E104" s="140" t="s">
        <v>388</v>
      </c>
      <c r="F104" s="141"/>
    </row>
    <row r="105" spans="1:7" x14ac:dyDescent="0.3">
      <c r="A105" s="140" t="s">
        <v>392</v>
      </c>
      <c r="B105" s="141">
        <v>80</v>
      </c>
      <c r="E105" s="140" t="s">
        <v>392</v>
      </c>
      <c r="F105" s="141"/>
    </row>
    <row r="106" spans="1:7" x14ac:dyDescent="0.3">
      <c r="A106" s="140" t="s">
        <v>393</v>
      </c>
      <c r="B106" s="141">
        <v>200</v>
      </c>
      <c r="E106" s="140" t="s">
        <v>393</v>
      </c>
      <c r="F106" s="141"/>
    </row>
    <row r="107" spans="1:7" x14ac:dyDescent="0.3">
      <c r="A107" s="140" t="s">
        <v>394</v>
      </c>
      <c r="B107" s="141">
        <v>150</v>
      </c>
      <c r="C107" t="s">
        <v>345</v>
      </c>
      <c r="E107" s="140" t="s">
        <v>394</v>
      </c>
      <c r="F107" s="141"/>
      <c r="G107" t="s">
        <v>345</v>
      </c>
    </row>
    <row r="108" spans="1:7" x14ac:dyDescent="0.3">
      <c r="A108" s="140" t="s">
        <v>396</v>
      </c>
      <c r="B108" s="142">
        <f>B106*B105</f>
        <v>16000</v>
      </c>
      <c r="E108" s="140" t="s">
        <v>396</v>
      </c>
      <c r="F108" s="142">
        <f>F106*F105</f>
        <v>0</v>
      </c>
    </row>
    <row r="110" spans="1:7" x14ac:dyDescent="0.3">
      <c r="A110" s="43" t="s">
        <v>376</v>
      </c>
      <c r="E110" s="43" t="s">
        <v>376</v>
      </c>
    </row>
    <row r="111" spans="1:7" x14ac:dyDescent="0.3">
      <c r="A111" s="140" t="s">
        <v>430</v>
      </c>
      <c r="B111" s="141" t="s">
        <v>549</v>
      </c>
      <c r="C111" t="s">
        <v>365</v>
      </c>
      <c r="E111" s="140" t="s">
        <v>364</v>
      </c>
      <c r="F111" s="141"/>
      <c r="G111" t="s">
        <v>365</v>
      </c>
    </row>
    <row r="112" spans="1:7" x14ac:dyDescent="0.3">
      <c r="A112" s="140" t="s">
        <v>432</v>
      </c>
      <c r="B112" s="141">
        <v>8</v>
      </c>
      <c r="E112" s="140" t="s">
        <v>363</v>
      </c>
      <c r="F112" s="141"/>
    </row>
    <row r="113" spans="1:7" x14ac:dyDescent="0.3">
      <c r="A113" s="140" t="s">
        <v>362</v>
      </c>
      <c r="B113" s="141">
        <v>12.03</v>
      </c>
      <c r="C113" t="s">
        <v>367</v>
      </c>
      <c r="E113" s="140" t="s">
        <v>362</v>
      </c>
      <c r="F113" s="141"/>
      <c r="G113" t="s">
        <v>367</v>
      </c>
    </row>
    <row r="114" spans="1:7" x14ac:dyDescent="0.3">
      <c r="A114" s="140" t="s">
        <v>516</v>
      </c>
      <c r="B114" s="142">
        <f>(PI()*((B113)/2)^2)*B112</f>
        <v>909.30823252180596</v>
      </c>
      <c r="E114" s="140" t="s">
        <v>516</v>
      </c>
      <c r="F114" s="142">
        <f>(PI()*((F113)/2)^2)*F112</f>
        <v>0</v>
      </c>
    </row>
    <row r="116" spans="1:7" x14ac:dyDescent="0.3">
      <c r="A116" s="140" t="s">
        <v>431</v>
      </c>
      <c r="B116" s="141"/>
      <c r="C116" t="s">
        <v>365</v>
      </c>
      <c r="E116" s="140" t="s">
        <v>364</v>
      </c>
      <c r="F116" s="141"/>
      <c r="G116" t="s">
        <v>365</v>
      </c>
    </row>
    <row r="117" spans="1:7" x14ac:dyDescent="0.3">
      <c r="A117" s="140" t="s">
        <v>433</v>
      </c>
      <c r="B117" s="141"/>
      <c r="E117" s="140" t="s">
        <v>363</v>
      </c>
      <c r="F117" s="141"/>
    </row>
    <row r="118" spans="1:7" x14ac:dyDescent="0.3">
      <c r="A118" s="140" t="s">
        <v>362</v>
      </c>
      <c r="B118" s="141"/>
      <c r="C118" t="s">
        <v>367</v>
      </c>
      <c r="E118" s="140" t="s">
        <v>362</v>
      </c>
      <c r="F118" s="141"/>
      <c r="G118" t="s">
        <v>367</v>
      </c>
    </row>
    <row r="119" spans="1:7" x14ac:dyDescent="0.3">
      <c r="A119" s="140" t="s">
        <v>515</v>
      </c>
      <c r="B119" s="142">
        <f>(PI()*((B118)/2)^2)*B117</f>
        <v>0</v>
      </c>
      <c r="E119" s="140" t="s">
        <v>515</v>
      </c>
      <c r="F119" s="142">
        <f>(PI()*((F118)/2)^2)*F117</f>
        <v>0</v>
      </c>
    </row>
    <row r="120" spans="1:7" ht="28.8" x14ac:dyDescent="0.3">
      <c r="A120" s="140" t="s">
        <v>368</v>
      </c>
      <c r="B120" s="142">
        <f>B119+B114</f>
        <v>909.30823252180596</v>
      </c>
      <c r="E120" s="140" t="s">
        <v>368</v>
      </c>
      <c r="F120" s="142">
        <f>F119+F114</f>
        <v>0</v>
      </c>
    </row>
    <row r="122" spans="1:7" x14ac:dyDescent="0.3">
      <c r="A122" s="43" t="s">
        <v>377</v>
      </c>
      <c r="E122" s="43" t="s">
        <v>377</v>
      </c>
    </row>
    <row r="123" spans="1:7" x14ac:dyDescent="0.3">
      <c r="A123" s="140" t="s">
        <v>364</v>
      </c>
      <c r="B123" s="141" t="s">
        <v>550</v>
      </c>
      <c r="C123" t="s">
        <v>365</v>
      </c>
      <c r="E123" s="140" t="s">
        <v>364</v>
      </c>
      <c r="F123" s="141"/>
      <c r="G123" t="s">
        <v>365</v>
      </c>
    </row>
    <row r="124" spans="1:7" x14ac:dyDescent="0.3">
      <c r="A124" s="140" t="s">
        <v>363</v>
      </c>
      <c r="B124" s="141">
        <v>2</v>
      </c>
      <c r="E124" s="140" t="s">
        <v>363</v>
      </c>
      <c r="F124" s="141"/>
    </row>
    <row r="125" spans="1:7" x14ac:dyDescent="0.3">
      <c r="A125" s="140" t="s">
        <v>362</v>
      </c>
      <c r="B125" s="141">
        <v>6.39</v>
      </c>
      <c r="C125" t="s">
        <v>367</v>
      </c>
      <c r="E125" s="140" t="s">
        <v>362</v>
      </c>
      <c r="F125" s="141"/>
      <c r="G125" t="s">
        <v>367</v>
      </c>
    </row>
    <row r="126" spans="1:7" x14ac:dyDescent="0.3">
      <c r="A126" s="140" t="s">
        <v>369</v>
      </c>
      <c r="B126" s="142">
        <f>(PI()*(B125/2)^2)*B124</f>
        <v>64.138912695321892</v>
      </c>
      <c r="E126" s="140" t="s">
        <v>369</v>
      </c>
      <c r="F126" s="142">
        <f>(PI()*(F125/2)^2)*F124</f>
        <v>0</v>
      </c>
    </row>
    <row r="128" spans="1:7" x14ac:dyDescent="0.3">
      <c r="A128" s="140" t="s">
        <v>399</v>
      </c>
      <c r="B128" s="142">
        <f>SUM(B125*B124,B112*B113,B118*B117)</f>
        <v>109.02</v>
      </c>
      <c r="C128" t="s">
        <v>404</v>
      </c>
      <c r="E128" s="140" t="s">
        <v>399</v>
      </c>
      <c r="F128" s="142">
        <f>SUM(F125*F124,F112*F113,F118*F117)</f>
        <v>0</v>
      </c>
      <c r="G128" t="s">
        <v>404</v>
      </c>
    </row>
    <row r="129" spans="1:8" x14ac:dyDescent="0.3">
      <c r="A129" s="140" t="s">
        <v>400</v>
      </c>
      <c r="B129" s="142">
        <f>B106</f>
        <v>200</v>
      </c>
      <c r="C129" t="s">
        <v>403</v>
      </c>
      <c r="E129" s="140" t="s">
        <v>400</v>
      </c>
      <c r="F129" s="142">
        <f>F106</f>
        <v>0</v>
      </c>
      <c r="G129" t="s">
        <v>403</v>
      </c>
    </row>
    <row r="131" spans="1:8" x14ac:dyDescent="0.3">
      <c r="A131" s="140" t="s">
        <v>372</v>
      </c>
      <c r="B131" s="142">
        <f>SUM(B120,B126)</f>
        <v>973.44714521712785</v>
      </c>
      <c r="E131" s="140" t="s">
        <v>372</v>
      </c>
      <c r="F131" s="142">
        <f>SUM(F120,F126)</f>
        <v>0</v>
      </c>
    </row>
    <row r="133" spans="1:8" x14ac:dyDescent="0.3">
      <c r="A133" s="140" t="s">
        <v>402</v>
      </c>
      <c r="B133" s="149">
        <f>B131/B108</f>
        <v>6.0840446576070489E-2</v>
      </c>
      <c r="E133" s="140" t="s">
        <v>402</v>
      </c>
      <c r="F133" s="149" t="e">
        <f>F131/F108</f>
        <v>#DIV/0!</v>
      </c>
    </row>
    <row r="134" spans="1:8" x14ac:dyDescent="0.3">
      <c r="A134" s="140" t="s">
        <v>401</v>
      </c>
      <c r="B134" s="149">
        <v>0.4</v>
      </c>
      <c r="C134" t="s">
        <v>344</v>
      </c>
      <c r="E134" s="140" t="s">
        <v>401</v>
      </c>
      <c r="F134" s="149">
        <v>0.4</v>
      </c>
      <c r="G134" t="s">
        <v>344</v>
      </c>
    </row>
    <row r="136" spans="1:8" ht="15" customHeight="1" x14ac:dyDescent="0.3">
      <c r="A136" s="147" t="str">
        <f>IF(AND(B133&lt;=B134,B128&lt;=B129),"OK",IF(OR(B133&gt;B134,B128&gt;B129),"ERROR"))</f>
        <v>OK</v>
      </c>
      <c r="B136" s="289" t="str">
        <f>IF(AND(B133&lt;=B134,B128&lt;=B129),"La bandeja seleccionada cumple con el articulo 318-10 b) de la NTC 2050 y el articulo 20.3 i) del RETIE",IF(B133&gt;B134,"El porcentaje de ocupacion del area transversal de la bandeja es mayor al 40%",IF(B128&gt;B129,"la bandeja ")))</f>
        <v>La bandeja seleccionada cumple con el articulo 318-10 b) de la NTC 2050 y el articulo 20.3 i) del RETIE</v>
      </c>
      <c r="C136" s="289"/>
      <c r="D136" s="289"/>
      <c r="E136" s="147" t="e">
        <f>IF(AND(F133&lt;=F134,F128&lt;=F129),"OK",IF(OR(F133&gt;F134,F128&gt;F129),"ERROR"))</f>
        <v>#DIV/0!</v>
      </c>
      <c r="F136" s="289" t="e">
        <f>IF(AND(F133&lt;=F134,F128&lt;=F129),"La bandeja seleccionada cumple con el articulo 318-10 b) de la NTC 2050 y el articulo 20.3 i) del RETIE",IF(F133&gt;F134,"El porcentaje de ocupacion del area transversal de la bandeja es mayor al 40%",IF(F128&gt;F129,"la bandeja ")))</f>
        <v>#DIV/0!</v>
      </c>
      <c r="G136" s="289"/>
      <c r="H136" s="195"/>
    </row>
    <row r="137" spans="1:8" x14ac:dyDescent="0.3">
      <c r="B137" s="289"/>
      <c r="C137" s="289"/>
      <c r="D137" s="289"/>
      <c r="F137" s="289"/>
      <c r="G137" s="289"/>
      <c r="H137" s="195"/>
    </row>
    <row r="139" spans="1:8" ht="15.6" x14ac:dyDescent="0.3">
      <c r="A139" s="288" t="s">
        <v>441</v>
      </c>
      <c r="B139" s="288"/>
      <c r="C139" s="288"/>
      <c r="D139" s="288"/>
      <c r="E139" s="288"/>
      <c r="F139" s="288"/>
      <c r="G139" s="288"/>
    </row>
    <row r="140" spans="1:8" ht="12" customHeight="1" x14ac:dyDescent="0.3"/>
    <row r="141" spans="1:8" x14ac:dyDescent="0.3">
      <c r="A141" s="43" t="s">
        <v>424</v>
      </c>
      <c r="E141" s="43" t="s">
        <v>425</v>
      </c>
    </row>
    <row r="142" spans="1:8" x14ac:dyDescent="0.3">
      <c r="A142" s="140" t="s">
        <v>437</v>
      </c>
      <c r="B142" s="141" t="s">
        <v>526</v>
      </c>
      <c r="E142" s="140" t="s">
        <v>437</v>
      </c>
      <c r="F142" s="141"/>
    </row>
    <row r="143" spans="1:8" ht="28.8" x14ac:dyDescent="0.3">
      <c r="A143" s="140" t="s">
        <v>451</v>
      </c>
      <c r="B143" s="141">
        <v>5</v>
      </c>
      <c r="E143" s="140" t="s">
        <v>451</v>
      </c>
      <c r="F143" s="141"/>
    </row>
    <row r="144" spans="1:8" x14ac:dyDescent="0.3">
      <c r="A144" s="140" t="s">
        <v>453</v>
      </c>
      <c r="B144" s="197">
        <v>1</v>
      </c>
      <c r="E144" s="140" t="s">
        <v>453</v>
      </c>
      <c r="F144" s="197"/>
    </row>
    <row r="145" spans="1:7" x14ac:dyDescent="0.3">
      <c r="A145" s="43"/>
      <c r="E145" s="43"/>
    </row>
    <row r="146" spans="1:7" x14ac:dyDescent="0.3">
      <c r="A146" s="140" t="s">
        <v>458</v>
      </c>
      <c r="B146" s="142">
        <f>$B$6</f>
        <v>208</v>
      </c>
      <c r="E146" s="140" t="s">
        <v>458</v>
      </c>
      <c r="F146" s="142">
        <f>$B$6</f>
        <v>208</v>
      </c>
    </row>
    <row r="147" spans="1:7" x14ac:dyDescent="0.3">
      <c r="A147" s="140" t="s">
        <v>459</v>
      </c>
      <c r="B147" s="142">
        <f>$B$12</f>
        <v>61.18</v>
      </c>
      <c r="E147" s="140" t="s">
        <v>459</v>
      </c>
      <c r="F147" s="142">
        <f>$B$12</f>
        <v>61.18</v>
      </c>
    </row>
    <row r="148" spans="1:7" x14ac:dyDescent="0.3">
      <c r="A148" s="43"/>
      <c r="E148" s="43"/>
    </row>
    <row r="149" spans="1:7" x14ac:dyDescent="0.3">
      <c r="A149" s="140" t="s">
        <v>460</v>
      </c>
      <c r="B149" s="197" t="s">
        <v>456</v>
      </c>
      <c r="E149" s="140" t="s">
        <v>460</v>
      </c>
      <c r="F149" s="197"/>
    </row>
    <row r="150" spans="1:7" x14ac:dyDescent="0.3">
      <c r="A150" s="140" t="s">
        <v>454</v>
      </c>
      <c r="B150" s="142">
        <f>IF(B17="COBRE",VLOOKUP(B32,'Cap 9 NTC'!N44:S64,MATCH(B149,'Cap 9 NTC'!R43:S43,0)+4,FALSE),VLOOKUP(B32,'Cap 9 NTC'!N44:U64,MATCH(B149,'Cap 9 NTC'!T43:U43,0)+6,FALSE))</f>
        <v>1.02</v>
      </c>
      <c r="C150" t="s">
        <v>461</v>
      </c>
      <c r="E150" s="140" t="s">
        <v>454</v>
      </c>
      <c r="F150" s="142" t="e">
        <f>IF(B17="COBRE",VLOOKUP(B32,'Cap 9 NTC'!N44:S64,MATCH(F149,'Cap 9 NTC'!R43:S43,0)+4,FALSE),VLOOKUP(B32,'Cap 9 NTC'!N44:U64,MATCH(F149,'Cap 9 NTC'!T43:U43,0)+6,FALSE))</f>
        <v>#N/A</v>
      </c>
      <c r="G150" t="s">
        <v>461</v>
      </c>
    </row>
    <row r="151" spans="1:7" x14ac:dyDescent="0.3">
      <c r="A151" s="140" t="s">
        <v>455</v>
      </c>
      <c r="B151" s="199">
        <f>VLOOKUP(B32,'Cap 9 NTC'!N44:Q64,MATCH(B149,'Cap 9 NTC'!P43:Q43,0)+2,FALSE)</f>
        <v>0.19700000000000001</v>
      </c>
      <c r="C151" t="s">
        <v>461</v>
      </c>
      <c r="E151" s="140" t="s">
        <v>455</v>
      </c>
      <c r="F151" s="199" t="e">
        <f>VLOOKUP(B32,'Cap 9 NTC'!N44:Q64,MATCH(F149,'Cap 9 NTC'!P43:Q43,0)+2,FALSE)</f>
        <v>#N/A</v>
      </c>
      <c r="G151" t="s">
        <v>461</v>
      </c>
    </row>
    <row r="152" spans="1:7" x14ac:dyDescent="0.3">
      <c r="A152" s="140" t="s">
        <v>457</v>
      </c>
      <c r="B152" s="142">
        <f>((B150*B144)+B151*SIN(ACOS(B144)))</f>
        <v>1.02</v>
      </c>
      <c r="E152" s="140" t="s">
        <v>457</v>
      </c>
      <c r="F152" s="142" t="e">
        <f>((F150*F144)+F151*SIN(ACOS(F144)))</f>
        <v>#N/A</v>
      </c>
    </row>
    <row r="154" spans="1:7" x14ac:dyDescent="0.3">
      <c r="A154" s="140" t="s">
        <v>527</v>
      </c>
      <c r="B154" s="142">
        <f>SQRT(3)*B147*(B143/1000)*B152</f>
        <v>0.5404310288760259</v>
      </c>
      <c r="E154" s="140" t="s">
        <v>527</v>
      </c>
      <c r="F154" s="142" t="e">
        <f>SQRT(3)*F147*(F143/1000)*F152</f>
        <v>#N/A</v>
      </c>
    </row>
    <row r="155" spans="1:7" x14ac:dyDescent="0.3">
      <c r="A155" s="140" t="s">
        <v>341</v>
      </c>
      <c r="B155" s="149">
        <f>B154/B146</f>
        <v>2.5982261003655092E-3</v>
      </c>
      <c r="E155" s="140" t="s">
        <v>341</v>
      </c>
      <c r="F155" s="149" t="e">
        <f>F154/F146</f>
        <v>#N/A</v>
      </c>
    </row>
    <row r="157" spans="1:7" x14ac:dyDescent="0.3">
      <c r="A157" s="147" t="str">
        <f>IF(B155&lt;3%,"OK",IF(B155&gt;=3%,"ERROR"))</f>
        <v>OK</v>
      </c>
      <c r="B157" s="43" t="str">
        <f>IF(B155&lt;3%,"Cumple con el articulo 27.3 c) del RETIE ",IF(B155&gt;=3%,"ERROR. Regulación de voltaje mayor al 3%. No cumple con el articulo 27.3 c) del RETIE "))</f>
        <v xml:space="preserve">Cumple con el articulo 27.3 c) del RETIE </v>
      </c>
      <c r="E157" s="147" t="e">
        <f>IF(F155&lt;3%,"OK",IF(F155&gt;=3%,"ERROR"))</f>
        <v>#N/A</v>
      </c>
      <c r="F157" s="43" t="e">
        <f>IF(F155&lt;3%,"Cumple con el articulo 27.3 c) del RETIE ",IF(F155&gt;=3%,"ERROR. Regulación de voltaje mayor al 3%. No cumple con el articulo 27.3 c) del RETIE "))</f>
        <v>#N/A</v>
      </c>
    </row>
    <row r="159" spans="1:7" x14ac:dyDescent="0.3">
      <c r="A159" s="43" t="s">
        <v>409</v>
      </c>
      <c r="E159" s="43" t="s">
        <v>409</v>
      </c>
    </row>
    <row r="160" spans="1:7" x14ac:dyDescent="0.3">
      <c r="A160" s="140" t="s">
        <v>405</v>
      </c>
      <c r="B160" s="142">
        <f>3*B152*($B$7^2)*(B143/1000)</f>
        <v>116.87302800000002</v>
      </c>
      <c r="E160" s="140" t="s">
        <v>405</v>
      </c>
      <c r="F160" s="142" t="e">
        <f>3*F152*($B$7^2)*(F143/1000)</f>
        <v>#N/A</v>
      </c>
    </row>
    <row r="161" spans="1:6" x14ac:dyDescent="0.3">
      <c r="A161" s="140" t="s">
        <v>407</v>
      </c>
      <c r="B161" s="198">
        <v>5</v>
      </c>
      <c r="E161" s="140" t="s">
        <v>407</v>
      </c>
      <c r="F161" s="198"/>
    </row>
    <row r="162" spans="1:6" x14ac:dyDescent="0.3">
      <c r="A162" s="140" t="s">
        <v>408</v>
      </c>
      <c r="B162" s="142">
        <f>B161*B160*30/1000</f>
        <v>17.530954200000004</v>
      </c>
      <c r="E162" s="140" t="s">
        <v>408</v>
      </c>
      <c r="F162" s="142" t="e">
        <f>F161*F160*30/1000</f>
        <v>#N/A</v>
      </c>
    </row>
  </sheetData>
  <mergeCells count="16">
    <mergeCell ref="A100:G100"/>
    <mergeCell ref="B136:D137"/>
    <mergeCell ref="F136:G137"/>
    <mergeCell ref="A139:G139"/>
    <mergeCell ref="C45:I45"/>
    <mergeCell ref="B54:D55"/>
    <mergeCell ref="A57:G57"/>
    <mergeCell ref="A64:G64"/>
    <mergeCell ref="B97:D98"/>
    <mergeCell ref="F97:G98"/>
    <mergeCell ref="A43:G43"/>
    <mergeCell ref="A10:G10"/>
    <mergeCell ref="A14:G14"/>
    <mergeCell ref="G27:G32"/>
    <mergeCell ref="A34:G34"/>
    <mergeCell ref="B40:D41"/>
  </mergeCells>
  <conditionalFormatting sqref="A40">
    <cfRule type="containsText" dxfId="94" priority="29" operator="containsText" text="OK">
      <formula>NOT(ISERROR(SEARCH("OK",A40)))</formula>
    </cfRule>
    <cfRule type="containsText" dxfId="93" priority="30" operator="containsText" text="ERROR">
      <formula>NOT(ISERROR(SEARCH("ERROR",A40)))</formula>
    </cfRule>
    <cfRule type="containsText" dxfId="92" priority="31" operator="containsText" text="SI">
      <formula>NOT(ISERROR(SEARCH("SI",A40)))</formula>
    </cfRule>
    <cfRule type="containsText" dxfId="91" priority="32" operator="containsText" text="NO">
      <formula>NOT(ISERROR(SEARCH("NO",A40)))</formula>
    </cfRule>
  </conditionalFormatting>
  <conditionalFormatting sqref="A54">
    <cfRule type="containsText" dxfId="90" priority="37" operator="containsText" text="OK">
      <formula>NOT(ISERROR(SEARCH("OK",A54)))</formula>
    </cfRule>
    <cfRule type="containsText" dxfId="89" priority="38" operator="containsText" text="ERROR">
      <formula>NOT(ISERROR(SEARCH("ERROR",A54)))</formula>
    </cfRule>
    <cfRule type="containsText" dxfId="88" priority="39" operator="containsText" text="SI">
      <formula>NOT(ISERROR(SEARCH("SI",A54)))</formula>
    </cfRule>
    <cfRule type="containsText" dxfId="87" priority="40" operator="containsText" text="NO">
      <formula>NOT(ISERROR(SEARCH("NO",A54)))</formula>
    </cfRule>
  </conditionalFormatting>
  <conditionalFormatting sqref="A97">
    <cfRule type="containsText" dxfId="86" priority="25" operator="containsText" text="OK">
      <formula>NOT(ISERROR(SEARCH("OK",A97)))</formula>
    </cfRule>
    <cfRule type="containsText" dxfId="85" priority="26" operator="containsText" text="ERROR">
      <formula>NOT(ISERROR(SEARCH("ERROR",A97)))</formula>
    </cfRule>
    <cfRule type="containsText" dxfId="84" priority="27" operator="containsText" text="SI">
      <formula>NOT(ISERROR(SEARCH("SI",A97)))</formula>
    </cfRule>
    <cfRule type="containsText" dxfId="83" priority="28" operator="containsText" text="NO">
      <formula>NOT(ISERROR(SEARCH("NO",A97)))</formula>
    </cfRule>
  </conditionalFormatting>
  <conditionalFormatting sqref="A136">
    <cfRule type="containsText" dxfId="82" priority="17" operator="containsText" text="OK">
      <formula>NOT(ISERROR(SEARCH("OK",A136)))</formula>
    </cfRule>
    <cfRule type="containsText" dxfId="81" priority="18" operator="containsText" text="ERROR">
      <formula>NOT(ISERROR(SEARCH("ERROR",A136)))</formula>
    </cfRule>
    <cfRule type="containsText" dxfId="80" priority="19" operator="containsText" text="SI">
      <formula>NOT(ISERROR(SEARCH("SI",A136)))</formula>
    </cfRule>
    <cfRule type="containsText" dxfId="79" priority="20" operator="containsText" text="NO">
      <formula>NOT(ISERROR(SEARCH("NO",A136)))</formula>
    </cfRule>
  </conditionalFormatting>
  <conditionalFormatting sqref="A157">
    <cfRule type="containsText" dxfId="78" priority="33" operator="containsText" text="OK">
      <formula>NOT(ISERROR(SEARCH("OK",A157)))</formula>
    </cfRule>
    <cfRule type="containsText" dxfId="77" priority="34" operator="containsText" text="ERROR">
      <formula>NOT(ISERROR(SEARCH("ERROR",A157)))</formula>
    </cfRule>
    <cfRule type="containsText" dxfId="76" priority="35" operator="containsText" text="SI">
      <formula>NOT(ISERROR(SEARCH("SI",A157)))</formula>
    </cfRule>
    <cfRule type="containsText" dxfId="75" priority="36" operator="containsText" text="NO">
      <formula>NOT(ISERROR(SEARCH("NO",A157)))</formula>
    </cfRule>
  </conditionalFormatting>
  <conditionalFormatting sqref="A177">
    <cfRule type="containsText" dxfId="74" priority="9" operator="containsText" text="OK">
      <formula>NOT(ISERROR(SEARCH("OK",A177)))</formula>
    </cfRule>
    <cfRule type="containsText" dxfId="73" priority="10" operator="containsText" text="ERROR">
      <formula>NOT(ISERROR(SEARCH("ERROR",A177)))</formula>
    </cfRule>
    <cfRule type="containsText" dxfId="72" priority="11" operator="containsText" text="SI">
      <formula>NOT(ISERROR(SEARCH("SI",A177)))</formula>
    </cfRule>
    <cfRule type="containsText" dxfId="71" priority="12" operator="containsText" text="NO">
      <formula>NOT(ISERROR(SEARCH("NO",A177)))</formula>
    </cfRule>
  </conditionalFormatting>
  <conditionalFormatting sqref="B48">
    <cfRule type="containsText" dxfId="70" priority="43" operator="containsText" text="SI">
      <formula>NOT(ISERROR(SEARCH("SI",B48)))</formula>
    </cfRule>
    <cfRule type="containsText" dxfId="69" priority="44" operator="containsText" text="NO">
      <formula>NOT(ISERROR(SEARCH("NO",B48)))</formula>
    </cfRule>
  </conditionalFormatting>
  <conditionalFormatting sqref="B52">
    <cfRule type="containsText" dxfId="68" priority="41" operator="containsText" text="SI">
      <formula>NOT(ISERROR(SEARCH("SI",B52)))</formula>
    </cfRule>
    <cfRule type="containsText" dxfId="67" priority="42" operator="containsText" text="NO">
      <formula>NOT(ISERROR(SEARCH("NO",B52)))</formula>
    </cfRule>
  </conditionalFormatting>
  <conditionalFormatting sqref="E97">
    <cfRule type="containsText" dxfId="66" priority="21" operator="containsText" text="OK">
      <formula>NOT(ISERROR(SEARCH("OK",E97)))</formula>
    </cfRule>
    <cfRule type="containsText" dxfId="65" priority="22" operator="containsText" text="ERROR">
      <formula>NOT(ISERROR(SEARCH("ERROR",E97)))</formula>
    </cfRule>
    <cfRule type="containsText" dxfId="64" priority="23" operator="containsText" text="SI">
      <formula>NOT(ISERROR(SEARCH("SI",E97)))</formula>
    </cfRule>
    <cfRule type="containsText" dxfId="63" priority="24" operator="containsText" text="NO">
      <formula>NOT(ISERROR(SEARCH("NO",E97)))</formula>
    </cfRule>
  </conditionalFormatting>
  <conditionalFormatting sqref="E136">
    <cfRule type="containsText" dxfId="62" priority="13" operator="containsText" text="OK">
      <formula>NOT(ISERROR(SEARCH("OK",E136)))</formula>
    </cfRule>
    <cfRule type="containsText" dxfId="61" priority="14" operator="containsText" text="ERROR">
      <formula>NOT(ISERROR(SEARCH("ERROR",E136)))</formula>
    </cfRule>
    <cfRule type="containsText" dxfId="60" priority="15" operator="containsText" text="SI">
      <formula>NOT(ISERROR(SEARCH("SI",E136)))</formula>
    </cfRule>
    <cfRule type="containsText" dxfId="59" priority="16" operator="containsText" text="NO">
      <formula>NOT(ISERROR(SEARCH("NO",E136)))</formula>
    </cfRule>
  </conditionalFormatting>
  <conditionalFormatting sqref="E157">
    <cfRule type="containsText" dxfId="58" priority="1" operator="containsText" text="OK">
      <formula>NOT(ISERROR(SEARCH("OK",E157)))</formula>
    </cfRule>
    <cfRule type="containsText" dxfId="57" priority="2" operator="containsText" text="ERROR">
      <formula>NOT(ISERROR(SEARCH("ERROR",E157)))</formula>
    </cfRule>
    <cfRule type="containsText" dxfId="56" priority="3" operator="containsText" text="SI">
      <formula>NOT(ISERROR(SEARCH("SI",E157)))</formula>
    </cfRule>
    <cfRule type="containsText" dxfId="55" priority="4" operator="containsText" text="NO">
      <formula>NOT(ISERROR(SEARCH("NO",E157)))</formula>
    </cfRule>
  </conditionalFormatting>
  <conditionalFormatting sqref="E177">
    <cfRule type="containsText" dxfId="54" priority="5" operator="containsText" text="OK">
      <formula>NOT(ISERROR(SEARCH("OK",E177)))</formula>
    </cfRule>
    <cfRule type="containsText" dxfId="53" priority="6" operator="containsText" text="ERROR">
      <formula>NOT(ISERROR(SEARCH("ERROR",E177)))</formula>
    </cfRule>
    <cfRule type="containsText" dxfId="52" priority="7" operator="containsText" text="SI">
      <formula>NOT(ISERROR(SEARCH("SI",E177)))</formula>
    </cfRule>
    <cfRule type="containsText" dxfId="51" priority="8" operator="containsText" text="NO">
      <formula>NOT(ISERROR(SEARCH("NO",E177)))</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3F1DBF9C-CA6C-49E0-921A-064D1B3796E8}">
          <x14:formula1>
            <xm:f>Listas!$G$2:$G$3</xm:f>
          </x14:formula1>
          <xm:sqref>B149 F149</xm:sqref>
        </x14:dataValidation>
        <x14:dataValidation type="list" allowBlank="1" showInputMessage="1" showErrorMessage="1" xr:uid="{DC3A27C0-5ABF-4124-9BF0-7E3E5B9373E8}">
          <x14:formula1>
            <xm:f>Listas!$A$2:$A$4</xm:f>
          </x14:formula1>
          <xm:sqref>B17 B59</xm:sqref>
        </x14:dataValidation>
        <x14:dataValidation type="list" allowBlank="1" showInputMessage="1" showErrorMessage="1" xr:uid="{E8FA68EB-BFF7-46E7-9A8B-C32714E25AB5}">
          <x14:formula1>
            <xm:f>Listas!$B$2:$B$5</xm:f>
          </x14:formula1>
          <xm:sqref>B45 B18</xm:sqref>
        </x14:dataValidation>
        <x14:dataValidation type="list" allowBlank="1" showInputMessage="1" showErrorMessage="1" xr:uid="{3CFD1E67-CF75-4772-8FD5-18CD61E51BEE}">
          <x14:formula1>
            <xm:f>Listas!$D$2:$D$5</xm:f>
          </x14:formula1>
          <xm:sqref>B69 F69</xm:sqref>
        </x14:dataValidation>
        <x14:dataValidation type="list" allowBlank="1" showInputMessage="1" showErrorMessage="1" xr:uid="{BDA56AC1-7B0B-4213-8AAF-B80C670329E4}">
          <x14:formula1>
            <xm:f>Listas!$E$2:$E$12</xm:f>
          </x14:formula1>
          <xm:sqref>B70 F70</xm:sqref>
        </x14:dataValidation>
        <x14:dataValidation type="list" allowBlank="1" showInputMessage="1" showErrorMessage="1" xr:uid="{EE4A287E-BBB2-43DB-8934-71D20259EBF4}">
          <x14:formula1>
            <xm:f>Listas!$C$2:$C$31</xm:f>
          </x14:formula1>
          <xm:sqref>B32 B62</xm:sqref>
        </x14:dataValidation>
        <x14:dataValidation type="list" allowBlank="1" showInputMessage="1" showErrorMessage="1" xr:uid="{E9510A49-6A1C-4B7F-AF6B-ACAAF8DD2A74}">
          <x14:formula1>
            <xm:f>Listas!$F$2:$F$4</xm:f>
          </x14:formula1>
          <xm:sqref>B19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1"/>
  <sheetViews>
    <sheetView showGridLines="0" zoomScale="90" zoomScaleNormal="90" workbookViewId="0">
      <selection activeCell="E31" sqref="E31"/>
    </sheetView>
  </sheetViews>
  <sheetFormatPr baseColWidth="10" defaultColWidth="11.44140625" defaultRowHeight="14.4" x14ac:dyDescent="0.3"/>
  <cols>
    <col min="1" max="1" width="38.6640625" customWidth="1"/>
    <col min="2" max="2" width="25.6640625" customWidth="1"/>
    <col min="3" max="3" width="11.88671875" bestFit="1" customWidth="1"/>
    <col min="4" max="4" width="16.5546875" customWidth="1"/>
    <col min="5" max="5" width="38.6640625" customWidth="1"/>
    <col min="6" max="6" width="25.6640625" customWidth="1"/>
    <col min="7" max="7" width="34.5546875" customWidth="1"/>
    <col min="8" max="8" width="18.88671875" customWidth="1"/>
    <col min="10" max="10" width="22.33203125" customWidth="1"/>
  </cols>
  <sheetData>
    <row r="1" spans="1:8" x14ac:dyDescent="0.3">
      <c r="A1" s="43" t="s">
        <v>545</v>
      </c>
      <c r="E1" s="43" t="s">
        <v>546</v>
      </c>
      <c r="H1" s="43" t="s">
        <v>315</v>
      </c>
    </row>
    <row r="2" spans="1:8" x14ac:dyDescent="0.3">
      <c r="A2" s="212" t="s">
        <v>298</v>
      </c>
      <c r="B2" s="212" t="s">
        <v>76</v>
      </c>
      <c r="E2" s="212" t="s">
        <v>298</v>
      </c>
      <c r="F2" s="212" t="s">
        <v>76</v>
      </c>
      <c r="H2" t="str">
        <f>IF(AND(B17&gt;=21,B17&lt;=25),"21-25",IF(AND(B17&gt;=26,B17&lt;=30),"26-30",IF(AND(B17&gt;=31,B17&lt;=35),"31-35",IF(AND(B17&gt;=36,B17&lt;=40),"36-40",IF(AND(B17&gt;=41,B17&lt;=45),"41-45",IF(AND(B17&gt;=46,B17&lt;=50),"46-50",IF(AND(B17&gt;=51,B17&lt;=55),"51-55",IF(AND(B17&gt;=56,B17&lt;=60),"56-60",IF(AND(B17&gt;=61,B17&lt;=70),"61-70",IF(AND(B17&gt;=71,B17&lt;=80),"71-80","ERROR"))))))))))</f>
        <v>21-25</v>
      </c>
    </row>
    <row r="3" spans="1:8" x14ac:dyDescent="0.3">
      <c r="A3" s="213" t="s">
        <v>296</v>
      </c>
      <c r="B3" s="214" t="str">
        <f>'INV1_TABLERO FV'!B3</f>
        <v>Growatt</v>
      </c>
      <c r="E3" s="213" t="s">
        <v>296</v>
      </c>
      <c r="F3" s="214"/>
      <c r="H3">
        <f>IF(AND(B21&gt;=1,B21&lt;=3),1,IF(AND(B21&gt;=4,B21&lt;=6),"De 4 a 6",IF(AND(B21&gt;=7,B21&lt;=9),"De 7 a 9",IF(AND(B21&gt;=10,B21&lt;=20),"De 10 a 20",IF(AND(B21&gt;=21,B21&lt;=30),"De 21 a 30",IF(AND(B21&gt;=31,B21&lt;=40),"De 31 a 40",IF(B21&gt;=41,"De 41 y más","ERROR")))))))</f>
        <v>1</v>
      </c>
    </row>
    <row r="4" spans="1:8" x14ac:dyDescent="0.3">
      <c r="A4" s="213" t="s">
        <v>156</v>
      </c>
      <c r="B4" s="215" t="str">
        <f>'INV1_TABLERO FV'!B4</f>
        <v>MIN10000 TL-X2</v>
      </c>
      <c r="E4" s="213" t="s">
        <v>156</v>
      </c>
      <c r="F4" s="215"/>
      <c r="H4" s="193">
        <f>IF(B18="COBRE",IF(OR(B19="90 ºC",B19="120 ºC"),INDEX('Cap 3 NTC'!P8:P37,MATCH(B30,'Cap 3 NTC'!P8:P37,-1)),IF(B19="75 ºC",INDEX('Cap 3 NTC'!O8:O37,MATCH(B30,'Cap 3 NTC'!O8:O37,-1)),INDEX('Cap 3 NTC'!N8:N37,MATCH(B30,'Cap 3 NTC'!N8:N37,-1)))),IF(OR(B19="90 ºC",B19="120 ºC"),INDEX('Cap 3 NTC'!S8:S37,MATCH(B30,'Cap 3 NTC'!S8:S37,-1)),IF(B19="75 ºC",INDEX('Cap 3 NTC'!R8:R37,MATCH(B30,'Cap 3 NTC'!R8:R37,-1)),INDEX('Cap 3 NTC'!Q8:Q37,MATCH(B30,'Cap 3 NTC'!Q8:Q37,-1)))))</f>
        <v>55</v>
      </c>
    </row>
    <row r="5" spans="1:8" x14ac:dyDescent="0.3">
      <c r="A5" s="213" t="s">
        <v>444</v>
      </c>
      <c r="B5" s="214">
        <f>'INV1_TABLERO FV'!B5</f>
        <v>10</v>
      </c>
      <c r="E5" s="213" t="s">
        <v>444</v>
      </c>
      <c r="F5" s="214"/>
    </row>
    <row r="6" spans="1:8" x14ac:dyDescent="0.3">
      <c r="A6" s="213" t="s">
        <v>445</v>
      </c>
      <c r="B6" s="215">
        <f>'INV1_TABLERO FV'!B6</f>
        <v>220</v>
      </c>
      <c r="E6" s="213" t="s">
        <v>445</v>
      </c>
      <c r="F6" s="215"/>
    </row>
    <row r="7" spans="1:8" x14ac:dyDescent="0.3">
      <c r="A7" s="213" t="s">
        <v>446</v>
      </c>
      <c r="B7" s="214">
        <f>'INV1_TABLERO FV'!B7</f>
        <v>45.5</v>
      </c>
      <c r="E7" s="213" t="s">
        <v>446</v>
      </c>
      <c r="F7" s="214"/>
    </row>
    <row r="8" spans="1:8" x14ac:dyDescent="0.3">
      <c r="A8" s="213" t="s">
        <v>450</v>
      </c>
      <c r="B8" s="215">
        <f>'INV1_TABLERO FV'!B8</f>
        <v>2</v>
      </c>
      <c r="E8" s="213" t="s">
        <v>450</v>
      </c>
      <c r="F8" s="215"/>
    </row>
    <row r="9" spans="1:8" x14ac:dyDescent="0.3">
      <c r="A9" s="213" t="s">
        <v>462</v>
      </c>
      <c r="B9" s="214">
        <v>1</v>
      </c>
      <c r="E9" s="213" t="s">
        <v>462</v>
      </c>
      <c r="F9" s="214"/>
    </row>
    <row r="11" spans="1:8" ht="15.6" x14ac:dyDescent="0.3">
      <c r="A11" s="288" t="s">
        <v>299</v>
      </c>
      <c r="B11" s="288"/>
      <c r="C11" s="288"/>
      <c r="D11" s="288"/>
      <c r="E11" s="288"/>
      <c r="F11" s="288"/>
      <c r="G11" s="288"/>
    </row>
    <row r="12" spans="1:8" ht="12" customHeight="1" x14ac:dyDescent="0.3"/>
    <row r="13" spans="1:8" x14ac:dyDescent="0.3">
      <c r="A13" s="213" t="s">
        <v>297</v>
      </c>
      <c r="B13" s="216">
        <f>B9*B7+F9*F7</f>
        <v>45.5</v>
      </c>
    </row>
    <row r="15" spans="1:8" ht="15.6" x14ac:dyDescent="0.3">
      <c r="A15" s="288" t="s">
        <v>415</v>
      </c>
      <c r="B15" s="288"/>
      <c r="C15" s="288"/>
      <c r="D15" s="288"/>
      <c r="E15" s="288"/>
      <c r="F15" s="288"/>
      <c r="G15" s="288"/>
    </row>
    <row r="16" spans="1:8" ht="12" customHeight="1" x14ac:dyDescent="0.3"/>
    <row r="17" spans="1:7" x14ac:dyDescent="0.3">
      <c r="A17" s="140" t="s">
        <v>311</v>
      </c>
      <c r="B17" s="28">
        <v>24</v>
      </c>
      <c r="C17" t="s">
        <v>312</v>
      </c>
    </row>
    <row r="18" spans="1:7" x14ac:dyDescent="0.3">
      <c r="A18" s="140" t="s">
        <v>314</v>
      </c>
      <c r="B18" s="23" t="s">
        <v>202</v>
      </c>
    </row>
    <row r="19" spans="1:7" x14ac:dyDescent="0.3">
      <c r="A19" s="140" t="s">
        <v>305</v>
      </c>
      <c r="B19" s="141" t="s">
        <v>194</v>
      </c>
    </row>
    <row r="20" spans="1:7" x14ac:dyDescent="0.3">
      <c r="A20" s="140" t="s">
        <v>414</v>
      </c>
      <c r="B20" s="141" t="s">
        <v>412</v>
      </c>
      <c r="C20" t="s">
        <v>429</v>
      </c>
    </row>
    <row r="21" spans="1:7" ht="28.8" x14ac:dyDescent="0.3">
      <c r="A21" s="140" t="s">
        <v>308</v>
      </c>
      <c r="B21" s="28">
        <v>2</v>
      </c>
      <c r="C21" t="s">
        <v>577</v>
      </c>
    </row>
    <row r="23" spans="1:7" x14ac:dyDescent="0.3">
      <c r="A23" s="43" t="s">
        <v>370</v>
      </c>
    </row>
    <row r="24" spans="1:7" x14ac:dyDescent="0.3">
      <c r="A24" s="140" t="s">
        <v>317</v>
      </c>
      <c r="B24" s="142">
        <f>B13</f>
        <v>45.5</v>
      </c>
      <c r="C24" t="s">
        <v>300</v>
      </c>
      <c r="G24" s="43"/>
    </row>
    <row r="26" spans="1:7" x14ac:dyDescent="0.3">
      <c r="A26" s="140" t="s">
        <v>157</v>
      </c>
      <c r="B26" s="142">
        <f>IF(B18="COBRE",VLOOKUP(H2,'Cap 3 NTC'!A41:D50,MATCH(B19,'Cap 3 NTC'!A4:D4,0),FALSE),VLOOKUP(H2,'Cap 3 NTC'!A41:G50,MATCH(B19,'Cap 3 NTC'!E4:G4,0)+4,FALSE))</f>
        <v>1.04</v>
      </c>
      <c r="C26" t="s">
        <v>309</v>
      </c>
      <c r="F26" t="s">
        <v>342</v>
      </c>
    </row>
    <row r="27" spans="1:7" x14ac:dyDescent="0.3">
      <c r="A27" s="140" t="s">
        <v>158</v>
      </c>
      <c r="B27" s="142">
        <f>IF(B20="BANDEJA PORTACABLES",1,IF(AND(B21&gt;=1,B21&lt;=3),1,VLOOKUP(H3,'Cap 3 NTC'!J41:K46,2,FALSE)))</f>
        <v>1</v>
      </c>
      <c r="C27" t="s">
        <v>310</v>
      </c>
      <c r="F27" s="44" t="s">
        <v>421</v>
      </c>
    </row>
    <row r="28" spans="1:7" x14ac:dyDescent="0.3">
      <c r="A28" s="140" t="s">
        <v>316</v>
      </c>
      <c r="B28" s="142">
        <f>B13/(B26*B27)</f>
        <v>43.75</v>
      </c>
      <c r="C28" t="s">
        <v>301</v>
      </c>
      <c r="G28" s="292" t="s">
        <v>416</v>
      </c>
    </row>
    <row r="29" spans="1:7" x14ac:dyDescent="0.3">
      <c r="G29" s="292"/>
    </row>
    <row r="30" spans="1:7" x14ac:dyDescent="0.3">
      <c r="A30" s="143" t="s">
        <v>389</v>
      </c>
      <c r="B30" s="142">
        <f>IF(B28&gt;=B24,B28,B24)</f>
        <v>45.5</v>
      </c>
      <c r="E30" s="45"/>
      <c r="G30" s="292"/>
    </row>
    <row r="31" spans="1:7" x14ac:dyDescent="0.3">
      <c r="A31" s="143" t="s">
        <v>318</v>
      </c>
      <c r="B31" s="196">
        <f>IF(B18="COBRE",IF(OR(B19="90 ºC",B19="120 ºC"),VLOOKUP(H4,'Cap 3 NTC'!P8:U37,6,FALSE),IF(B19="75 ºC",VLOOKUP(H4,'Cap 3 NTC'!O8:U37,7,FALSE),IF(B19="60 ºC",VLOOKUP(H4,'Cap 3 NTC'!N8:U37,8,FALSE)))),IF(OR(B19="90 ºC",B19="120 ºC"),VLOOKUP(H4,'Cap 3 NTC'!S8:U37,3,FALSE),IF(B19="75 ºC",VLOOKUP(H4,'Cap 3 NTC'!R8:U37,4,FALSE),IF(B19="60 ºC",VLOOKUP(H4,'Cap 3 NTC'!Q8:U37,5,FALSE)))))</f>
        <v>8</v>
      </c>
      <c r="C31" s="144"/>
      <c r="G31" s="292"/>
    </row>
    <row r="32" spans="1:7" x14ac:dyDescent="0.3">
      <c r="G32" s="292"/>
    </row>
    <row r="33" spans="1:9" x14ac:dyDescent="0.3">
      <c r="A33" s="143" t="s">
        <v>319</v>
      </c>
      <c r="B33" s="146" t="s">
        <v>59</v>
      </c>
      <c r="C33" t="s">
        <v>371</v>
      </c>
      <c r="G33" s="292"/>
    </row>
    <row r="35" spans="1:9" ht="15.6" x14ac:dyDescent="0.3">
      <c r="A35" s="288" t="s">
        <v>422</v>
      </c>
      <c r="B35" s="288"/>
      <c r="C35" s="288"/>
      <c r="D35" s="288"/>
      <c r="E35" s="288"/>
      <c r="F35" s="288"/>
      <c r="G35" s="288"/>
    </row>
    <row r="36" spans="1:9" ht="12" customHeight="1" x14ac:dyDescent="0.3"/>
    <row r="37" spans="1:9" x14ac:dyDescent="0.3">
      <c r="A37" s="140" t="s">
        <v>328</v>
      </c>
      <c r="B37" s="142">
        <f>B13</f>
        <v>45.5</v>
      </c>
      <c r="C37" t="s">
        <v>330</v>
      </c>
    </row>
    <row r="39" spans="1:9" ht="28.8" x14ac:dyDescent="0.3">
      <c r="A39" s="140" t="s">
        <v>329</v>
      </c>
      <c r="B39" s="141">
        <v>50</v>
      </c>
      <c r="C39" t="s">
        <v>332</v>
      </c>
    </row>
    <row r="41" spans="1:9" x14ac:dyDescent="0.3">
      <c r="A41" s="147" t="str">
        <f>IF(B39&gt;=B37,"OK","ERROR")</f>
        <v>OK</v>
      </c>
      <c r="B41" s="289" t="str">
        <f>IF(A41="OK","Protección seleccionada es mayor a la corriente minima de OCPD",IF(A41="ERROR","La protección seleccionada debe ser mayor a la corriente minima de OCPD"))</f>
        <v>Protección seleccionada es mayor a la corriente minima de OCPD</v>
      </c>
      <c r="C41" s="289"/>
      <c r="D41" s="289"/>
      <c r="F41" s="44" t="s">
        <v>366</v>
      </c>
    </row>
    <row r="42" spans="1:9" x14ac:dyDescent="0.3">
      <c r="B42" s="289"/>
      <c r="C42" s="289"/>
      <c r="D42" s="289"/>
    </row>
    <row r="43" spans="1:9" ht="12" customHeight="1" x14ac:dyDescent="0.3"/>
    <row r="44" spans="1:9" ht="15.6" x14ac:dyDescent="0.3">
      <c r="A44" s="288" t="s">
        <v>336</v>
      </c>
      <c r="B44" s="288"/>
      <c r="C44" s="288"/>
      <c r="D44" s="288"/>
      <c r="E44" s="288"/>
      <c r="F44" s="288"/>
      <c r="G44" s="288"/>
    </row>
    <row r="45" spans="1:9" ht="12" customHeight="1" x14ac:dyDescent="0.3"/>
    <row r="46" spans="1:9" ht="28.8" x14ac:dyDescent="0.3">
      <c r="A46" s="140" t="s">
        <v>331</v>
      </c>
      <c r="B46" s="141" t="s">
        <v>192</v>
      </c>
      <c r="C46" s="290" t="s">
        <v>335</v>
      </c>
      <c r="D46" s="291"/>
      <c r="E46" s="291"/>
      <c r="F46" s="291"/>
      <c r="G46" s="291"/>
      <c r="H46" s="291"/>
      <c r="I46" s="291"/>
    </row>
    <row r="48" spans="1:9" ht="28.8" x14ac:dyDescent="0.3">
      <c r="A48" s="140" t="str">
        <f>CONCATENATE("Ampacidad del cable seleccionado @", B46, " [A]")</f>
        <v>Ampacidad del cable seleccionado @60 ºC [A]</v>
      </c>
      <c r="B48" s="145">
        <f>IF(B18="COBRE",IF(OR(B46="90 ºC",B46="120 ºC"),VLOOKUP(B33,'Cap 3 NTC'!M8:P37,4,FALSE),IF(B46="75 ºC",VLOOKUP(B33,'Cap 3 NTC'!M8:O37,3,FALSE),IF(B46="60 ºC",VLOOKUP(B33,'Cap 3 NTC'!M8:N37,2,FALSE)))),IF(OR(B46="90 ºC",B46="120 ºC"),VLOOKUP(B33,'Cap 3 NTC'!M8:S37,7,FALSE),IF(B46="75 ºC",VLOOKUP(B33,'Cap 3 NTC'!M8:R37,6,FALSE),IF(B46="60 ºC",VLOOKUP(B33,'Cap 3 NTC'!M8:Q37,5,FALSE)))))</f>
        <v>55</v>
      </c>
    </row>
    <row r="49" spans="1:7" x14ac:dyDescent="0.3">
      <c r="A49" s="140" t="s">
        <v>159</v>
      </c>
      <c r="B49" s="147" t="str">
        <f>IF(B48&gt;=B39,"SI","NO")</f>
        <v>SI</v>
      </c>
      <c r="C49" t="s">
        <v>333</v>
      </c>
    </row>
    <row r="51" spans="1:7" ht="28.8" x14ac:dyDescent="0.3">
      <c r="A51" s="140" t="str">
        <f>CONCATENATE("Ampacidad del cable seleccionado temperatura nominal @", B19, " [A]")</f>
        <v>Ampacidad del cable seleccionado temperatura nominal @90 ºC [A]</v>
      </c>
      <c r="B51" s="145">
        <f>IF(B18="COBRE",IF(OR(B19="90 ºC",B19="120 ºC"),VLOOKUP(B33,'Cap 3 NTC'!M8:P37,4,FALSE),IF(B19="75 ºC",VLOOKUP(B33,'Cap 3 NTC'!M8:O37,3,FALSE),IF(B19="60 ºC",VLOOKUP(B33,'Cap 3 NTC'!M8:N37,2,FALSE)))),IF(OR(B19="90 ºC",B19="120 ºC"),VLOOKUP(B33,'Cap 3 NTC'!M8:S37,7,FALSE),IF(B19="75 ºC",VLOOKUP(B33,'Cap 3 NTC'!M8:R37,6,FALSE),IF(B19="60 ºC",VLOOKUP(B33,'Cap 3 NTC'!M8:Q37,5,FALSE)))))</f>
        <v>75</v>
      </c>
    </row>
    <row r="52" spans="1:7" ht="28.8" x14ac:dyDescent="0.3">
      <c r="A52" s="140" t="s">
        <v>334</v>
      </c>
      <c r="B52" s="142">
        <f>B51*B27*B26</f>
        <v>78</v>
      </c>
      <c r="F52" s="43"/>
    </row>
    <row r="53" spans="1:7" x14ac:dyDescent="0.3">
      <c r="A53" s="140" t="s">
        <v>159</v>
      </c>
      <c r="B53" s="147" t="str">
        <f>IF(B52&gt;=B39,"SI","NO")</f>
        <v>SI</v>
      </c>
    </row>
    <row r="55" spans="1:7" x14ac:dyDescent="0.3">
      <c r="A55" s="147" t="str">
        <f>IF(AND(B53="SI",B49="SI"), "OK",IF(OR(B53="NO",B49="NO"),"ERROR"))</f>
        <v>OK</v>
      </c>
      <c r="B55" s="289" t="str">
        <f>IF(AND(B53="SI",B49="SI"), "La protección contra sobrecorrientes seleccionada funciona correctamente con el cable seleccionado",IF(OR(B53="NO",B49="NO"),"Realice un nuevo cálculo del cableado a utilizar o de la protección contra sobrecorrientes a utilizar"))</f>
        <v>La protección contra sobrecorrientes seleccionada funciona correctamente con el cable seleccionado</v>
      </c>
      <c r="C55" s="289"/>
      <c r="D55" s="289"/>
    </row>
    <row r="56" spans="1:7" x14ac:dyDescent="0.3">
      <c r="B56" s="289"/>
      <c r="C56" s="289"/>
      <c r="D56" s="289"/>
      <c r="E56" s="43"/>
    </row>
    <row r="57" spans="1:7" ht="12" customHeight="1" x14ac:dyDescent="0.3"/>
    <row r="58" spans="1:7" ht="15.6" x14ac:dyDescent="0.3">
      <c r="A58" s="288" t="s">
        <v>438</v>
      </c>
      <c r="B58" s="288"/>
      <c r="C58" s="288"/>
      <c r="D58" s="288"/>
      <c r="E58" s="288"/>
      <c r="F58" s="288"/>
      <c r="G58" s="288"/>
    </row>
    <row r="59" spans="1:7" ht="12" customHeight="1" x14ac:dyDescent="0.3"/>
    <row r="60" spans="1:7" x14ac:dyDescent="0.3">
      <c r="A60" s="140" t="s">
        <v>419</v>
      </c>
      <c r="B60" s="23" t="s">
        <v>202</v>
      </c>
    </row>
    <row r="61" spans="1:7" x14ac:dyDescent="0.3">
      <c r="A61" s="143" t="s">
        <v>380</v>
      </c>
      <c r="B61" s="196">
        <f>VLOOKUP(INDEX('Cap 2 NTC'!A36:A47,MATCH(B39,'Cap 2 NTC'!A36:A47,-1)),'Cap 2 NTC'!A36:C47,MATCH('TABLERO FV_INTX'!B60,'Cap 2 NTC'!B34:C34,0)+1,FALSE)</f>
        <v>10</v>
      </c>
      <c r="C61" t="s">
        <v>378</v>
      </c>
    </row>
    <row r="63" spans="1:7" ht="28.8" x14ac:dyDescent="0.3">
      <c r="A63" s="143" t="s">
        <v>420</v>
      </c>
      <c r="B63" s="146" t="s">
        <v>57</v>
      </c>
      <c r="C63" t="s">
        <v>371</v>
      </c>
    </row>
    <row r="65" spans="1:7" ht="15.6" x14ac:dyDescent="0.3">
      <c r="A65" s="288" t="s">
        <v>439</v>
      </c>
      <c r="B65" s="288"/>
      <c r="C65" s="288"/>
      <c r="D65" s="288"/>
      <c r="E65" s="288"/>
      <c r="F65" s="288"/>
      <c r="G65" s="288"/>
    </row>
    <row r="66" spans="1:7" ht="12" customHeight="1" x14ac:dyDescent="0.3"/>
    <row r="67" spans="1:7" x14ac:dyDescent="0.3">
      <c r="A67" s="43" t="s">
        <v>390</v>
      </c>
      <c r="E67" s="43" t="s">
        <v>391</v>
      </c>
    </row>
    <row r="68" spans="1:7" x14ac:dyDescent="0.3">
      <c r="A68" s="140" t="s">
        <v>423</v>
      </c>
      <c r="B68" s="141" t="s">
        <v>537</v>
      </c>
      <c r="E68" s="140" t="s">
        <v>423</v>
      </c>
      <c r="F68" s="141"/>
    </row>
    <row r="69" spans="1:7" x14ac:dyDescent="0.3">
      <c r="A69" s="43" t="s">
        <v>375</v>
      </c>
      <c r="E69" s="43" t="s">
        <v>375</v>
      </c>
    </row>
    <row r="70" spans="1:7" x14ac:dyDescent="0.3">
      <c r="A70" s="140" t="s">
        <v>346</v>
      </c>
      <c r="B70" s="141" t="s">
        <v>348</v>
      </c>
      <c r="E70" s="140" t="s">
        <v>346</v>
      </c>
      <c r="F70" s="141"/>
    </row>
    <row r="71" spans="1:7" x14ac:dyDescent="0.3">
      <c r="A71" s="140" t="s">
        <v>360</v>
      </c>
      <c r="B71" s="141" t="s">
        <v>146</v>
      </c>
      <c r="E71" s="140" t="s">
        <v>360</v>
      </c>
      <c r="F71" s="141"/>
    </row>
    <row r="73" spans="1:7" x14ac:dyDescent="0.3">
      <c r="A73" s="140" t="s">
        <v>361</v>
      </c>
      <c r="B73" s="142">
        <f>PI()*(VLOOKUP(B71,Tuberia!A4:E14,MATCH('TABLERO FV_INTX'!B70,Tuberia!A2:E2,0),FALSE)/2)^2</f>
        <v>344.04221732770264</v>
      </c>
      <c r="E73" s="140" t="s">
        <v>361</v>
      </c>
      <c r="F73" s="142" t="e">
        <f>PI()*(VLOOKUP(F71,Tuberia!A4:E14,MATCH('TABLERO FV_INTX'!F70,Tuberia!A2:E2,0),FALSE)/2)^2</f>
        <v>#N/A</v>
      </c>
    </row>
    <row r="75" spans="1:7" x14ac:dyDescent="0.3">
      <c r="A75" s="43" t="s">
        <v>376</v>
      </c>
      <c r="E75" s="43" t="s">
        <v>376</v>
      </c>
    </row>
    <row r="76" spans="1:7" x14ac:dyDescent="0.3">
      <c r="A76" s="140" t="s">
        <v>430</v>
      </c>
      <c r="B76" s="141" t="s">
        <v>662</v>
      </c>
      <c r="C76" t="s">
        <v>365</v>
      </c>
      <c r="E76" s="140" t="s">
        <v>430</v>
      </c>
      <c r="F76" s="141"/>
      <c r="G76" t="s">
        <v>365</v>
      </c>
    </row>
    <row r="77" spans="1:7" x14ac:dyDescent="0.3">
      <c r="A77" s="140" t="s">
        <v>432</v>
      </c>
      <c r="B77" s="141">
        <v>2</v>
      </c>
      <c r="E77" s="140" t="s">
        <v>432</v>
      </c>
      <c r="F77" s="141"/>
    </row>
    <row r="78" spans="1:7" x14ac:dyDescent="0.3">
      <c r="A78" s="140" t="s">
        <v>362</v>
      </c>
      <c r="B78" s="141">
        <v>4.66</v>
      </c>
      <c r="C78" t="s">
        <v>367</v>
      </c>
      <c r="E78" s="140" t="s">
        <v>362</v>
      </c>
      <c r="F78" s="141"/>
      <c r="G78" t="s">
        <v>367</v>
      </c>
    </row>
    <row r="80" spans="1:7" x14ac:dyDescent="0.3">
      <c r="A80" s="140" t="s">
        <v>431</v>
      </c>
      <c r="B80" s="141"/>
      <c r="C80" t="s">
        <v>365</v>
      </c>
      <c r="E80" s="140" t="s">
        <v>431</v>
      </c>
      <c r="F80" s="141"/>
      <c r="G80" t="s">
        <v>365</v>
      </c>
    </row>
    <row r="81" spans="1:7" x14ac:dyDescent="0.3">
      <c r="A81" s="140" t="s">
        <v>433</v>
      </c>
      <c r="B81" s="141"/>
      <c r="E81" s="140" t="s">
        <v>433</v>
      </c>
      <c r="F81" s="141"/>
    </row>
    <row r="82" spans="1:7" x14ac:dyDescent="0.3">
      <c r="A82" s="140" t="s">
        <v>362</v>
      </c>
      <c r="B82" s="141"/>
      <c r="C82" t="s">
        <v>367</v>
      </c>
      <c r="E82" s="140" t="s">
        <v>362</v>
      </c>
      <c r="F82" s="141"/>
      <c r="G82" t="s">
        <v>367</v>
      </c>
    </row>
    <row r="83" spans="1:7" ht="28.8" x14ac:dyDescent="0.3">
      <c r="A83" s="140" t="s">
        <v>368</v>
      </c>
      <c r="B83" s="142">
        <f>(PI()*((B82)/2)^2)*B81+(PI()*((B78)/2)^2)*B77</f>
        <v>34.110784714147258</v>
      </c>
      <c r="E83" s="140" t="s">
        <v>368</v>
      </c>
      <c r="F83" s="142">
        <f>(PI()*((F82)/2)^2)*F81+(PI()*((F78)/2)^2)*F77</f>
        <v>0</v>
      </c>
    </row>
    <row r="85" spans="1:7" x14ac:dyDescent="0.3">
      <c r="A85" s="43" t="s">
        <v>417</v>
      </c>
      <c r="E85" s="43" t="s">
        <v>417</v>
      </c>
    </row>
    <row r="86" spans="1:7" x14ac:dyDescent="0.3">
      <c r="A86" s="140" t="s">
        <v>364</v>
      </c>
      <c r="B86" s="141" t="s">
        <v>663</v>
      </c>
      <c r="C86" t="s">
        <v>365</v>
      </c>
      <c r="E86" s="140" t="s">
        <v>364</v>
      </c>
      <c r="F86" s="141"/>
      <c r="G86" t="s">
        <v>365</v>
      </c>
    </row>
    <row r="87" spans="1:7" x14ac:dyDescent="0.3">
      <c r="A87" s="140" t="s">
        <v>363</v>
      </c>
      <c r="B87" s="141">
        <v>1</v>
      </c>
      <c r="E87" s="140" t="s">
        <v>363</v>
      </c>
      <c r="F87" s="141"/>
    </row>
    <row r="88" spans="1:7" x14ac:dyDescent="0.3">
      <c r="A88" s="140" t="s">
        <v>362</v>
      </c>
      <c r="B88" s="141">
        <v>2.93</v>
      </c>
      <c r="C88" t="s">
        <v>367</v>
      </c>
      <c r="E88" s="140" t="s">
        <v>362</v>
      </c>
      <c r="F88" s="141"/>
      <c r="G88" t="s">
        <v>367</v>
      </c>
    </row>
    <row r="89" spans="1:7" ht="15.75" customHeight="1" x14ac:dyDescent="0.3">
      <c r="A89" s="140" t="s">
        <v>418</v>
      </c>
      <c r="B89" s="142">
        <f>(PI()*(B88/2)^2)*B87</f>
        <v>6.7425646929507543</v>
      </c>
      <c r="E89" s="140" t="s">
        <v>418</v>
      </c>
      <c r="F89" s="142">
        <f>(PI()*(F88/2)^2)*F87</f>
        <v>0</v>
      </c>
    </row>
    <row r="91" spans="1:7" x14ac:dyDescent="0.3">
      <c r="A91" s="140" t="s">
        <v>372</v>
      </c>
      <c r="B91" s="142">
        <f>SUM(B83,B89)</f>
        <v>40.853349407098008</v>
      </c>
      <c r="E91" s="140" t="s">
        <v>372</v>
      </c>
      <c r="F91" s="142">
        <f>SUM(F83,F89)</f>
        <v>0</v>
      </c>
    </row>
    <row r="93" spans="1:7" x14ac:dyDescent="0.3">
      <c r="A93" s="140" t="s">
        <v>160</v>
      </c>
      <c r="B93" s="149">
        <f>(B91/B73)</f>
        <v>0.11874516367328521</v>
      </c>
      <c r="E93" s="140" t="s">
        <v>160</v>
      </c>
      <c r="F93" s="149" t="e">
        <f>(F91/F73)</f>
        <v>#N/A</v>
      </c>
    </row>
    <row r="94" spans="1:7" x14ac:dyDescent="0.3">
      <c r="A94" s="140" t="s">
        <v>373</v>
      </c>
      <c r="B94" s="149">
        <f>IF(SUM(B87,B77)=1,'Cap 9 NTC'!C5,IF(SUM(B87,B77)=1,'Cap 9 NTC'!D5,IF(SUM(B87,B77)&gt;2,'Cap 9 NTC'!E5,"Error, número de conductores no puede ser negativo")))</f>
        <v>0.4</v>
      </c>
      <c r="C94" t="s">
        <v>374</v>
      </c>
      <c r="E94" s="140" t="s">
        <v>373</v>
      </c>
      <c r="F94" s="149">
        <f>IF(SUM(F87,F77)=1,'Cap 9 NTC'!C5,IF(SUM(B87,B77)=1,'Cap 9 NTC'!D5,IF(SUM(B87,B77)&gt;2,'Cap 9 NTC'!E5,"Error, número de conductores no puede ser negativo")))</f>
        <v>0.4</v>
      </c>
      <c r="G94" t="s">
        <v>374</v>
      </c>
    </row>
    <row r="96" spans="1:7" x14ac:dyDescent="0.3">
      <c r="A96" s="147" t="str">
        <f>IF(B93&lt;=B94,"OK",IF(B93&gt;B94,"ERROR"))</f>
        <v>OK</v>
      </c>
      <c r="B96" s="289" t="str">
        <f>IF(B93&lt;=B94,"La tuberia seleccionada cumple con los porcentajes de la tabla 1 del capitulo 9 de la NTC 2050",IF(B93&gt;B94,"La tuberia seleccionada NO cumple con los porcentajes de la tabla 1 del capitulo 9 de la NTC 2050"))</f>
        <v>La tuberia seleccionada cumple con los porcentajes de la tabla 1 del capitulo 9 de la NTC 2050</v>
      </c>
      <c r="C96" s="289"/>
      <c r="D96" s="289"/>
      <c r="E96" s="147" t="e">
        <f>IF(F93&lt;=F94,"OK",IF(F93&gt;F94,"ERROR"))</f>
        <v>#N/A</v>
      </c>
      <c r="F96" s="289" t="e">
        <f>IF(F93&lt;=F94,"La tuberia seleccionada cumple con los porcentajes de la tabla 1 del capitulo 9 de la NTC 2050",IF(F93&gt;F94,"La tuberia seleccionada NO cumple con los porcentajes de la tabla 1 del capitulo 9 de la NTC 2050"))</f>
        <v>#N/A</v>
      </c>
      <c r="G96" s="289"/>
    </row>
    <row r="97" spans="1:7" x14ac:dyDescent="0.3">
      <c r="B97" s="289"/>
      <c r="C97" s="289"/>
      <c r="D97" s="289"/>
      <c r="F97" s="289"/>
      <c r="G97" s="289"/>
    </row>
    <row r="98" spans="1:7" ht="12" customHeight="1" x14ac:dyDescent="0.3"/>
    <row r="99" spans="1:7" ht="15.6" x14ac:dyDescent="0.3">
      <c r="A99" s="288" t="s">
        <v>440</v>
      </c>
      <c r="B99" s="288"/>
      <c r="C99" s="288"/>
      <c r="D99" s="288"/>
      <c r="E99" s="288"/>
      <c r="F99" s="288"/>
      <c r="G99" s="288"/>
    </row>
    <row r="100" spans="1:7" ht="12" customHeight="1" x14ac:dyDescent="0.3"/>
    <row r="101" spans="1:7" hidden="1" x14ac:dyDescent="0.3">
      <c r="A101" s="43" t="s">
        <v>397</v>
      </c>
      <c r="E101" s="43" t="s">
        <v>398</v>
      </c>
    </row>
    <row r="102" spans="1:7" hidden="1" x14ac:dyDescent="0.3">
      <c r="A102" s="43" t="s">
        <v>343</v>
      </c>
      <c r="E102" s="43" t="s">
        <v>343</v>
      </c>
    </row>
    <row r="103" spans="1:7" hidden="1" x14ac:dyDescent="0.3">
      <c r="A103" s="140" t="s">
        <v>388</v>
      </c>
      <c r="B103" s="141" t="s">
        <v>540</v>
      </c>
      <c r="E103" s="140" t="s">
        <v>388</v>
      </c>
      <c r="F103" s="141"/>
    </row>
    <row r="104" spans="1:7" hidden="1" x14ac:dyDescent="0.3">
      <c r="A104" s="140" t="s">
        <v>392</v>
      </c>
      <c r="B104" s="141">
        <v>80</v>
      </c>
      <c r="E104" s="140" t="s">
        <v>392</v>
      </c>
      <c r="F104" s="141"/>
    </row>
    <row r="105" spans="1:7" hidden="1" x14ac:dyDescent="0.3">
      <c r="A105" s="140" t="s">
        <v>393</v>
      </c>
      <c r="B105" s="141">
        <v>200</v>
      </c>
      <c r="E105" s="140" t="s">
        <v>393</v>
      </c>
      <c r="F105" s="141"/>
    </row>
    <row r="106" spans="1:7" hidden="1" x14ac:dyDescent="0.3">
      <c r="A106" s="140" t="s">
        <v>394</v>
      </c>
      <c r="B106" s="141">
        <v>100</v>
      </c>
      <c r="C106" t="s">
        <v>345</v>
      </c>
      <c r="E106" s="140" t="s">
        <v>394</v>
      </c>
      <c r="F106" s="141"/>
      <c r="G106" t="s">
        <v>345</v>
      </c>
    </row>
    <row r="107" spans="1:7" hidden="1" x14ac:dyDescent="0.3">
      <c r="A107" s="140" t="s">
        <v>396</v>
      </c>
      <c r="B107" s="142">
        <f>B105*B104</f>
        <v>16000</v>
      </c>
      <c r="E107" s="140" t="s">
        <v>396</v>
      </c>
      <c r="F107" s="142">
        <f>F105*F104</f>
        <v>0</v>
      </c>
    </row>
    <row r="108" spans="1:7" hidden="1" x14ac:dyDescent="0.3"/>
    <row r="109" spans="1:7" hidden="1" x14ac:dyDescent="0.3">
      <c r="A109" s="43" t="s">
        <v>376</v>
      </c>
      <c r="E109" s="43" t="s">
        <v>376</v>
      </c>
    </row>
    <row r="110" spans="1:7" hidden="1" x14ac:dyDescent="0.3">
      <c r="A110" s="140" t="s">
        <v>430</v>
      </c>
      <c r="B110" s="141" t="s">
        <v>549</v>
      </c>
      <c r="C110" t="s">
        <v>365</v>
      </c>
      <c r="E110" s="140" t="s">
        <v>364</v>
      </c>
      <c r="F110" s="141"/>
      <c r="G110" t="s">
        <v>365</v>
      </c>
    </row>
    <row r="111" spans="1:7" hidden="1" x14ac:dyDescent="0.3">
      <c r="A111" s="140" t="s">
        <v>432</v>
      </c>
      <c r="B111" s="141">
        <v>8</v>
      </c>
      <c r="E111" s="140" t="s">
        <v>363</v>
      </c>
      <c r="F111" s="141"/>
    </row>
    <row r="112" spans="1:7" hidden="1" x14ac:dyDescent="0.3">
      <c r="A112" s="140" t="s">
        <v>362</v>
      </c>
      <c r="B112" s="141">
        <v>12.03</v>
      </c>
      <c r="C112" t="s">
        <v>367</v>
      </c>
      <c r="E112" s="140" t="s">
        <v>362</v>
      </c>
      <c r="F112" s="141"/>
      <c r="G112" t="s">
        <v>367</v>
      </c>
    </row>
    <row r="113" spans="1:7" hidden="1" x14ac:dyDescent="0.3">
      <c r="A113" s="140" t="s">
        <v>516</v>
      </c>
      <c r="B113" s="142">
        <f>(PI()*((B112)/2)^2)*B111</f>
        <v>909.30823252180596</v>
      </c>
      <c r="E113" s="140" t="s">
        <v>516</v>
      </c>
      <c r="F113" s="142">
        <f>(PI()*((F112)/2)^2)*F111</f>
        <v>0</v>
      </c>
    </row>
    <row r="114" spans="1:7" hidden="1" x14ac:dyDescent="0.3"/>
    <row r="115" spans="1:7" hidden="1" x14ac:dyDescent="0.3">
      <c r="A115" s="140" t="s">
        <v>431</v>
      </c>
      <c r="B115" s="141"/>
      <c r="C115" t="s">
        <v>365</v>
      </c>
      <c r="E115" s="140" t="s">
        <v>364</v>
      </c>
      <c r="F115" s="141"/>
      <c r="G115" t="s">
        <v>365</v>
      </c>
    </row>
    <row r="116" spans="1:7" hidden="1" x14ac:dyDescent="0.3">
      <c r="A116" s="140" t="s">
        <v>433</v>
      </c>
      <c r="B116" s="141"/>
      <c r="E116" s="140" t="s">
        <v>363</v>
      </c>
      <c r="F116" s="141"/>
    </row>
    <row r="117" spans="1:7" hidden="1" x14ac:dyDescent="0.3">
      <c r="A117" s="140" t="s">
        <v>362</v>
      </c>
      <c r="B117" s="141"/>
      <c r="C117" t="s">
        <v>367</v>
      </c>
      <c r="E117" s="140" t="s">
        <v>362</v>
      </c>
      <c r="F117" s="141"/>
      <c r="G117" t="s">
        <v>367</v>
      </c>
    </row>
    <row r="118" spans="1:7" hidden="1" x14ac:dyDescent="0.3">
      <c r="A118" s="140" t="s">
        <v>515</v>
      </c>
      <c r="B118" s="142">
        <f>(PI()*((B117)/2)^2)*B116</f>
        <v>0</v>
      </c>
      <c r="E118" s="140" t="s">
        <v>515</v>
      </c>
      <c r="F118" s="142">
        <f>(PI()*((F117)/2)^2)*F116</f>
        <v>0</v>
      </c>
    </row>
    <row r="119" spans="1:7" ht="28.8" hidden="1" x14ac:dyDescent="0.3">
      <c r="A119" s="140" t="s">
        <v>368</v>
      </c>
      <c r="B119" s="142">
        <f>B118+B113</f>
        <v>909.30823252180596</v>
      </c>
      <c r="E119" s="140" t="s">
        <v>368</v>
      </c>
      <c r="F119" s="142">
        <f>F118+F113</f>
        <v>0</v>
      </c>
    </row>
    <row r="120" spans="1:7" hidden="1" x14ac:dyDescent="0.3"/>
    <row r="121" spans="1:7" hidden="1" x14ac:dyDescent="0.3">
      <c r="A121" s="43" t="s">
        <v>377</v>
      </c>
      <c r="E121" s="43" t="s">
        <v>377</v>
      </c>
    </row>
    <row r="122" spans="1:7" hidden="1" x14ac:dyDescent="0.3">
      <c r="A122" s="140" t="s">
        <v>364</v>
      </c>
      <c r="B122" s="141" t="s">
        <v>541</v>
      </c>
      <c r="C122" t="s">
        <v>365</v>
      </c>
      <c r="E122" s="140" t="s">
        <v>364</v>
      </c>
      <c r="F122" s="141"/>
      <c r="G122" t="s">
        <v>365</v>
      </c>
    </row>
    <row r="123" spans="1:7" hidden="1" x14ac:dyDescent="0.3">
      <c r="A123" s="140" t="s">
        <v>363</v>
      </c>
      <c r="B123" s="141">
        <v>1</v>
      </c>
      <c r="E123" s="140" t="s">
        <v>363</v>
      </c>
      <c r="F123" s="141"/>
    </row>
    <row r="124" spans="1:7" hidden="1" x14ac:dyDescent="0.3">
      <c r="A124" s="140" t="s">
        <v>362</v>
      </c>
      <c r="B124" s="141">
        <v>8.1300000000000008</v>
      </c>
      <c r="C124" t="s">
        <v>367</v>
      </c>
      <c r="E124" s="140" t="s">
        <v>362</v>
      </c>
      <c r="F124" s="141"/>
      <c r="G124" t="s">
        <v>367</v>
      </c>
    </row>
    <row r="125" spans="1:7" hidden="1" x14ac:dyDescent="0.3">
      <c r="A125" s="140" t="s">
        <v>369</v>
      </c>
      <c r="B125" s="142">
        <f>(PI()*(B124/2)^2)*B123</f>
        <v>51.912383866264811</v>
      </c>
      <c r="E125" s="140" t="s">
        <v>369</v>
      </c>
      <c r="F125" s="142">
        <f>(PI()*(F124/2)^2)*F123</f>
        <v>0</v>
      </c>
    </row>
    <row r="126" spans="1:7" hidden="1" x14ac:dyDescent="0.3"/>
    <row r="127" spans="1:7" hidden="1" x14ac:dyDescent="0.3">
      <c r="A127" s="140" t="s">
        <v>399</v>
      </c>
      <c r="B127" s="142">
        <f>SUM(B124*B123,B111*B112,B117*B116)</f>
        <v>104.36999999999999</v>
      </c>
      <c r="C127" t="s">
        <v>404</v>
      </c>
      <c r="E127" s="140" t="s">
        <v>399</v>
      </c>
      <c r="F127" s="142">
        <f>SUM(F124*F123,F111*F112,F117*F116)</f>
        <v>0</v>
      </c>
      <c r="G127" t="s">
        <v>404</v>
      </c>
    </row>
    <row r="128" spans="1:7" hidden="1" x14ac:dyDescent="0.3">
      <c r="A128" s="140" t="s">
        <v>400</v>
      </c>
      <c r="B128" s="142">
        <f>B105</f>
        <v>200</v>
      </c>
      <c r="C128" t="s">
        <v>403</v>
      </c>
      <c r="E128" s="140" t="s">
        <v>400</v>
      </c>
      <c r="F128" s="142">
        <f>F105</f>
        <v>0</v>
      </c>
      <c r="G128" t="s">
        <v>403</v>
      </c>
    </row>
    <row r="129" spans="1:8" hidden="1" x14ac:dyDescent="0.3"/>
    <row r="130" spans="1:8" hidden="1" x14ac:dyDescent="0.3">
      <c r="A130" s="140" t="s">
        <v>372</v>
      </c>
      <c r="B130" s="142">
        <f>SUM(B119,B125)</f>
        <v>961.22061638807077</v>
      </c>
      <c r="E130" s="140" t="s">
        <v>372</v>
      </c>
      <c r="F130" s="142">
        <f>SUM(F119,F125)</f>
        <v>0</v>
      </c>
    </row>
    <row r="131" spans="1:8" hidden="1" x14ac:dyDescent="0.3"/>
    <row r="132" spans="1:8" hidden="1" x14ac:dyDescent="0.3">
      <c r="A132" s="140" t="s">
        <v>402</v>
      </c>
      <c r="B132" s="149">
        <f>B130/B107</f>
        <v>6.0076288524254423E-2</v>
      </c>
      <c r="E132" s="140" t="s">
        <v>402</v>
      </c>
      <c r="F132" s="149" t="e">
        <f>F130/F107</f>
        <v>#DIV/0!</v>
      </c>
    </row>
    <row r="133" spans="1:8" hidden="1" x14ac:dyDescent="0.3">
      <c r="A133" s="140" t="s">
        <v>401</v>
      </c>
      <c r="B133" s="149">
        <v>0.4</v>
      </c>
      <c r="C133" t="s">
        <v>344</v>
      </c>
      <c r="E133" s="140" t="s">
        <v>401</v>
      </c>
      <c r="F133" s="149">
        <v>0.4</v>
      </c>
      <c r="G133" t="s">
        <v>344</v>
      </c>
    </row>
    <row r="134" spans="1:8" hidden="1" x14ac:dyDescent="0.3"/>
    <row r="135" spans="1:8" ht="15" hidden="1" customHeight="1" x14ac:dyDescent="0.3">
      <c r="A135" s="147" t="str">
        <f>IF(AND(B132&lt;=B133,B127&lt;=B128),"OK",IF(OR(B132&gt;B133,B127&gt;B128),"ERROR"))</f>
        <v>OK</v>
      </c>
      <c r="B135" s="289" t="str">
        <f>IF(AND(B132&lt;=B133,B127&lt;=B128),"La bandeja seleccionada cumple con el articulo 318-10 b) de la NTC 2050 y el articulo 20.3 i) del RETIE",IF(B132&gt;B133,"El porcentaje de ocupacion del area transversal de la bandeja es mayor al 40%",IF(B127&gt;B128,"la bandeja ")))</f>
        <v>La bandeja seleccionada cumple con el articulo 318-10 b) de la NTC 2050 y el articulo 20.3 i) del RETIE</v>
      </c>
      <c r="C135" s="289"/>
      <c r="D135" s="289"/>
      <c r="E135" s="147" t="e">
        <f>IF(AND(F132&lt;=F133,F127&lt;=F128),"OK",IF(OR(F132&gt;F133,F127&gt;F128),"ERROR"))</f>
        <v>#DIV/0!</v>
      </c>
      <c r="F135" s="289" t="e">
        <f>IF(AND(F132&lt;=F133,F127&lt;=F128),"La bandeja seleccionada cumple con el articulo 318-10 b) de la NTC 2050 y el articulo 20.3 i) del RETIE",IF(F132&gt;F133,"El porcentaje de ocupacion del area transversal de la bandeja es mayor al 40%",IF(F127&gt;F128,"la bandeja ")))</f>
        <v>#DIV/0!</v>
      </c>
      <c r="G135" s="289"/>
      <c r="H135" s="195"/>
    </row>
    <row r="136" spans="1:8" hidden="1" x14ac:dyDescent="0.3">
      <c r="B136" s="289"/>
      <c r="C136" s="289"/>
      <c r="D136" s="289"/>
      <c r="F136" s="289"/>
      <c r="G136" s="289"/>
      <c r="H136" s="195"/>
    </row>
    <row r="138" spans="1:8" ht="15.6" x14ac:dyDescent="0.3">
      <c r="A138" s="288" t="s">
        <v>441</v>
      </c>
      <c r="B138" s="288"/>
      <c r="C138" s="288"/>
      <c r="D138" s="288"/>
      <c r="E138" s="288"/>
      <c r="F138" s="288"/>
      <c r="G138" s="288"/>
    </row>
    <row r="139" spans="1:8" ht="12" customHeight="1" x14ac:dyDescent="0.3"/>
    <row r="140" spans="1:8" x14ac:dyDescent="0.3">
      <c r="A140" s="43" t="s">
        <v>424</v>
      </c>
      <c r="E140" s="43" t="s">
        <v>425</v>
      </c>
    </row>
    <row r="141" spans="1:8" x14ac:dyDescent="0.3">
      <c r="A141" s="140" t="s">
        <v>437</v>
      </c>
      <c r="B141" s="141" t="s">
        <v>575</v>
      </c>
      <c r="E141" s="140" t="s">
        <v>437</v>
      </c>
      <c r="F141" s="141"/>
    </row>
    <row r="142" spans="1:8" ht="28.8" x14ac:dyDescent="0.3">
      <c r="A142" s="140" t="s">
        <v>451</v>
      </c>
      <c r="B142" s="141">
        <v>50</v>
      </c>
      <c r="E142" s="140" t="s">
        <v>451</v>
      </c>
      <c r="F142" s="141"/>
    </row>
    <row r="143" spans="1:8" x14ac:dyDescent="0.3">
      <c r="A143" s="140" t="s">
        <v>453</v>
      </c>
      <c r="B143" s="197">
        <v>1</v>
      </c>
      <c r="E143" s="140" t="s">
        <v>453</v>
      </c>
      <c r="F143" s="197"/>
    </row>
    <row r="144" spans="1:8" x14ac:dyDescent="0.3">
      <c r="A144" s="43"/>
      <c r="E144" s="43"/>
    </row>
    <row r="145" spans="1:7" x14ac:dyDescent="0.3">
      <c r="A145" s="140" t="s">
        <v>458</v>
      </c>
      <c r="B145" s="142">
        <f>$B$6</f>
        <v>220</v>
      </c>
      <c r="E145" s="140" t="s">
        <v>458</v>
      </c>
      <c r="F145" s="142">
        <f>$B$6</f>
        <v>220</v>
      </c>
    </row>
    <row r="146" spans="1:7" x14ac:dyDescent="0.3">
      <c r="A146" s="140" t="s">
        <v>459</v>
      </c>
      <c r="B146" s="142">
        <f>$B$13</f>
        <v>45.5</v>
      </c>
      <c r="E146" s="140" t="s">
        <v>459</v>
      </c>
      <c r="F146" s="142">
        <f>$B$13</f>
        <v>45.5</v>
      </c>
    </row>
    <row r="147" spans="1:7" x14ac:dyDescent="0.3">
      <c r="A147" s="43"/>
      <c r="E147" s="43"/>
    </row>
    <row r="148" spans="1:7" x14ac:dyDescent="0.3">
      <c r="A148" s="140" t="s">
        <v>460</v>
      </c>
      <c r="B148" s="197" t="s">
        <v>456</v>
      </c>
      <c r="E148" s="140" t="s">
        <v>460</v>
      </c>
      <c r="F148" s="197"/>
    </row>
    <row r="149" spans="1:7" x14ac:dyDescent="0.3">
      <c r="A149" s="140" t="s">
        <v>454</v>
      </c>
      <c r="B149" s="199">
        <f>IF(B18="COBRE",VLOOKUP(B33,'Cap 9 NTC'!N44:S64,MATCH(B148,'Cap 9 NTC'!R43:S43,0)+4,FALSE),VLOOKUP(B33,'Cap 9 NTC'!N44:U64,MATCH(B148,'Cap 9 NTC'!T43:U43,0)+6,FALSE))</f>
        <v>1.61</v>
      </c>
      <c r="C149" t="s">
        <v>461</v>
      </c>
      <c r="E149" s="140" t="s">
        <v>454</v>
      </c>
      <c r="F149" s="142" t="e">
        <f>IF(B18="COBRE",VLOOKUP(B33,'Cap 9 NTC'!N44:S64,MATCH(F148,'Cap 9 NTC'!R43:S43,0)+4,FALSE),VLOOKUP(B33,'Cap 9 NTC'!N44:U64,MATCH(F148,'Cap 9 NTC'!T43:U43,0)+6,FALSE))</f>
        <v>#N/A</v>
      </c>
      <c r="G149" t="s">
        <v>461</v>
      </c>
    </row>
    <row r="150" spans="1:7" x14ac:dyDescent="0.3">
      <c r="A150" s="140" t="s">
        <v>455</v>
      </c>
      <c r="B150" s="199">
        <f>VLOOKUP(B33,'Cap 9 NTC'!N44:Q64,MATCH(B148,'Cap 9 NTC'!P43:Q43,0)+2,FALSE)</f>
        <v>0.21</v>
      </c>
      <c r="C150" t="s">
        <v>461</v>
      </c>
      <c r="E150" s="140" t="s">
        <v>455</v>
      </c>
      <c r="F150" s="199" t="e">
        <f>VLOOKUP(B33,'Cap 9 NTC'!N44:Q64,MATCH(F148,'Cap 9 NTC'!P43:Q43,0)+2,FALSE)</f>
        <v>#N/A</v>
      </c>
      <c r="G150" t="s">
        <v>461</v>
      </c>
    </row>
    <row r="151" spans="1:7" x14ac:dyDescent="0.3">
      <c r="A151" s="140" t="s">
        <v>457</v>
      </c>
      <c r="B151" s="199">
        <f>((B149*B143)+B150*SIN(ACOS(B143)))</f>
        <v>1.61</v>
      </c>
      <c r="E151" s="140" t="s">
        <v>457</v>
      </c>
      <c r="F151" s="142" t="e">
        <f>((F149*F143)+F150*SIN(ACOS(F143)))</f>
        <v>#N/A</v>
      </c>
    </row>
    <row r="153" spans="1:7" x14ac:dyDescent="0.3">
      <c r="A153" s="140" t="s">
        <v>340</v>
      </c>
      <c r="B153" s="142">
        <f>2*B146*(B142/1000)*B151</f>
        <v>7.3254999999999999</v>
      </c>
      <c r="E153" s="140" t="s">
        <v>340</v>
      </c>
      <c r="F153" s="142" t="e">
        <f>SQRT(3)*F146*(F142/1000)*F151</f>
        <v>#N/A</v>
      </c>
    </row>
    <row r="154" spans="1:7" x14ac:dyDescent="0.3">
      <c r="A154" s="140" t="s">
        <v>341</v>
      </c>
      <c r="B154" s="149">
        <f>B153/B145</f>
        <v>3.3297727272727271E-2</v>
      </c>
      <c r="E154" s="140" t="s">
        <v>341</v>
      </c>
      <c r="F154" s="149" t="e">
        <f>F153/F145</f>
        <v>#N/A</v>
      </c>
    </row>
    <row r="156" spans="1:7" x14ac:dyDescent="0.3">
      <c r="A156" s="147" t="str">
        <f>IF(B154&lt;3%,"OK",IF(B154&gt;=3%,"ERROR"))</f>
        <v>ERROR</v>
      </c>
      <c r="B156" s="43" t="str">
        <f>IF(B154&lt;3%,"Cumple con el articulo 27.3 c) del RETIE ",IF(B154&gt;=3%,"ERROR. Regulación de voltaje mayor al 3%. No cumple con el articulo 27.3 c) del RETIE "))</f>
        <v xml:space="preserve">ERROR. Regulación de voltaje mayor al 3%. No cumple con el articulo 27.3 c) del RETIE </v>
      </c>
      <c r="E156" s="147" t="e">
        <f>IF(F154&lt;3%,"OK",IF(F154&gt;=3%,"ERROR"))</f>
        <v>#N/A</v>
      </c>
      <c r="F156" s="43" t="e">
        <f>IF(F154&lt;3%,"Cumple con el articulo 27.3 c) del RETIE ",IF(F154&gt;=3%,"ERROR. Regulación de voltaje mayor al 3%. No cumple con el articulo 27.3 c) del RETIE "))</f>
        <v>#N/A</v>
      </c>
    </row>
    <row r="158" spans="1:7" x14ac:dyDescent="0.3">
      <c r="A158" s="43" t="s">
        <v>409</v>
      </c>
      <c r="E158" s="43" t="s">
        <v>409</v>
      </c>
    </row>
    <row r="159" spans="1:7" x14ac:dyDescent="0.3">
      <c r="A159" s="140" t="s">
        <v>405</v>
      </c>
      <c r="B159" s="142">
        <f>3*B151*($B$7^2)*(B142/1000)</f>
        <v>499.96537500000005</v>
      </c>
      <c r="E159" s="140" t="s">
        <v>405</v>
      </c>
      <c r="F159" s="142" t="e">
        <f>3*F151*($B$7^2)*(F142/1000)</f>
        <v>#N/A</v>
      </c>
    </row>
    <row r="160" spans="1:7" x14ac:dyDescent="0.3">
      <c r="A160" s="140" t="s">
        <v>407</v>
      </c>
      <c r="B160" s="198">
        <v>5</v>
      </c>
      <c r="E160" s="140" t="s">
        <v>407</v>
      </c>
      <c r="F160" s="198"/>
    </row>
    <row r="161" spans="1:6" x14ac:dyDescent="0.3">
      <c r="A161" s="140" t="s">
        <v>408</v>
      </c>
      <c r="B161" s="142">
        <f>B160*B159*30/1000</f>
        <v>74.994806250000011</v>
      </c>
      <c r="E161" s="140" t="s">
        <v>408</v>
      </c>
      <c r="F161" s="142" t="e">
        <f>F160*F159*30/1000</f>
        <v>#N/A</v>
      </c>
    </row>
  </sheetData>
  <mergeCells count="16">
    <mergeCell ref="A99:G99"/>
    <mergeCell ref="B135:D136"/>
    <mergeCell ref="F135:G136"/>
    <mergeCell ref="A138:G138"/>
    <mergeCell ref="C46:I46"/>
    <mergeCell ref="B55:D56"/>
    <mergeCell ref="A58:G58"/>
    <mergeCell ref="A65:G65"/>
    <mergeCell ref="B96:D97"/>
    <mergeCell ref="F96:G97"/>
    <mergeCell ref="A44:G44"/>
    <mergeCell ref="A11:G11"/>
    <mergeCell ref="A15:G15"/>
    <mergeCell ref="G28:G33"/>
    <mergeCell ref="A35:G35"/>
    <mergeCell ref="B41:D42"/>
  </mergeCells>
  <conditionalFormatting sqref="A41">
    <cfRule type="containsText" dxfId="50" priority="29" operator="containsText" text="OK">
      <formula>NOT(ISERROR(SEARCH("OK",A41)))</formula>
    </cfRule>
    <cfRule type="containsText" dxfId="49" priority="30" operator="containsText" text="ERROR">
      <formula>NOT(ISERROR(SEARCH("ERROR",A41)))</formula>
    </cfRule>
    <cfRule type="containsText" dxfId="48" priority="31" operator="containsText" text="SI">
      <formula>NOT(ISERROR(SEARCH("SI",A41)))</formula>
    </cfRule>
    <cfRule type="containsText" dxfId="47" priority="32" operator="containsText" text="NO">
      <formula>NOT(ISERROR(SEARCH("NO",A41)))</formula>
    </cfRule>
  </conditionalFormatting>
  <conditionalFormatting sqref="A55">
    <cfRule type="containsText" dxfId="46" priority="37" operator="containsText" text="OK">
      <formula>NOT(ISERROR(SEARCH("OK",A55)))</formula>
    </cfRule>
    <cfRule type="containsText" dxfId="45" priority="38" operator="containsText" text="ERROR">
      <formula>NOT(ISERROR(SEARCH("ERROR",A55)))</formula>
    </cfRule>
    <cfRule type="containsText" dxfId="44" priority="39" operator="containsText" text="SI">
      <formula>NOT(ISERROR(SEARCH("SI",A55)))</formula>
    </cfRule>
    <cfRule type="containsText" dxfId="43" priority="40" operator="containsText" text="NO">
      <formula>NOT(ISERROR(SEARCH("NO",A55)))</formula>
    </cfRule>
  </conditionalFormatting>
  <conditionalFormatting sqref="A96">
    <cfRule type="containsText" dxfId="42" priority="25" operator="containsText" text="OK">
      <formula>NOT(ISERROR(SEARCH("OK",A96)))</formula>
    </cfRule>
    <cfRule type="containsText" dxfId="41" priority="26" operator="containsText" text="ERROR">
      <formula>NOT(ISERROR(SEARCH("ERROR",A96)))</formula>
    </cfRule>
    <cfRule type="containsText" dxfId="40" priority="27" operator="containsText" text="SI">
      <formula>NOT(ISERROR(SEARCH("SI",A96)))</formula>
    </cfRule>
    <cfRule type="containsText" dxfId="39" priority="28" operator="containsText" text="NO">
      <formula>NOT(ISERROR(SEARCH("NO",A96)))</formula>
    </cfRule>
  </conditionalFormatting>
  <conditionalFormatting sqref="A135">
    <cfRule type="containsText" dxfId="38" priority="17" operator="containsText" text="OK">
      <formula>NOT(ISERROR(SEARCH("OK",A135)))</formula>
    </cfRule>
    <cfRule type="containsText" dxfId="37" priority="18" operator="containsText" text="ERROR">
      <formula>NOT(ISERROR(SEARCH("ERROR",A135)))</formula>
    </cfRule>
    <cfRule type="containsText" dxfId="36" priority="19" operator="containsText" text="SI">
      <formula>NOT(ISERROR(SEARCH("SI",A135)))</formula>
    </cfRule>
    <cfRule type="containsText" dxfId="35" priority="20" operator="containsText" text="NO">
      <formula>NOT(ISERROR(SEARCH("NO",A135)))</formula>
    </cfRule>
  </conditionalFormatting>
  <conditionalFormatting sqref="A156">
    <cfRule type="containsText" dxfId="34" priority="33" operator="containsText" text="OK">
      <formula>NOT(ISERROR(SEARCH("OK",A156)))</formula>
    </cfRule>
    <cfRule type="containsText" dxfId="33" priority="34" operator="containsText" text="ERROR">
      <formula>NOT(ISERROR(SEARCH("ERROR",A156)))</formula>
    </cfRule>
    <cfRule type="containsText" dxfId="32" priority="35" operator="containsText" text="SI">
      <formula>NOT(ISERROR(SEARCH("SI",A156)))</formula>
    </cfRule>
    <cfRule type="containsText" dxfId="31" priority="36" operator="containsText" text="NO">
      <formula>NOT(ISERROR(SEARCH("NO",A156)))</formula>
    </cfRule>
  </conditionalFormatting>
  <conditionalFormatting sqref="A176">
    <cfRule type="containsText" dxfId="30" priority="9" operator="containsText" text="OK">
      <formula>NOT(ISERROR(SEARCH("OK",A176)))</formula>
    </cfRule>
    <cfRule type="containsText" dxfId="29" priority="10" operator="containsText" text="ERROR">
      <formula>NOT(ISERROR(SEARCH("ERROR",A176)))</formula>
    </cfRule>
    <cfRule type="containsText" dxfId="28" priority="11" operator="containsText" text="SI">
      <formula>NOT(ISERROR(SEARCH("SI",A176)))</formula>
    </cfRule>
    <cfRule type="containsText" dxfId="27" priority="12" operator="containsText" text="NO">
      <formula>NOT(ISERROR(SEARCH("NO",A176)))</formula>
    </cfRule>
  </conditionalFormatting>
  <conditionalFormatting sqref="B49">
    <cfRule type="containsText" dxfId="26" priority="43" operator="containsText" text="SI">
      <formula>NOT(ISERROR(SEARCH("SI",B49)))</formula>
    </cfRule>
    <cfRule type="containsText" dxfId="25" priority="44" operator="containsText" text="NO">
      <formula>NOT(ISERROR(SEARCH("NO",B49)))</formula>
    </cfRule>
  </conditionalFormatting>
  <conditionalFormatting sqref="B53">
    <cfRule type="containsText" dxfId="24" priority="41" operator="containsText" text="SI">
      <formula>NOT(ISERROR(SEARCH("SI",B53)))</formula>
    </cfRule>
    <cfRule type="containsText" dxfId="23" priority="42" operator="containsText" text="NO">
      <formula>NOT(ISERROR(SEARCH("NO",B53)))</formula>
    </cfRule>
  </conditionalFormatting>
  <conditionalFormatting sqref="E96">
    <cfRule type="containsText" dxfId="22" priority="21" operator="containsText" text="OK">
      <formula>NOT(ISERROR(SEARCH("OK",E96)))</formula>
    </cfRule>
    <cfRule type="containsText" dxfId="21" priority="22" operator="containsText" text="ERROR">
      <formula>NOT(ISERROR(SEARCH("ERROR",E96)))</formula>
    </cfRule>
    <cfRule type="containsText" dxfId="20" priority="23" operator="containsText" text="SI">
      <formula>NOT(ISERROR(SEARCH("SI",E96)))</formula>
    </cfRule>
    <cfRule type="containsText" dxfId="19" priority="24" operator="containsText" text="NO">
      <formula>NOT(ISERROR(SEARCH("NO",E96)))</formula>
    </cfRule>
  </conditionalFormatting>
  <conditionalFormatting sqref="E135">
    <cfRule type="containsText" dxfId="18" priority="13" operator="containsText" text="OK">
      <formula>NOT(ISERROR(SEARCH("OK",E135)))</formula>
    </cfRule>
    <cfRule type="containsText" dxfId="17" priority="14" operator="containsText" text="ERROR">
      <formula>NOT(ISERROR(SEARCH("ERROR",E135)))</formula>
    </cfRule>
    <cfRule type="containsText" dxfId="16" priority="15" operator="containsText" text="SI">
      <formula>NOT(ISERROR(SEARCH("SI",E135)))</formula>
    </cfRule>
    <cfRule type="containsText" dxfId="15" priority="16" operator="containsText" text="NO">
      <formula>NOT(ISERROR(SEARCH("NO",E135)))</formula>
    </cfRule>
  </conditionalFormatting>
  <conditionalFormatting sqref="E156">
    <cfRule type="containsText" dxfId="14" priority="1" operator="containsText" text="OK">
      <formula>NOT(ISERROR(SEARCH("OK",E156)))</formula>
    </cfRule>
    <cfRule type="containsText" dxfId="13" priority="2" operator="containsText" text="ERROR">
      <formula>NOT(ISERROR(SEARCH("ERROR",E156)))</formula>
    </cfRule>
    <cfRule type="containsText" dxfId="12" priority="3" operator="containsText" text="SI">
      <formula>NOT(ISERROR(SEARCH("SI",E156)))</formula>
    </cfRule>
    <cfRule type="containsText" dxfId="11" priority="4" operator="containsText" text="NO">
      <formula>NOT(ISERROR(SEARCH("NO",E156)))</formula>
    </cfRule>
  </conditionalFormatting>
  <conditionalFormatting sqref="E176">
    <cfRule type="containsText" dxfId="10" priority="5" operator="containsText" text="OK">
      <formula>NOT(ISERROR(SEARCH("OK",E176)))</formula>
    </cfRule>
    <cfRule type="containsText" dxfId="9" priority="6" operator="containsText" text="ERROR">
      <formula>NOT(ISERROR(SEARCH("ERROR",E176)))</formula>
    </cfRule>
    <cfRule type="containsText" dxfId="8" priority="7" operator="containsText" text="SI">
      <formula>NOT(ISERROR(SEARCH("SI",E176)))</formula>
    </cfRule>
    <cfRule type="containsText" dxfId="7" priority="8" operator="containsText" text="NO">
      <formula>NOT(ISERROR(SEARCH("NO",E176)))</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300-000000000000}">
          <x14:formula1>
            <xm:f>Listas!$G$2:$G$3</xm:f>
          </x14:formula1>
          <xm:sqref>B148 F148</xm:sqref>
        </x14:dataValidation>
        <x14:dataValidation type="list" allowBlank="1" showInputMessage="1" showErrorMessage="1" xr:uid="{00000000-0002-0000-0300-000001000000}">
          <x14:formula1>
            <xm:f>Listas!$A$2:$A$4</xm:f>
          </x14:formula1>
          <xm:sqref>B18 B60</xm:sqref>
        </x14:dataValidation>
        <x14:dataValidation type="list" allowBlank="1" showInputMessage="1" showErrorMessage="1" xr:uid="{00000000-0002-0000-0300-000002000000}">
          <x14:formula1>
            <xm:f>Listas!$B$2:$B$5</xm:f>
          </x14:formula1>
          <xm:sqref>B46 B19</xm:sqref>
        </x14:dataValidation>
        <x14:dataValidation type="list" allowBlank="1" showInputMessage="1" showErrorMessage="1" xr:uid="{00000000-0002-0000-0300-000003000000}">
          <x14:formula1>
            <xm:f>Listas!$D$2:$D$5</xm:f>
          </x14:formula1>
          <xm:sqref>B70 F70</xm:sqref>
        </x14:dataValidation>
        <x14:dataValidation type="list" allowBlank="1" showInputMessage="1" showErrorMessage="1" xr:uid="{00000000-0002-0000-0300-000004000000}">
          <x14:formula1>
            <xm:f>Listas!$E$2:$E$12</xm:f>
          </x14:formula1>
          <xm:sqref>B71 F71</xm:sqref>
        </x14:dataValidation>
        <x14:dataValidation type="list" allowBlank="1" showInputMessage="1" showErrorMessage="1" xr:uid="{00000000-0002-0000-0300-000005000000}">
          <x14:formula1>
            <xm:f>Listas!$C$2:$C$31</xm:f>
          </x14:formula1>
          <xm:sqref>B33 B63</xm:sqref>
        </x14:dataValidation>
        <x14:dataValidation type="list" allowBlank="1" showInputMessage="1" showErrorMessage="1" xr:uid="{00000000-0002-0000-0300-000006000000}">
          <x14:formula1>
            <xm:f>Listas!$F$2:$F$4</xm:f>
          </x14:formula1>
          <xm:sqref>B20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P11"/>
  <sheetViews>
    <sheetView topLeftCell="T1" zoomScaleNormal="100" workbookViewId="0">
      <selection activeCell="E18" sqref="E18"/>
    </sheetView>
  </sheetViews>
  <sheetFormatPr baseColWidth="10" defaultColWidth="15.88671875" defaultRowHeight="14.4" x14ac:dyDescent="0.3"/>
  <cols>
    <col min="1" max="1" width="17" style="33" bestFit="1" customWidth="1"/>
    <col min="2" max="2" width="13.109375" style="33" bestFit="1" customWidth="1"/>
    <col min="3" max="3" width="17" style="33" bestFit="1" customWidth="1"/>
    <col min="4" max="4" width="17" style="33" customWidth="1"/>
    <col min="5" max="6" width="15.109375" style="33" customWidth="1"/>
    <col min="7" max="7" width="12.44140625" style="33" bestFit="1" customWidth="1"/>
    <col min="8" max="8" width="15.88671875" style="33"/>
    <col min="9" max="9" width="13.5546875" style="33" customWidth="1"/>
    <col min="10" max="10" width="13.5546875" style="33" hidden="1" customWidth="1"/>
    <col min="11" max="11" width="13.33203125" style="33" hidden="1" customWidth="1"/>
    <col min="12" max="12" width="13.5546875" style="33" hidden="1" customWidth="1"/>
    <col min="13" max="13" width="15" style="33" hidden="1" customWidth="1"/>
    <col min="14" max="14" width="12.44140625" style="33" hidden="1" customWidth="1"/>
    <col min="15" max="16" width="15.44140625" style="33" hidden="1" customWidth="1"/>
    <col min="17" max="17" width="8.6640625" style="33" hidden="1" customWidth="1"/>
    <col min="18" max="18" width="13.44140625" style="32" customWidth="1"/>
    <col min="19" max="19" width="16.33203125" style="33" customWidth="1"/>
    <col min="20" max="20" width="17.109375" style="32" customWidth="1"/>
    <col min="21" max="26" width="15.88671875" style="32"/>
    <col min="27" max="27" width="17.44140625" style="32" customWidth="1"/>
    <col min="28" max="33" width="15.88671875" style="32"/>
    <col min="34" max="34" width="17.44140625" style="32" hidden="1" customWidth="1"/>
    <col min="35" max="40" width="0" style="32" hidden="1" customWidth="1"/>
    <col min="41" max="16384" width="15.88671875" style="32"/>
  </cols>
  <sheetData>
    <row r="1" spans="1:42" x14ac:dyDescent="0.3">
      <c r="W1" s="293" t="s">
        <v>162</v>
      </c>
      <c r="X1" s="293"/>
      <c r="Y1" s="34">
        <v>1</v>
      </c>
      <c r="AD1" s="293" t="s">
        <v>162</v>
      </c>
      <c r="AE1" s="293"/>
      <c r="AF1" s="34">
        <v>1</v>
      </c>
      <c r="AK1" s="293" t="s">
        <v>162</v>
      </c>
      <c r="AL1" s="293"/>
      <c r="AM1" s="34">
        <v>1</v>
      </c>
    </row>
    <row r="2" spans="1:42" ht="15" customHeight="1" x14ac:dyDescent="0.3">
      <c r="W2" s="293" t="s">
        <v>503</v>
      </c>
      <c r="X2" s="293"/>
      <c r="Y2" s="197" t="s">
        <v>456</v>
      </c>
      <c r="AD2" s="293" t="s">
        <v>503</v>
      </c>
      <c r="AE2" s="293"/>
      <c r="AF2" s="197" t="s">
        <v>456</v>
      </c>
      <c r="AK2" s="293" t="s">
        <v>503</v>
      </c>
      <c r="AL2" s="293"/>
      <c r="AM2" s="197" t="s">
        <v>456</v>
      </c>
    </row>
    <row r="3" spans="1:42" s="33" customFormat="1" ht="57.6" x14ac:dyDescent="0.3">
      <c r="A3" s="46" t="s">
        <v>169</v>
      </c>
      <c r="B3" s="46" t="s">
        <v>528</v>
      </c>
      <c r="C3" s="46" t="s">
        <v>163</v>
      </c>
      <c r="D3" s="46" t="s">
        <v>476</v>
      </c>
      <c r="E3" s="46" t="s">
        <v>167</v>
      </c>
      <c r="F3" s="46" t="s">
        <v>302</v>
      </c>
      <c r="G3" s="46" t="s">
        <v>105</v>
      </c>
      <c r="H3" s="46" t="s">
        <v>161</v>
      </c>
      <c r="I3" s="46" t="s">
        <v>106</v>
      </c>
      <c r="J3" s="46" t="s">
        <v>521</v>
      </c>
      <c r="K3" s="46" t="s">
        <v>463</v>
      </c>
      <c r="L3" s="46" t="s">
        <v>464</v>
      </c>
      <c r="M3" s="46" t="s">
        <v>465</v>
      </c>
      <c r="N3" s="46" t="s">
        <v>466</v>
      </c>
      <c r="O3" s="46" t="s">
        <v>467</v>
      </c>
      <c r="P3" s="46" t="s">
        <v>468</v>
      </c>
      <c r="Q3" s="46" t="s">
        <v>106</v>
      </c>
      <c r="R3" s="46" t="s">
        <v>469</v>
      </c>
      <c r="S3" s="46" t="s">
        <v>165</v>
      </c>
      <c r="T3" s="46" t="s">
        <v>538</v>
      </c>
      <c r="U3" s="46" t="s">
        <v>465</v>
      </c>
      <c r="V3" s="46" t="s">
        <v>470</v>
      </c>
      <c r="W3" s="46" t="s">
        <v>302</v>
      </c>
      <c r="X3" s="46" t="s">
        <v>105</v>
      </c>
      <c r="Y3" s="46" t="s">
        <v>471</v>
      </c>
      <c r="Z3" s="46" t="s">
        <v>106</v>
      </c>
      <c r="AA3" s="46" t="s">
        <v>542</v>
      </c>
      <c r="AB3" s="46" t="s">
        <v>164</v>
      </c>
      <c r="AC3" s="46" t="s">
        <v>472</v>
      </c>
      <c r="AD3" s="46" t="s">
        <v>302</v>
      </c>
      <c r="AE3" s="46" t="s">
        <v>105</v>
      </c>
      <c r="AF3" s="46" t="s">
        <v>471</v>
      </c>
      <c r="AG3" s="46" t="s">
        <v>106</v>
      </c>
      <c r="AH3" s="46" t="s">
        <v>539</v>
      </c>
      <c r="AI3" s="46" t="s">
        <v>164</v>
      </c>
      <c r="AJ3" s="46" t="s">
        <v>472</v>
      </c>
      <c r="AK3" s="46" t="s">
        <v>302</v>
      </c>
      <c r="AL3" s="46" t="s">
        <v>105</v>
      </c>
      <c r="AM3" s="46" t="s">
        <v>471</v>
      </c>
      <c r="AN3" s="46" t="s">
        <v>106</v>
      </c>
      <c r="AO3" s="46" t="s">
        <v>473</v>
      </c>
      <c r="AP3" s="46" t="s">
        <v>474</v>
      </c>
    </row>
    <row r="4" spans="1:42" x14ac:dyDescent="0.3">
      <c r="A4" s="219" t="s">
        <v>534</v>
      </c>
      <c r="B4" s="219">
        <v>20</v>
      </c>
      <c r="C4" s="220">
        <f>PV_INV_STRING!$B$9</f>
        <v>13.03</v>
      </c>
      <c r="D4" s="219">
        <v>7</v>
      </c>
      <c r="E4" s="220">
        <f>D4*PV_INV_STRING!$B$6</f>
        <v>363.37</v>
      </c>
      <c r="F4" s="219" t="s">
        <v>202</v>
      </c>
      <c r="G4" s="219" t="s">
        <v>39</v>
      </c>
      <c r="H4" s="220">
        <f>IF(A4="","",IF(F4="COBRE",VLOOKUP(G4,'Cap 9 NTC'!$M$15:$V$35,10,FALSE)))</f>
        <v>6.73</v>
      </c>
      <c r="I4" s="226">
        <f>IF(A4="",0,(2*C4*B4/1000*H4)/E4)</f>
        <v>9.6531799543165351E-3</v>
      </c>
      <c r="J4" s="229">
        <v>1</v>
      </c>
      <c r="K4" s="229">
        <v>0</v>
      </c>
      <c r="L4" s="219">
        <v>0</v>
      </c>
      <c r="M4" s="231">
        <f>IF(J4="","",L4*C4)</f>
        <v>0</v>
      </c>
      <c r="N4" s="230">
        <f>IF(J4="","",E4)</f>
        <v>363.37</v>
      </c>
      <c r="O4" s="219" t="s">
        <v>39</v>
      </c>
      <c r="P4" s="231">
        <f>IF(J4="","",IF(F4="COBRE",VLOOKUP(O4,'Cap 9 NTC'!$M$15:$V$35,10,FALSE)))</f>
        <v>6.73</v>
      </c>
      <c r="Q4" s="227">
        <f>IF(J4="",0,(2*M4*(K4/1000)*P4)/N4)</f>
        <v>0</v>
      </c>
      <c r="R4" s="227">
        <f>Q4+MAX(I4:I5)</f>
        <v>9.6531799543165351E-3</v>
      </c>
      <c r="S4" s="295">
        <v>1</v>
      </c>
      <c r="T4" s="295">
        <v>2.5</v>
      </c>
      <c r="U4" s="295">
        <f>'INV1_TABLERO FV'!$B$7</f>
        <v>45.5</v>
      </c>
      <c r="V4" s="295">
        <f>'INV1_TABLERO FV'!$B$6</f>
        <v>220</v>
      </c>
      <c r="W4" s="295" t="s">
        <v>202</v>
      </c>
      <c r="X4" s="295" t="s">
        <v>57</v>
      </c>
      <c r="Y4" s="298">
        <f>(((IF(W4="COBRE",VLOOKUP(X4,'Cap 9 NTC'!N44:S64,MATCH($Y$2,'Cap 9 NTC'!R43:S43,0)+4,FALSE),VLOOKUP(X4,'Cap 9 NTC'!N44:U64,MATCH($Y$2,'Cap 9 NTC'!T43:U43,0)+6,FALSE)))*$Y$1)+(VLOOKUP(X4,'Cap 9 NTC'!N44:Q64,MATCH($Y$2,'Cap 9 NTC'!P43:Q43,0)+2,FALSE))*SIN(ACOS($Y$1)))</f>
        <v>3.94</v>
      </c>
      <c r="Z4" s="299">
        <f>IF(S4="",0,(SQRT(3)*T4/1000*U4*Y4)/V4)</f>
        <v>3.5284630485553697E-3</v>
      </c>
      <c r="AA4" s="294">
        <v>2</v>
      </c>
      <c r="AB4" s="294">
        <f>SUM(U4:U7)</f>
        <v>45.5</v>
      </c>
      <c r="AC4" s="294">
        <f>V4</f>
        <v>220</v>
      </c>
      <c r="AD4" s="294" t="s">
        <v>202</v>
      </c>
      <c r="AE4" s="294" t="s">
        <v>57</v>
      </c>
      <c r="AF4" s="300">
        <f>(((IF(AD4="COBRE",VLOOKUP(AE4,'Cap 9 NTC'!N44:S64,MATCH(AF2,'Cap 9 NTC'!R43:S43,0)+4,FALSE),VLOOKUP(AE4,'Cap 9 NTC'!N44:U64,MATCH(AF2,'Cap 9 NTC'!T43:U43,0)+6,FALSE)))*$AF$1)+(VLOOKUP(AE4,'Cap 9 NTC'!N44:Q64,MATCH(AF2,'Cap 9 NTC'!P43:Q43,0)+2,FALSE))*SIN(ACOS($AF$1)))</f>
        <v>3.94</v>
      </c>
      <c r="AG4" s="299">
        <f>(SQRT(3)*AA4/1000*AB4*AF4)/AC4</f>
        <v>2.8227704388442965E-3</v>
      </c>
      <c r="AH4" s="294">
        <v>5</v>
      </c>
      <c r="AI4" s="294" t="e">
        <f>#REF!</f>
        <v>#REF!</v>
      </c>
      <c r="AJ4" s="294" t="e">
        <f>#REF!</f>
        <v>#REF!</v>
      </c>
      <c r="AK4" s="294" t="s">
        <v>202</v>
      </c>
      <c r="AL4" s="294" t="s">
        <v>38</v>
      </c>
      <c r="AM4" s="300">
        <f>(((IF(AK4="COBRE",VLOOKUP(AL4,'Cap 9 NTC'!N44:S64,MATCH(AM2,'Cap 9 NTC'!R43:S43,0)+4,FALSE),VLOOKUP(AL4,'Cap 9 NTC'!N44:U64,MATCH(AM2,'Cap 9 NTC'!T43:U43,0)+6,FALSE)))*$AM$1)+(VLOOKUP(AL4,'Cap 9 NTC'!N44:Q64,MATCH(AM2,'Cap 9 NTC'!P43:Q43,0)+2,FALSE))*SIN(ACOS($AM$1)))</f>
        <v>0.20699999999999999</v>
      </c>
      <c r="AN4" s="299" t="e">
        <f>(SQRT(3)*AH4/1000*AI4*AM4)/AJ4</f>
        <v>#REF!</v>
      </c>
      <c r="AO4" s="301">
        <f>IF(S4="",0,AG4+Z4)</f>
        <v>6.3512334873996662E-3</v>
      </c>
      <c r="AP4" s="302">
        <f>AO4+MAX(Z4:Z7)+MAX(R4:R7)</f>
        <v>1.9532876490271571E-2</v>
      </c>
    </row>
    <row r="5" spans="1:42" x14ac:dyDescent="0.3">
      <c r="A5" s="219" t="s">
        <v>547</v>
      </c>
      <c r="B5" s="219">
        <v>20</v>
      </c>
      <c r="C5" s="220">
        <f>PV_INV_STRING!$B$9</f>
        <v>13.03</v>
      </c>
      <c r="D5" s="219">
        <v>9</v>
      </c>
      <c r="E5" s="220">
        <f>D5*PV_INV_STRING!$B$6</f>
        <v>467.18999999999994</v>
      </c>
      <c r="F5" s="219" t="s">
        <v>202</v>
      </c>
      <c r="G5" s="219" t="s">
        <v>39</v>
      </c>
      <c r="H5" s="220">
        <f>IF(A5="","",IF(F5="COBRE",VLOOKUP(G5,'Cap 9 NTC'!$M$15:$V$35,10,FALSE)))</f>
        <v>6.73</v>
      </c>
      <c r="I5" s="226">
        <f>IF(A5="",0,(2*C5*B5/1000*H5)/E5)</f>
        <v>7.5080288533573066E-3</v>
      </c>
      <c r="J5" s="229"/>
      <c r="K5" s="229"/>
      <c r="L5" s="219"/>
      <c r="M5" s="231"/>
      <c r="N5" s="231"/>
      <c r="O5" s="219"/>
      <c r="P5" s="231"/>
      <c r="Q5" s="227"/>
      <c r="R5" s="227">
        <f>Q5+MAX(I5:I6)</f>
        <v>9.6531799543165351E-3</v>
      </c>
      <c r="S5" s="296"/>
      <c r="T5" s="296"/>
      <c r="U5" s="296"/>
      <c r="V5" s="296"/>
      <c r="W5" s="296"/>
      <c r="X5" s="296"/>
      <c r="Y5" s="298"/>
      <c r="Z5" s="299"/>
      <c r="AA5" s="294"/>
      <c r="AB5" s="294"/>
      <c r="AC5" s="294"/>
      <c r="AD5" s="294"/>
      <c r="AE5" s="294"/>
      <c r="AF5" s="300"/>
      <c r="AG5" s="299"/>
      <c r="AH5" s="294"/>
      <c r="AI5" s="294"/>
      <c r="AJ5" s="294"/>
      <c r="AK5" s="294"/>
      <c r="AL5" s="294"/>
      <c r="AM5" s="300"/>
      <c r="AN5" s="299"/>
      <c r="AO5" s="301"/>
      <c r="AP5" s="302"/>
    </row>
    <row r="6" spans="1:42" x14ac:dyDescent="0.3">
      <c r="A6" s="34" t="s">
        <v>536</v>
      </c>
      <c r="B6" s="219">
        <v>20</v>
      </c>
      <c r="C6" s="220">
        <f>PV_INV_STRING!$B$9</f>
        <v>13.03</v>
      </c>
      <c r="D6" s="219">
        <v>7</v>
      </c>
      <c r="E6" s="220">
        <f>D6*PV_INV_STRING!$B$6</f>
        <v>363.37</v>
      </c>
      <c r="F6" s="34" t="s">
        <v>202</v>
      </c>
      <c r="G6" s="34" t="s">
        <v>39</v>
      </c>
      <c r="H6" s="220">
        <f>IF(A6="","",IF(F6="COBRE",VLOOKUP(G6,'Cap 9 NTC'!$M$15:$V$35,10,FALSE)))</f>
        <v>6.73</v>
      </c>
      <c r="I6" s="226">
        <f t="shared" ref="I6:I7" si="0">IF(A6="",0,(2*C6*B6/1000*H6)/E6)</f>
        <v>9.6531799543165351E-3</v>
      </c>
      <c r="J6" s="232">
        <v>2</v>
      </c>
      <c r="K6" s="232">
        <v>0</v>
      </c>
      <c r="L6" s="228">
        <v>0</v>
      </c>
      <c r="M6" s="231">
        <f>IF(J6="","",L6*C6)</f>
        <v>0</v>
      </c>
      <c r="N6" s="230">
        <f>IF(J6="","",E6)</f>
        <v>363.37</v>
      </c>
      <c r="O6" s="228" t="s">
        <v>39</v>
      </c>
      <c r="P6" s="231">
        <f>IF(J6="","",IF(F6="COBRE",VLOOKUP(O6,'Cap 9 NTC'!$M$15:$V$35,10,FALSE)))</f>
        <v>6.73</v>
      </c>
      <c r="Q6" s="227">
        <f>IF(J6="",0,(2*M6*(K6/1000)*P6)/N6)</f>
        <v>0</v>
      </c>
      <c r="R6" s="227">
        <f>Q6+MAX(I6)</f>
        <v>9.6531799543165351E-3</v>
      </c>
      <c r="S6" s="296"/>
      <c r="T6" s="296"/>
      <c r="U6" s="296"/>
      <c r="V6" s="296"/>
      <c r="W6" s="296"/>
      <c r="X6" s="296"/>
      <c r="Y6" s="298"/>
      <c r="Z6" s="299"/>
      <c r="AA6" s="294"/>
      <c r="AB6" s="294"/>
      <c r="AC6" s="294"/>
      <c r="AD6" s="294"/>
      <c r="AE6" s="294"/>
      <c r="AF6" s="300"/>
      <c r="AG6" s="299"/>
      <c r="AH6" s="294"/>
      <c r="AI6" s="294"/>
      <c r="AJ6" s="294"/>
      <c r="AK6" s="294"/>
      <c r="AL6" s="294"/>
      <c r="AM6" s="300"/>
      <c r="AN6" s="299"/>
      <c r="AO6" s="301"/>
      <c r="AP6" s="302"/>
    </row>
    <row r="7" spans="1:42" x14ac:dyDescent="0.3">
      <c r="A7" s="34" t="s">
        <v>548</v>
      </c>
      <c r="B7" s="219">
        <v>20</v>
      </c>
      <c r="C7" s="220">
        <f>PV_INV_STRING!$B$9</f>
        <v>13.03</v>
      </c>
      <c r="D7" s="219">
        <v>8</v>
      </c>
      <c r="E7" s="220">
        <v>428.8</v>
      </c>
      <c r="F7" s="34" t="s">
        <v>202</v>
      </c>
      <c r="G7" s="34" t="s">
        <v>39</v>
      </c>
      <c r="H7" s="220">
        <f>IF(A7="","",IF(F7="COBRE",VLOOKUP(G7,'Cap 9 NTC'!$M$15:$V$35,10,FALSE)))</f>
        <v>6.73</v>
      </c>
      <c r="I7" s="226">
        <f t="shared" si="0"/>
        <v>8.1802145522388049E-3</v>
      </c>
      <c r="J7" s="232"/>
      <c r="K7" s="232"/>
      <c r="L7" s="228"/>
      <c r="M7" s="231"/>
      <c r="N7" s="231"/>
      <c r="O7" s="228"/>
      <c r="P7" s="231"/>
      <c r="Q7" s="227"/>
      <c r="R7" s="227"/>
      <c r="S7" s="297"/>
      <c r="T7" s="297"/>
      <c r="U7" s="297"/>
      <c r="V7" s="297"/>
      <c r="W7" s="297"/>
      <c r="X7" s="297"/>
      <c r="Y7" s="298"/>
      <c r="Z7" s="299"/>
      <c r="AA7" s="294"/>
      <c r="AB7" s="294"/>
      <c r="AC7" s="294"/>
      <c r="AD7" s="294"/>
      <c r="AE7" s="294"/>
      <c r="AF7" s="300"/>
      <c r="AG7" s="299"/>
      <c r="AH7" s="294"/>
      <c r="AI7" s="294"/>
      <c r="AJ7" s="294"/>
      <c r="AK7" s="294"/>
      <c r="AL7" s="294"/>
      <c r="AM7" s="300"/>
      <c r="AN7" s="299"/>
      <c r="AO7" s="301"/>
      <c r="AP7" s="302"/>
    </row>
    <row r="9" spans="1:42" ht="31.2" customHeight="1" x14ac:dyDescent="0.3">
      <c r="A9" s="46" t="s">
        <v>169</v>
      </c>
      <c r="B9" s="46" t="s">
        <v>168</v>
      </c>
      <c r="C9" s="46" t="s">
        <v>165</v>
      </c>
      <c r="D9" s="46" t="s">
        <v>170</v>
      </c>
      <c r="E9" s="46" t="s">
        <v>166</v>
      </c>
    </row>
    <row r="10" spans="1:42" x14ac:dyDescent="0.3">
      <c r="A10" s="219" t="s">
        <v>534</v>
      </c>
      <c r="B10" s="252">
        <f>I4</f>
        <v>9.6531799543165351E-3</v>
      </c>
      <c r="C10" s="243">
        <v>1</v>
      </c>
      <c r="D10" s="252">
        <f>Z4+AG4</f>
        <v>6.3512334873996662E-3</v>
      </c>
      <c r="E10" s="226">
        <f>D10+B10</f>
        <v>1.60044134417162E-2</v>
      </c>
    </row>
    <row r="11" spans="1:42" x14ac:dyDescent="0.3">
      <c r="A11" s="219" t="s">
        <v>535</v>
      </c>
      <c r="B11" s="252">
        <f>I5</f>
        <v>7.5080288533573066E-3</v>
      </c>
      <c r="C11" s="243">
        <v>1</v>
      </c>
      <c r="D11" s="252"/>
      <c r="E11" s="226">
        <f>D11+B11</f>
        <v>7.5080288533573066E-3</v>
      </c>
      <c r="X11" s="211"/>
    </row>
  </sheetData>
  <mergeCells count="30">
    <mergeCell ref="AG4:AG7"/>
    <mergeCell ref="AO4:AO7"/>
    <mergeCell ref="AP4:AP7"/>
    <mergeCell ref="AA4:AA7"/>
    <mergeCell ref="AL4:AL7"/>
    <mergeCell ref="AM4:AM7"/>
    <mergeCell ref="AN4:AN7"/>
    <mergeCell ref="AJ4:AJ7"/>
    <mergeCell ref="AK4:AK7"/>
    <mergeCell ref="S4:S7"/>
    <mergeCell ref="T4:T7"/>
    <mergeCell ref="U4:U7"/>
    <mergeCell ref="V4:V7"/>
    <mergeCell ref="W4:W7"/>
    <mergeCell ref="AK1:AL1"/>
    <mergeCell ref="AK2:AL2"/>
    <mergeCell ref="AH4:AH7"/>
    <mergeCell ref="AI4:AI7"/>
    <mergeCell ref="W1:X1"/>
    <mergeCell ref="AD1:AE1"/>
    <mergeCell ref="AD2:AE2"/>
    <mergeCell ref="W2:X2"/>
    <mergeCell ref="AB4:AB7"/>
    <mergeCell ref="AC4:AC7"/>
    <mergeCell ref="AD4:AD7"/>
    <mergeCell ref="AE4:AE7"/>
    <mergeCell ref="X4:X7"/>
    <mergeCell ref="Y4:Y7"/>
    <mergeCell ref="Z4:Z7"/>
    <mergeCell ref="AF4:AF7"/>
  </mergeCells>
  <conditionalFormatting sqref="R4:R6">
    <cfRule type="cellIs" dxfId="6" priority="8" operator="greaterThanOrEqual">
      <formula>0.02</formula>
    </cfRule>
  </conditionalFormatting>
  <conditionalFormatting sqref="AP4">
    <cfRule type="cellIs" dxfId="5" priority="12" operator="greaterThanOrEqual">
      <formula>0.03</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500-000000000000}">
          <x14:formula1>
            <xm:f>Cables!$A$3:$A$28</xm:f>
          </x14:formula1>
          <xm:sqref>O4:O7 G4:G7</xm:sqref>
        </x14:dataValidation>
        <x14:dataValidation type="list" allowBlank="1" showInputMessage="1" showErrorMessage="1" xr:uid="{00000000-0002-0000-0500-000001000000}">
          <x14:formula1>
            <xm:f>Listas!$A$2:$A$4</xm:f>
          </x14:formula1>
          <xm:sqref>AD4 AK4:AK7 W4 F4:F7</xm:sqref>
        </x14:dataValidation>
        <x14:dataValidation type="list" allowBlank="1" showInputMessage="1" showErrorMessage="1" xr:uid="{00000000-0002-0000-0500-000002000000}">
          <x14:formula1>
            <xm:f>Listas!$G$2:$G$3</xm:f>
          </x14:formula1>
          <xm:sqref>Y2 AF2 AM2</xm:sqref>
        </x14:dataValidation>
        <x14:dataValidation type="list" allowBlank="1" showInputMessage="1" showErrorMessage="1" xr:uid="{00000000-0002-0000-0500-000003000000}">
          <x14:formula1>
            <xm:f>Cables!$D$3:$D$28</xm:f>
          </x14:formula1>
          <xm:sqref>X4 AE4 AL4:AL7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70F8F-FBBB-4AAA-95A8-D5ACC0B52A96}">
  <dimension ref="A1:AX16"/>
  <sheetViews>
    <sheetView zoomScale="85" zoomScaleNormal="85" workbookViewId="0">
      <selection activeCell="W20" sqref="W20"/>
    </sheetView>
  </sheetViews>
  <sheetFormatPr baseColWidth="10" defaultColWidth="15.88671875" defaultRowHeight="14.4" x14ac:dyDescent="0.3"/>
  <cols>
    <col min="1" max="1" width="17" style="33" bestFit="1" customWidth="1"/>
    <col min="2" max="2" width="13.109375" style="33" bestFit="1" customWidth="1"/>
    <col min="3" max="3" width="17" style="33" bestFit="1" customWidth="1"/>
    <col min="4" max="4" width="17" style="33" customWidth="1"/>
    <col min="5" max="6" width="15.109375" style="33" customWidth="1"/>
    <col min="7" max="7" width="12.44140625" style="33" bestFit="1" customWidth="1"/>
    <col min="8" max="8" width="15.88671875" style="33"/>
    <col min="9" max="10" width="13.5546875" style="33" customWidth="1"/>
    <col min="11" max="11" width="13.5546875" style="33" hidden="1" customWidth="1"/>
    <col min="12" max="12" width="13.33203125" style="33" hidden="1" customWidth="1"/>
    <col min="13" max="13" width="13.5546875" style="33" hidden="1" customWidth="1"/>
    <col min="14" max="14" width="15" style="33" hidden="1" customWidth="1"/>
    <col min="15" max="15" width="12.44140625" style="33" hidden="1" customWidth="1"/>
    <col min="16" max="17" width="15.44140625" style="33" hidden="1" customWidth="1"/>
    <col min="18" max="18" width="8.6640625" style="33" hidden="1" customWidth="1"/>
    <col min="19" max="19" width="13.44140625" style="32" hidden="1" customWidth="1"/>
    <col min="20" max="20" width="16.33203125" style="33" customWidth="1"/>
    <col min="21" max="21" width="17.109375" style="32" customWidth="1"/>
    <col min="22" max="28" width="15.88671875" style="32"/>
    <col min="29" max="29" width="17.44140625" style="32" customWidth="1"/>
    <col min="30" max="35" width="15.88671875" style="32"/>
    <col min="36" max="36" width="17.44140625" style="32" customWidth="1"/>
    <col min="37" max="16384" width="15.88671875" style="32"/>
  </cols>
  <sheetData>
    <row r="1" spans="1:50" x14ac:dyDescent="0.3">
      <c r="A1" s="46" t="s">
        <v>514</v>
      </c>
      <c r="B1" s="303" t="s">
        <v>556</v>
      </c>
      <c r="C1" s="303"/>
      <c r="X1" s="293" t="s">
        <v>162</v>
      </c>
      <c r="Y1" s="293"/>
      <c r="Z1" s="34">
        <v>1</v>
      </c>
      <c r="AF1" s="293" t="s">
        <v>162</v>
      </c>
      <c r="AG1" s="293"/>
      <c r="AH1" s="34">
        <v>1</v>
      </c>
    </row>
    <row r="2" spans="1:50" ht="15" customHeight="1" x14ac:dyDescent="0.3">
      <c r="A2" s="46" t="s">
        <v>510</v>
      </c>
      <c r="B2" s="303">
        <v>4</v>
      </c>
      <c r="C2" s="303"/>
      <c r="D2" s="222" t="s">
        <v>551</v>
      </c>
      <c r="X2" s="293" t="s">
        <v>503</v>
      </c>
      <c r="Y2" s="293"/>
      <c r="Z2" s="197" t="s">
        <v>456</v>
      </c>
      <c r="AF2" s="293" t="s">
        <v>503</v>
      </c>
      <c r="AG2" s="293"/>
      <c r="AH2" s="197" t="s">
        <v>456</v>
      </c>
    </row>
    <row r="3" spans="1:50" s="33" customFormat="1" ht="72" x14ac:dyDescent="0.3">
      <c r="A3" s="46" t="s">
        <v>169</v>
      </c>
      <c r="B3" s="46" t="s">
        <v>528</v>
      </c>
      <c r="C3" s="46" t="s">
        <v>163</v>
      </c>
      <c r="D3" s="46" t="s">
        <v>476</v>
      </c>
      <c r="E3" s="46" t="s">
        <v>167</v>
      </c>
      <c r="F3" s="46" t="s">
        <v>302</v>
      </c>
      <c r="G3" s="46" t="s">
        <v>105</v>
      </c>
      <c r="H3" s="46" t="s">
        <v>161</v>
      </c>
      <c r="I3" s="46" t="s">
        <v>504</v>
      </c>
      <c r="J3" s="46" t="s">
        <v>543</v>
      </c>
      <c r="K3" s="46" t="s">
        <v>521</v>
      </c>
      <c r="L3" s="46" t="s">
        <v>463</v>
      </c>
      <c r="M3" s="46" t="s">
        <v>464</v>
      </c>
      <c r="N3" s="46" t="s">
        <v>465</v>
      </c>
      <c r="O3" s="46" t="s">
        <v>466</v>
      </c>
      <c r="P3" s="46" t="s">
        <v>467</v>
      </c>
      <c r="Q3" s="46" t="s">
        <v>468</v>
      </c>
      <c r="R3" s="46" t="s">
        <v>106</v>
      </c>
      <c r="S3" s="46"/>
      <c r="T3" s="46" t="s">
        <v>165</v>
      </c>
      <c r="U3" s="46" t="s">
        <v>538</v>
      </c>
      <c r="V3" s="46" t="s">
        <v>465</v>
      </c>
      <c r="W3" s="46" t="s">
        <v>470</v>
      </c>
      <c r="X3" s="46" t="s">
        <v>302</v>
      </c>
      <c r="Y3" s="46" t="s">
        <v>105</v>
      </c>
      <c r="Z3" s="46" t="s">
        <v>471</v>
      </c>
      <c r="AA3" s="46" t="s">
        <v>504</v>
      </c>
      <c r="AB3" s="46" t="s">
        <v>522</v>
      </c>
      <c r="AC3" s="46" t="s">
        <v>542</v>
      </c>
      <c r="AD3" s="46" t="s">
        <v>164</v>
      </c>
      <c r="AE3" s="46" t="s">
        <v>472</v>
      </c>
      <c r="AF3" s="46" t="s">
        <v>302</v>
      </c>
      <c r="AG3" s="46" t="s">
        <v>105</v>
      </c>
      <c r="AH3" s="46" t="s">
        <v>471</v>
      </c>
      <c r="AI3" s="46" t="s">
        <v>504</v>
      </c>
      <c r="AJ3" s="46" t="s">
        <v>544</v>
      </c>
    </row>
    <row r="4" spans="1:50" x14ac:dyDescent="0.3">
      <c r="A4" s="219" t="s">
        <v>534</v>
      </c>
      <c r="B4" s="219">
        <v>20</v>
      </c>
      <c r="C4" s="220">
        <v>9.1999999999999993</v>
      </c>
      <c r="D4" s="219">
        <v>7</v>
      </c>
      <c r="E4" s="220">
        <v>227.9</v>
      </c>
      <c r="F4" s="219" t="s">
        <v>202</v>
      </c>
      <c r="G4" s="219" t="s">
        <v>39</v>
      </c>
      <c r="H4" s="220">
        <f>IF(A4="","",IF(F4="COBRE",VLOOKUP(G4,'[1]Cap 9 NTC'!$M$15:$V$35,10,FALSE)))</f>
        <v>6.73</v>
      </c>
      <c r="I4" s="221">
        <f>IF(A4="",0,2*H4*(C4^2)*(B4/1000))</f>
        <v>22.785087999999998</v>
      </c>
      <c r="J4" s="221">
        <f>I4*$B$2*30/1000</f>
        <v>2.7342105600000002</v>
      </c>
      <c r="K4" s="229"/>
      <c r="L4" s="229"/>
      <c r="M4" s="219"/>
      <c r="N4" s="231"/>
      <c r="O4" s="231"/>
      <c r="P4" s="219"/>
      <c r="Q4" s="231"/>
      <c r="R4" s="227"/>
      <c r="S4" s="227"/>
      <c r="T4" s="243">
        <v>1</v>
      </c>
      <c r="U4" s="243">
        <v>2.5</v>
      </c>
      <c r="V4" s="243">
        <f>'[2]INV1_TABLERO FV'!B7</f>
        <v>45.5</v>
      </c>
      <c r="W4" s="243">
        <f>'[2]INV1_TABLERO FV'!B6</f>
        <v>220</v>
      </c>
      <c r="X4" s="243" t="s">
        <v>202</v>
      </c>
      <c r="Y4" s="243" t="s">
        <v>57</v>
      </c>
      <c r="Z4" s="257">
        <f>IF(V4="","",(((IF(X4="COBRE",VLOOKUP(Y4,'[2]Cap 9 NTC'!N44:U64,MATCH(Z2,'[2]Cap 9 NTC'!R43:S43,0)+4,FALSE),VLOOKUP(Y4,'[2]Cap 9 NTC'!N44:U64,MATCH(Z2,'[2]Cap 9 NTC'!T43:U43,0)+6,FALSE)))*$Z$1)+(VLOOKUP(Y4,'[2]Cap 9 NTC'!N44:Q64,MATCH(Z2,'[2]Cap 9 NTC'!P43:Q43,0)+2,FALSE))*SIN(ACOS($Z$1))))</f>
        <v>3.94</v>
      </c>
      <c r="AA4" s="258">
        <f>IF(T4="",0,SQRT(3)*Z4*(V4^2)*(U4/1000))</f>
        <v>35.319915116039255</v>
      </c>
      <c r="AB4" s="259">
        <f>AA4*$B$2*30/1000</f>
        <v>4.2383898139247105</v>
      </c>
      <c r="AC4" s="260">
        <v>1</v>
      </c>
      <c r="AD4" s="260">
        <f>SUM(V4:V10)</f>
        <v>45.5</v>
      </c>
      <c r="AE4" s="260">
        <v>240</v>
      </c>
      <c r="AF4" s="260" t="s">
        <v>202</v>
      </c>
      <c r="AG4" s="260" t="s">
        <v>57</v>
      </c>
      <c r="AH4" s="257">
        <f>(((IF(AF4="COBRE",VLOOKUP(AG4,'[2]Cap 9 NTC'!N44:S64,MATCH(AH2,'[2]Cap 9 NTC'!R43:S43,0)+4,FALSE),VLOOKUP(AG4,'[2]Cap 9 NTC'!N44:U64,MATCH(AH2,'[2]Cap 9 NTC'!T43:U43,0)+6,FALSE)))*$AH$1)+(VLOOKUP(AG4,'[2]Cap 9 NTC'!N44:Q64,MATCH(AH2,'[2]Cap 9 NTC'!P43:Q43,0)+2,FALSE))*SIN(ACOS($AH$1)))</f>
        <v>3.94</v>
      </c>
      <c r="AI4" s="261">
        <f>IF(T4="",0,SQRT(3)*AH4*(AD4^2)*(AC4/1000))</f>
        <v>14.127966046415702</v>
      </c>
      <c r="AJ4" s="262">
        <f>AI4*$B$2*30/1000</f>
        <v>1.6953559255698842</v>
      </c>
    </row>
    <row r="5" spans="1:50" x14ac:dyDescent="0.3">
      <c r="A5" s="219" t="s">
        <v>547</v>
      </c>
      <c r="B5" s="219">
        <v>20</v>
      </c>
      <c r="C5" s="220">
        <v>9.1999999999999993</v>
      </c>
      <c r="D5" s="219">
        <v>9</v>
      </c>
      <c r="E5" s="220">
        <v>357.3</v>
      </c>
      <c r="F5" s="219" t="s">
        <v>202</v>
      </c>
      <c r="G5" s="219" t="s">
        <v>39</v>
      </c>
      <c r="H5" s="220">
        <f>IF(A5="","",IF(F5="COBRE",VLOOKUP(G5,'[1]Cap 9 NTC'!$M$15:$V$35,10,FALSE)))</f>
        <v>6.73</v>
      </c>
      <c r="I5" s="221">
        <f t="shared" ref="I5:I7" si="0">IF(A5="",0,2*H5*(C5^2)*(B5/1000))</f>
        <v>22.785087999999998</v>
      </c>
      <c r="J5" s="221">
        <f t="shared" ref="J5:J7" si="1">I5*$B$2*30/1000</f>
        <v>2.7342105600000002</v>
      </c>
      <c r="K5" s="229"/>
      <c r="L5" s="229"/>
      <c r="M5" s="219"/>
      <c r="N5" s="231"/>
      <c r="O5" s="231"/>
      <c r="P5" s="219"/>
      <c r="Q5" s="231"/>
      <c r="R5" s="227"/>
      <c r="S5" s="270"/>
      <c r="T5" s="32"/>
      <c r="Z5" s="209"/>
      <c r="AA5" s="271"/>
      <c r="AB5" s="272"/>
      <c r="AH5" s="273"/>
      <c r="AI5" s="267"/>
      <c r="AJ5" s="267"/>
    </row>
    <row r="6" spans="1:50" x14ac:dyDescent="0.3">
      <c r="A6" s="219" t="s">
        <v>536</v>
      </c>
      <c r="B6" s="219">
        <v>20</v>
      </c>
      <c r="C6" s="220">
        <v>10.14</v>
      </c>
      <c r="D6" s="219">
        <v>7</v>
      </c>
      <c r="E6" s="220">
        <f>7*53.6</f>
        <v>375.2</v>
      </c>
      <c r="F6" s="219" t="s">
        <v>202</v>
      </c>
      <c r="G6" s="219" t="s">
        <v>39</v>
      </c>
      <c r="H6" s="220">
        <f>IF(A6="","",IF(F6="COBRE",VLOOKUP(G6,'[1]Cap 9 NTC'!$M$15:$V$35,10,FALSE)))</f>
        <v>6.73</v>
      </c>
      <c r="I6" s="221">
        <f t="shared" si="0"/>
        <v>27.679036320000005</v>
      </c>
      <c r="J6" s="221">
        <f t="shared" si="1"/>
        <v>3.3214843584000007</v>
      </c>
      <c r="K6" s="229"/>
      <c r="L6" s="229"/>
      <c r="M6" s="219"/>
      <c r="N6" s="231"/>
      <c r="O6" s="231"/>
      <c r="P6" s="219"/>
      <c r="Q6" s="231"/>
      <c r="R6" s="227"/>
      <c r="S6" s="270"/>
      <c r="T6" s="32"/>
      <c r="Z6" s="209"/>
      <c r="AA6" s="271"/>
      <c r="AB6" s="272"/>
      <c r="AH6" s="273"/>
      <c r="AI6" s="267"/>
      <c r="AJ6" s="267"/>
    </row>
    <row r="7" spans="1:50" x14ac:dyDescent="0.3">
      <c r="A7" s="219" t="s">
        <v>548</v>
      </c>
      <c r="B7" s="219">
        <v>20</v>
      </c>
      <c r="C7" s="220">
        <v>10.14</v>
      </c>
      <c r="D7" s="219">
        <v>8</v>
      </c>
      <c r="E7" s="220">
        <f>8*53.6</f>
        <v>428.8</v>
      </c>
      <c r="F7" s="219" t="s">
        <v>202</v>
      </c>
      <c r="G7" s="219" t="s">
        <v>39</v>
      </c>
      <c r="H7" s="220">
        <f>IF(A7="","",IF(F7="COBRE",VLOOKUP(G7,'[1]Cap 9 NTC'!$M$15:$V$35,10,FALSE)))</f>
        <v>6.73</v>
      </c>
      <c r="I7" s="221">
        <f t="shared" si="0"/>
        <v>27.679036320000005</v>
      </c>
      <c r="J7" s="221">
        <f t="shared" si="1"/>
        <v>3.3214843584000007</v>
      </c>
      <c r="K7" s="229"/>
      <c r="L7" s="229"/>
      <c r="M7" s="219"/>
      <c r="N7" s="231"/>
      <c r="O7" s="231"/>
      <c r="P7" s="219"/>
      <c r="Q7" s="231"/>
      <c r="R7" s="227"/>
      <c r="S7" s="270"/>
      <c r="T7" s="32"/>
      <c r="Z7" s="209"/>
      <c r="AA7" s="271"/>
      <c r="AB7" s="272"/>
      <c r="AH7" s="273"/>
      <c r="AI7" s="267"/>
      <c r="AJ7" s="267"/>
    </row>
    <row r="8" spans="1:50" x14ac:dyDescent="0.3">
      <c r="Z8" s="209"/>
    </row>
    <row r="10" spans="1:50" ht="57.6" x14ac:dyDescent="0.3">
      <c r="A10" s="46" t="s">
        <v>165</v>
      </c>
      <c r="B10" s="46" t="s">
        <v>505</v>
      </c>
      <c r="C10" s="46" t="s">
        <v>517</v>
      </c>
      <c r="D10" s="46" t="s">
        <v>506</v>
      </c>
      <c r="E10" s="46" t="s">
        <v>518</v>
      </c>
      <c r="F10" s="46" t="s">
        <v>507</v>
      </c>
      <c r="G10" s="46" t="s">
        <v>519</v>
      </c>
      <c r="S10" s="33"/>
      <c r="T10" s="32"/>
      <c r="U10" s="33"/>
      <c r="V10" s="33"/>
      <c r="X10" s="33"/>
      <c r="Y10" s="33"/>
      <c r="AD10" s="33"/>
      <c r="AH10" s="33"/>
      <c r="AL10" s="33"/>
      <c r="AP10" s="33"/>
      <c r="AT10" s="33"/>
      <c r="AU10" s="209"/>
      <c r="AV10" s="33"/>
      <c r="AW10" s="209"/>
      <c r="AX10" s="33"/>
    </row>
    <row r="11" spans="1:50" ht="28.8" x14ac:dyDescent="0.3">
      <c r="A11" s="219">
        <v>1</v>
      </c>
      <c r="B11" s="217">
        <f>SUM(I4:I7)</f>
        <v>100.92824864000001</v>
      </c>
      <c r="C11" s="218">
        <f>B11/(SUM(D4:D7)*[2]PV_INV_STRING!$B$5)</f>
        <v>5.7118420282965482E-3</v>
      </c>
      <c r="D11" s="263">
        <f>AI4</f>
        <v>14.127966046415702</v>
      </c>
      <c r="E11" s="264">
        <f>D11/U11</f>
        <v>7.9954533369641775E-4</v>
      </c>
      <c r="F11" s="262">
        <f>SUM(B11,E11)</f>
        <v>100.9290481853337</v>
      </c>
      <c r="G11" s="265">
        <f>F11/U11</f>
        <v>5.7118872770420886E-3</v>
      </c>
      <c r="S11" s="293" t="s">
        <v>520</v>
      </c>
      <c r="T11" s="293"/>
      <c r="U11" s="34">
        <f>SUM(D4:D7)*PV_INV_STRING!$B$5</f>
        <v>17670</v>
      </c>
      <c r="V11" s="33"/>
      <c r="X11" s="33"/>
      <c r="Y11" s="33"/>
      <c r="AD11" s="33"/>
      <c r="AH11" s="33"/>
      <c r="AL11" s="33"/>
      <c r="AP11" s="33"/>
      <c r="AT11" s="33"/>
      <c r="AV11" s="33"/>
      <c r="AX11" s="33"/>
    </row>
    <row r="12" spans="1:50" ht="15" customHeight="1" x14ac:dyDescent="0.3">
      <c r="B12" s="266"/>
      <c r="C12" s="269"/>
      <c r="D12" s="267"/>
      <c r="E12" s="268"/>
      <c r="F12" s="267"/>
      <c r="G12" s="268"/>
      <c r="S12" s="33"/>
      <c r="T12" s="32"/>
      <c r="U12" s="33"/>
      <c r="V12" s="33"/>
      <c r="X12" s="33"/>
      <c r="Y12" s="33"/>
      <c r="AD12" s="33"/>
      <c r="AH12" s="33"/>
      <c r="AL12" s="33"/>
      <c r="AP12" s="33"/>
      <c r="AT12" s="33"/>
      <c r="AV12" s="33"/>
      <c r="AX12" s="33"/>
    </row>
    <row r="13" spans="1:50" x14ac:dyDescent="0.3">
      <c r="S13" s="33"/>
      <c r="T13" s="32"/>
      <c r="U13" s="33"/>
      <c r="V13" s="33"/>
      <c r="X13" s="33"/>
      <c r="Y13" s="33"/>
      <c r="AD13" s="33"/>
      <c r="AH13" s="33"/>
      <c r="AL13" s="33"/>
      <c r="AP13" s="33"/>
      <c r="AT13" s="33"/>
      <c r="AV13" s="33"/>
      <c r="AX13" s="33"/>
    </row>
    <row r="14" spans="1:50" ht="72" x14ac:dyDescent="0.3">
      <c r="A14" s="46" t="s">
        <v>165</v>
      </c>
      <c r="B14" s="46" t="s">
        <v>511</v>
      </c>
      <c r="C14" s="46" t="s">
        <v>512</v>
      </c>
      <c r="D14" s="46" t="s">
        <v>513</v>
      </c>
      <c r="S14" s="33"/>
      <c r="T14" s="32"/>
      <c r="U14" s="33"/>
      <c r="V14" s="33"/>
      <c r="X14" s="33"/>
      <c r="Y14" s="33"/>
      <c r="AD14" s="33"/>
      <c r="AH14" s="33"/>
      <c r="AL14" s="33"/>
      <c r="AP14" s="33"/>
      <c r="AT14" s="33"/>
      <c r="AV14" s="33"/>
      <c r="AX14" s="33"/>
    </row>
    <row r="15" spans="1:50" x14ac:dyDescent="0.3">
      <c r="A15" s="219">
        <v>1</v>
      </c>
      <c r="B15" s="217">
        <f>B11*$B$2*30/1000</f>
        <v>12.111389836800001</v>
      </c>
      <c r="C15" s="263">
        <f>D11*$B$2*30/1000</f>
        <v>1.6953559255698842</v>
      </c>
      <c r="D15" s="262">
        <f>SUM(C15,B15:B16)</f>
        <v>13.806745762369886</v>
      </c>
      <c r="S15" s="33"/>
      <c r="T15" s="32"/>
      <c r="U15" s="33"/>
      <c r="V15" s="33"/>
      <c r="X15" s="33"/>
      <c r="Y15" s="33"/>
      <c r="AD15" s="33"/>
      <c r="AH15" s="33"/>
      <c r="AL15" s="33"/>
      <c r="AP15" s="33"/>
      <c r="AT15" s="33"/>
      <c r="AV15" s="33"/>
      <c r="AX15" s="33"/>
    </row>
    <row r="16" spans="1:50" x14ac:dyDescent="0.3">
      <c r="B16" s="266"/>
      <c r="C16" s="267"/>
      <c r="D16" s="267"/>
      <c r="F16" s="210"/>
      <c r="S16" s="33"/>
      <c r="T16" s="32"/>
      <c r="U16" s="33"/>
      <c r="V16" s="33"/>
      <c r="X16" s="33"/>
      <c r="Y16" s="33"/>
      <c r="AD16" s="33"/>
      <c r="AH16" s="33"/>
      <c r="AL16" s="33"/>
      <c r="AP16" s="33"/>
      <c r="AT16" s="33"/>
      <c r="AV16" s="33"/>
      <c r="AX16" s="33"/>
    </row>
  </sheetData>
  <mergeCells count="7">
    <mergeCell ref="S11:T11"/>
    <mergeCell ref="B1:C1"/>
    <mergeCell ref="X1:Y1"/>
    <mergeCell ref="AF1:AG1"/>
    <mergeCell ref="B2:C2"/>
    <mergeCell ref="X2:Y2"/>
    <mergeCell ref="AF2:AG2"/>
  </mergeCells>
  <phoneticPr fontId="30"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6BFC09F-E535-4BFA-80A7-5CFAC788EE01}">
          <x14:formula1>
            <xm:f>'C:\Users\Santiago\Downloads\[PE0272_Cálculos Electricos_Pivijay (1).xlsx]Cables'!#REF!</xm:f>
          </x14:formula1>
          <xm:sqref>P4:P7 G4:G7</xm:sqref>
        </x14:dataValidation>
        <x14:dataValidation type="list" allowBlank="1" showInputMessage="1" showErrorMessage="1" xr:uid="{84F34F19-8E76-465F-9D07-BA211AC44486}">
          <x14:formula1>
            <xm:f>'C:\Users\Santiago\Downloads\[PE0272_Cálculos Electricos_Pivijay (1).xlsx]Listas'!#REF!</xm:f>
          </x14:formula1>
          <xm:sqref>AH2 Z2 F4:F7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1"/>
  <sheetViews>
    <sheetView workbookViewId="0">
      <selection activeCell="C34" sqref="C34"/>
    </sheetView>
  </sheetViews>
  <sheetFormatPr baseColWidth="10" defaultColWidth="11.44140625" defaultRowHeight="14.4" x14ac:dyDescent="0.3"/>
  <cols>
    <col min="1" max="1" width="26.5546875" bestFit="1" customWidth="1"/>
    <col min="2" max="2" width="30.6640625" customWidth="1"/>
    <col min="3" max="3" width="18.109375" customWidth="1"/>
  </cols>
  <sheetData>
    <row r="1" spans="1:3" ht="30" customHeight="1" x14ac:dyDescent="0.3">
      <c r="A1" s="304" t="s">
        <v>477</v>
      </c>
      <c r="B1" s="305"/>
      <c r="C1" s="306"/>
    </row>
    <row r="2" spans="1:3" x14ac:dyDescent="0.3">
      <c r="A2" s="46" t="s">
        <v>478</v>
      </c>
      <c r="B2" s="46" t="s">
        <v>479</v>
      </c>
      <c r="C2" s="46" t="s">
        <v>524</v>
      </c>
    </row>
    <row r="3" spans="1:3" x14ac:dyDescent="0.3">
      <c r="A3" s="201" t="s">
        <v>562</v>
      </c>
      <c r="B3" s="202" t="s">
        <v>557</v>
      </c>
      <c r="C3" s="202">
        <v>50</v>
      </c>
    </row>
    <row r="4" spans="1:3" x14ac:dyDescent="0.3">
      <c r="A4" s="201" t="s">
        <v>563</v>
      </c>
      <c r="B4" s="202" t="s">
        <v>557</v>
      </c>
      <c r="C4" s="202">
        <v>50</v>
      </c>
    </row>
    <row r="5" spans="1:3" x14ac:dyDescent="0.3">
      <c r="A5" s="201" t="s">
        <v>564</v>
      </c>
      <c r="B5" s="202" t="s">
        <v>558</v>
      </c>
      <c r="C5" s="202">
        <v>75</v>
      </c>
    </row>
    <row r="6" spans="1:3" x14ac:dyDescent="0.3">
      <c r="A6" s="201" t="s">
        <v>358</v>
      </c>
      <c r="B6" s="202" t="s">
        <v>480</v>
      </c>
      <c r="C6" s="202">
        <v>100</v>
      </c>
    </row>
    <row r="7" spans="1:3" x14ac:dyDescent="0.3">
      <c r="A7" s="201" t="s">
        <v>565</v>
      </c>
      <c r="B7" s="202" t="s">
        <v>559</v>
      </c>
      <c r="C7" s="202">
        <v>60</v>
      </c>
    </row>
    <row r="8" spans="1:3" x14ac:dyDescent="0.3">
      <c r="A8" s="201" t="s">
        <v>358</v>
      </c>
      <c r="B8" s="202" t="s">
        <v>560</v>
      </c>
      <c r="C8" s="202">
        <v>63</v>
      </c>
    </row>
    <row r="9" spans="1:3" x14ac:dyDescent="0.3">
      <c r="A9" s="201" t="s">
        <v>566</v>
      </c>
      <c r="B9" s="202" t="s">
        <v>561</v>
      </c>
      <c r="C9" s="202">
        <v>40</v>
      </c>
    </row>
    <row r="10" spans="1:3" x14ac:dyDescent="0.3">
      <c r="A10" s="201" t="s">
        <v>567</v>
      </c>
      <c r="B10" s="202" t="s">
        <v>561</v>
      </c>
      <c r="C10" s="202">
        <v>40</v>
      </c>
    </row>
    <row r="11" spans="1:3" x14ac:dyDescent="0.3">
      <c r="A11" s="201" t="s">
        <v>358</v>
      </c>
      <c r="B11" s="202" t="s">
        <v>481</v>
      </c>
      <c r="C11" s="202">
        <v>25</v>
      </c>
    </row>
    <row r="12" spans="1:3" x14ac:dyDescent="0.3">
      <c r="A12" s="201"/>
      <c r="B12" s="202"/>
      <c r="C12" s="202"/>
    </row>
    <row r="13" spans="1:3" x14ac:dyDescent="0.3">
      <c r="A13" s="201"/>
      <c r="B13" s="202"/>
      <c r="C13" s="202"/>
    </row>
    <row r="14" spans="1:3" x14ac:dyDescent="0.3">
      <c r="A14" s="201"/>
      <c r="B14" s="202"/>
      <c r="C14" s="202"/>
    </row>
    <row r="15" spans="1:3" x14ac:dyDescent="0.3">
      <c r="A15" s="204"/>
      <c r="B15" s="204"/>
      <c r="C15" s="204"/>
    </row>
    <row r="16" spans="1:3" x14ac:dyDescent="0.3">
      <c r="A16" s="307" t="s">
        <v>508</v>
      </c>
      <c r="B16" s="307"/>
      <c r="C16" s="203">
        <f>SUM(C3:C14)</f>
        <v>503</v>
      </c>
    </row>
    <row r="17" spans="1:6" x14ac:dyDescent="0.3">
      <c r="A17" s="208"/>
      <c r="B17" s="208"/>
      <c r="C17" s="206"/>
    </row>
    <row r="18" spans="1:6" x14ac:dyDescent="0.3">
      <c r="A18" s="307" t="s">
        <v>509</v>
      </c>
      <c r="B18" s="307"/>
      <c r="C18" s="203">
        <v>125</v>
      </c>
    </row>
    <row r="19" spans="1:6" x14ac:dyDescent="0.3">
      <c r="A19" s="208"/>
      <c r="B19" s="208"/>
      <c r="C19" s="206"/>
    </row>
    <row r="20" spans="1:6" x14ac:dyDescent="0.3">
      <c r="A20" s="307" t="s">
        <v>482</v>
      </c>
      <c r="B20" s="307"/>
      <c r="C20" s="203">
        <f>C18+C16</f>
        <v>628</v>
      </c>
    </row>
    <row r="21" spans="1:6" x14ac:dyDescent="0.3">
      <c r="A21" s="208"/>
      <c r="B21" s="208"/>
      <c r="C21" s="206"/>
    </row>
    <row r="22" spans="1:6" x14ac:dyDescent="0.3">
      <c r="A22" s="307" t="s">
        <v>483</v>
      </c>
      <c r="B22" s="307"/>
      <c r="C22" s="203"/>
    </row>
    <row r="23" spans="1:6" hidden="1" x14ac:dyDescent="0.3">
      <c r="A23" s="205"/>
      <c r="B23" s="205"/>
      <c r="C23" s="206"/>
    </row>
    <row r="24" spans="1:6" hidden="1" x14ac:dyDescent="0.3">
      <c r="A24" s="308" t="s">
        <v>484</v>
      </c>
      <c r="B24" s="308"/>
      <c r="C24" s="203">
        <v>596</v>
      </c>
    </row>
    <row r="25" spans="1:6" x14ac:dyDescent="0.3">
      <c r="A25" s="207"/>
      <c r="B25" s="207"/>
      <c r="C25" s="207"/>
    </row>
    <row r="26" spans="1:6" x14ac:dyDescent="0.3">
      <c r="A26" s="205"/>
      <c r="B26" s="205"/>
      <c r="C26" s="203">
        <f>B26*C20</f>
        <v>0</v>
      </c>
      <c r="E26">
        <v>200</v>
      </c>
      <c r="F26" t="s">
        <v>572</v>
      </c>
    </row>
    <row r="29" spans="1:6" x14ac:dyDescent="0.3">
      <c r="A29" s="43" t="s">
        <v>569</v>
      </c>
      <c r="B29" t="s">
        <v>571</v>
      </c>
      <c r="C29">
        <f>'TABLERO FV_INTX'!B13*125%+'Barraje_Pto conex'!E26</f>
        <v>256.875</v>
      </c>
    </row>
    <row r="30" spans="1:6" x14ac:dyDescent="0.3">
      <c r="A30" s="224" t="s">
        <v>570</v>
      </c>
      <c r="B30" s="44" t="s">
        <v>571</v>
      </c>
      <c r="C30" s="225">
        <f>(1.25*'TABLERO FV_INTX'!B13+E26)/1.2</f>
        <v>214.0625</v>
      </c>
    </row>
    <row r="31" spans="1:6" x14ac:dyDescent="0.3">
      <c r="A31" s="43" t="s">
        <v>568</v>
      </c>
      <c r="B31" t="s">
        <v>571</v>
      </c>
      <c r="C31" s="45">
        <f>C20</f>
        <v>628</v>
      </c>
    </row>
  </sheetData>
  <mergeCells count="6">
    <mergeCell ref="A1:C1"/>
    <mergeCell ref="A16:B16"/>
    <mergeCell ref="A24:B24"/>
    <mergeCell ref="A18:B18"/>
    <mergeCell ref="A20:B20"/>
    <mergeCell ref="A22:B2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8"/>
  <sheetViews>
    <sheetView topLeftCell="M1" zoomScaleNormal="100" workbookViewId="0">
      <selection activeCell="R25" sqref="R25"/>
    </sheetView>
  </sheetViews>
  <sheetFormatPr baseColWidth="10" defaultColWidth="15.88671875" defaultRowHeight="14.4" x14ac:dyDescent="0.3"/>
  <cols>
    <col min="1" max="1" width="17.88671875" style="33" customWidth="1"/>
    <col min="2" max="2" width="15.88671875" style="33"/>
    <col min="3" max="4" width="17.88671875" style="33" customWidth="1"/>
    <col min="5" max="13" width="15.88671875" style="33"/>
    <col min="14" max="14" width="24.33203125" style="33" customWidth="1"/>
    <col min="15" max="15" width="19" style="33" customWidth="1"/>
    <col min="16" max="19" width="15.88671875" style="33"/>
    <col min="20" max="20" width="28.5546875" style="33" customWidth="1"/>
    <col min="21" max="26" width="15.88671875" style="33"/>
    <col min="27" max="16384" width="15.88671875" style="32"/>
  </cols>
  <sheetData>
    <row r="1" spans="1:26" ht="15" thickBot="1" x14ac:dyDescent="0.35"/>
    <row r="2" spans="1:26" s="33" customFormat="1" ht="28.8" x14ac:dyDescent="0.3">
      <c r="A2" s="35" t="s">
        <v>126</v>
      </c>
      <c r="B2" s="36" t="s">
        <v>107</v>
      </c>
      <c r="C2" s="36" t="s">
        <v>127</v>
      </c>
      <c r="D2" s="36" t="s">
        <v>128</v>
      </c>
      <c r="E2" s="36" t="s">
        <v>105</v>
      </c>
      <c r="F2" s="36" t="s">
        <v>132</v>
      </c>
      <c r="G2" s="37" t="s">
        <v>106</v>
      </c>
      <c r="H2" s="35" t="s">
        <v>130</v>
      </c>
      <c r="I2" s="36" t="s">
        <v>127</v>
      </c>
      <c r="J2" s="36" t="s">
        <v>129</v>
      </c>
      <c r="K2" s="36" t="s">
        <v>105</v>
      </c>
      <c r="L2" s="36" t="s">
        <v>132</v>
      </c>
      <c r="M2" s="37" t="s">
        <v>106</v>
      </c>
      <c r="N2" s="35" t="s">
        <v>108</v>
      </c>
      <c r="O2" s="36" t="s">
        <v>127</v>
      </c>
      <c r="P2" s="36" t="s">
        <v>131</v>
      </c>
      <c r="Q2" s="36" t="s">
        <v>105</v>
      </c>
      <c r="R2" s="36" t="s">
        <v>132</v>
      </c>
      <c r="S2" s="37" t="s">
        <v>106</v>
      </c>
      <c r="T2" s="35" t="s">
        <v>109</v>
      </c>
      <c r="U2" s="36" t="s">
        <v>127</v>
      </c>
      <c r="V2" s="36" t="s">
        <v>131</v>
      </c>
      <c r="W2" s="36" t="s">
        <v>105</v>
      </c>
      <c r="X2" s="36" t="s">
        <v>132</v>
      </c>
      <c r="Y2" s="36" t="s">
        <v>106</v>
      </c>
      <c r="Z2" s="37" t="s">
        <v>134</v>
      </c>
    </row>
    <row r="3" spans="1:26" x14ac:dyDescent="0.3">
      <c r="A3" s="38" t="s">
        <v>110</v>
      </c>
      <c r="B3" s="34">
        <v>25.2</v>
      </c>
      <c r="C3" s="34">
        <v>9.09</v>
      </c>
      <c r="D3" s="34">
        <v>698.4</v>
      </c>
      <c r="E3" s="34" t="s">
        <v>23</v>
      </c>
      <c r="F3" s="34">
        <v>4.1479999999999997</v>
      </c>
      <c r="G3" s="41">
        <f>(2*C3*B3/1000*F3)/D3</f>
        <v>2.7210024742268038E-3</v>
      </c>
      <c r="H3" s="309">
        <v>34</v>
      </c>
      <c r="I3" s="311">
        <v>18.18</v>
      </c>
      <c r="J3" s="311">
        <v>698.4</v>
      </c>
      <c r="K3" s="311" t="s">
        <v>24</v>
      </c>
      <c r="L3" s="311">
        <v>2.5790000000000002</v>
      </c>
      <c r="M3" s="313">
        <f>(2*I3*H3/1000*L3)/J3</f>
        <v>4.5650958762886605E-3</v>
      </c>
      <c r="N3" s="309">
        <v>2</v>
      </c>
      <c r="O3" s="311">
        <v>41.6</v>
      </c>
      <c r="P3" s="311">
        <v>208</v>
      </c>
      <c r="Q3" s="311" t="s">
        <v>59</v>
      </c>
      <c r="R3" s="311">
        <v>0.67500000000000004</v>
      </c>
      <c r="S3" s="313">
        <f>(1.73*N3/1000*O3*R3)/P3</f>
        <v>4.6710000000000008E-4</v>
      </c>
      <c r="T3" s="309">
        <v>72</v>
      </c>
      <c r="U3" s="311">
        <v>166.4</v>
      </c>
      <c r="V3" s="311">
        <v>208</v>
      </c>
      <c r="W3" s="311" t="s">
        <v>133</v>
      </c>
      <c r="X3" s="311">
        <v>0.27700000000000002</v>
      </c>
      <c r="Y3" s="315">
        <f>(1.73*T3/1000*U3*X3)/V3/2</f>
        <v>1.3801248000000004E-2</v>
      </c>
      <c r="Z3" s="317">
        <f>Y3+S15+M15+G15</f>
        <v>2.8548291814432993E-2</v>
      </c>
    </row>
    <row r="4" spans="1:26" x14ac:dyDescent="0.3">
      <c r="A4" s="38" t="s">
        <v>111</v>
      </c>
      <c r="B4" s="34">
        <v>21.9</v>
      </c>
      <c r="C4" s="34">
        <v>9.09</v>
      </c>
      <c r="D4" s="34">
        <v>698.4</v>
      </c>
      <c r="E4" s="34" t="s">
        <v>23</v>
      </c>
      <c r="F4" s="34">
        <v>4.1479999999999997</v>
      </c>
      <c r="G4" s="41">
        <f t="shared" ref="G4:G18" si="0">(2*C4*B4/1000*F4)/D4</f>
        <v>2.3646807216494846E-3</v>
      </c>
      <c r="H4" s="309"/>
      <c r="I4" s="311"/>
      <c r="J4" s="311"/>
      <c r="K4" s="311"/>
      <c r="L4" s="311"/>
      <c r="M4" s="313"/>
      <c r="N4" s="309"/>
      <c r="O4" s="311"/>
      <c r="P4" s="311"/>
      <c r="Q4" s="311"/>
      <c r="R4" s="311"/>
      <c r="S4" s="313"/>
      <c r="T4" s="309"/>
      <c r="U4" s="311"/>
      <c r="V4" s="311"/>
      <c r="W4" s="311"/>
      <c r="X4" s="311"/>
      <c r="Y4" s="315"/>
      <c r="Z4" s="318"/>
    </row>
    <row r="5" spans="1:26" x14ac:dyDescent="0.3">
      <c r="A5" s="38" t="s">
        <v>112</v>
      </c>
      <c r="B5" s="34">
        <v>17.100000000000001</v>
      </c>
      <c r="C5" s="34">
        <v>9.09</v>
      </c>
      <c r="D5" s="34">
        <v>698.4</v>
      </c>
      <c r="E5" s="34" t="s">
        <v>23</v>
      </c>
      <c r="F5" s="34">
        <v>4.1479999999999997</v>
      </c>
      <c r="G5" s="41">
        <f t="shared" si="0"/>
        <v>1.8463945360824743E-3</v>
      </c>
      <c r="H5" s="309"/>
      <c r="I5" s="311"/>
      <c r="J5" s="311"/>
      <c r="K5" s="311"/>
      <c r="L5" s="311"/>
      <c r="M5" s="313"/>
      <c r="N5" s="309"/>
      <c r="O5" s="311"/>
      <c r="P5" s="311"/>
      <c r="Q5" s="311"/>
      <c r="R5" s="311"/>
      <c r="S5" s="313"/>
      <c r="T5" s="309"/>
      <c r="U5" s="311"/>
      <c r="V5" s="311"/>
      <c r="W5" s="311"/>
      <c r="X5" s="311"/>
      <c r="Y5" s="315"/>
      <c r="Z5" s="318"/>
    </row>
    <row r="6" spans="1:26" x14ac:dyDescent="0.3">
      <c r="A6" s="38" t="s">
        <v>113</v>
      </c>
      <c r="B6" s="34">
        <v>13.8</v>
      </c>
      <c r="C6" s="34">
        <v>9.09</v>
      </c>
      <c r="D6" s="34">
        <v>698.4</v>
      </c>
      <c r="E6" s="34" t="s">
        <v>23</v>
      </c>
      <c r="F6" s="34">
        <v>4.1479999999999997</v>
      </c>
      <c r="G6" s="41">
        <f t="shared" si="0"/>
        <v>1.4900727835051545E-3</v>
      </c>
      <c r="H6" s="309"/>
      <c r="I6" s="311"/>
      <c r="J6" s="311"/>
      <c r="K6" s="311"/>
      <c r="L6" s="311"/>
      <c r="M6" s="313"/>
      <c r="N6" s="309"/>
      <c r="O6" s="311"/>
      <c r="P6" s="311"/>
      <c r="Q6" s="311"/>
      <c r="R6" s="311"/>
      <c r="S6" s="313"/>
      <c r="T6" s="309"/>
      <c r="U6" s="311"/>
      <c r="V6" s="311"/>
      <c r="W6" s="311"/>
      <c r="X6" s="311"/>
      <c r="Y6" s="315"/>
      <c r="Z6" s="318"/>
    </row>
    <row r="7" spans="1:26" x14ac:dyDescent="0.3">
      <c r="A7" s="38" t="s">
        <v>114</v>
      </c>
      <c r="B7" s="34">
        <v>24.2</v>
      </c>
      <c r="C7" s="34">
        <v>9.09</v>
      </c>
      <c r="D7" s="34">
        <v>698.4</v>
      </c>
      <c r="E7" s="34" t="s">
        <v>23</v>
      </c>
      <c r="F7" s="34">
        <v>4.1479999999999997</v>
      </c>
      <c r="G7" s="41">
        <f t="shared" si="0"/>
        <v>2.6130261855670102E-3</v>
      </c>
      <c r="H7" s="309">
        <v>26</v>
      </c>
      <c r="I7" s="311">
        <v>18.18</v>
      </c>
      <c r="J7" s="311">
        <v>698.4</v>
      </c>
      <c r="K7" s="311" t="s">
        <v>24</v>
      </c>
      <c r="L7" s="311">
        <v>2.5790000000000002</v>
      </c>
      <c r="M7" s="313">
        <f t="shared" ref="M7" si="1">(2*I7*H7/1000*L7)/J7</f>
        <v>3.4909556701030933E-3</v>
      </c>
      <c r="N7" s="309">
        <v>3</v>
      </c>
      <c r="O7" s="311">
        <v>41.6</v>
      </c>
      <c r="P7" s="311">
        <v>208</v>
      </c>
      <c r="Q7" s="311" t="s">
        <v>59</v>
      </c>
      <c r="R7" s="311">
        <v>0.67500000000000004</v>
      </c>
      <c r="S7" s="313">
        <f t="shared" ref="S7" si="2">(1.73*N7/1000*O7*R7)/P7</f>
        <v>7.0065000000000004E-4</v>
      </c>
      <c r="T7" s="309"/>
      <c r="U7" s="311"/>
      <c r="V7" s="311"/>
      <c r="W7" s="311"/>
      <c r="X7" s="311"/>
      <c r="Y7" s="315"/>
      <c r="Z7" s="318"/>
    </row>
    <row r="8" spans="1:26" x14ac:dyDescent="0.3">
      <c r="A8" s="38" t="s">
        <v>118</v>
      </c>
      <c r="B8" s="34">
        <v>20.100000000000001</v>
      </c>
      <c r="C8" s="34">
        <v>9.09</v>
      </c>
      <c r="D8" s="34">
        <v>698.4</v>
      </c>
      <c r="E8" s="34" t="s">
        <v>23</v>
      </c>
      <c r="F8" s="34">
        <v>4.1479999999999997</v>
      </c>
      <c r="G8" s="41">
        <f t="shared" si="0"/>
        <v>2.1703234020618556E-3</v>
      </c>
      <c r="H8" s="309"/>
      <c r="I8" s="311"/>
      <c r="J8" s="311"/>
      <c r="K8" s="311"/>
      <c r="L8" s="311"/>
      <c r="M8" s="313"/>
      <c r="N8" s="309"/>
      <c r="O8" s="311"/>
      <c r="P8" s="311"/>
      <c r="Q8" s="311"/>
      <c r="R8" s="311"/>
      <c r="S8" s="313"/>
      <c r="T8" s="309"/>
      <c r="U8" s="311"/>
      <c r="V8" s="311"/>
      <c r="W8" s="311"/>
      <c r="X8" s="311"/>
      <c r="Y8" s="315"/>
      <c r="Z8" s="318"/>
    </row>
    <row r="9" spans="1:26" x14ac:dyDescent="0.3">
      <c r="A9" s="38" t="s">
        <v>117</v>
      </c>
      <c r="B9" s="34">
        <v>15.9</v>
      </c>
      <c r="C9" s="34">
        <v>9.09</v>
      </c>
      <c r="D9" s="34">
        <v>698.4</v>
      </c>
      <c r="E9" s="34" t="s">
        <v>23</v>
      </c>
      <c r="F9" s="34">
        <v>4.1479999999999997</v>
      </c>
      <c r="G9" s="41">
        <f t="shared" si="0"/>
        <v>1.7168229896907215E-3</v>
      </c>
      <c r="H9" s="309"/>
      <c r="I9" s="311"/>
      <c r="J9" s="311"/>
      <c r="K9" s="311"/>
      <c r="L9" s="311"/>
      <c r="M9" s="313"/>
      <c r="N9" s="309"/>
      <c r="O9" s="311"/>
      <c r="P9" s="311"/>
      <c r="Q9" s="311"/>
      <c r="R9" s="311"/>
      <c r="S9" s="313"/>
      <c r="T9" s="309"/>
      <c r="U9" s="311"/>
      <c r="V9" s="311"/>
      <c r="W9" s="311"/>
      <c r="X9" s="311"/>
      <c r="Y9" s="315"/>
      <c r="Z9" s="318"/>
    </row>
    <row r="10" spans="1:26" x14ac:dyDescent="0.3">
      <c r="A10" s="38" t="s">
        <v>123</v>
      </c>
      <c r="B10" s="34">
        <v>12.6</v>
      </c>
      <c r="C10" s="34">
        <v>9.09</v>
      </c>
      <c r="D10" s="34">
        <v>698.4</v>
      </c>
      <c r="E10" s="34" t="s">
        <v>23</v>
      </c>
      <c r="F10" s="34">
        <v>4.1479999999999997</v>
      </c>
      <c r="G10" s="41">
        <f t="shared" si="0"/>
        <v>1.3605012371134019E-3</v>
      </c>
      <c r="H10" s="309"/>
      <c r="I10" s="311"/>
      <c r="J10" s="311"/>
      <c r="K10" s="311"/>
      <c r="L10" s="311"/>
      <c r="M10" s="313"/>
      <c r="N10" s="309"/>
      <c r="O10" s="311"/>
      <c r="P10" s="311"/>
      <c r="Q10" s="311"/>
      <c r="R10" s="311"/>
      <c r="S10" s="313"/>
      <c r="T10" s="309"/>
      <c r="U10" s="311"/>
      <c r="V10" s="311"/>
      <c r="W10" s="311"/>
      <c r="X10" s="311"/>
      <c r="Y10" s="315"/>
      <c r="Z10" s="318"/>
    </row>
    <row r="11" spans="1:26" x14ac:dyDescent="0.3">
      <c r="A11" s="38" t="s">
        <v>115</v>
      </c>
      <c r="B11" s="34">
        <v>25.2</v>
      </c>
      <c r="C11" s="34">
        <v>9.09</v>
      </c>
      <c r="D11" s="34">
        <v>698.4</v>
      </c>
      <c r="E11" s="34" t="s">
        <v>23</v>
      </c>
      <c r="F11" s="34">
        <v>4.1479999999999997</v>
      </c>
      <c r="G11" s="41">
        <f t="shared" si="0"/>
        <v>2.7210024742268038E-3</v>
      </c>
      <c r="H11" s="309">
        <v>16</v>
      </c>
      <c r="I11" s="311">
        <v>18.18</v>
      </c>
      <c r="J11" s="311">
        <v>698.4</v>
      </c>
      <c r="K11" s="311" t="s">
        <v>24</v>
      </c>
      <c r="L11" s="311">
        <v>2.5790000000000002</v>
      </c>
      <c r="M11" s="313">
        <f t="shared" ref="M11" si="3">(2*I11*H11/1000*L11)/J11</f>
        <v>2.148280412371134E-3</v>
      </c>
      <c r="N11" s="309">
        <v>4</v>
      </c>
      <c r="O11" s="311">
        <v>41.6</v>
      </c>
      <c r="P11" s="311">
        <v>208</v>
      </c>
      <c r="Q11" s="311" t="s">
        <v>59</v>
      </c>
      <c r="R11" s="311">
        <v>0.67500000000000004</v>
      </c>
      <c r="S11" s="313">
        <f t="shared" ref="S11" si="4">(1.73*N11/1000*O11*R11)/P11</f>
        <v>9.3420000000000016E-4</v>
      </c>
      <c r="T11" s="309"/>
      <c r="U11" s="311"/>
      <c r="V11" s="311"/>
      <c r="W11" s="311"/>
      <c r="X11" s="311"/>
      <c r="Y11" s="315"/>
      <c r="Z11" s="318"/>
    </row>
    <row r="12" spans="1:26" x14ac:dyDescent="0.3">
      <c r="A12" s="38" t="s">
        <v>119</v>
      </c>
      <c r="B12" s="34">
        <v>21.9</v>
      </c>
      <c r="C12" s="34">
        <v>9.09</v>
      </c>
      <c r="D12" s="34">
        <v>698.4</v>
      </c>
      <c r="E12" s="34" t="s">
        <v>23</v>
      </c>
      <c r="F12" s="34">
        <v>4.1479999999999997</v>
      </c>
      <c r="G12" s="41">
        <f t="shared" si="0"/>
        <v>2.3646807216494846E-3</v>
      </c>
      <c r="H12" s="309"/>
      <c r="I12" s="311"/>
      <c r="J12" s="311"/>
      <c r="K12" s="311"/>
      <c r="L12" s="311"/>
      <c r="M12" s="313"/>
      <c r="N12" s="309"/>
      <c r="O12" s="311"/>
      <c r="P12" s="311"/>
      <c r="Q12" s="311"/>
      <c r="R12" s="311"/>
      <c r="S12" s="313"/>
      <c r="T12" s="309"/>
      <c r="U12" s="311"/>
      <c r="V12" s="311"/>
      <c r="W12" s="311"/>
      <c r="X12" s="311"/>
      <c r="Y12" s="315"/>
      <c r="Z12" s="318"/>
    </row>
    <row r="13" spans="1:26" x14ac:dyDescent="0.3">
      <c r="A13" s="38" t="s">
        <v>121</v>
      </c>
      <c r="B13" s="34">
        <v>17.100000000000001</v>
      </c>
      <c r="C13" s="34">
        <v>9.09</v>
      </c>
      <c r="D13" s="34">
        <v>698.4</v>
      </c>
      <c r="E13" s="34" t="s">
        <v>23</v>
      </c>
      <c r="F13" s="34">
        <v>4.1479999999999997</v>
      </c>
      <c r="G13" s="41">
        <f t="shared" si="0"/>
        <v>1.8463945360824743E-3</v>
      </c>
      <c r="H13" s="309"/>
      <c r="I13" s="311"/>
      <c r="J13" s="311"/>
      <c r="K13" s="311"/>
      <c r="L13" s="311"/>
      <c r="M13" s="313"/>
      <c r="N13" s="309"/>
      <c r="O13" s="311"/>
      <c r="P13" s="311"/>
      <c r="Q13" s="311"/>
      <c r="R13" s="311"/>
      <c r="S13" s="313"/>
      <c r="T13" s="309"/>
      <c r="U13" s="311"/>
      <c r="V13" s="311"/>
      <c r="W13" s="311"/>
      <c r="X13" s="311"/>
      <c r="Y13" s="315"/>
      <c r="Z13" s="318"/>
    </row>
    <row r="14" spans="1:26" x14ac:dyDescent="0.3">
      <c r="A14" s="38" t="s">
        <v>124</v>
      </c>
      <c r="B14" s="34">
        <v>13.8</v>
      </c>
      <c r="C14" s="34">
        <v>9.09</v>
      </c>
      <c r="D14" s="34">
        <v>698.4</v>
      </c>
      <c r="E14" s="34" t="s">
        <v>23</v>
      </c>
      <c r="F14" s="34">
        <v>4.1479999999999997</v>
      </c>
      <c r="G14" s="41">
        <f t="shared" si="0"/>
        <v>1.4900727835051545E-3</v>
      </c>
      <c r="H14" s="309"/>
      <c r="I14" s="311"/>
      <c r="J14" s="311"/>
      <c r="K14" s="311"/>
      <c r="L14" s="311"/>
      <c r="M14" s="313"/>
      <c r="N14" s="309"/>
      <c r="O14" s="311"/>
      <c r="P14" s="311"/>
      <c r="Q14" s="311"/>
      <c r="R14" s="311"/>
      <c r="S14" s="313"/>
      <c r="T14" s="309"/>
      <c r="U14" s="311"/>
      <c r="V14" s="311"/>
      <c r="W14" s="311"/>
      <c r="X14" s="311"/>
      <c r="Y14" s="315"/>
      <c r="Z14" s="318"/>
    </row>
    <row r="15" spans="1:26" x14ac:dyDescent="0.3">
      <c r="A15" s="38" t="s">
        <v>116</v>
      </c>
      <c r="B15" s="34">
        <v>32.5</v>
      </c>
      <c r="C15" s="34">
        <v>9.09</v>
      </c>
      <c r="D15" s="34">
        <v>698.4</v>
      </c>
      <c r="E15" s="34" t="s">
        <v>23</v>
      </c>
      <c r="F15" s="34">
        <v>4.1479999999999997</v>
      </c>
      <c r="G15" s="41">
        <f t="shared" si="0"/>
        <v>3.5092293814432988E-3</v>
      </c>
      <c r="H15" s="309">
        <v>75</v>
      </c>
      <c r="I15" s="311">
        <v>18.18</v>
      </c>
      <c r="J15" s="311">
        <v>698.4</v>
      </c>
      <c r="K15" s="311" t="s">
        <v>24</v>
      </c>
      <c r="L15" s="311">
        <v>2.5790000000000002</v>
      </c>
      <c r="M15" s="313">
        <f t="shared" ref="M15" si="5">(2*I15*H15/1000*L15)/J15</f>
        <v>1.0070064432989691E-2</v>
      </c>
      <c r="N15" s="309">
        <v>5</v>
      </c>
      <c r="O15" s="311">
        <v>41.6</v>
      </c>
      <c r="P15" s="311">
        <v>208</v>
      </c>
      <c r="Q15" s="311" t="s">
        <v>59</v>
      </c>
      <c r="R15" s="311">
        <v>0.67500000000000004</v>
      </c>
      <c r="S15" s="313">
        <f t="shared" ref="S15" si="6">(1.73*N15/1000*O15*R15)/P15</f>
        <v>1.1677500000000002E-3</v>
      </c>
      <c r="T15" s="309"/>
      <c r="U15" s="311"/>
      <c r="V15" s="311"/>
      <c r="W15" s="311"/>
      <c r="X15" s="311"/>
      <c r="Y15" s="315"/>
      <c r="Z15" s="318"/>
    </row>
    <row r="16" spans="1:26" x14ac:dyDescent="0.3">
      <c r="A16" s="38" t="s">
        <v>120</v>
      </c>
      <c r="B16" s="34">
        <v>21.6</v>
      </c>
      <c r="C16" s="34">
        <v>9.09</v>
      </c>
      <c r="D16" s="34">
        <v>698.4</v>
      </c>
      <c r="E16" s="34" t="s">
        <v>23</v>
      </c>
      <c r="F16" s="34">
        <v>4.1479999999999997</v>
      </c>
      <c r="G16" s="41">
        <f t="shared" si="0"/>
        <v>2.3322878350515467E-3</v>
      </c>
      <c r="H16" s="309"/>
      <c r="I16" s="311"/>
      <c r="J16" s="311"/>
      <c r="K16" s="311"/>
      <c r="L16" s="311"/>
      <c r="M16" s="313"/>
      <c r="N16" s="309"/>
      <c r="O16" s="311"/>
      <c r="P16" s="311"/>
      <c r="Q16" s="311"/>
      <c r="R16" s="311"/>
      <c r="S16" s="313"/>
      <c r="T16" s="309"/>
      <c r="U16" s="311"/>
      <c r="V16" s="311"/>
      <c r="W16" s="311"/>
      <c r="X16" s="311"/>
      <c r="Y16" s="315"/>
      <c r="Z16" s="318"/>
    </row>
    <row r="17" spans="1:26" x14ac:dyDescent="0.3">
      <c r="A17" s="38" t="s">
        <v>122</v>
      </c>
      <c r="B17" s="34">
        <v>26.3</v>
      </c>
      <c r="C17" s="34">
        <v>9.09</v>
      </c>
      <c r="D17" s="34">
        <v>698.4</v>
      </c>
      <c r="E17" s="34" t="s">
        <v>23</v>
      </c>
      <c r="F17" s="34">
        <v>4.1479999999999997</v>
      </c>
      <c r="G17" s="41">
        <f t="shared" si="0"/>
        <v>2.8397763917525774E-3</v>
      </c>
      <c r="H17" s="309"/>
      <c r="I17" s="311"/>
      <c r="J17" s="311"/>
      <c r="K17" s="311"/>
      <c r="L17" s="311"/>
      <c r="M17" s="313"/>
      <c r="N17" s="309"/>
      <c r="O17" s="311"/>
      <c r="P17" s="311"/>
      <c r="Q17" s="311"/>
      <c r="R17" s="311"/>
      <c r="S17" s="313"/>
      <c r="T17" s="309"/>
      <c r="U17" s="311"/>
      <c r="V17" s="311"/>
      <c r="W17" s="311"/>
      <c r="X17" s="311"/>
      <c r="Y17" s="315"/>
      <c r="Z17" s="318"/>
    </row>
    <row r="18" spans="1:26" ht="15" thickBot="1" x14ac:dyDescent="0.35">
      <c r="A18" s="39" t="s">
        <v>125</v>
      </c>
      <c r="B18" s="40">
        <v>17.399999999999999</v>
      </c>
      <c r="C18" s="40">
        <v>9.09</v>
      </c>
      <c r="D18" s="40">
        <v>698.4</v>
      </c>
      <c r="E18" s="40" t="s">
        <v>23</v>
      </c>
      <c r="F18" s="40">
        <v>4.1479999999999997</v>
      </c>
      <c r="G18" s="42">
        <f t="shared" si="0"/>
        <v>1.8787874226804122E-3</v>
      </c>
      <c r="H18" s="310"/>
      <c r="I18" s="312"/>
      <c r="J18" s="312"/>
      <c r="K18" s="312"/>
      <c r="L18" s="312"/>
      <c r="M18" s="314"/>
      <c r="N18" s="310"/>
      <c r="O18" s="312"/>
      <c r="P18" s="312"/>
      <c r="Q18" s="312"/>
      <c r="R18" s="312"/>
      <c r="S18" s="314"/>
      <c r="T18" s="310"/>
      <c r="U18" s="312"/>
      <c r="V18" s="312"/>
      <c r="W18" s="312"/>
      <c r="X18" s="312"/>
      <c r="Y18" s="316"/>
      <c r="Z18" s="319"/>
    </row>
  </sheetData>
  <mergeCells count="55">
    <mergeCell ref="X3:X18"/>
    <mergeCell ref="Y3:Y18"/>
    <mergeCell ref="V3:V18"/>
    <mergeCell ref="U3:U18"/>
    <mergeCell ref="Z3:Z18"/>
    <mergeCell ref="W3:W18"/>
    <mergeCell ref="S3:S6"/>
    <mergeCell ref="S7:S10"/>
    <mergeCell ref="S11:S14"/>
    <mergeCell ref="S15:S18"/>
    <mergeCell ref="T3:T18"/>
    <mergeCell ref="N11:N14"/>
    <mergeCell ref="Q11:Q14"/>
    <mergeCell ref="R11:R14"/>
    <mergeCell ref="P11:P14"/>
    <mergeCell ref="N15:N18"/>
    <mergeCell ref="Q15:Q18"/>
    <mergeCell ref="R15:R18"/>
    <mergeCell ref="P15:P18"/>
    <mergeCell ref="O11:O14"/>
    <mergeCell ref="O15:O18"/>
    <mergeCell ref="N3:N6"/>
    <mergeCell ref="Q3:Q6"/>
    <mergeCell ref="R3:R6"/>
    <mergeCell ref="P3:P6"/>
    <mergeCell ref="N7:N10"/>
    <mergeCell ref="Q7:Q10"/>
    <mergeCell ref="R7:R10"/>
    <mergeCell ref="P7:P10"/>
    <mergeCell ref="O3:O6"/>
    <mergeCell ref="O7:O10"/>
    <mergeCell ref="J11:J14"/>
    <mergeCell ref="K11:K14"/>
    <mergeCell ref="M11:M14"/>
    <mergeCell ref="J15:J18"/>
    <mergeCell ref="K15:K18"/>
    <mergeCell ref="M15:M18"/>
    <mergeCell ref="L11:L14"/>
    <mergeCell ref="L15:L18"/>
    <mergeCell ref="J3:J6"/>
    <mergeCell ref="K3:K6"/>
    <mergeCell ref="M3:M6"/>
    <mergeCell ref="J7:J10"/>
    <mergeCell ref="K7:K10"/>
    <mergeCell ref="M7:M10"/>
    <mergeCell ref="L3:L6"/>
    <mergeCell ref="L7:L10"/>
    <mergeCell ref="H3:H6"/>
    <mergeCell ref="H7:H10"/>
    <mergeCell ref="H11:H14"/>
    <mergeCell ref="H15:H18"/>
    <mergeCell ref="I3:I6"/>
    <mergeCell ref="I7:I10"/>
    <mergeCell ref="I11:I14"/>
    <mergeCell ref="I15:I1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7"/>
  <sheetViews>
    <sheetView topLeftCell="A14" workbookViewId="0">
      <selection sqref="A1:H1"/>
    </sheetView>
  </sheetViews>
  <sheetFormatPr baseColWidth="10" defaultColWidth="11.44140625" defaultRowHeight="14.4" x14ac:dyDescent="0.3"/>
  <cols>
    <col min="1" max="1" width="43.109375" customWidth="1"/>
    <col min="2" max="2" width="19.109375" bestFit="1" customWidth="1"/>
    <col min="3" max="3" width="15.88671875" bestFit="1" customWidth="1"/>
    <col min="4" max="4" width="18" bestFit="1" customWidth="1"/>
    <col min="5" max="5" width="12.6640625" bestFit="1" customWidth="1"/>
    <col min="6" max="6" width="12.109375" bestFit="1" customWidth="1"/>
    <col min="8" max="8" width="12.109375" bestFit="1" customWidth="1"/>
  </cols>
  <sheetData>
    <row r="1" spans="1:8" s="68" customFormat="1" ht="40.5" customHeight="1" thickBot="1" x14ac:dyDescent="0.3">
      <c r="A1" s="321" t="s">
        <v>271</v>
      </c>
      <c r="B1" s="322"/>
      <c r="C1" s="322"/>
      <c r="D1" s="322"/>
      <c r="E1" s="322"/>
      <c r="F1" s="322"/>
      <c r="G1" s="322"/>
      <c r="H1" s="323"/>
    </row>
    <row r="2" spans="1:8" ht="15" thickBot="1" x14ac:dyDescent="0.35"/>
    <row r="3" spans="1:8" ht="42.75" customHeight="1" thickBot="1" x14ac:dyDescent="0.35">
      <c r="A3" s="335" t="s">
        <v>240</v>
      </c>
      <c r="B3" s="336"/>
      <c r="C3" s="336"/>
      <c r="D3" s="336"/>
      <c r="E3" s="336" t="s">
        <v>244</v>
      </c>
      <c r="F3" s="336"/>
      <c r="G3" s="336"/>
      <c r="H3" s="337"/>
    </row>
    <row r="4" spans="1:8" ht="24" customHeight="1" thickBot="1" x14ac:dyDescent="0.35">
      <c r="A4" s="326" t="s">
        <v>241</v>
      </c>
      <c r="B4" s="327"/>
      <c r="C4" s="326" t="s">
        <v>243</v>
      </c>
      <c r="D4" s="327"/>
      <c r="E4" s="324" t="s">
        <v>241</v>
      </c>
      <c r="F4" s="325"/>
      <c r="G4" s="326" t="s">
        <v>243</v>
      </c>
      <c r="H4" s="327"/>
    </row>
    <row r="5" spans="1:8" ht="15" thickBot="1" x14ac:dyDescent="0.35">
      <c r="A5" s="94" t="s">
        <v>272</v>
      </c>
      <c r="B5" s="94" t="s">
        <v>242</v>
      </c>
      <c r="C5" s="94" t="s">
        <v>272</v>
      </c>
      <c r="D5" s="94" t="s">
        <v>242</v>
      </c>
      <c r="E5" s="94" t="s">
        <v>272</v>
      </c>
      <c r="F5" s="94" t="s">
        <v>242</v>
      </c>
      <c r="G5" s="94" t="s">
        <v>272</v>
      </c>
      <c r="H5" s="94" t="s">
        <v>242</v>
      </c>
    </row>
    <row r="6" spans="1:8" ht="15" thickBot="1" x14ac:dyDescent="0.35">
      <c r="A6" s="170" t="s">
        <v>245</v>
      </c>
      <c r="B6" s="171" t="s">
        <v>252</v>
      </c>
      <c r="C6" s="171" t="s">
        <v>259</v>
      </c>
      <c r="D6" s="171" t="s">
        <v>265</v>
      </c>
      <c r="E6" s="171">
        <v>8.36</v>
      </c>
      <c r="F6" s="171">
        <v>8</v>
      </c>
      <c r="G6" s="171">
        <v>13.29</v>
      </c>
      <c r="H6" s="172">
        <v>6</v>
      </c>
    </row>
    <row r="7" spans="1:8" x14ac:dyDescent="0.3">
      <c r="A7" s="173" t="s">
        <v>246</v>
      </c>
      <c r="B7" s="174" t="s">
        <v>253</v>
      </c>
      <c r="C7" s="174" t="s">
        <v>247</v>
      </c>
      <c r="D7" s="174" t="s">
        <v>254</v>
      </c>
      <c r="E7" s="174">
        <v>13.29</v>
      </c>
      <c r="F7" s="174">
        <v>6</v>
      </c>
      <c r="G7" s="174">
        <v>21.14</v>
      </c>
      <c r="H7" s="175">
        <v>4</v>
      </c>
    </row>
    <row r="8" spans="1:8" x14ac:dyDescent="0.3">
      <c r="A8" s="176" t="s">
        <v>247</v>
      </c>
      <c r="B8" s="177" t="s">
        <v>254</v>
      </c>
      <c r="C8" s="177" t="s">
        <v>260</v>
      </c>
      <c r="D8" s="177" t="s">
        <v>266</v>
      </c>
      <c r="E8" s="177">
        <v>21.14</v>
      </c>
      <c r="F8" s="177">
        <v>4</v>
      </c>
      <c r="G8" s="177">
        <v>33.619999999999997</v>
      </c>
      <c r="H8" s="178">
        <v>2</v>
      </c>
    </row>
    <row r="9" spans="1:8" ht="15" thickBot="1" x14ac:dyDescent="0.35">
      <c r="A9" s="179" t="s">
        <v>248</v>
      </c>
      <c r="B9" s="180" t="s">
        <v>255</v>
      </c>
      <c r="C9" s="180" t="s">
        <v>261</v>
      </c>
      <c r="D9" s="180" t="s">
        <v>267</v>
      </c>
      <c r="E9" s="180">
        <v>33.619999999999997</v>
      </c>
      <c r="F9" s="180">
        <v>2</v>
      </c>
      <c r="G9" s="180">
        <v>53.5</v>
      </c>
      <c r="H9" s="181" t="s">
        <v>205</v>
      </c>
    </row>
    <row r="10" spans="1:8" ht="15" thickBot="1" x14ac:dyDescent="0.35">
      <c r="A10" s="170" t="s">
        <v>249</v>
      </c>
      <c r="B10" s="171" t="s">
        <v>256</v>
      </c>
      <c r="C10" s="171" t="s">
        <v>262</v>
      </c>
      <c r="D10" s="171" t="s">
        <v>268</v>
      </c>
      <c r="E10" s="171">
        <v>53.5</v>
      </c>
      <c r="F10" s="171" t="s">
        <v>205</v>
      </c>
      <c r="G10" s="171">
        <v>85.02</v>
      </c>
      <c r="H10" s="172" t="s">
        <v>207</v>
      </c>
    </row>
    <row r="11" spans="1:8" ht="15" thickBot="1" x14ac:dyDescent="0.35">
      <c r="A11" s="170" t="s">
        <v>250</v>
      </c>
      <c r="B11" s="171" t="s">
        <v>257</v>
      </c>
      <c r="C11" s="171" t="s">
        <v>263</v>
      </c>
      <c r="D11" s="171" t="s">
        <v>269</v>
      </c>
      <c r="E11" s="171">
        <v>67.44</v>
      </c>
      <c r="F11" s="171" t="s">
        <v>206</v>
      </c>
      <c r="G11" s="171">
        <v>107.21</v>
      </c>
      <c r="H11" s="172" t="s">
        <v>133</v>
      </c>
    </row>
    <row r="12" spans="1:8" ht="15" thickBot="1" x14ac:dyDescent="0.35">
      <c r="A12" s="182" t="s">
        <v>251</v>
      </c>
      <c r="B12" s="183" t="s">
        <v>258</v>
      </c>
      <c r="C12" s="183" t="s">
        <v>264</v>
      </c>
      <c r="D12" s="183" t="s">
        <v>270</v>
      </c>
      <c r="E12" s="183">
        <v>85.02</v>
      </c>
      <c r="F12" s="183" t="s">
        <v>207</v>
      </c>
      <c r="G12" s="183">
        <v>126.67</v>
      </c>
      <c r="H12" s="184" t="s">
        <v>44</v>
      </c>
    </row>
    <row r="13" spans="1:8" ht="15" thickBot="1" x14ac:dyDescent="0.35"/>
    <row r="14" spans="1:8" s="68" customFormat="1" ht="40.5" customHeight="1" thickBot="1" x14ac:dyDescent="0.35">
      <c r="A14" s="332" t="s">
        <v>277</v>
      </c>
      <c r="B14" s="333"/>
      <c r="C14" s="333"/>
      <c r="D14" s="333"/>
      <c r="E14" s="334"/>
      <c r="F14"/>
      <c r="G14"/>
      <c r="H14"/>
    </row>
    <row r="15" spans="1:8" ht="15" thickBot="1" x14ac:dyDescent="0.35"/>
    <row r="16" spans="1:8" ht="15.75" customHeight="1" thickBot="1" x14ac:dyDescent="0.35">
      <c r="A16" s="329" t="s">
        <v>273</v>
      </c>
      <c r="B16" s="324" t="s">
        <v>274</v>
      </c>
      <c r="C16" s="328"/>
      <c r="D16" s="328"/>
      <c r="E16" s="325"/>
    </row>
    <row r="17" spans="1:5" ht="27" customHeight="1" thickBot="1" x14ac:dyDescent="0.35">
      <c r="A17" s="330"/>
      <c r="B17" s="324" t="s">
        <v>275</v>
      </c>
      <c r="C17" s="325"/>
      <c r="D17" s="326" t="s">
        <v>276</v>
      </c>
      <c r="E17" s="327"/>
    </row>
    <row r="18" spans="1:5" ht="15" thickBot="1" x14ac:dyDescent="0.35">
      <c r="A18" s="331"/>
      <c r="B18" s="129" t="s">
        <v>272</v>
      </c>
      <c r="C18" s="129" t="s">
        <v>242</v>
      </c>
      <c r="D18" s="129" t="s">
        <v>272</v>
      </c>
      <c r="E18" s="129" t="s">
        <v>242</v>
      </c>
    </row>
    <row r="19" spans="1:5" x14ac:dyDescent="0.3">
      <c r="A19" s="173">
        <v>15</v>
      </c>
      <c r="B19" s="174">
        <v>2.08</v>
      </c>
      <c r="C19" s="174">
        <v>14</v>
      </c>
      <c r="D19" s="174">
        <v>3.3</v>
      </c>
      <c r="E19" s="175">
        <v>12</v>
      </c>
    </row>
    <row r="20" spans="1:5" x14ac:dyDescent="0.3">
      <c r="A20" s="176">
        <v>20</v>
      </c>
      <c r="B20" s="177">
        <v>3.3</v>
      </c>
      <c r="C20" s="177">
        <v>12</v>
      </c>
      <c r="D20" s="177">
        <v>5.25</v>
      </c>
      <c r="E20" s="178">
        <v>10</v>
      </c>
    </row>
    <row r="21" spans="1:5" ht="15" thickBot="1" x14ac:dyDescent="0.35">
      <c r="A21" s="179">
        <v>30</v>
      </c>
      <c r="B21" s="180">
        <v>5.25</v>
      </c>
      <c r="C21" s="180">
        <v>10</v>
      </c>
      <c r="D21" s="180">
        <v>8.36</v>
      </c>
      <c r="E21" s="181">
        <v>8</v>
      </c>
    </row>
    <row r="22" spans="1:5" x14ac:dyDescent="0.3">
      <c r="A22" s="173">
        <v>40</v>
      </c>
      <c r="B22" s="174">
        <v>5.25</v>
      </c>
      <c r="C22" s="174">
        <v>10</v>
      </c>
      <c r="D22" s="174">
        <v>8.36</v>
      </c>
      <c r="E22" s="175">
        <v>8</v>
      </c>
    </row>
    <row r="23" spans="1:5" x14ac:dyDescent="0.3">
      <c r="A23" s="176">
        <v>60</v>
      </c>
      <c r="B23" s="177">
        <v>5.25</v>
      </c>
      <c r="C23" s="177">
        <v>10</v>
      </c>
      <c r="D23" s="177">
        <v>8.36</v>
      </c>
      <c r="E23" s="178">
        <v>8</v>
      </c>
    </row>
    <row r="24" spans="1:5" ht="15" thickBot="1" x14ac:dyDescent="0.35">
      <c r="A24" s="179">
        <v>100</v>
      </c>
      <c r="B24" s="180">
        <v>8.36</v>
      </c>
      <c r="C24" s="180">
        <v>8</v>
      </c>
      <c r="D24" s="180">
        <v>13.29</v>
      </c>
      <c r="E24" s="181">
        <v>6</v>
      </c>
    </row>
    <row r="25" spans="1:5" x14ac:dyDescent="0.3">
      <c r="A25" s="173">
        <v>200</v>
      </c>
      <c r="B25" s="174">
        <v>13.29</v>
      </c>
      <c r="C25" s="174">
        <v>6</v>
      </c>
      <c r="D25" s="174">
        <v>21.14</v>
      </c>
      <c r="E25" s="175">
        <v>4</v>
      </c>
    </row>
    <row r="26" spans="1:5" x14ac:dyDescent="0.3">
      <c r="A26" s="176">
        <v>300</v>
      </c>
      <c r="B26" s="177">
        <v>21.14</v>
      </c>
      <c r="C26" s="177">
        <v>4</v>
      </c>
      <c r="D26" s="177">
        <v>33.619999999999997</v>
      </c>
      <c r="E26" s="178">
        <v>2</v>
      </c>
    </row>
    <row r="27" spans="1:5" ht="15" thickBot="1" x14ac:dyDescent="0.35">
      <c r="A27" s="179">
        <v>400</v>
      </c>
      <c r="B27" s="180">
        <v>26.66</v>
      </c>
      <c r="C27" s="180">
        <v>3</v>
      </c>
      <c r="D27" s="180">
        <v>42.2</v>
      </c>
      <c r="E27" s="181">
        <v>1</v>
      </c>
    </row>
    <row r="28" spans="1:5" x14ac:dyDescent="0.3">
      <c r="A28" s="173">
        <v>500</v>
      </c>
      <c r="B28" s="174">
        <v>33.619999999999997</v>
      </c>
      <c r="C28" s="174">
        <v>2</v>
      </c>
      <c r="D28" s="174">
        <v>53.5</v>
      </c>
      <c r="E28" s="175" t="s">
        <v>205</v>
      </c>
    </row>
    <row r="29" spans="1:5" x14ac:dyDescent="0.3">
      <c r="A29" s="176">
        <v>600</v>
      </c>
      <c r="B29" s="177">
        <v>42.2</v>
      </c>
      <c r="C29" s="177">
        <v>1</v>
      </c>
      <c r="D29" s="177">
        <v>67.44</v>
      </c>
      <c r="E29" s="178" t="s">
        <v>206</v>
      </c>
    </row>
    <row r="30" spans="1:5" ht="15" thickBot="1" x14ac:dyDescent="0.35">
      <c r="A30" s="179">
        <v>800</v>
      </c>
      <c r="B30" s="180">
        <v>53.5</v>
      </c>
      <c r="C30" s="180" t="s">
        <v>205</v>
      </c>
      <c r="D30" s="180">
        <v>85.02</v>
      </c>
      <c r="E30" s="181" t="s">
        <v>207</v>
      </c>
    </row>
    <row r="32" spans="1:5" x14ac:dyDescent="0.3">
      <c r="A32" t="s">
        <v>379</v>
      </c>
    </row>
    <row r="33" spans="1:3" ht="15.75" customHeight="1" x14ac:dyDescent="0.3">
      <c r="A33" s="320" t="s">
        <v>273</v>
      </c>
      <c r="B33" s="185"/>
      <c r="C33" s="185"/>
    </row>
    <row r="34" spans="1:3" x14ac:dyDescent="0.3">
      <c r="A34" s="320"/>
      <c r="B34" s="186" t="s">
        <v>202</v>
      </c>
      <c r="C34" s="187" t="s">
        <v>303</v>
      </c>
    </row>
    <row r="35" spans="1:3" x14ac:dyDescent="0.3">
      <c r="A35" s="320"/>
      <c r="B35" s="188" t="s">
        <v>242</v>
      </c>
      <c r="C35" s="188" t="s">
        <v>242</v>
      </c>
    </row>
    <row r="36" spans="1:3" x14ac:dyDescent="0.3">
      <c r="A36" s="189">
        <v>800</v>
      </c>
      <c r="B36" s="177" t="s">
        <v>205</v>
      </c>
      <c r="C36" s="177" t="s">
        <v>207</v>
      </c>
    </row>
    <row r="37" spans="1:3" x14ac:dyDescent="0.3">
      <c r="A37" s="189">
        <v>600</v>
      </c>
      <c r="B37" s="177">
        <v>1</v>
      </c>
      <c r="C37" s="177" t="s">
        <v>206</v>
      </c>
    </row>
    <row r="38" spans="1:3" x14ac:dyDescent="0.3">
      <c r="A38" s="189">
        <v>500</v>
      </c>
      <c r="B38" s="177">
        <v>2</v>
      </c>
      <c r="C38" s="177" t="s">
        <v>205</v>
      </c>
    </row>
    <row r="39" spans="1:3" x14ac:dyDescent="0.3">
      <c r="A39" s="189">
        <v>400</v>
      </c>
      <c r="B39" s="177">
        <v>3</v>
      </c>
      <c r="C39" s="177">
        <v>1</v>
      </c>
    </row>
    <row r="40" spans="1:3" x14ac:dyDescent="0.3">
      <c r="A40" s="189">
        <v>300</v>
      </c>
      <c r="B40" s="177">
        <v>4</v>
      </c>
      <c r="C40" s="177">
        <v>2</v>
      </c>
    </row>
    <row r="41" spans="1:3" x14ac:dyDescent="0.3">
      <c r="A41" s="189">
        <v>200</v>
      </c>
      <c r="B41" s="177">
        <v>6</v>
      </c>
      <c r="C41" s="177">
        <v>4</v>
      </c>
    </row>
    <row r="42" spans="1:3" x14ac:dyDescent="0.3">
      <c r="A42" s="189">
        <v>100</v>
      </c>
      <c r="B42" s="177">
        <v>8</v>
      </c>
      <c r="C42" s="177">
        <v>6</v>
      </c>
    </row>
    <row r="43" spans="1:3" x14ac:dyDescent="0.3">
      <c r="A43" s="189">
        <v>60</v>
      </c>
      <c r="B43" s="177">
        <v>10</v>
      </c>
      <c r="C43" s="177">
        <v>8</v>
      </c>
    </row>
    <row r="44" spans="1:3" x14ac:dyDescent="0.3">
      <c r="A44" s="189">
        <v>40</v>
      </c>
      <c r="B44" s="177">
        <v>10</v>
      </c>
      <c r="C44" s="177">
        <v>8</v>
      </c>
    </row>
    <row r="45" spans="1:3" x14ac:dyDescent="0.3">
      <c r="A45" s="189">
        <v>30</v>
      </c>
      <c r="B45" s="177">
        <v>10</v>
      </c>
      <c r="C45" s="177">
        <v>8</v>
      </c>
    </row>
    <row r="46" spans="1:3" x14ac:dyDescent="0.3">
      <c r="A46" s="189">
        <v>20</v>
      </c>
      <c r="B46" s="177">
        <v>12</v>
      </c>
      <c r="C46" s="177">
        <v>10</v>
      </c>
    </row>
    <row r="47" spans="1:3" x14ac:dyDescent="0.3">
      <c r="A47" s="189">
        <v>15</v>
      </c>
      <c r="B47" s="177">
        <v>14</v>
      </c>
      <c r="C47" s="177">
        <v>12</v>
      </c>
    </row>
  </sheetData>
  <sortState xmlns:xlrd2="http://schemas.microsoft.com/office/spreadsheetml/2017/richdata2" ref="A36:E48">
    <sortCondition descending="1" ref="A36:A48"/>
  </sortState>
  <mergeCells count="13">
    <mergeCell ref="A33:A35"/>
    <mergeCell ref="A1:H1"/>
    <mergeCell ref="B17:C17"/>
    <mergeCell ref="D17:E17"/>
    <mergeCell ref="B16:E16"/>
    <mergeCell ref="A16:A18"/>
    <mergeCell ref="A14:E14"/>
    <mergeCell ref="C4:D4"/>
    <mergeCell ref="A4:B4"/>
    <mergeCell ref="A3:D3"/>
    <mergeCell ref="E3:H3"/>
    <mergeCell ref="E4:F4"/>
    <mergeCell ref="G4:H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114"/>
  <sheetViews>
    <sheetView workbookViewId="0">
      <selection activeCell="J14" sqref="J14"/>
    </sheetView>
  </sheetViews>
  <sheetFormatPr baseColWidth="10" defaultColWidth="11.44140625" defaultRowHeight="14.4" x14ac:dyDescent="0.3"/>
  <cols>
    <col min="8" max="8" width="14.88671875" customWidth="1"/>
    <col min="10" max="10" width="42.33203125" customWidth="1"/>
    <col min="11" max="11" width="45.44140625" customWidth="1"/>
  </cols>
  <sheetData>
    <row r="1" spans="1:21" s="68" customFormat="1" ht="40.5" customHeight="1" thickBot="1" x14ac:dyDescent="0.3">
      <c r="A1" s="321" t="s">
        <v>232</v>
      </c>
      <c r="B1" s="322"/>
      <c r="C1" s="322"/>
      <c r="D1" s="322"/>
      <c r="E1" s="322"/>
      <c r="F1" s="322"/>
      <c r="G1" s="322"/>
      <c r="H1" s="323"/>
    </row>
    <row r="2" spans="1:21" s="68" customFormat="1" ht="13.8" thickBot="1" x14ac:dyDescent="0.3"/>
    <row r="3" spans="1:21" s="68" customFormat="1" ht="13.5" customHeight="1" thickBot="1" x14ac:dyDescent="0.3">
      <c r="A3" s="338" t="s">
        <v>191</v>
      </c>
      <c r="B3" s="341" t="s">
        <v>190</v>
      </c>
      <c r="C3" s="342"/>
      <c r="D3" s="342"/>
      <c r="E3" s="342"/>
      <c r="F3" s="342"/>
      <c r="G3" s="347"/>
      <c r="H3" s="348" t="s">
        <v>189</v>
      </c>
    </row>
    <row r="4" spans="1:21" s="68" customFormat="1" ht="13.8" thickBot="1" x14ac:dyDescent="0.3">
      <c r="A4" s="339"/>
      <c r="B4" s="94" t="s">
        <v>192</v>
      </c>
      <c r="C4" s="94" t="s">
        <v>193</v>
      </c>
      <c r="D4" s="94" t="s">
        <v>194</v>
      </c>
      <c r="E4" s="94" t="s">
        <v>192</v>
      </c>
      <c r="F4" s="94" t="s">
        <v>193</v>
      </c>
      <c r="G4" s="237" t="s">
        <v>194</v>
      </c>
      <c r="H4" s="349"/>
    </row>
    <row r="5" spans="1:21" s="68" customFormat="1" ht="13.8" thickBot="1" x14ac:dyDescent="0.3">
      <c r="A5" s="339"/>
      <c r="B5" s="94" t="s">
        <v>195</v>
      </c>
      <c r="C5" s="94" t="s">
        <v>195</v>
      </c>
      <c r="D5" s="94" t="s">
        <v>195</v>
      </c>
      <c r="E5" s="94" t="s">
        <v>195</v>
      </c>
      <c r="F5" s="94" t="s">
        <v>195</v>
      </c>
      <c r="G5" s="233" t="s">
        <v>195</v>
      </c>
      <c r="H5" s="349"/>
    </row>
    <row r="6" spans="1:21" s="68" customFormat="1" ht="82.2" thickBot="1" x14ac:dyDescent="0.3">
      <c r="A6" s="340"/>
      <c r="B6" s="96" t="s">
        <v>196</v>
      </c>
      <c r="C6" s="97" t="s">
        <v>197</v>
      </c>
      <c r="D6" s="97" t="s">
        <v>198</v>
      </c>
      <c r="E6" s="96" t="s">
        <v>199</v>
      </c>
      <c r="F6" s="97" t="s">
        <v>200</v>
      </c>
      <c r="G6" s="238" t="s">
        <v>201</v>
      </c>
      <c r="H6" s="350"/>
      <c r="N6" s="94" t="s">
        <v>192</v>
      </c>
      <c r="O6" s="94" t="s">
        <v>193</v>
      </c>
      <c r="P6" s="94" t="s">
        <v>194</v>
      </c>
      <c r="Q6" s="94" t="s">
        <v>192</v>
      </c>
      <c r="R6" s="94" t="s">
        <v>193</v>
      </c>
      <c r="S6" s="95" t="s">
        <v>194</v>
      </c>
    </row>
    <row r="7" spans="1:21" s="68" customFormat="1" ht="13.8" thickBot="1" x14ac:dyDescent="0.3">
      <c r="A7" s="94" t="s">
        <v>204</v>
      </c>
      <c r="B7" s="341" t="s">
        <v>202</v>
      </c>
      <c r="C7" s="342"/>
      <c r="D7" s="343"/>
      <c r="E7" s="341" t="s">
        <v>203</v>
      </c>
      <c r="F7" s="342"/>
      <c r="G7" s="343"/>
      <c r="H7" s="95" t="s">
        <v>92</v>
      </c>
      <c r="L7" s="94" t="s">
        <v>92</v>
      </c>
      <c r="M7" s="94" t="s">
        <v>204</v>
      </c>
      <c r="N7" s="341" t="s">
        <v>202</v>
      </c>
      <c r="O7" s="342"/>
      <c r="P7" s="343"/>
      <c r="Q7" s="341" t="s">
        <v>203</v>
      </c>
      <c r="R7" s="342"/>
      <c r="S7" s="343"/>
      <c r="T7" s="94" t="s">
        <v>92</v>
      </c>
      <c r="U7" s="94" t="s">
        <v>204</v>
      </c>
    </row>
    <row r="8" spans="1:21" s="68" customFormat="1" ht="13.2" x14ac:dyDescent="0.25">
      <c r="A8" s="100">
        <v>18</v>
      </c>
      <c r="B8" s="99"/>
      <c r="C8" s="98"/>
      <c r="D8" s="99">
        <v>14</v>
      </c>
      <c r="E8" s="98"/>
      <c r="F8" s="99"/>
      <c r="G8" s="98"/>
      <c r="H8" s="98">
        <v>0.82</v>
      </c>
      <c r="L8" s="98">
        <v>1013.04</v>
      </c>
      <c r="M8" s="100" t="s">
        <v>321</v>
      </c>
      <c r="N8" s="99">
        <v>560</v>
      </c>
      <c r="O8" s="98">
        <v>665</v>
      </c>
      <c r="P8" s="99">
        <v>750</v>
      </c>
      <c r="Q8" s="98">
        <v>470</v>
      </c>
      <c r="R8" s="99">
        <v>560</v>
      </c>
      <c r="S8" s="98">
        <v>630</v>
      </c>
      <c r="T8" s="98">
        <v>1013.04</v>
      </c>
      <c r="U8" s="100">
        <v>2000</v>
      </c>
    </row>
    <row r="9" spans="1:21" s="68" customFormat="1" ht="13.2" x14ac:dyDescent="0.25">
      <c r="A9" s="103">
        <v>16</v>
      </c>
      <c r="B9" s="102"/>
      <c r="C9" s="101"/>
      <c r="D9" s="102">
        <v>18</v>
      </c>
      <c r="E9" s="101"/>
      <c r="F9" s="102"/>
      <c r="G9" s="101"/>
      <c r="H9" s="101">
        <v>1.31</v>
      </c>
      <c r="L9" s="101">
        <v>886.73</v>
      </c>
      <c r="M9" s="103" t="s">
        <v>322</v>
      </c>
      <c r="N9" s="102">
        <v>545</v>
      </c>
      <c r="O9" s="101">
        <v>650</v>
      </c>
      <c r="P9" s="102">
        <v>735</v>
      </c>
      <c r="Q9" s="101">
        <v>455</v>
      </c>
      <c r="R9" s="102">
        <v>545</v>
      </c>
      <c r="S9" s="101">
        <v>615</v>
      </c>
      <c r="T9" s="101">
        <v>886.73</v>
      </c>
      <c r="U9" s="103">
        <v>1750</v>
      </c>
    </row>
    <row r="10" spans="1:21" s="68" customFormat="1" ht="13.2" x14ac:dyDescent="0.25">
      <c r="A10" s="103">
        <v>14</v>
      </c>
      <c r="B10" s="102">
        <v>20</v>
      </c>
      <c r="C10" s="101">
        <v>20</v>
      </c>
      <c r="D10" s="102">
        <v>25</v>
      </c>
      <c r="E10" s="101"/>
      <c r="F10" s="102"/>
      <c r="G10" s="101"/>
      <c r="H10" s="101">
        <v>2.08</v>
      </c>
      <c r="L10" s="101">
        <v>760.05</v>
      </c>
      <c r="M10" s="103" t="s">
        <v>323</v>
      </c>
      <c r="N10" s="102">
        <v>520</v>
      </c>
      <c r="O10" s="101">
        <v>625</v>
      </c>
      <c r="P10" s="102">
        <v>705</v>
      </c>
      <c r="Q10" s="101">
        <v>435</v>
      </c>
      <c r="R10" s="102">
        <v>520</v>
      </c>
      <c r="S10" s="101">
        <v>585</v>
      </c>
      <c r="T10" s="101">
        <v>760.05</v>
      </c>
      <c r="U10" s="103">
        <v>1500</v>
      </c>
    </row>
    <row r="11" spans="1:21" s="68" customFormat="1" ht="13.2" x14ac:dyDescent="0.25">
      <c r="A11" s="103">
        <v>12</v>
      </c>
      <c r="B11" s="102">
        <v>25</v>
      </c>
      <c r="C11" s="101">
        <v>25</v>
      </c>
      <c r="D11" s="102">
        <v>30</v>
      </c>
      <c r="E11" s="101">
        <v>20</v>
      </c>
      <c r="F11" s="102">
        <v>20</v>
      </c>
      <c r="G11" s="101">
        <v>25</v>
      </c>
      <c r="H11" s="101">
        <v>3.3</v>
      </c>
      <c r="L11" s="101">
        <v>633.38</v>
      </c>
      <c r="M11" s="103" t="s">
        <v>324</v>
      </c>
      <c r="N11" s="102">
        <v>495</v>
      </c>
      <c r="O11" s="101">
        <v>590</v>
      </c>
      <c r="P11" s="102">
        <v>665</v>
      </c>
      <c r="Q11" s="101">
        <v>405</v>
      </c>
      <c r="R11" s="102">
        <v>485</v>
      </c>
      <c r="S11" s="101">
        <v>545</v>
      </c>
      <c r="T11" s="101">
        <v>633.38</v>
      </c>
      <c r="U11" s="103">
        <v>1250</v>
      </c>
    </row>
    <row r="12" spans="1:21" s="68" customFormat="1" ht="13.2" x14ac:dyDescent="0.25">
      <c r="A12" s="103">
        <v>10</v>
      </c>
      <c r="B12" s="102">
        <v>30</v>
      </c>
      <c r="C12" s="101">
        <v>35</v>
      </c>
      <c r="D12" s="102">
        <v>40</v>
      </c>
      <c r="E12" s="101">
        <v>25</v>
      </c>
      <c r="F12" s="102">
        <v>30</v>
      </c>
      <c r="G12" s="101">
        <v>35</v>
      </c>
      <c r="H12" s="101">
        <v>5.25</v>
      </c>
      <c r="L12" s="101">
        <v>506.7</v>
      </c>
      <c r="M12" s="103" t="s">
        <v>52</v>
      </c>
      <c r="N12" s="102">
        <v>455</v>
      </c>
      <c r="O12" s="101">
        <v>545</v>
      </c>
      <c r="P12" s="102">
        <v>615</v>
      </c>
      <c r="Q12" s="101">
        <v>375</v>
      </c>
      <c r="R12" s="102">
        <v>445</v>
      </c>
      <c r="S12" s="101">
        <v>500</v>
      </c>
      <c r="T12" s="101">
        <v>506.7</v>
      </c>
      <c r="U12" s="103">
        <v>1000</v>
      </c>
    </row>
    <row r="13" spans="1:21" s="68" customFormat="1" ht="13.8" thickBot="1" x14ac:dyDescent="0.3">
      <c r="A13" s="106">
        <v>8</v>
      </c>
      <c r="B13" s="105">
        <v>40</v>
      </c>
      <c r="C13" s="104">
        <v>50</v>
      </c>
      <c r="D13" s="105">
        <v>55</v>
      </c>
      <c r="E13" s="104">
        <v>30</v>
      </c>
      <c r="F13" s="105">
        <v>40</v>
      </c>
      <c r="G13" s="104">
        <v>45</v>
      </c>
      <c r="H13" s="104">
        <v>8.36</v>
      </c>
      <c r="L13" s="104">
        <v>456.03</v>
      </c>
      <c r="M13" s="106" t="s">
        <v>325</v>
      </c>
      <c r="N13" s="105">
        <v>435</v>
      </c>
      <c r="O13" s="104">
        <v>520</v>
      </c>
      <c r="P13" s="105">
        <v>585</v>
      </c>
      <c r="Q13" s="104">
        <v>355</v>
      </c>
      <c r="R13" s="105">
        <v>425</v>
      </c>
      <c r="S13" s="104">
        <v>480</v>
      </c>
      <c r="T13" s="104">
        <v>456.03</v>
      </c>
      <c r="U13" s="106">
        <v>900</v>
      </c>
    </row>
    <row r="14" spans="1:21" s="68" customFormat="1" ht="13.2" x14ac:dyDescent="0.25">
      <c r="A14" s="100">
        <v>6</v>
      </c>
      <c r="B14" s="99">
        <v>55</v>
      </c>
      <c r="C14" s="107">
        <v>65</v>
      </c>
      <c r="D14" s="99">
        <v>75</v>
      </c>
      <c r="E14" s="107">
        <v>40</v>
      </c>
      <c r="F14" s="99">
        <v>50</v>
      </c>
      <c r="G14" s="107">
        <v>60</v>
      </c>
      <c r="H14" s="107">
        <v>13.29</v>
      </c>
      <c r="L14" s="107">
        <v>405.36</v>
      </c>
      <c r="M14" s="100" t="s">
        <v>51</v>
      </c>
      <c r="N14" s="99">
        <v>410</v>
      </c>
      <c r="O14" s="107">
        <v>490</v>
      </c>
      <c r="P14" s="99">
        <v>555</v>
      </c>
      <c r="Q14" s="107">
        <v>330</v>
      </c>
      <c r="R14" s="99">
        <v>395</v>
      </c>
      <c r="S14" s="107">
        <v>450</v>
      </c>
      <c r="T14" s="107">
        <v>405.36</v>
      </c>
      <c r="U14" s="100">
        <v>800</v>
      </c>
    </row>
    <row r="15" spans="1:21" s="68" customFormat="1" ht="13.2" x14ac:dyDescent="0.25">
      <c r="A15" s="103">
        <v>4</v>
      </c>
      <c r="B15" s="102">
        <v>70</v>
      </c>
      <c r="C15" s="101">
        <v>85</v>
      </c>
      <c r="D15" s="102">
        <v>95</v>
      </c>
      <c r="E15" s="101">
        <v>55</v>
      </c>
      <c r="F15" s="102">
        <v>65</v>
      </c>
      <c r="G15" s="101">
        <v>75</v>
      </c>
      <c r="H15" s="101">
        <v>21.14</v>
      </c>
      <c r="L15" s="101">
        <v>380.02</v>
      </c>
      <c r="M15" s="103" t="s">
        <v>50</v>
      </c>
      <c r="N15" s="102">
        <v>400</v>
      </c>
      <c r="O15" s="101">
        <v>475</v>
      </c>
      <c r="P15" s="102">
        <v>535</v>
      </c>
      <c r="Q15" s="101">
        <v>320</v>
      </c>
      <c r="R15" s="102">
        <v>385</v>
      </c>
      <c r="S15" s="101">
        <v>435</v>
      </c>
      <c r="T15" s="101">
        <v>380.02</v>
      </c>
      <c r="U15" s="103">
        <v>750</v>
      </c>
    </row>
    <row r="16" spans="1:21" s="68" customFormat="1" ht="13.2" x14ac:dyDescent="0.25">
      <c r="A16" s="103">
        <v>3</v>
      </c>
      <c r="B16" s="102">
        <v>85</v>
      </c>
      <c r="C16" s="101">
        <v>100</v>
      </c>
      <c r="D16" s="102">
        <v>110</v>
      </c>
      <c r="E16" s="101">
        <v>65</v>
      </c>
      <c r="F16" s="102">
        <v>75</v>
      </c>
      <c r="G16" s="101">
        <v>85</v>
      </c>
      <c r="H16" s="101">
        <v>26.66</v>
      </c>
      <c r="L16" s="101">
        <v>354.69</v>
      </c>
      <c r="M16" s="103" t="s">
        <v>326</v>
      </c>
      <c r="N16" s="102">
        <v>385</v>
      </c>
      <c r="O16" s="101">
        <v>460</v>
      </c>
      <c r="P16" s="102">
        <v>520</v>
      </c>
      <c r="Q16" s="101">
        <v>310</v>
      </c>
      <c r="R16" s="102">
        <v>375</v>
      </c>
      <c r="S16" s="101">
        <v>420</v>
      </c>
      <c r="T16" s="101">
        <v>354.69</v>
      </c>
      <c r="U16" s="103">
        <v>700</v>
      </c>
    </row>
    <row r="17" spans="1:21" s="68" customFormat="1" ht="13.2" x14ac:dyDescent="0.25">
      <c r="A17" s="103">
        <v>2</v>
      </c>
      <c r="B17" s="102">
        <v>95</v>
      </c>
      <c r="C17" s="101">
        <v>115</v>
      </c>
      <c r="D17" s="102">
        <v>130</v>
      </c>
      <c r="E17" s="101">
        <v>75</v>
      </c>
      <c r="F17" s="102">
        <v>90</v>
      </c>
      <c r="G17" s="101">
        <v>100</v>
      </c>
      <c r="H17" s="101">
        <v>33.619999999999997</v>
      </c>
      <c r="L17" s="101">
        <v>304.02</v>
      </c>
      <c r="M17" s="103" t="s">
        <v>49</v>
      </c>
      <c r="N17" s="102">
        <v>355</v>
      </c>
      <c r="O17" s="101">
        <v>420</v>
      </c>
      <c r="P17" s="102">
        <v>475</v>
      </c>
      <c r="Q17" s="101">
        <v>285</v>
      </c>
      <c r="R17" s="102">
        <v>340</v>
      </c>
      <c r="S17" s="101">
        <v>385</v>
      </c>
      <c r="T17" s="101">
        <v>304.02</v>
      </c>
      <c r="U17" s="103">
        <v>600</v>
      </c>
    </row>
    <row r="18" spans="1:21" s="68" customFormat="1" ht="13.8" thickBot="1" x14ac:dyDescent="0.3">
      <c r="A18" s="106">
        <v>1</v>
      </c>
      <c r="B18" s="105">
        <v>110</v>
      </c>
      <c r="C18" s="104">
        <v>130</v>
      </c>
      <c r="D18" s="105">
        <v>150</v>
      </c>
      <c r="E18" s="104">
        <v>85</v>
      </c>
      <c r="F18" s="105">
        <v>100</v>
      </c>
      <c r="G18" s="104">
        <v>115</v>
      </c>
      <c r="H18" s="104">
        <v>42.2</v>
      </c>
      <c r="L18" s="104">
        <v>253.35</v>
      </c>
      <c r="M18" s="106" t="s">
        <v>48</v>
      </c>
      <c r="N18" s="105">
        <v>320</v>
      </c>
      <c r="O18" s="104">
        <v>380</v>
      </c>
      <c r="P18" s="105">
        <v>430</v>
      </c>
      <c r="Q18" s="104">
        <v>260</v>
      </c>
      <c r="R18" s="105">
        <v>310</v>
      </c>
      <c r="S18" s="104">
        <v>350</v>
      </c>
      <c r="T18" s="104">
        <v>253.35</v>
      </c>
      <c r="U18" s="106">
        <v>500</v>
      </c>
    </row>
    <row r="19" spans="1:21" s="68" customFormat="1" ht="13.2" x14ac:dyDescent="0.25">
      <c r="A19" s="100" t="s">
        <v>205</v>
      </c>
      <c r="B19" s="99">
        <v>125</v>
      </c>
      <c r="C19" s="107">
        <v>150</v>
      </c>
      <c r="D19" s="99">
        <v>170</v>
      </c>
      <c r="E19" s="107">
        <v>100</v>
      </c>
      <c r="F19" s="99">
        <v>120</v>
      </c>
      <c r="G19" s="107">
        <v>135</v>
      </c>
      <c r="H19" s="107">
        <v>53.5</v>
      </c>
      <c r="L19" s="107">
        <v>202.68</v>
      </c>
      <c r="M19" s="100" t="s">
        <v>47</v>
      </c>
      <c r="N19" s="99">
        <v>280</v>
      </c>
      <c r="O19" s="107">
        <v>335</v>
      </c>
      <c r="P19" s="99">
        <v>380</v>
      </c>
      <c r="Q19" s="107">
        <v>225</v>
      </c>
      <c r="R19" s="99">
        <v>270</v>
      </c>
      <c r="S19" s="107">
        <v>305</v>
      </c>
      <c r="T19" s="107">
        <v>202.68</v>
      </c>
      <c r="U19" s="100">
        <v>400</v>
      </c>
    </row>
    <row r="20" spans="1:21" s="68" customFormat="1" ht="13.2" x14ac:dyDescent="0.25">
      <c r="A20" s="103" t="s">
        <v>206</v>
      </c>
      <c r="B20" s="102">
        <v>145</v>
      </c>
      <c r="C20" s="101">
        <v>175</v>
      </c>
      <c r="D20" s="102">
        <v>195</v>
      </c>
      <c r="E20" s="101">
        <v>115</v>
      </c>
      <c r="F20" s="102">
        <v>135</v>
      </c>
      <c r="G20" s="101">
        <v>150</v>
      </c>
      <c r="H20" s="101">
        <v>67.44</v>
      </c>
      <c r="L20" s="101">
        <v>177.34</v>
      </c>
      <c r="M20" s="103" t="s">
        <v>46</v>
      </c>
      <c r="N20" s="102">
        <v>260</v>
      </c>
      <c r="O20" s="101">
        <v>310</v>
      </c>
      <c r="P20" s="102">
        <v>350</v>
      </c>
      <c r="Q20" s="101">
        <v>210</v>
      </c>
      <c r="R20" s="102">
        <v>250</v>
      </c>
      <c r="S20" s="101">
        <v>280</v>
      </c>
      <c r="T20" s="101">
        <v>177.34</v>
      </c>
      <c r="U20" s="103">
        <v>350</v>
      </c>
    </row>
    <row r="21" spans="1:21" s="68" customFormat="1" ht="13.2" x14ac:dyDescent="0.25">
      <c r="A21" s="103" t="s">
        <v>207</v>
      </c>
      <c r="B21" s="102">
        <v>165</v>
      </c>
      <c r="C21" s="101">
        <v>200</v>
      </c>
      <c r="D21" s="102">
        <v>225</v>
      </c>
      <c r="E21" s="101">
        <v>130</v>
      </c>
      <c r="F21" s="102">
        <v>155</v>
      </c>
      <c r="G21" s="101">
        <v>175</v>
      </c>
      <c r="H21" s="101">
        <v>85.02</v>
      </c>
      <c r="L21" s="101">
        <v>152.01</v>
      </c>
      <c r="M21" s="103" t="s">
        <v>45</v>
      </c>
      <c r="N21" s="102">
        <v>240</v>
      </c>
      <c r="O21" s="101">
        <v>285</v>
      </c>
      <c r="P21" s="102">
        <v>320</v>
      </c>
      <c r="Q21" s="101">
        <v>190</v>
      </c>
      <c r="R21" s="102">
        <v>230</v>
      </c>
      <c r="S21" s="101">
        <v>255</v>
      </c>
      <c r="T21" s="101">
        <v>152.01</v>
      </c>
      <c r="U21" s="103">
        <v>300</v>
      </c>
    </row>
    <row r="22" spans="1:21" s="68" customFormat="1" ht="13.8" thickBot="1" x14ac:dyDescent="0.3">
      <c r="A22" s="106" t="s">
        <v>133</v>
      </c>
      <c r="B22" s="105">
        <v>195</v>
      </c>
      <c r="C22" s="104">
        <v>230</v>
      </c>
      <c r="D22" s="105">
        <v>260</v>
      </c>
      <c r="E22" s="104">
        <v>150</v>
      </c>
      <c r="F22" s="105">
        <v>180</v>
      </c>
      <c r="G22" s="104">
        <v>205</v>
      </c>
      <c r="H22" s="104">
        <v>107.21</v>
      </c>
      <c r="L22" s="104">
        <v>126.67</v>
      </c>
      <c r="M22" s="106" t="s">
        <v>44</v>
      </c>
      <c r="N22" s="105">
        <v>215</v>
      </c>
      <c r="O22" s="104">
        <v>255</v>
      </c>
      <c r="P22" s="105">
        <v>290</v>
      </c>
      <c r="Q22" s="104">
        <v>170</v>
      </c>
      <c r="R22" s="105">
        <v>205</v>
      </c>
      <c r="S22" s="104">
        <v>230</v>
      </c>
      <c r="T22" s="104">
        <v>126.67</v>
      </c>
      <c r="U22" s="106">
        <v>250</v>
      </c>
    </row>
    <row r="23" spans="1:21" s="68" customFormat="1" ht="13.2" x14ac:dyDescent="0.25">
      <c r="A23" s="100">
        <v>250</v>
      </c>
      <c r="B23" s="99">
        <v>215</v>
      </c>
      <c r="C23" s="107">
        <v>255</v>
      </c>
      <c r="D23" s="99">
        <v>290</v>
      </c>
      <c r="E23" s="107">
        <v>170</v>
      </c>
      <c r="F23" s="99">
        <v>205</v>
      </c>
      <c r="G23" s="107">
        <v>230</v>
      </c>
      <c r="H23" s="107">
        <v>126.67</v>
      </c>
      <c r="L23" s="107">
        <v>107.21</v>
      </c>
      <c r="M23" s="100" t="s">
        <v>38</v>
      </c>
      <c r="N23" s="99">
        <v>195</v>
      </c>
      <c r="O23" s="107">
        <v>230</v>
      </c>
      <c r="P23" s="99">
        <v>260</v>
      </c>
      <c r="Q23" s="107">
        <v>150</v>
      </c>
      <c r="R23" s="99">
        <v>180</v>
      </c>
      <c r="S23" s="107">
        <v>205</v>
      </c>
      <c r="T23" s="107">
        <v>107.21</v>
      </c>
      <c r="U23" s="100" t="s">
        <v>133</v>
      </c>
    </row>
    <row r="24" spans="1:21" s="68" customFormat="1" ht="13.2" x14ac:dyDescent="0.25">
      <c r="A24" s="103">
        <v>300</v>
      </c>
      <c r="B24" s="102">
        <v>240</v>
      </c>
      <c r="C24" s="101">
        <v>285</v>
      </c>
      <c r="D24" s="102">
        <v>320</v>
      </c>
      <c r="E24" s="101">
        <v>190</v>
      </c>
      <c r="F24" s="102">
        <v>230</v>
      </c>
      <c r="G24" s="101">
        <v>255</v>
      </c>
      <c r="H24" s="101">
        <v>152.01</v>
      </c>
      <c r="L24" s="101">
        <v>85.02</v>
      </c>
      <c r="M24" s="103" t="s">
        <v>37</v>
      </c>
      <c r="N24" s="102">
        <v>165</v>
      </c>
      <c r="O24" s="101">
        <v>200</v>
      </c>
      <c r="P24" s="102">
        <v>225</v>
      </c>
      <c r="Q24" s="101">
        <v>130</v>
      </c>
      <c r="R24" s="102">
        <v>155</v>
      </c>
      <c r="S24" s="101">
        <v>175</v>
      </c>
      <c r="T24" s="101">
        <v>85.02</v>
      </c>
      <c r="U24" s="103" t="s">
        <v>207</v>
      </c>
    </row>
    <row r="25" spans="1:21" s="68" customFormat="1" ht="13.2" x14ac:dyDescent="0.25">
      <c r="A25" s="103">
        <v>350</v>
      </c>
      <c r="B25" s="102">
        <v>260</v>
      </c>
      <c r="C25" s="101">
        <v>310</v>
      </c>
      <c r="D25" s="102">
        <v>350</v>
      </c>
      <c r="E25" s="101">
        <v>210</v>
      </c>
      <c r="F25" s="102">
        <v>250</v>
      </c>
      <c r="G25" s="101">
        <v>280</v>
      </c>
      <c r="H25" s="101">
        <v>177.34</v>
      </c>
      <c r="L25" s="101">
        <v>67.44</v>
      </c>
      <c r="M25" s="103" t="s">
        <v>36</v>
      </c>
      <c r="N25" s="102">
        <v>145</v>
      </c>
      <c r="O25" s="101">
        <v>175</v>
      </c>
      <c r="P25" s="102">
        <v>195</v>
      </c>
      <c r="Q25" s="101">
        <v>115</v>
      </c>
      <c r="R25" s="102">
        <v>135</v>
      </c>
      <c r="S25" s="101">
        <v>150</v>
      </c>
      <c r="T25" s="101">
        <v>67.44</v>
      </c>
      <c r="U25" s="103" t="s">
        <v>206</v>
      </c>
    </row>
    <row r="26" spans="1:21" s="68" customFormat="1" ht="13.2" x14ac:dyDescent="0.25">
      <c r="A26" s="103">
        <v>400</v>
      </c>
      <c r="B26" s="102">
        <v>280</v>
      </c>
      <c r="C26" s="101">
        <v>335</v>
      </c>
      <c r="D26" s="102">
        <v>380</v>
      </c>
      <c r="E26" s="101">
        <v>225</v>
      </c>
      <c r="F26" s="102">
        <v>270</v>
      </c>
      <c r="G26" s="101">
        <v>305</v>
      </c>
      <c r="H26" s="101">
        <v>202.68</v>
      </c>
      <c r="L26" s="101">
        <v>53.5</v>
      </c>
      <c r="M26" s="103" t="s">
        <v>33</v>
      </c>
      <c r="N26" s="102">
        <v>125</v>
      </c>
      <c r="O26" s="101">
        <v>150</v>
      </c>
      <c r="P26" s="102">
        <v>170</v>
      </c>
      <c r="Q26" s="101">
        <v>100</v>
      </c>
      <c r="R26" s="102">
        <v>120</v>
      </c>
      <c r="S26" s="101">
        <v>135</v>
      </c>
      <c r="T26" s="101">
        <v>53.5</v>
      </c>
      <c r="U26" s="103" t="s">
        <v>205</v>
      </c>
    </row>
    <row r="27" spans="1:21" s="68" customFormat="1" ht="13.8" thickBot="1" x14ac:dyDescent="0.3">
      <c r="A27" s="106">
        <v>500</v>
      </c>
      <c r="B27" s="105">
        <v>320</v>
      </c>
      <c r="C27" s="104">
        <v>380</v>
      </c>
      <c r="D27" s="105">
        <v>430</v>
      </c>
      <c r="E27" s="104">
        <v>260</v>
      </c>
      <c r="F27" s="105">
        <v>310</v>
      </c>
      <c r="G27" s="104">
        <v>350</v>
      </c>
      <c r="H27" s="104">
        <v>253.35</v>
      </c>
      <c r="L27" s="104">
        <v>42.2</v>
      </c>
      <c r="M27" s="106" t="s">
        <v>181</v>
      </c>
      <c r="N27" s="105">
        <v>110</v>
      </c>
      <c r="O27" s="104">
        <v>130</v>
      </c>
      <c r="P27" s="105">
        <v>150</v>
      </c>
      <c r="Q27" s="104">
        <v>85</v>
      </c>
      <c r="R27" s="105">
        <v>100</v>
      </c>
      <c r="S27" s="104">
        <v>115</v>
      </c>
      <c r="T27" s="104">
        <v>42.2</v>
      </c>
      <c r="U27" s="106">
        <v>1</v>
      </c>
    </row>
    <row r="28" spans="1:21" s="68" customFormat="1" ht="13.2" x14ac:dyDescent="0.25">
      <c r="A28" s="100">
        <v>600</v>
      </c>
      <c r="B28" s="99">
        <v>355</v>
      </c>
      <c r="C28" s="107">
        <v>420</v>
      </c>
      <c r="D28" s="99">
        <v>475</v>
      </c>
      <c r="E28" s="107">
        <v>285</v>
      </c>
      <c r="F28" s="99">
        <v>340</v>
      </c>
      <c r="G28" s="107">
        <v>385</v>
      </c>
      <c r="H28" s="107">
        <v>304.02</v>
      </c>
      <c r="J28" s="68">
        <v>11.36</v>
      </c>
      <c r="L28" s="107">
        <v>33.619999999999997</v>
      </c>
      <c r="M28" s="100" t="s">
        <v>61</v>
      </c>
      <c r="N28" s="99">
        <v>95</v>
      </c>
      <c r="O28" s="107">
        <v>115</v>
      </c>
      <c r="P28" s="99">
        <v>130</v>
      </c>
      <c r="Q28" s="107">
        <v>75</v>
      </c>
      <c r="R28" s="99">
        <v>90</v>
      </c>
      <c r="S28" s="107">
        <v>100</v>
      </c>
      <c r="T28" s="107">
        <v>33.619999999999997</v>
      </c>
      <c r="U28" s="100">
        <v>2</v>
      </c>
    </row>
    <row r="29" spans="1:21" s="68" customFormat="1" ht="13.2" x14ac:dyDescent="0.25">
      <c r="A29" s="103">
        <v>700</v>
      </c>
      <c r="B29" s="102">
        <v>385</v>
      </c>
      <c r="C29" s="101">
        <v>460</v>
      </c>
      <c r="D29" s="102">
        <v>520</v>
      </c>
      <c r="E29" s="101">
        <v>310</v>
      </c>
      <c r="F29" s="102">
        <v>375</v>
      </c>
      <c r="G29" s="101">
        <v>420</v>
      </c>
      <c r="H29" s="101">
        <v>354.69</v>
      </c>
      <c r="J29" s="68">
        <f t="array" ref="J29">MIN(IF(D8:D27&gt;J28,D8:D27))</f>
        <v>14</v>
      </c>
      <c r="L29" s="101">
        <v>26.66</v>
      </c>
      <c r="M29" s="103" t="s">
        <v>327</v>
      </c>
      <c r="N29" s="102">
        <v>85</v>
      </c>
      <c r="O29" s="101">
        <v>100</v>
      </c>
      <c r="P29" s="102">
        <v>110</v>
      </c>
      <c r="Q29" s="101">
        <v>65</v>
      </c>
      <c r="R29" s="102">
        <v>75</v>
      </c>
      <c r="S29" s="101">
        <v>85</v>
      </c>
      <c r="T29" s="101">
        <v>26.66</v>
      </c>
      <c r="U29" s="103">
        <v>3</v>
      </c>
    </row>
    <row r="30" spans="1:21" s="68" customFormat="1" ht="13.2" x14ac:dyDescent="0.25">
      <c r="A30" s="103">
        <v>750</v>
      </c>
      <c r="B30" s="102">
        <v>400</v>
      </c>
      <c r="C30" s="101">
        <v>475</v>
      </c>
      <c r="D30" s="102">
        <v>535</v>
      </c>
      <c r="E30" s="101">
        <v>320</v>
      </c>
      <c r="F30" s="102">
        <v>385</v>
      </c>
      <c r="G30" s="101">
        <v>435</v>
      </c>
      <c r="H30" s="101">
        <v>380.02</v>
      </c>
      <c r="L30" s="101">
        <v>21.14</v>
      </c>
      <c r="M30" s="103" t="s">
        <v>60</v>
      </c>
      <c r="N30" s="102">
        <v>70</v>
      </c>
      <c r="O30" s="101">
        <v>85</v>
      </c>
      <c r="P30" s="102">
        <v>95</v>
      </c>
      <c r="Q30" s="101">
        <v>55</v>
      </c>
      <c r="R30" s="102">
        <v>65</v>
      </c>
      <c r="S30" s="101">
        <v>75</v>
      </c>
      <c r="T30" s="101">
        <v>21.14</v>
      </c>
      <c r="U30" s="103">
        <v>4</v>
      </c>
    </row>
    <row r="31" spans="1:21" s="68" customFormat="1" ht="13.2" x14ac:dyDescent="0.25">
      <c r="A31" s="103">
        <v>800</v>
      </c>
      <c r="B31" s="102">
        <v>410</v>
      </c>
      <c r="C31" s="101">
        <v>490</v>
      </c>
      <c r="D31" s="102">
        <v>555</v>
      </c>
      <c r="E31" s="101">
        <v>330</v>
      </c>
      <c r="F31" s="102">
        <v>395</v>
      </c>
      <c r="G31" s="101">
        <v>450</v>
      </c>
      <c r="H31" s="101">
        <v>405.36</v>
      </c>
      <c r="L31" s="101">
        <v>13.29</v>
      </c>
      <c r="M31" s="103" t="s">
        <v>59</v>
      </c>
      <c r="N31" s="102">
        <v>55</v>
      </c>
      <c r="O31" s="101">
        <v>65</v>
      </c>
      <c r="P31" s="102">
        <v>75</v>
      </c>
      <c r="Q31" s="101">
        <v>40</v>
      </c>
      <c r="R31" s="102">
        <v>50</v>
      </c>
      <c r="S31" s="101">
        <v>60</v>
      </c>
      <c r="T31" s="101">
        <v>13.29</v>
      </c>
      <c r="U31" s="103">
        <v>6</v>
      </c>
    </row>
    <row r="32" spans="1:21" s="68" customFormat="1" ht="13.8" thickBot="1" x14ac:dyDescent="0.3">
      <c r="A32" s="106">
        <v>900</v>
      </c>
      <c r="B32" s="105">
        <v>435</v>
      </c>
      <c r="C32" s="104">
        <v>520</v>
      </c>
      <c r="D32" s="105">
        <v>585</v>
      </c>
      <c r="E32" s="104">
        <v>355</v>
      </c>
      <c r="F32" s="105">
        <v>425</v>
      </c>
      <c r="G32" s="104">
        <v>480</v>
      </c>
      <c r="H32" s="104">
        <v>456.03</v>
      </c>
      <c r="L32" s="104">
        <v>8.36</v>
      </c>
      <c r="M32" s="106" t="s">
        <v>58</v>
      </c>
      <c r="N32" s="105">
        <v>40</v>
      </c>
      <c r="O32" s="104">
        <v>50</v>
      </c>
      <c r="P32" s="105">
        <v>55</v>
      </c>
      <c r="Q32" s="104">
        <v>30</v>
      </c>
      <c r="R32" s="105">
        <v>40</v>
      </c>
      <c r="S32" s="104">
        <v>45</v>
      </c>
      <c r="T32" s="104">
        <v>8.36</v>
      </c>
      <c r="U32" s="106">
        <v>8</v>
      </c>
    </row>
    <row r="33" spans="1:21" s="68" customFormat="1" ht="13.2" x14ac:dyDescent="0.25">
      <c r="A33" s="100">
        <v>1000</v>
      </c>
      <c r="B33" s="99">
        <v>455</v>
      </c>
      <c r="C33" s="107">
        <v>545</v>
      </c>
      <c r="D33" s="99">
        <v>615</v>
      </c>
      <c r="E33" s="107">
        <v>375</v>
      </c>
      <c r="F33" s="99">
        <v>445</v>
      </c>
      <c r="G33" s="107">
        <v>500</v>
      </c>
      <c r="H33" s="107">
        <v>506.7</v>
      </c>
      <c r="L33" s="107">
        <v>5.25</v>
      </c>
      <c r="M33" s="100" t="s">
        <v>57</v>
      </c>
      <c r="N33" s="99">
        <v>30</v>
      </c>
      <c r="O33" s="107">
        <v>35</v>
      </c>
      <c r="P33" s="99">
        <v>40</v>
      </c>
      <c r="Q33" s="107">
        <v>25</v>
      </c>
      <c r="R33" s="99">
        <v>30</v>
      </c>
      <c r="S33" s="107">
        <v>35</v>
      </c>
      <c r="T33" s="107">
        <v>5.25</v>
      </c>
      <c r="U33" s="100">
        <v>10</v>
      </c>
    </row>
    <row r="34" spans="1:21" s="68" customFormat="1" ht="13.2" x14ac:dyDescent="0.25">
      <c r="A34" s="103">
        <v>1250</v>
      </c>
      <c r="B34" s="102">
        <v>495</v>
      </c>
      <c r="C34" s="101">
        <v>590</v>
      </c>
      <c r="D34" s="102">
        <v>665</v>
      </c>
      <c r="E34" s="101">
        <v>405</v>
      </c>
      <c r="F34" s="102">
        <v>485</v>
      </c>
      <c r="G34" s="101">
        <v>545</v>
      </c>
      <c r="H34" s="101">
        <v>633.38</v>
      </c>
      <c r="L34" s="101">
        <v>3.3</v>
      </c>
      <c r="M34" s="103" t="s">
        <v>56</v>
      </c>
      <c r="N34" s="102">
        <v>25</v>
      </c>
      <c r="O34" s="101">
        <v>25</v>
      </c>
      <c r="P34" s="102">
        <v>30</v>
      </c>
      <c r="Q34" s="101">
        <v>20</v>
      </c>
      <c r="R34" s="102">
        <v>20</v>
      </c>
      <c r="S34" s="101">
        <v>25</v>
      </c>
      <c r="T34" s="101">
        <v>3.3</v>
      </c>
      <c r="U34" s="103">
        <v>12</v>
      </c>
    </row>
    <row r="35" spans="1:21" s="68" customFormat="1" ht="13.2" x14ac:dyDescent="0.25">
      <c r="A35" s="103">
        <v>1500</v>
      </c>
      <c r="B35" s="102">
        <v>520</v>
      </c>
      <c r="C35" s="101">
        <v>625</v>
      </c>
      <c r="D35" s="102">
        <v>705</v>
      </c>
      <c r="E35" s="101">
        <v>435</v>
      </c>
      <c r="F35" s="102">
        <v>520</v>
      </c>
      <c r="G35" s="101">
        <v>585</v>
      </c>
      <c r="H35" s="101">
        <v>760.05</v>
      </c>
      <c r="L35" s="101">
        <v>2.08</v>
      </c>
      <c r="M35" s="103" t="s">
        <v>55</v>
      </c>
      <c r="N35" s="102">
        <v>20</v>
      </c>
      <c r="O35" s="101">
        <v>20</v>
      </c>
      <c r="P35" s="102">
        <v>25</v>
      </c>
      <c r="Q35" s="101"/>
      <c r="R35" s="102"/>
      <c r="S35" s="101"/>
      <c r="T35" s="101">
        <v>2.08</v>
      </c>
      <c r="U35" s="103">
        <v>14</v>
      </c>
    </row>
    <row r="36" spans="1:21" s="68" customFormat="1" ht="13.2" x14ac:dyDescent="0.25">
      <c r="A36" s="103">
        <v>1750</v>
      </c>
      <c r="B36" s="102">
        <v>545</v>
      </c>
      <c r="C36" s="101">
        <v>650</v>
      </c>
      <c r="D36" s="102">
        <v>735</v>
      </c>
      <c r="E36" s="101">
        <v>455</v>
      </c>
      <c r="F36" s="102">
        <v>545</v>
      </c>
      <c r="G36" s="101">
        <v>615</v>
      </c>
      <c r="H36" s="101">
        <v>886.73</v>
      </c>
      <c r="L36" s="101">
        <v>1.31</v>
      </c>
      <c r="M36" s="103" t="s">
        <v>54</v>
      </c>
      <c r="N36" s="102"/>
      <c r="O36" s="101"/>
      <c r="P36" s="102">
        <v>18</v>
      </c>
      <c r="Q36" s="101"/>
      <c r="R36" s="102"/>
      <c r="S36" s="101"/>
      <c r="T36" s="101">
        <v>1.31</v>
      </c>
      <c r="U36" s="103">
        <v>16</v>
      </c>
    </row>
    <row r="37" spans="1:21" s="68" customFormat="1" ht="13.8" thickBot="1" x14ac:dyDescent="0.3">
      <c r="A37" s="106">
        <v>2000</v>
      </c>
      <c r="B37" s="105">
        <v>560</v>
      </c>
      <c r="C37" s="104">
        <v>665</v>
      </c>
      <c r="D37" s="105">
        <v>750</v>
      </c>
      <c r="E37" s="104">
        <v>470</v>
      </c>
      <c r="F37" s="105">
        <v>560</v>
      </c>
      <c r="G37" s="104">
        <v>630</v>
      </c>
      <c r="H37" s="104">
        <v>1013.04</v>
      </c>
      <c r="L37" s="104">
        <v>0.82</v>
      </c>
      <c r="M37" s="106" t="s">
        <v>53</v>
      </c>
      <c r="N37" s="105"/>
      <c r="O37" s="104"/>
      <c r="P37" s="105">
        <v>14</v>
      </c>
      <c r="Q37" s="104"/>
      <c r="R37" s="105"/>
      <c r="S37" s="104"/>
      <c r="T37" s="104">
        <v>0.82</v>
      </c>
      <c r="U37" s="106">
        <v>18</v>
      </c>
    </row>
    <row r="38" spans="1:21" s="68" customFormat="1" ht="13.8" thickBot="1" x14ac:dyDescent="0.3"/>
    <row r="39" spans="1:21" s="68" customFormat="1" ht="15.75" customHeight="1" thickBot="1" x14ac:dyDescent="0.3">
      <c r="A39" s="351" t="s">
        <v>208</v>
      </c>
      <c r="B39" s="352"/>
      <c r="C39" s="352"/>
      <c r="D39" s="352"/>
      <c r="E39" s="352"/>
      <c r="F39" s="352"/>
      <c r="G39" s="352"/>
      <c r="H39" s="353"/>
      <c r="J39" s="351" t="s">
        <v>221</v>
      </c>
      <c r="K39" s="352"/>
    </row>
    <row r="40" spans="1:21" s="68" customFormat="1" ht="40.5" customHeight="1" thickBot="1" x14ac:dyDescent="0.3">
      <c r="A40" s="108" t="s">
        <v>209</v>
      </c>
      <c r="B40" s="354" t="s">
        <v>210</v>
      </c>
      <c r="C40" s="354"/>
      <c r="D40" s="354"/>
      <c r="E40" s="354"/>
      <c r="F40" s="354"/>
      <c r="G40" s="354"/>
      <c r="H40" s="108" t="s">
        <v>209</v>
      </c>
      <c r="J40" s="127" t="s">
        <v>222</v>
      </c>
      <c r="K40" s="128" t="s">
        <v>223</v>
      </c>
    </row>
    <row r="41" spans="1:21" s="68" customFormat="1" ht="13.2" x14ac:dyDescent="0.25">
      <c r="A41" s="109" t="s">
        <v>2</v>
      </c>
      <c r="B41" s="110">
        <v>1.08</v>
      </c>
      <c r="C41" s="109">
        <v>1.05</v>
      </c>
      <c r="D41" s="110">
        <v>1.04</v>
      </c>
      <c r="E41" s="109">
        <v>1.08</v>
      </c>
      <c r="F41" s="110">
        <v>1.05</v>
      </c>
      <c r="G41" s="109">
        <v>1.04</v>
      </c>
      <c r="H41" s="111" t="s">
        <v>2</v>
      </c>
      <c r="J41" s="123" t="s">
        <v>224</v>
      </c>
      <c r="K41" s="124">
        <v>0.8</v>
      </c>
    </row>
    <row r="42" spans="1:21" s="68" customFormat="1" ht="13.2" x14ac:dyDescent="0.25">
      <c r="A42" s="112" t="s">
        <v>3</v>
      </c>
      <c r="B42" s="113">
        <v>1</v>
      </c>
      <c r="C42" s="112">
        <v>1</v>
      </c>
      <c r="D42" s="113">
        <v>1</v>
      </c>
      <c r="E42" s="112">
        <v>1</v>
      </c>
      <c r="F42" s="113">
        <v>1</v>
      </c>
      <c r="G42" s="112">
        <v>1</v>
      </c>
      <c r="H42" s="114" t="s">
        <v>3</v>
      </c>
      <c r="J42" s="123" t="s">
        <v>225</v>
      </c>
      <c r="K42" s="124">
        <v>0.7</v>
      </c>
    </row>
    <row r="43" spans="1:21" s="68" customFormat="1" ht="13.2" x14ac:dyDescent="0.25">
      <c r="A43" s="112" t="s">
        <v>4</v>
      </c>
      <c r="B43" s="113">
        <v>0.91</v>
      </c>
      <c r="C43" s="112">
        <v>0.94</v>
      </c>
      <c r="D43" s="113">
        <v>0.96</v>
      </c>
      <c r="E43" s="112">
        <v>0.91</v>
      </c>
      <c r="F43" s="113">
        <v>0.94</v>
      </c>
      <c r="G43" s="112">
        <v>0.96</v>
      </c>
      <c r="H43" s="114" t="s">
        <v>4</v>
      </c>
      <c r="J43" s="123" t="s">
        <v>226</v>
      </c>
      <c r="K43" s="124">
        <v>0.5</v>
      </c>
    </row>
    <row r="44" spans="1:21" s="68" customFormat="1" ht="13.2" x14ac:dyDescent="0.25">
      <c r="A44" s="112" t="s">
        <v>5</v>
      </c>
      <c r="B44" s="113">
        <v>0.82</v>
      </c>
      <c r="C44" s="112">
        <v>0.88</v>
      </c>
      <c r="D44" s="113">
        <v>0.91</v>
      </c>
      <c r="E44" s="112">
        <v>0.82</v>
      </c>
      <c r="F44" s="113">
        <v>0.88</v>
      </c>
      <c r="G44" s="112">
        <v>0.91</v>
      </c>
      <c r="H44" s="114" t="s">
        <v>5</v>
      </c>
      <c r="J44" s="123" t="s">
        <v>227</v>
      </c>
      <c r="K44" s="124">
        <v>0.45</v>
      </c>
    </row>
    <row r="45" spans="1:21" s="68" customFormat="1" ht="13.2" x14ac:dyDescent="0.25">
      <c r="A45" s="112" t="s">
        <v>8</v>
      </c>
      <c r="B45" s="113">
        <v>0.71</v>
      </c>
      <c r="C45" s="112">
        <v>0.82</v>
      </c>
      <c r="D45" s="113">
        <v>0.87</v>
      </c>
      <c r="E45" s="112">
        <v>0.71</v>
      </c>
      <c r="F45" s="113">
        <v>0.82</v>
      </c>
      <c r="G45" s="112">
        <v>0.87</v>
      </c>
      <c r="H45" s="114" t="s">
        <v>8</v>
      </c>
      <c r="J45" s="123" t="s">
        <v>228</v>
      </c>
      <c r="K45" s="124">
        <v>0.4</v>
      </c>
    </row>
    <row r="46" spans="1:21" s="68" customFormat="1" ht="13.8" thickBot="1" x14ac:dyDescent="0.3">
      <c r="A46" s="112" t="s">
        <v>9</v>
      </c>
      <c r="B46" s="113">
        <v>0.57999999999999996</v>
      </c>
      <c r="C46" s="112">
        <v>0.75</v>
      </c>
      <c r="D46" s="113">
        <v>0.82</v>
      </c>
      <c r="E46" s="112">
        <v>0.57999999999999996</v>
      </c>
      <c r="F46" s="113">
        <v>0.75</v>
      </c>
      <c r="G46" s="112">
        <v>0.82</v>
      </c>
      <c r="H46" s="114" t="s">
        <v>9</v>
      </c>
      <c r="J46" s="125" t="s">
        <v>229</v>
      </c>
      <c r="K46" s="126">
        <v>0.35</v>
      </c>
    </row>
    <row r="47" spans="1:21" s="68" customFormat="1" ht="13.2" x14ac:dyDescent="0.25">
      <c r="A47" s="112" t="s">
        <v>10</v>
      </c>
      <c r="B47" s="113">
        <v>0.41</v>
      </c>
      <c r="C47" s="112">
        <v>0.67</v>
      </c>
      <c r="D47" s="113">
        <v>0.76</v>
      </c>
      <c r="E47" s="112">
        <v>0.41</v>
      </c>
      <c r="F47" s="113">
        <v>0.67</v>
      </c>
      <c r="G47" s="112">
        <v>0.76</v>
      </c>
      <c r="H47" s="114" t="s">
        <v>10</v>
      </c>
    </row>
    <row r="48" spans="1:21" s="68" customFormat="1" ht="13.2" x14ac:dyDescent="0.25">
      <c r="A48" s="112" t="s">
        <v>211</v>
      </c>
      <c r="B48" s="113"/>
      <c r="C48" s="112">
        <v>0.57999999999999996</v>
      </c>
      <c r="D48" s="113">
        <v>0.71</v>
      </c>
      <c r="E48" s="112"/>
      <c r="F48" s="113">
        <v>0.57999999999999996</v>
      </c>
      <c r="G48" s="112">
        <v>0.71</v>
      </c>
      <c r="H48" s="114" t="s">
        <v>211</v>
      </c>
    </row>
    <row r="49" spans="1:8" s="68" customFormat="1" ht="13.2" x14ac:dyDescent="0.25">
      <c r="A49" s="112" t="s">
        <v>212</v>
      </c>
      <c r="B49" s="113"/>
      <c r="C49" s="112">
        <v>0.33</v>
      </c>
      <c r="D49" s="113">
        <v>0.57999999999999996</v>
      </c>
      <c r="E49" s="112"/>
      <c r="F49" s="113">
        <v>0.33</v>
      </c>
      <c r="G49" s="112">
        <v>0.57999999999999996</v>
      </c>
      <c r="H49" s="114" t="s">
        <v>212</v>
      </c>
    </row>
    <row r="50" spans="1:8" s="68" customFormat="1" ht="13.8" thickBot="1" x14ac:dyDescent="0.3">
      <c r="A50" s="115" t="s">
        <v>213</v>
      </c>
      <c r="B50" s="116"/>
      <c r="C50" s="115"/>
      <c r="D50" s="116">
        <v>0.41</v>
      </c>
      <c r="E50" s="115"/>
      <c r="F50" s="116"/>
      <c r="G50" s="115">
        <v>0.41</v>
      </c>
      <c r="H50" s="117" t="s">
        <v>213</v>
      </c>
    </row>
    <row r="51" spans="1:8" s="68" customFormat="1" ht="13.2" x14ac:dyDescent="0.25"/>
    <row r="52" spans="1:8" s="68" customFormat="1" ht="13.2" x14ac:dyDescent="0.25"/>
    <row r="53" spans="1:8" s="68" customFormat="1" ht="13.8" thickBot="1" x14ac:dyDescent="0.3"/>
    <row r="54" spans="1:8" s="68" customFormat="1" ht="26.25" customHeight="1" thickBot="1" x14ac:dyDescent="0.3">
      <c r="A54" s="355" t="s">
        <v>233</v>
      </c>
      <c r="B54" s="356"/>
      <c r="C54" s="356"/>
      <c r="D54" s="356"/>
      <c r="E54" s="356"/>
      <c r="F54" s="356"/>
      <c r="G54" s="356"/>
      <c r="H54" s="357"/>
    </row>
    <row r="55" spans="1:8" s="68" customFormat="1" ht="13.8" thickBot="1" x14ac:dyDescent="0.3"/>
    <row r="56" spans="1:8" s="68" customFormat="1" ht="13.5" customHeight="1" thickBot="1" x14ac:dyDescent="0.3">
      <c r="A56" s="338" t="s">
        <v>191</v>
      </c>
      <c r="B56" s="341" t="s">
        <v>190</v>
      </c>
      <c r="C56" s="342"/>
      <c r="D56" s="342"/>
      <c r="E56" s="342"/>
      <c r="F56" s="342"/>
      <c r="G56" s="343"/>
      <c r="H56" s="344" t="s">
        <v>189</v>
      </c>
    </row>
    <row r="57" spans="1:8" s="68" customFormat="1" ht="13.8" thickBot="1" x14ac:dyDescent="0.3">
      <c r="A57" s="339"/>
      <c r="B57" s="94" t="s">
        <v>192</v>
      </c>
      <c r="C57" s="94" t="s">
        <v>193</v>
      </c>
      <c r="D57" s="94" t="s">
        <v>194</v>
      </c>
      <c r="E57" s="94" t="s">
        <v>192</v>
      </c>
      <c r="F57" s="94" t="s">
        <v>193</v>
      </c>
      <c r="G57" s="95" t="s">
        <v>194</v>
      </c>
      <c r="H57" s="345"/>
    </row>
    <row r="58" spans="1:8" s="68" customFormat="1" ht="13.8" thickBot="1" x14ac:dyDescent="0.3">
      <c r="A58" s="339"/>
      <c r="B58" s="94" t="s">
        <v>195</v>
      </c>
      <c r="C58" s="94" t="s">
        <v>195</v>
      </c>
      <c r="D58" s="94" t="s">
        <v>195</v>
      </c>
      <c r="E58" s="94" t="s">
        <v>195</v>
      </c>
      <c r="F58" s="94" t="s">
        <v>195</v>
      </c>
      <c r="G58" s="94" t="s">
        <v>195</v>
      </c>
      <c r="H58" s="345"/>
    </row>
    <row r="59" spans="1:8" s="68" customFormat="1" ht="128.25" customHeight="1" thickBot="1" x14ac:dyDescent="0.3">
      <c r="A59" s="340"/>
      <c r="B59" s="96" t="s">
        <v>196</v>
      </c>
      <c r="C59" s="97" t="s">
        <v>197</v>
      </c>
      <c r="D59" s="97" t="s">
        <v>198</v>
      </c>
      <c r="E59" s="96" t="s">
        <v>199</v>
      </c>
      <c r="F59" s="97" t="s">
        <v>200</v>
      </c>
      <c r="G59" s="97" t="s">
        <v>201</v>
      </c>
      <c r="H59" s="346"/>
    </row>
    <row r="60" spans="1:8" s="68" customFormat="1" ht="13.8" thickBot="1" x14ac:dyDescent="0.3">
      <c r="A60" s="94" t="s">
        <v>204</v>
      </c>
      <c r="B60" s="341" t="s">
        <v>202</v>
      </c>
      <c r="C60" s="342"/>
      <c r="D60" s="343"/>
      <c r="E60" s="341" t="s">
        <v>203</v>
      </c>
      <c r="F60" s="342"/>
      <c r="G60" s="343"/>
      <c r="H60" s="94" t="s">
        <v>92</v>
      </c>
    </row>
    <row r="61" spans="1:8" s="68" customFormat="1" ht="13.2" x14ac:dyDescent="0.25">
      <c r="A61" s="100">
        <v>18</v>
      </c>
      <c r="B61" s="99"/>
      <c r="C61" s="98"/>
      <c r="D61" s="99">
        <v>18</v>
      </c>
      <c r="E61" s="98"/>
      <c r="F61" s="99"/>
      <c r="G61" s="98"/>
      <c r="H61" s="98">
        <v>0.82</v>
      </c>
    </row>
    <row r="62" spans="1:8" s="68" customFormat="1" ht="13.2" x14ac:dyDescent="0.25">
      <c r="A62" s="103">
        <v>16</v>
      </c>
      <c r="B62" s="102"/>
      <c r="C62" s="101"/>
      <c r="D62" s="102">
        <v>24</v>
      </c>
      <c r="E62" s="101"/>
      <c r="F62" s="102"/>
      <c r="G62" s="101"/>
      <c r="H62" s="101">
        <v>1.31</v>
      </c>
    </row>
    <row r="63" spans="1:8" s="68" customFormat="1" ht="13.2" x14ac:dyDescent="0.25">
      <c r="A63" s="103">
        <v>14</v>
      </c>
      <c r="B63" s="102">
        <v>25</v>
      </c>
      <c r="C63" s="101">
        <v>30</v>
      </c>
      <c r="D63" s="102">
        <v>35</v>
      </c>
      <c r="E63" s="101"/>
      <c r="F63" s="102"/>
      <c r="G63" s="101"/>
      <c r="H63" s="101">
        <v>2.08</v>
      </c>
    </row>
    <row r="64" spans="1:8" s="68" customFormat="1" ht="13.2" x14ac:dyDescent="0.25">
      <c r="A64" s="103">
        <v>12</v>
      </c>
      <c r="B64" s="102">
        <v>30</v>
      </c>
      <c r="C64" s="101">
        <v>35</v>
      </c>
      <c r="D64" s="102">
        <v>40</v>
      </c>
      <c r="E64" s="101">
        <v>25</v>
      </c>
      <c r="F64" s="102">
        <v>30</v>
      </c>
      <c r="G64" s="101">
        <v>35</v>
      </c>
      <c r="H64" s="101">
        <v>3.3</v>
      </c>
    </row>
    <row r="65" spans="1:12" s="68" customFormat="1" ht="13.2" x14ac:dyDescent="0.25">
      <c r="A65" s="103">
        <v>10</v>
      </c>
      <c r="B65" s="102">
        <v>40</v>
      </c>
      <c r="C65" s="101">
        <v>50</v>
      </c>
      <c r="D65" s="102">
        <v>55</v>
      </c>
      <c r="E65" s="101">
        <v>35</v>
      </c>
      <c r="F65" s="102">
        <v>40</v>
      </c>
      <c r="G65" s="101">
        <v>40</v>
      </c>
      <c r="H65" s="101">
        <v>5.25</v>
      </c>
      <c r="L65" s="68">
        <f>A70/3.14</f>
        <v>0.63694267515923564</v>
      </c>
    </row>
    <row r="66" spans="1:12" s="68" customFormat="1" ht="13.8" thickBot="1" x14ac:dyDescent="0.3">
      <c r="A66" s="106">
        <v>8</v>
      </c>
      <c r="B66" s="105">
        <v>60</v>
      </c>
      <c r="C66" s="104">
        <v>70</v>
      </c>
      <c r="D66" s="105">
        <v>80</v>
      </c>
      <c r="E66" s="104">
        <v>45</v>
      </c>
      <c r="F66" s="105">
        <v>55</v>
      </c>
      <c r="G66" s="104">
        <v>60</v>
      </c>
      <c r="H66" s="104">
        <v>8.36</v>
      </c>
      <c r="L66" s="68">
        <f>SQRT(L65)</f>
        <v>0.7980868844676221</v>
      </c>
    </row>
    <row r="67" spans="1:12" s="68" customFormat="1" ht="13.2" x14ac:dyDescent="0.25">
      <c r="A67" s="100">
        <v>6</v>
      </c>
      <c r="B67" s="99">
        <v>80</v>
      </c>
      <c r="C67" s="107">
        <v>95</v>
      </c>
      <c r="D67" s="99">
        <v>105</v>
      </c>
      <c r="E67" s="107">
        <v>60</v>
      </c>
      <c r="F67" s="99">
        <v>75</v>
      </c>
      <c r="G67" s="107">
        <v>80</v>
      </c>
      <c r="H67" s="107">
        <v>13.29</v>
      </c>
      <c r="L67" s="68">
        <f>L66*2</f>
        <v>1.5961737689352442</v>
      </c>
    </row>
    <row r="68" spans="1:12" s="68" customFormat="1" ht="13.2" x14ac:dyDescent="0.25">
      <c r="A68" s="103">
        <v>4</v>
      </c>
      <c r="B68" s="102">
        <v>105</v>
      </c>
      <c r="C68" s="101">
        <v>125</v>
      </c>
      <c r="D68" s="102">
        <v>140</v>
      </c>
      <c r="E68" s="101">
        <v>80</v>
      </c>
      <c r="F68" s="102">
        <v>100</v>
      </c>
      <c r="G68" s="101">
        <v>110</v>
      </c>
      <c r="H68" s="101">
        <v>21.14</v>
      </c>
    </row>
    <row r="69" spans="1:12" s="68" customFormat="1" ht="13.2" x14ac:dyDescent="0.25">
      <c r="A69" s="103">
        <v>3</v>
      </c>
      <c r="B69" s="102">
        <v>120</v>
      </c>
      <c r="C69" s="101">
        <v>145</v>
      </c>
      <c r="D69" s="102">
        <v>165</v>
      </c>
      <c r="E69" s="101">
        <v>95</v>
      </c>
      <c r="F69" s="102">
        <v>115</v>
      </c>
      <c r="G69" s="101">
        <v>130</v>
      </c>
      <c r="H69" s="101">
        <v>26.66</v>
      </c>
    </row>
    <row r="70" spans="1:12" s="68" customFormat="1" ht="13.2" x14ac:dyDescent="0.25">
      <c r="A70" s="103">
        <v>2</v>
      </c>
      <c r="B70" s="102">
        <v>140</v>
      </c>
      <c r="C70" s="101">
        <v>170</v>
      </c>
      <c r="D70" s="102">
        <v>190</v>
      </c>
      <c r="E70" s="101">
        <v>110</v>
      </c>
      <c r="F70" s="102">
        <v>135</v>
      </c>
      <c r="G70" s="101">
        <v>150</v>
      </c>
      <c r="H70" s="101">
        <v>33.619999999999997</v>
      </c>
    </row>
    <row r="71" spans="1:12" s="68" customFormat="1" ht="13.8" thickBot="1" x14ac:dyDescent="0.3">
      <c r="A71" s="106">
        <v>1</v>
      </c>
      <c r="B71" s="105">
        <v>165</v>
      </c>
      <c r="C71" s="104">
        <v>195</v>
      </c>
      <c r="D71" s="105">
        <v>220</v>
      </c>
      <c r="E71" s="104">
        <v>130</v>
      </c>
      <c r="F71" s="105">
        <v>155</v>
      </c>
      <c r="G71" s="104">
        <v>175</v>
      </c>
      <c r="H71" s="104">
        <v>42.2</v>
      </c>
    </row>
    <row r="72" spans="1:12" s="68" customFormat="1" ht="13.2" x14ac:dyDescent="0.25">
      <c r="A72" s="100" t="s">
        <v>205</v>
      </c>
      <c r="B72" s="99">
        <v>195</v>
      </c>
      <c r="C72" s="107">
        <v>230</v>
      </c>
      <c r="D72" s="99">
        <v>260</v>
      </c>
      <c r="E72" s="107">
        <v>150</v>
      </c>
      <c r="F72" s="99">
        <v>180</v>
      </c>
      <c r="G72" s="107">
        <v>205</v>
      </c>
      <c r="H72" s="107">
        <v>53.5</v>
      </c>
    </row>
    <row r="73" spans="1:12" s="68" customFormat="1" ht="13.2" x14ac:dyDescent="0.25">
      <c r="A73" s="103" t="s">
        <v>206</v>
      </c>
      <c r="B73" s="102">
        <v>225</v>
      </c>
      <c r="C73" s="101">
        <v>265</v>
      </c>
      <c r="D73" s="102">
        <v>300</v>
      </c>
      <c r="E73" s="101">
        <v>175</v>
      </c>
      <c r="F73" s="102">
        <v>210</v>
      </c>
      <c r="G73" s="101">
        <v>235</v>
      </c>
      <c r="H73" s="101">
        <v>67.44</v>
      </c>
    </row>
    <row r="74" spans="1:12" s="68" customFormat="1" ht="13.2" x14ac:dyDescent="0.25">
      <c r="A74" s="103" t="s">
        <v>207</v>
      </c>
      <c r="B74" s="102">
        <v>260</v>
      </c>
      <c r="C74" s="101">
        <v>310</v>
      </c>
      <c r="D74" s="102">
        <v>350</v>
      </c>
      <c r="E74" s="101">
        <v>200</v>
      </c>
      <c r="F74" s="102">
        <v>240</v>
      </c>
      <c r="G74" s="101">
        <v>275</v>
      </c>
      <c r="H74" s="101">
        <v>85.02</v>
      </c>
    </row>
    <row r="75" spans="1:12" s="68" customFormat="1" ht="13.8" thickBot="1" x14ac:dyDescent="0.3">
      <c r="A75" s="106" t="s">
        <v>133</v>
      </c>
      <c r="B75" s="105">
        <v>300</v>
      </c>
      <c r="C75" s="104">
        <v>360</v>
      </c>
      <c r="D75" s="105">
        <v>405</v>
      </c>
      <c r="E75" s="104">
        <v>135</v>
      </c>
      <c r="F75" s="105">
        <v>280</v>
      </c>
      <c r="G75" s="104">
        <v>315</v>
      </c>
      <c r="H75" s="104">
        <v>107.21</v>
      </c>
    </row>
    <row r="76" spans="1:12" s="68" customFormat="1" ht="13.2" x14ac:dyDescent="0.25">
      <c r="A76" s="100">
        <v>250</v>
      </c>
      <c r="B76" s="99">
        <v>340</v>
      </c>
      <c r="C76" s="107">
        <v>405</v>
      </c>
      <c r="D76" s="99">
        <v>455</v>
      </c>
      <c r="E76" s="107">
        <v>265</v>
      </c>
      <c r="F76" s="99">
        <v>315</v>
      </c>
      <c r="G76" s="107">
        <v>355</v>
      </c>
      <c r="H76" s="107">
        <v>126.67</v>
      </c>
    </row>
    <row r="77" spans="1:12" s="68" customFormat="1" ht="13.2" x14ac:dyDescent="0.25">
      <c r="A77" s="103">
        <v>300</v>
      </c>
      <c r="B77" s="102">
        <v>375</v>
      </c>
      <c r="C77" s="101">
        <v>445</v>
      </c>
      <c r="D77" s="102">
        <v>505</v>
      </c>
      <c r="E77" s="101">
        <v>290</v>
      </c>
      <c r="F77" s="102">
        <v>350</v>
      </c>
      <c r="G77" s="101">
        <v>395</v>
      </c>
      <c r="H77" s="101">
        <v>152.01</v>
      </c>
    </row>
    <row r="78" spans="1:12" s="68" customFormat="1" ht="13.2" x14ac:dyDescent="0.25">
      <c r="A78" s="103">
        <v>350</v>
      </c>
      <c r="B78" s="102">
        <v>420</v>
      </c>
      <c r="C78" s="101">
        <v>505</v>
      </c>
      <c r="D78" s="102">
        <v>570</v>
      </c>
      <c r="E78" s="101">
        <v>330</v>
      </c>
      <c r="F78" s="102">
        <v>395</v>
      </c>
      <c r="G78" s="101">
        <v>445</v>
      </c>
      <c r="H78" s="101">
        <v>177.34</v>
      </c>
    </row>
    <row r="79" spans="1:12" s="68" customFormat="1" ht="13.2" x14ac:dyDescent="0.25">
      <c r="A79" s="103">
        <v>400</v>
      </c>
      <c r="B79" s="102">
        <v>455</v>
      </c>
      <c r="C79" s="101">
        <v>545</v>
      </c>
      <c r="D79" s="102">
        <v>615</v>
      </c>
      <c r="E79" s="101">
        <v>355</v>
      </c>
      <c r="F79" s="102">
        <v>425</v>
      </c>
      <c r="G79" s="101">
        <v>480</v>
      </c>
      <c r="H79" s="101">
        <v>202.68</v>
      </c>
    </row>
    <row r="80" spans="1:12" s="68" customFormat="1" ht="13.8" thickBot="1" x14ac:dyDescent="0.3">
      <c r="A80" s="106">
        <v>500</v>
      </c>
      <c r="B80" s="105">
        <v>515</v>
      </c>
      <c r="C80" s="104">
        <v>620</v>
      </c>
      <c r="D80" s="105">
        <v>700</v>
      </c>
      <c r="E80" s="104">
        <v>405</v>
      </c>
      <c r="F80" s="105">
        <v>485</v>
      </c>
      <c r="G80" s="104">
        <v>545</v>
      </c>
      <c r="H80" s="104">
        <v>253.35</v>
      </c>
    </row>
    <row r="81" spans="1:8" s="68" customFormat="1" ht="13.2" x14ac:dyDescent="0.25">
      <c r="A81" s="100">
        <v>600</v>
      </c>
      <c r="B81" s="99">
        <v>575</v>
      </c>
      <c r="C81" s="107">
        <v>690</v>
      </c>
      <c r="D81" s="99">
        <v>780</v>
      </c>
      <c r="E81" s="107">
        <v>455</v>
      </c>
      <c r="F81" s="99">
        <v>540</v>
      </c>
      <c r="G81" s="107">
        <v>615</v>
      </c>
      <c r="H81" s="107">
        <v>304.02</v>
      </c>
    </row>
    <row r="82" spans="1:8" s="68" customFormat="1" ht="13.2" x14ac:dyDescent="0.25">
      <c r="A82" s="103">
        <v>700</v>
      </c>
      <c r="B82" s="102">
        <v>630</v>
      </c>
      <c r="C82" s="101">
        <v>755</v>
      </c>
      <c r="D82" s="102">
        <v>855</v>
      </c>
      <c r="E82" s="101">
        <v>500</v>
      </c>
      <c r="F82" s="102">
        <v>595</v>
      </c>
      <c r="G82" s="101">
        <v>675</v>
      </c>
      <c r="H82" s="101">
        <v>354.69</v>
      </c>
    </row>
    <row r="83" spans="1:8" s="68" customFormat="1" ht="13.2" x14ac:dyDescent="0.25">
      <c r="A83" s="103">
        <v>750</v>
      </c>
      <c r="B83" s="102">
        <v>655</v>
      </c>
      <c r="C83" s="101">
        <v>785</v>
      </c>
      <c r="D83" s="102">
        <v>855</v>
      </c>
      <c r="E83" s="101">
        <v>515</v>
      </c>
      <c r="F83" s="102">
        <v>620</v>
      </c>
      <c r="G83" s="101">
        <v>700</v>
      </c>
      <c r="H83" s="101">
        <v>380.02</v>
      </c>
    </row>
    <row r="84" spans="1:8" s="68" customFormat="1" ht="13.2" x14ac:dyDescent="0.25">
      <c r="A84" s="103">
        <v>800</v>
      </c>
      <c r="B84" s="102">
        <v>680</v>
      </c>
      <c r="C84" s="101">
        <v>815</v>
      </c>
      <c r="D84" s="102">
        <v>920</v>
      </c>
      <c r="E84" s="101">
        <v>535</v>
      </c>
      <c r="F84" s="102">
        <v>645</v>
      </c>
      <c r="G84" s="101">
        <v>725</v>
      </c>
      <c r="H84" s="101">
        <v>405.36</v>
      </c>
    </row>
    <row r="85" spans="1:8" s="68" customFormat="1" ht="13.8" thickBot="1" x14ac:dyDescent="0.3">
      <c r="A85" s="106">
        <v>900</v>
      </c>
      <c r="B85" s="105">
        <v>730</v>
      </c>
      <c r="C85" s="104">
        <v>870</v>
      </c>
      <c r="D85" s="105">
        <v>985</v>
      </c>
      <c r="E85" s="104">
        <v>580</v>
      </c>
      <c r="F85" s="105">
        <v>700</v>
      </c>
      <c r="G85" s="104">
        <v>785</v>
      </c>
      <c r="H85" s="104">
        <v>456.03</v>
      </c>
    </row>
    <row r="86" spans="1:8" s="68" customFormat="1" ht="13.2" x14ac:dyDescent="0.25">
      <c r="A86" s="100">
        <v>1000</v>
      </c>
      <c r="B86" s="99">
        <v>780</v>
      </c>
      <c r="C86" s="107">
        <v>935</v>
      </c>
      <c r="D86" s="99">
        <v>1055</v>
      </c>
      <c r="E86" s="107">
        <v>625</v>
      </c>
      <c r="F86" s="99">
        <v>750</v>
      </c>
      <c r="G86" s="107">
        <v>845</v>
      </c>
      <c r="H86" s="107">
        <v>506.7</v>
      </c>
    </row>
    <row r="87" spans="1:8" s="68" customFormat="1" ht="13.2" x14ac:dyDescent="0.25">
      <c r="A87" s="103">
        <v>1250</v>
      </c>
      <c r="B87" s="102">
        <v>890</v>
      </c>
      <c r="C87" s="101">
        <v>1065</v>
      </c>
      <c r="D87" s="102">
        <v>1200</v>
      </c>
      <c r="E87" s="101">
        <v>710</v>
      </c>
      <c r="F87" s="102">
        <v>855</v>
      </c>
      <c r="G87" s="101">
        <v>960</v>
      </c>
      <c r="H87" s="101">
        <v>633.38</v>
      </c>
    </row>
    <row r="88" spans="1:8" s="68" customFormat="1" ht="13.2" x14ac:dyDescent="0.25">
      <c r="A88" s="103">
        <v>1500</v>
      </c>
      <c r="B88" s="102">
        <v>980</v>
      </c>
      <c r="C88" s="101">
        <v>1175</v>
      </c>
      <c r="D88" s="102">
        <v>1325</v>
      </c>
      <c r="E88" s="101">
        <v>795</v>
      </c>
      <c r="F88" s="102">
        <v>950</v>
      </c>
      <c r="G88" s="101">
        <v>1075</v>
      </c>
      <c r="H88" s="101">
        <v>760.05</v>
      </c>
    </row>
    <row r="89" spans="1:8" s="68" customFormat="1" ht="13.2" x14ac:dyDescent="0.25">
      <c r="A89" s="103">
        <v>1750</v>
      </c>
      <c r="B89" s="102">
        <v>1070</v>
      </c>
      <c r="C89" s="101">
        <v>1280</v>
      </c>
      <c r="D89" s="102">
        <v>1445</v>
      </c>
      <c r="E89" s="101">
        <v>875</v>
      </c>
      <c r="F89" s="102">
        <v>1050</v>
      </c>
      <c r="G89" s="101">
        <v>1185</v>
      </c>
      <c r="H89" s="101">
        <v>886.73</v>
      </c>
    </row>
    <row r="90" spans="1:8" s="68" customFormat="1" ht="13.8" thickBot="1" x14ac:dyDescent="0.3">
      <c r="A90" s="106">
        <v>2000</v>
      </c>
      <c r="B90" s="105">
        <v>1155</v>
      </c>
      <c r="C90" s="104">
        <v>1385</v>
      </c>
      <c r="D90" s="105">
        <v>1560</v>
      </c>
      <c r="E90" s="104">
        <v>960</v>
      </c>
      <c r="F90" s="105">
        <v>1150</v>
      </c>
      <c r="G90" s="104">
        <v>1335</v>
      </c>
      <c r="H90" s="104">
        <v>1013.04</v>
      </c>
    </row>
    <row r="91" spans="1:8" s="68" customFormat="1" ht="13.8" thickBot="1" x14ac:dyDescent="0.3"/>
    <row r="92" spans="1:8" s="68" customFormat="1" ht="13.8" thickBot="1" x14ac:dyDescent="0.3">
      <c r="A92" s="351" t="s">
        <v>208</v>
      </c>
      <c r="B92" s="352"/>
      <c r="C92" s="352"/>
      <c r="D92" s="352"/>
      <c r="E92" s="352"/>
      <c r="F92" s="352"/>
      <c r="G92" s="352"/>
      <c r="H92" s="353"/>
    </row>
    <row r="93" spans="1:8" s="68" customFormat="1" ht="38.25" customHeight="1" thickBot="1" x14ac:dyDescent="0.3">
      <c r="A93" s="108" t="s">
        <v>209</v>
      </c>
      <c r="B93" s="354" t="s">
        <v>210</v>
      </c>
      <c r="C93" s="354"/>
      <c r="D93" s="354"/>
      <c r="E93" s="354"/>
      <c r="F93" s="354"/>
      <c r="G93" s="354"/>
      <c r="H93" s="108" t="s">
        <v>209</v>
      </c>
    </row>
    <row r="94" spans="1:8" s="68" customFormat="1" ht="13.2" x14ac:dyDescent="0.25">
      <c r="A94" s="109" t="s">
        <v>2</v>
      </c>
      <c r="B94" s="110">
        <v>1.08</v>
      </c>
      <c r="C94" s="109">
        <v>1.05</v>
      </c>
      <c r="D94" s="110">
        <v>1.04</v>
      </c>
      <c r="E94" s="109">
        <v>1.08</v>
      </c>
      <c r="F94" s="110">
        <v>1.05</v>
      </c>
      <c r="G94" s="109">
        <v>1.04</v>
      </c>
      <c r="H94" s="111" t="s">
        <v>2</v>
      </c>
    </row>
    <row r="95" spans="1:8" s="68" customFormat="1" ht="13.2" x14ac:dyDescent="0.25">
      <c r="A95" s="112" t="s">
        <v>3</v>
      </c>
      <c r="B95" s="113">
        <v>1</v>
      </c>
      <c r="C95" s="112">
        <v>1</v>
      </c>
      <c r="D95" s="113">
        <v>1</v>
      </c>
      <c r="E95" s="112">
        <v>1</v>
      </c>
      <c r="F95" s="113">
        <v>1</v>
      </c>
      <c r="G95" s="112">
        <v>1</v>
      </c>
      <c r="H95" s="114" t="s">
        <v>3</v>
      </c>
    </row>
    <row r="96" spans="1:8" s="68" customFormat="1" ht="13.2" x14ac:dyDescent="0.25">
      <c r="A96" s="112" t="s">
        <v>4</v>
      </c>
      <c r="B96" s="113">
        <v>0.91</v>
      </c>
      <c r="C96" s="112">
        <v>0.94</v>
      </c>
      <c r="D96" s="113">
        <v>0.96</v>
      </c>
      <c r="E96" s="112">
        <v>0.91</v>
      </c>
      <c r="F96" s="113">
        <v>0.94</v>
      </c>
      <c r="G96" s="112">
        <v>0.96</v>
      </c>
      <c r="H96" s="114" t="s">
        <v>4</v>
      </c>
    </row>
    <row r="97" spans="1:8" s="68" customFormat="1" ht="13.2" x14ac:dyDescent="0.25">
      <c r="A97" s="112" t="s">
        <v>5</v>
      </c>
      <c r="B97" s="113">
        <v>0.82</v>
      </c>
      <c r="C97" s="112">
        <v>0.88</v>
      </c>
      <c r="D97" s="113">
        <v>0.91</v>
      </c>
      <c r="E97" s="112">
        <v>0.82</v>
      </c>
      <c r="F97" s="113">
        <v>0.88</v>
      </c>
      <c r="G97" s="112">
        <v>0.91</v>
      </c>
      <c r="H97" s="114" t="s">
        <v>5</v>
      </c>
    </row>
    <row r="98" spans="1:8" s="68" customFormat="1" ht="13.2" x14ac:dyDescent="0.25">
      <c r="A98" s="112" t="s">
        <v>8</v>
      </c>
      <c r="B98" s="113">
        <v>0.71</v>
      </c>
      <c r="C98" s="112">
        <v>0.82</v>
      </c>
      <c r="D98" s="113">
        <v>0.87</v>
      </c>
      <c r="E98" s="112">
        <v>0.71</v>
      </c>
      <c r="F98" s="113">
        <v>0.82</v>
      </c>
      <c r="G98" s="112">
        <v>0.87</v>
      </c>
      <c r="H98" s="114" t="s">
        <v>8</v>
      </c>
    </row>
    <row r="99" spans="1:8" s="68" customFormat="1" ht="13.2" x14ac:dyDescent="0.25">
      <c r="A99" s="112" t="s">
        <v>9</v>
      </c>
      <c r="B99" s="113">
        <v>0.57999999999999996</v>
      </c>
      <c r="C99" s="112">
        <v>0.75</v>
      </c>
      <c r="D99" s="113">
        <v>0.82</v>
      </c>
      <c r="E99" s="112">
        <v>0.57999999999999996</v>
      </c>
      <c r="F99" s="113">
        <v>0.75</v>
      </c>
      <c r="G99" s="112">
        <v>0.82</v>
      </c>
      <c r="H99" s="114" t="s">
        <v>9</v>
      </c>
    </row>
    <row r="100" spans="1:8" s="68" customFormat="1" ht="13.2" x14ac:dyDescent="0.25">
      <c r="A100" s="112" t="s">
        <v>10</v>
      </c>
      <c r="B100" s="113">
        <v>0.41</v>
      </c>
      <c r="C100" s="112">
        <v>0.67</v>
      </c>
      <c r="D100" s="113">
        <v>0.76</v>
      </c>
      <c r="E100" s="112">
        <v>0.41</v>
      </c>
      <c r="F100" s="113">
        <v>0.67</v>
      </c>
      <c r="G100" s="112">
        <v>0.76</v>
      </c>
      <c r="H100" s="114" t="s">
        <v>10</v>
      </c>
    </row>
    <row r="101" spans="1:8" s="68" customFormat="1" ht="13.2" x14ac:dyDescent="0.25">
      <c r="A101" s="112" t="s">
        <v>211</v>
      </c>
      <c r="B101" s="113"/>
      <c r="C101" s="112">
        <v>0.57999999999999996</v>
      </c>
      <c r="D101" s="113">
        <v>0.71</v>
      </c>
      <c r="E101" s="112"/>
      <c r="F101" s="113">
        <v>0.57999999999999996</v>
      </c>
      <c r="G101" s="112">
        <v>0.71</v>
      </c>
      <c r="H101" s="114" t="s">
        <v>211</v>
      </c>
    </row>
    <row r="102" spans="1:8" s="68" customFormat="1" ht="13.2" x14ac:dyDescent="0.25">
      <c r="A102" s="112" t="s">
        <v>212</v>
      </c>
      <c r="B102" s="113"/>
      <c r="C102" s="112">
        <v>0.33</v>
      </c>
      <c r="D102" s="113">
        <v>0.57999999999999996</v>
      </c>
      <c r="E102" s="112"/>
      <c r="F102" s="113">
        <v>0.33</v>
      </c>
      <c r="G102" s="112">
        <v>0.57999999999999996</v>
      </c>
      <c r="H102" s="114" t="s">
        <v>212</v>
      </c>
    </row>
    <row r="103" spans="1:8" s="68" customFormat="1" ht="13.8" thickBot="1" x14ac:dyDescent="0.3">
      <c r="A103" s="115" t="s">
        <v>213</v>
      </c>
      <c r="B103" s="116"/>
      <c r="C103" s="115"/>
      <c r="D103" s="116">
        <v>0.41</v>
      </c>
      <c r="E103" s="115"/>
      <c r="F103" s="116"/>
      <c r="G103" s="115">
        <v>0.41</v>
      </c>
      <c r="H103" s="117" t="s">
        <v>213</v>
      </c>
    </row>
    <row r="106" spans="1:8" s="68" customFormat="1" ht="19.5" customHeight="1" x14ac:dyDescent="0.25">
      <c r="C106" s="93"/>
      <c r="D106" s="93"/>
      <c r="E106" s="93"/>
      <c r="F106" s="93"/>
      <c r="G106" s="93"/>
      <c r="H106" s="93"/>
    </row>
    <row r="107" spans="1:8" s="68" customFormat="1" ht="13.2" x14ac:dyDescent="0.25">
      <c r="C107" s="93"/>
      <c r="D107" s="93"/>
      <c r="E107" s="93"/>
    </row>
    <row r="108" spans="1:8" s="68" customFormat="1" ht="36.75" customHeight="1" x14ac:dyDescent="0.25">
      <c r="C108" s="93"/>
      <c r="D108" s="93"/>
      <c r="E108" s="93"/>
    </row>
    <row r="109" spans="1:8" s="68" customFormat="1" ht="13.2" x14ac:dyDescent="0.25">
      <c r="C109" s="93"/>
      <c r="D109" s="93"/>
      <c r="E109" s="93"/>
    </row>
    <row r="110" spans="1:8" s="68" customFormat="1" ht="13.2" x14ac:dyDescent="0.25">
      <c r="C110" s="93"/>
      <c r="D110" s="93"/>
      <c r="E110" s="93"/>
    </row>
    <row r="111" spans="1:8" s="68" customFormat="1" ht="13.2" x14ac:dyDescent="0.25">
      <c r="C111" s="93"/>
      <c r="D111" s="93"/>
      <c r="E111" s="93"/>
    </row>
    <row r="112" spans="1:8" s="68" customFormat="1" ht="13.2" x14ac:dyDescent="0.25">
      <c r="C112" s="93"/>
      <c r="D112" s="93"/>
      <c r="E112" s="93"/>
    </row>
    <row r="113" spans="3:5" s="68" customFormat="1" ht="13.2" x14ac:dyDescent="0.25">
      <c r="C113" s="93"/>
      <c r="D113" s="93"/>
      <c r="E113" s="93"/>
    </row>
    <row r="114" spans="3:5" s="68" customFormat="1" ht="13.2" x14ac:dyDescent="0.25">
      <c r="C114" s="93"/>
      <c r="D114" s="93"/>
      <c r="E114" s="93"/>
    </row>
  </sheetData>
  <sortState xmlns:xlrd2="http://schemas.microsoft.com/office/spreadsheetml/2017/richdata2" ref="M8:T37">
    <sortCondition descending="1" ref="P8:P37"/>
  </sortState>
  <mergeCells count="19">
    <mergeCell ref="N7:P7"/>
    <mergeCell ref="Q7:S7"/>
    <mergeCell ref="A92:H92"/>
    <mergeCell ref="B93:G93"/>
    <mergeCell ref="A54:H54"/>
    <mergeCell ref="J39:K39"/>
    <mergeCell ref="A1:H1"/>
    <mergeCell ref="A56:A59"/>
    <mergeCell ref="B56:G56"/>
    <mergeCell ref="H56:H59"/>
    <mergeCell ref="B60:D60"/>
    <mergeCell ref="E60:G60"/>
    <mergeCell ref="A3:A6"/>
    <mergeCell ref="B3:G3"/>
    <mergeCell ref="H3:H6"/>
    <mergeCell ref="B7:D7"/>
    <mergeCell ref="E7:G7"/>
    <mergeCell ref="A39:H39"/>
    <mergeCell ref="B40:G4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64"/>
  <sheetViews>
    <sheetView topLeftCell="A23" workbookViewId="0">
      <selection activeCell="L11" sqref="L11"/>
    </sheetView>
  </sheetViews>
  <sheetFormatPr baseColWidth="10" defaultColWidth="11.44140625" defaultRowHeight="13.2" x14ac:dyDescent="0.25"/>
  <cols>
    <col min="1" max="1" width="12.44140625" style="68" customWidth="1"/>
    <col min="2" max="2" width="14.88671875" style="68" customWidth="1"/>
    <col min="3" max="6" width="11.44140625" style="68"/>
    <col min="7" max="7" width="13.109375" style="68" customWidth="1"/>
    <col min="8" max="8" width="12" style="68" bestFit="1" customWidth="1"/>
    <col min="9" max="9" width="9.6640625" style="68" customWidth="1"/>
    <col min="10" max="263" width="11.44140625" style="68"/>
    <col min="264" max="264" width="19.88671875" style="68" customWidth="1"/>
    <col min="265" max="519" width="11.44140625" style="68"/>
    <col min="520" max="520" width="19.88671875" style="68" customWidth="1"/>
    <col min="521" max="775" width="11.44140625" style="68"/>
    <col min="776" max="776" width="19.88671875" style="68" customWidth="1"/>
    <col min="777" max="1031" width="11.44140625" style="68"/>
    <col min="1032" max="1032" width="19.88671875" style="68" customWidth="1"/>
    <col min="1033" max="1287" width="11.44140625" style="68"/>
    <col min="1288" max="1288" width="19.88671875" style="68" customWidth="1"/>
    <col min="1289" max="1543" width="11.44140625" style="68"/>
    <col min="1544" max="1544" width="19.88671875" style="68" customWidth="1"/>
    <col min="1545" max="1799" width="11.44140625" style="68"/>
    <col min="1800" max="1800" width="19.88671875" style="68" customWidth="1"/>
    <col min="1801" max="2055" width="11.44140625" style="68"/>
    <col min="2056" max="2056" width="19.88671875" style="68" customWidth="1"/>
    <col min="2057" max="2311" width="11.44140625" style="68"/>
    <col min="2312" max="2312" width="19.88671875" style="68" customWidth="1"/>
    <col min="2313" max="2567" width="11.44140625" style="68"/>
    <col min="2568" max="2568" width="19.88671875" style="68" customWidth="1"/>
    <col min="2569" max="2823" width="11.44140625" style="68"/>
    <col min="2824" max="2824" width="19.88671875" style="68" customWidth="1"/>
    <col min="2825" max="3079" width="11.44140625" style="68"/>
    <col min="3080" max="3080" width="19.88671875" style="68" customWidth="1"/>
    <col min="3081" max="3335" width="11.44140625" style="68"/>
    <col min="3336" max="3336" width="19.88671875" style="68" customWidth="1"/>
    <col min="3337" max="3591" width="11.44140625" style="68"/>
    <col min="3592" max="3592" width="19.88671875" style="68" customWidth="1"/>
    <col min="3593" max="3847" width="11.44140625" style="68"/>
    <col min="3848" max="3848" width="19.88671875" style="68" customWidth="1"/>
    <col min="3849" max="4103" width="11.44140625" style="68"/>
    <col min="4104" max="4104" width="19.88671875" style="68" customWidth="1"/>
    <col min="4105" max="4359" width="11.44140625" style="68"/>
    <col min="4360" max="4360" width="19.88671875" style="68" customWidth="1"/>
    <col min="4361" max="4615" width="11.44140625" style="68"/>
    <col min="4616" max="4616" width="19.88671875" style="68" customWidth="1"/>
    <col min="4617" max="4871" width="11.44140625" style="68"/>
    <col min="4872" max="4872" width="19.88671875" style="68" customWidth="1"/>
    <col min="4873" max="5127" width="11.44140625" style="68"/>
    <col min="5128" max="5128" width="19.88671875" style="68" customWidth="1"/>
    <col min="5129" max="5383" width="11.44140625" style="68"/>
    <col min="5384" max="5384" width="19.88671875" style="68" customWidth="1"/>
    <col min="5385" max="5639" width="11.44140625" style="68"/>
    <col min="5640" max="5640" width="19.88671875" style="68" customWidth="1"/>
    <col min="5641" max="5895" width="11.44140625" style="68"/>
    <col min="5896" max="5896" width="19.88671875" style="68" customWidth="1"/>
    <col min="5897" max="6151" width="11.44140625" style="68"/>
    <col min="6152" max="6152" width="19.88671875" style="68" customWidth="1"/>
    <col min="6153" max="6407" width="11.44140625" style="68"/>
    <col min="6408" max="6408" width="19.88671875" style="68" customWidth="1"/>
    <col min="6409" max="6663" width="11.44140625" style="68"/>
    <col min="6664" max="6664" width="19.88671875" style="68" customWidth="1"/>
    <col min="6665" max="6919" width="11.44140625" style="68"/>
    <col min="6920" max="6920" width="19.88671875" style="68" customWidth="1"/>
    <col min="6921" max="7175" width="11.44140625" style="68"/>
    <col min="7176" max="7176" width="19.88671875" style="68" customWidth="1"/>
    <col min="7177" max="7431" width="11.44140625" style="68"/>
    <col min="7432" max="7432" width="19.88671875" style="68" customWidth="1"/>
    <col min="7433" max="7687" width="11.44140625" style="68"/>
    <col min="7688" max="7688" width="19.88671875" style="68" customWidth="1"/>
    <col min="7689" max="7943" width="11.44140625" style="68"/>
    <col min="7944" max="7944" width="19.88671875" style="68" customWidth="1"/>
    <col min="7945" max="8199" width="11.44140625" style="68"/>
    <col min="8200" max="8200" width="19.88671875" style="68" customWidth="1"/>
    <col min="8201" max="8455" width="11.44140625" style="68"/>
    <col min="8456" max="8456" width="19.88671875" style="68" customWidth="1"/>
    <col min="8457" max="8711" width="11.44140625" style="68"/>
    <col min="8712" max="8712" width="19.88671875" style="68" customWidth="1"/>
    <col min="8713" max="8967" width="11.44140625" style="68"/>
    <col min="8968" max="8968" width="19.88671875" style="68" customWidth="1"/>
    <col min="8969" max="9223" width="11.44140625" style="68"/>
    <col min="9224" max="9224" width="19.88671875" style="68" customWidth="1"/>
    <col min="9225" max="9479" width="11.44140625" style="68"/>
    <col min="9480" max="9480" width="19.88671875" style="68" customWidth="1"/>
    <col min="9481" max="9735" width="11.44140625" style="68"/>
    <col min="9736" max="9736" width="19.88671875" style="68" customWidth="1"/>
    <col min="9737" max="9991" width="11.44140625" style="68"/>
    <col min="9992" max="9992" width="19.88671875" style="68" customWidth="1"/>
    <col min="9993" max="10247" width="11.44140625" style="68"/>
    <col min="10248" max="10248" width="19.88671875" style="68" customWidth="1"/>
    <col min="10249" max="10503" width="11.44140625" style="68"/>
    <col min="10504" max="10504" width="19.88671875" style="68" customWidth="1"/>
    <col min="10505" max="10759" width="11.44140625" style="68"/>
    <col min="10760" max="10760" width="19.88671875" style="68" customWidth="1"/>
    <col min="10761" max="11015" width="11.44140625" style="68"/>
    <col min="11016" max="11016" width="19.88671875" style="68" customWidth="1"/>
    <col min="11017" max="11271" width="11.44140625" style="68"/>
    <col min="11272" max="11272" width="19.88671875" style="68" customWidth="1"/>
    <col min="11273" max="11527" width="11.44140625" style="68"/>
    <col min="11528" max="11528" width="19.88671875" style="68" customWidth="1"/>
    <col min="11529" max="11783" width="11.44140625" style="68"/>
    <col min="11784" max="11784" width="19.88671875" style="68" customWidth="1"/>
    <col min="11785" max="12039" width="11.44140625" style="68"/>
    <col min="12040" max="12040" width="19.88671875" style="68" customWidth="1"/>
    <col min="12041" max="12295" width="11.44140625" style="68"/>
    <col min="12296" max="12296" width="19.88671875" style="68" customWidth="1"/>
    <col min="12297" max="12551" width="11.44140625" style="68"/>
    <col min="12552" max="12552" width="19.88671875" style="68" customWidth="1"/>
    <col min="12553" max="12807" width="11.44140625" style="68"/>
    <col min="12808" max="12808" width="19.88671875" style="68" customWidth="1"/>
    <col min="12809" max="13063" width="11.44140625" style="68"/>
    <col min="13064" max="13064" width="19.88671875" style="68" customWidth="1"/>
    <col min="13065" max="13319" width="11.44140625" style="68"/>
    <col min="13320" max="13320" width="19.88671875" style="68" customWidth="1"/>
    <col min="13321" max="13575" width="11.44140625" style="68"/>
    <col min="13576" max="13576" width="19.88671875" style="68" customWidth="1"/>
    <col min="13577" max="13831" width="11.44140625" style="68"/>
    <col min="13832" max="13832" width="19.88671875" style="68" customWidth="1"/>
    <col min="13833" max="14087" width="11.44140625" style="68"/>
    <col min="14088" max="14088" width="19.88671875" style="68" customWidth="1"/>
    <col min="14089" max="14343" width="11.44140625" style="68"/>
    <col min="14344" max="14344" width="19.88671875" style="68" customWidth="1"/>
    <col min="14345" max="14599" width="11.44140625" style="68"/>
    <col min="14600" max="14600" width="19.88671875" style="68" customWidth="1"/>
    <col min="14601" max="14855" width="11.44140625" style="68"/>
    <col min="14856" max="14856" width="19.88671875" style="68" customWidth="1"/>
    <col min="14857" max="15111" width="11.44140625" style="68"/>
    <col min="15112" max="15112" width="19.88671875" style="68" customWidth="1"/>
    <col min="15113" max="15367" width="11.44140625" style="68"/>
    <col min="15368" max="15368" width="19.88671875" style="68" customWidth="1"/>
    <col min="15369" max="15623" width="11.44140625" style="68"/>
    <col min="15624" max="15624" width="19.88671875" style="68" customWidth="1"/>
    <col min="15625" max="15879" width="11.44140625" style="68"/>
    <col min="15880" max="15880" width="19.88671875" style="68" customWidth="1"/>
    <col min="15881" max="16135" width="11.44140625" style="68"/>
    <col min="16136" max="16136" width="19.88671875" style="68" customWidth="1"/>
    <col min="16137" max="16384" width="11.44140625" style="68"/>
  </cols>
  <sheetData>
    <row r="1" spans="1:23" x14ac:dyDescent="0.25">
      <c r="A1" s="362" t="s">
        <v>239</v>
      </c>
      <c r="B1" s="363"/>
      <c r="C1" s="363"/>
      <c r="D1" s="363"/>
      <c r="E1" s="363"/>
      <c r="F1" s="363"/>
      <c r="G1" s="364"/>
    </row>
    <row r="2" spans="1:23" ht="13.8" thickBot="1" x14ac:dyDescent="0.3">
      <c r="A2" s="365"/>
      <c r="B2" s="366"/>
      <c r="C2" s="366"/>
      <c r="D2" s="366"/>
      <c r="E2" s="366"/>
      <c r="F2" s="366"/>
      <c r="G2" s="367"/>
    </row>
    <row r="3" spans="1:23" ht="13.8" thickBot="1" x14ac:dyDescent="0.3"/>
    <row r="4" spans="1:23" x14ac:dyDescent="0.25">
      <c r="A4" s="358" t="s">
        <v>236</v>
      </c>
      <c r="B4" s="359"/>
      <c r="C4" s="130">
        <v>1</v>
      </c>
      <c r="D4" s="130">
        <v>2</v>
      </c>
      <c r="E4" s="131" t="s">
        <v>237</v>
      </c>
    </row>
    <row r="5" spans="1:23" ht="13.8" thickBot="1" x14ac:dyDescent="0.3">
      <c r="A5" s="360" t="s">
        <v>238</v>
      </c>
      <c r="B5" s="361"/>
      <c r="C5" s="132">
        <v>0.53</v>
      </c>
      <c r="D5" s="132">
        <v>0.31</v>
      </c>
      <c r="E5" s="133">
        <v>0.4</v>
      </c>
    </row>
    <row r="6" spans="1:23" ht="13.8" thickBot="1" x14ac:dyDescent="0.3"/>
    <row r="7" spans="1:23" x14ac:dyDescent="0.25">
      <c r="A7" s="372" t="s">
        <v>278</v>
      </c>
      <c r="B7" s="373"/>
      <c r="C7" s="373"/>
      <c r="D7" s="373"/>
      <c r="E7" s="373"/>
      <c r="F7" s="373"/>
      <c r="G7" s="374"/>
    </row>
    <row r="8" spans="1:23" x14ac:dyDescent="0.25">
      <c r="A8" s="375"/>
      <c r="B8" s="376"/>
      <c r="C8" s="376"/>
      <c r="D8" s="376"/>
      <c r="E8" s="376"/>
      <c r="F8" s="376"/>
      <c r="G8" s="377"/>
    </row>
    <row r="9" spans="1:23" ht="13.8" thickBot="1" x14ac:dyDescent="0.3">
      <c r="A9" s="378"/>
      <c r="B9" s="379"/>
      <c r="C9" s="379"/>
      <c r="D9" s="379"/>
      <c r="E9" s="379"/>
      <c r="F9" s="379"/>
      <c r="G9" s="380"/>
    </row>
    <row r="11" spans="1:23" ht="12.75" customHeight="1" thickBot="1" x14ac:dyDescent="0.3"/>
    <row r="12" spans="1:23" ht="13.8" thickBot="1" x14ac:dyDescent="0.3">
      <c r="A12" s="329" t="s">
        <v>235</v>
      </c>
      <c r="B12" s="329" t="s">
        <v>289</v>
      </c>
      <c r="C12" s="368" t="s">
        <v>287</v>
      </c>
      <c r="D12" s="368"/>
      <c r="E12" s="368"/>
      <c r="F12" s="369"/>
      <c r="G12" s="370" t="s">
        <v>288</v>
      </c>
      <c r="H12" s="368"/>
      <c r="I12" s="371"/>
      <c r="O12" s="329" t="s">
        <v>235</v>
      </c>
      <c r="P12" s="329" t="s">
        <v>289</v>
      </c>
      <c r="Q12" s="368" t="s">
        <v>287</v>
      </c>
      <c r="R12" s="368"/>
      <c r="S12" s="368"/>
      <c r="T12" s="369"/>
      <c r="U12" s="370" t="s">
        <v>288</v>
      </c>
      <c r="V12" s="368"/>
      <c r="W12" s="371"/>
    </row>
    <row r="13" spans="1:23" ht="15.75" customHeight="1" thickBot="1" x14ac:dyDescent="0.3">
      <c r="A13" s="330"/>
      <c r="B13" s="330"/>
      <c r="C13" s="326" t="s">
        <v>284</v>
      </c>
      <c r="D13" s="327"/>
      <c r="E13" s="326" t="s">
        <v>285</v>
      </c>
      <c r="F13" s="327"/>
      <c r="G13" s="326" t="s">
        <v>241</v>
      </c>
      <c r="H13" s="327"/>
      <c r="I13" s="136" t="s">
        <v>286</v>
      </c>
      <c r="O13" s="330"/>
      <c r="P13" s="330"/>
      <c r="Q13" s="326" t="s">
        <v>284</v>
      </c>
      <c r="R13" s="327"/>
      <c r="S13" s="326" t="s">
        <v>285</v>
      </c>
      <c r="T13" s="327"/>
      <c r="U13" s="326" t="s">
        <v>241</v>
      </c>
      <c r="V13" s="327"/>
      <c r="W13" s="136" t="s">
        <v>286</v>
      </c>
    </row>
    <row r="14" spans="1:23" ht="33" customHeight="1" thickBot="1" x14ac:dyDescent="0.3">
      <c r="A14" s="331"/>
      <c r="B14" s="331"/>
      <c r="C14" s="135" t="s">
        <v>279</v>
      </c>
      <c r="D14" s="136" t="s">
        <v>280</v>
      </c>
      <c r="E14" s="136" t="s">
        <v>280</v>
      </c>
      <c r="F14" s="136" t="s">
        <v>290</v>
      </c>
      <c r="G14" s="137" t="s">
        <v>281</v>
      </c>
      <c r="H14" s="136" t="s">
        <v>282</v>
      </c>
      <c r="I14" s="136" t="s">
        <v>283</v>
      </c>
      <c r="O14" s="331"/>
      <c r="P14" s="331"/>
      <c r="Q14" s="135" t="s">
        <v>279</v>
      </c>
      <c r="R14" s="136" t="s">
        <v>280</v>
      </c>
      <c r="S14" s="136" t="s">
        <v>280</v>
      </c>
      <c r="T14" s="136" t="s">
        <v>290</v>
      </c>
      <c r="U14" s="137" t="s">
        <v>281</v>
      </c>
      <c r="V14" s="136" t="s">
        <v>282</v>
      </c>
      <c r="W14" s="136" t="s">
        <v>283</v>
      </c>
    </row>
    <row r="15" spans="1:23" ht="13.8" thickBot="1" x14ac:dyDescent="0.3">
      <c r="A15" s="139">
        <v>18</v>
      </c>
      <c r="B15" s="393">
        <v>0.82</v>
      </c>
      <c r="C15" s="121">
        <v>1</v>
      </c>
      <c r="D15" s="121"/>
      <c r="E15" s="121">
        <v>1.02</v>
      </c>
      <c r="F15" s="121">
        <v>0.65</v>
      </c>
      <c r="G15" s="121">
        <v>25.49</v>
      </c>
      <c r="H15" s="122">
        <v>26.51</v>
      </c>
      <c r="I15" s="122">
        <v>41.99</v>
      </c>
      <c r="N15" s="100"/>
      <c r="O15" s="139"/>
      <c r="Q15" s="121"/>
      <c r="R15" s="121"/>
      <c r="S15" s="121"/>
      <c r="T15" s="121"/>
      <c r="U15" s="121"/>
      <c r="V15" s="122"/>
      <c r="W15" s="122"/>
    </row>
    <row r="16" spans="1:23" ht="13.8" x14ac:dyDescent="0.25">
      <c r="A16" s="119">
        <v>18</v>
      </c>
      <c r="B16" s="394"/>
      <c r="C16" s="122">
        <v>7</v>
      </c>
      <c r="D16" s="122">
        <v>0.38</v>
      </c>
      <c r="E16" s="122">
        <v>1.17</v>
      </c>
      <c r="F16" s="122">
        <v>1.29</v>
      </c>
      <c r="G16" s="122">
        <v>26.08</v>
      </c>
      <c r="H16" s="122">
        <v>27.72</v>
      </c>
      <c r="I16" s="122">
        <v>42.98</v>
      </c>
      <c r="M16" s="54" t="s">
        <v>487</v>
      </c>
      <c r="N16" s="100" t="s">
        <v>53</v>
      </c>
      <c r="O16" s="119">
        <v>18</v>
      </c>
      <c r="P16" s="138">
        <v>0.82</v>
      </c>
      <c r="Q16" s="122">
        <v>7</v>
      </c>
      <c r="R16" s="122">
        <v>0.38</v>
      </c>
      <c r="S16" s="122">
        <v>1.17</v>
      </c>
      <c r="T16" s="122">
        <v>1.29</v>
      </c>
      <c r="U16" s="122">
        <v>26.08</v>
      </c>
      <c r="V16" s="122">
        <v>27.72</v>
      </c>
      <c r="W16" s="122">
        <v>42.98</v>
      </c>
    </row>
    <row r="17" spans="1:23" x14ac:dyDescent="0.25">
      <c r="A17" s="119">
        <v>16</v>
      </c>
      <c r="B17" s="395">
        <v>1.31</v>
      </c>
      <c r="C17" s="121">
        <v>1</v>
      </c>
      <c r="D17" s="122"/>
      <c r="E17" s="122">
        <v>1.3</v>
      </c>
      <c r="F17" s="122">
        <v>1.29</v>
      </c>
      <c r="G17" s="122">
        <v>16.04</v>
      </c>
      <c r="H17" s="122">
        <v>16.670000000000002</v>
      </c>
      <c r="I17" s="122">
        <v>26.41</v>
      </c>
      <c r="N17" s="103"/>
      <c r="O17" s="119"/>
      <c r="Q17" s="121"/>
      <c r="R17" s="122"/>
      <c r="S17" s="122"/>
      <c r="T17" s="122"/>
      <c r="U17" s="122"/>
      <c r="V17" s="122"/>
      <c r="W17" s="122"/>
    </row>
    <row r="18" spans="1:23" ht="13.8" x14ac:dyDescent="0.25">
      <c r="A18" s="119">
        <v>16</v>
      </c>
      <c r="B18" s="396"/>
      <c r="C18" s="122">
        <v>7</v>
      </c>
      <c r="D18" s="122">
        <v>0.48</v>
      </c>
      <c r="E18" s="122">
        <v>1.47</v>
      </c>
      <c r="F18" s="122">
        <v>1.94</v>
      </c>
      <c r="G18" s="122">
        <v>16.37</v>
      </c>
      <c r="H18" s="122">
        <v>17.36</v>
      </c>
      <c r="I18" s="122">
        <v>26.96</v>
      </c>
      <c r="M18" s="54" t="s">
        <v>488</v>
      </c>
      <c r="N18" s="103" t="s">
        <v>54</v>
      </c>
      <c r="O18" s="119">
        <v>16</v>
      </c>
      <c r="P18" s="148">
        <v>1.31</v>
      </c>
      <c r="Q18" s="122">
        <v>7</v>
      </c>
      <c r="R18" s="122">
        <v>0.48</v>
      </c>
      <c r="S18" s="122">
        <v>1.47</v>
      </c>
      <c r="T18" s="122">
        <v>1.94</v>
      </c>
      <c r="U18" s="122">
        <v>16.37</v>
      </c>
      <c r="V18" s="122">
        <v>17.36</v>
      </c>
      <c r="W18" s="122">
        <v>26.96</v>
      </c>
    </row>
    <row r="19" spans="1:23" x14ac:dyDescent="0.25">
      <c r="A19" s="119">
        <v>14</v>
      </c>
      <c r="B19" s="395">
        <v>2.08</v>
      </c>
      <c r="C19" s="121">
        <v>1</v>
      </c>
      <c r="D19" s="122"/>
      <c r="E19" s="122">
        <v>1.63</v>
      </c>
      <c r="F19" s="122">
        <v>1.94</v>
      </c>
      <c r="G19" s="122">
        <v>10.07</v>
      </c>
      <c r="H19" s="122">
        <v>10.47</v>
      </c>
      <c r="I19" s="122">
        <v>16.600000000000001</v>
      </c>
      <c r="N19" s="103"/>
      <c r="O19" s="119"/>
      <c r="Q19" s="121"/>
      <c r="R19" s="122"/>
      <c r="S19" s="122"/>
      <c r="T19" s="122"/>
      <c r="U19" s="122"/>
      <c r="V19" s="122"/>
      <c r="W19" s="122"/>
    </row>
    <row r="20" spans="1:23" ht="13.8" x14ac:dyDescent="0.25">
      <c r="A20" s="119">
        <v>14</v>
      </c>
      <c r="B20" s="396"/>
      <c r="C20" s="122">
        <v>7</v>
      </c>
      <c r="D20" s="122">
        <v>0.61</v>
      </c>
      <c r="E20" s="122">
        <v>1.85</v>
      </c>
      <c r="F20" s="122">
        <v>2.58</v>
      </c>
      <c r="G20" s="122">
        <v>10.3</v>
      </c>
      <c r="H20" s="122">
        <v>10.7</v>
      </c>
      <c r="I20" s="122">
        <v>16.96</v>
      </c>
      <c r="M20" s="54" t="s">
        <v>489</v>
      </c>
      <c r="N20" s="103" t="s">
        <v>55</v>
      </c>
      <c r="O20" s="119">
        <v>14</v>
      </c>
      <c r="P20" s="148">
        <v>2.08</v>
      </c>
      <c r="Q20" s="122">
        <v>7</v>
      </c>
      <c r="R20" s="122">
        <v>0.61</v>
      </c>
      <c r="S20" s="122">
        <v>1.85</v>
      </c>
      <c r="T20" s="122">
        <v>2.58</v>
      </c>
      <c r="U20" s="122">
        <v>10.3</v>
      </c>
      <c r="V20" s="122">
        <v>10.7</v>
      </c>
      <c r="W20" s="122">
        <v>16.96</v>
      </c>
    </row>
    <row r="21" spans="1:23" x14ac:dyDescent="0.25">
      <c r="A21" s="119">
        <v>12</v>
      </c>
      <c r="B21" s="395">
        <v>3.31</v>
      </c>
      <c r="C21" s="121">
        <v>1</v>
      </c>
      <c r="D21" s="122"/>
      <c r="E21" s="122">
        <v>2.06</v>
      </c>
      <c r="F21" s="122">
        <v>3.23</v>
      </c>
      <c r="G21" s="122">
        <v>6.33</v>
      </c>
      <c r="H21" s="122">
        <v>6.59</v>
      </c>
      <c r="I21" s="122">
        <v>10.43</v>
      </c>
      <c r="N21" s="103"/>
      <c r="O21" s="119"/>
      <c r="Q21" s="121"/>
      <c r="R21" s="122"/>
      <c r="S21" s="122"/>
      <c r="T21" s="122"/>
      <c r="U21" s="122"/>
      <c r="V21" s="122"/>
      <c r="W21" s="122"/>
    </row>
    <row r="22" spans="1:23" ht="13.8" x14ac:dyDescent="0.25">
      <c r="A22" s="119">
        <v>12</v>
      </c>
      <c r="B22" s="396"/>
      <c r="C22" s="122">
        <v>7</v>
      </c>
      <c r="D22" s="122">
        <v>0.76</v>
      </c>
      <c r="E22" s="122">
        <v>2.34</v>
      </c>
      <c r="F22" s="122">
        <v>3.87</v>
      </c>
      <c r="G22" s="122">
        <v>6.49</v>
      </c>
      <c r="H22" s="122">
        <v>6.73</v>
      </c>
      <c r="I22" s="122">
        <v>10.66</v>
      </c>
      <c r="M22" s="54" t="s">
        <v>39</v>
      </c>
      <c r="N22" s="103" t="s">
        <v>56</v>
      </c>
      <c r="O22" s="119">
        <v>12</v>
      </c>
      <c r="P22" s="148">
        <v>3.31</v>
      </c>
      <c r="Q22" s="122">
        <v>7</v>
      </c>
      <c r="R22" s="122">
        <v>0.76</v>
      </c>
      <c r="S22" s="122">
        <v>2.34</v>
      </c>
      <c r="T22" s="122">
        <v>3.87</v>
      </c>
      <c r="U22" s="122">
        <v>6.49</v>
      </c>
      <c r="V22" s="122">
        <v>6.73</v>
      </c>
      <c r="W22" s="122">
        <v>10.66</v>
      </c>
    </row>
    <row r="23" spans="1:23" x14ac:dyDescent="0.25">
      <c r="A23" s="119">
        <v>10</v>
      </c>
      <c r="B23" s="395">
        <v>5.26</v>
      </c>
      <c r="C23" s="121">
        <v>1</v>
      </c>
      <c r="D23" s="122"/>
      <c r="E23" s="122">
        <v>2.59</v>
      </c>
      <c r="F23" s="122">
        <v>5.16</v>
      </c>
      <c r="G23" s="122">
        <v>3.97</v>
      </c>
      <c r="H23" s="122">
        <v>4.13</v>
      </c>
      <c r="I23" s="122">
        <v>6.56</v>
      </c>
      <c r="N23" s="103"/>
      <c r="O23" s="119"/>
      <c r="Q23" s="121"/>
      <c r="R23" s="122"/>
      <c r="S23" s="122"/>
      <c r="T23" s="122"/>
      <c r="U23" s="122"/>
      <c r="V23" s="122"/>
      <c r="W23" s="122"/>
    </row>
    <row r="24" spans="1:23" ht="13.8" x14ac:dyDescent="0.25">
      <c r="A24" s="119">
        <v>10</v>
      </c>
      <c r="B24" s="396"/>
      <c r="C24" s="122">
        <v>7</v>
      </c>
      <c r="D24" s="122">
        <v>0.97</v>
      </c>
      <c r="E24" s="122">
        <v>2.95</v>
      </c>
      <c r="F24" s="122">
        <v>7.1</v>
      </c>
      <c r="G24" s="122">
        <v>4.07</v>
      </c>
      <c r="H24" s="122">
        <v>4.2300000000000004</v>
      </c>
      <c r="I24" s="122">
        <v>6.69</v>
      </c>
      <c r="M24" s="54" t="s">
        <v>40</v>
      </c>
      <c r="N24" s="103" t="s">
        <v>57</v>
      </c>
      <c r="O24" s="119">
        <v>10</v>
      </c>
      <c r="P24" s="148">
        <v>5.26</v>
      </c>
      <c r="Q24" s="122">
        <v>7</v>
      </c>
      <c r="R24" s="122">
        <v>0.97</v>
      </c>
      <c r="S24" s="122">
        <v>2.95</v>
      </c>
      <c r="T24" s="122">
        <v>7.1</v>
      </c>
      <c r="U24" s="122">
        <v>4.07</v>
      </c>
      <c r="V24" s="122">
        <v>4.2300000000000004</v>
      </c>
      <c r="W24" s="122">
        <v>6.69</v>
      </c>
    </row>
    <row r="25" spans="1:23" ht="13.8" thickBot="1" x14ac:dyDescent="0.3">
      <c r="A25" s="119">
        <v>8</v>
      </c>
      <c r="B25" s="395">
        <v>8.3699999999999992</v>
      </c>
      <c r="C25" s="121">
        <v>1</v>
      </c>
      <c r="D25" s="122"/>
      <c r="E25" s="122">
        <v>3.25</v>
      </c>
      <c r="F25" s="122">
        <v>8.39</v>
      </c>
      <c r="G25" s="122">
        <v>2.5099999999999998</v>
      </c>
      <c r="H25" s="122">
        <v>2.58</v>
      </c>
      <c r="I25" s="122">
        <v>4.13</v>
      </c>
      <c r="N25" s="106"/>
      <c r="O25" s="119"/>
      <c r="Q25" s="121"/>
      <c r="R25" s="122"/>
      <c r="S25" s="122"/>
      <c r="T25" s="122"/>
      <c r="U25" s="122"/>
      <c r="V25" s="122"/>
      <c r="W25" s="122"/>
    </row>
    <row r="26" spans="1:23" ht="14.4" thickBot="1" x14ac:dyDescent="0.3">
      <c r="A26" s="119">
        <v>8</v>
      </c>
      <c r="B26" s="396"/>
      <c r="C26" s="122">
        <v>7</v>
      </c>
      <c r="D26" s="122">
        <v>1.24</v>
      </c>
      <c r="E26" s="122">
        <v>3.71</v>
      </c>
      <c r="F26" s="122">
        <v>10.97</v>
      </c>
      <c r="G26" s="122">
        <v>2.5499999999999998</v>
      </c>
      <c r="H26" s="122">
        <v>2.65</v>
      </c>
      <c r="I26" s="122">
        <v>4.2</v>
      </c>
      <c r="M26" s="54" t="s">
        <v>42</v>
      </c>
      <c r="N26" s="106" t="s">
        <v>58</v>
      </c>
      <c r="O26" s="119">
        <v>8</v>
      </c>
      <c r="P26" s="148">
        <v>8.3699999999999992</v>
      </c>
      <c r="Q26" s="122">
        <v>7</v>
      </c>
      <c r="R26" s="122">
        <v>1.24</v>
      </c>
      <c r="S26" s="122">
        <v>3.71</v>
      </c>
      <c r="T26" s="122">
        <v>10.97</v>
      </c>
      <c r="U26" s="122">
        <v>2.5499999999999998</v>
      </c>
      <c r="V26" s="122">
        <v>2.65</v>
      </c>
      <c r="W26" s="122">
        <v>4.2</v>
      </c>
    </row>
    <row r="27" spans="1:23" ht="13.8" x14ac:dyDescent="0.25">
      <c r="A27" s="119">
        <v>6</v>
      </c>
      <c r="B27" s="122">
        <v>13.3</v>
      </c>
      <c r="C27" s="122">
        <v>7</v>
      </c>
      <c r="D27" s="122">
        <v>1.55</v>
      </c>
      <c r="E27" s="122">
        <v>4.67</v>
      </c>
      <c r="F27" s="122">
        <v>17.420000000000002</v>
      </c>
      <c r="G27" s="122">
        <v>1.61</v>
      </c>
      <c r="H27" s="122">
        <v>1.67</v>
      </c>
      <c r="I27" s="122">
        <v>2.65</v>
      </c>
      <c r="M27" s="54" t="s">
        <v>490</v>
      </c>
      <c r="N27" s="100" t="s">
        <v>59</v>
      </c>
      <c r="O27" s="119">
        <v>6</v>
      </c>
      <c r="P27" s="122">
        <v>13.3</v>
      </c>
      <c r="Q27" s="122">
        <v>7</v>
      </c>
      <c r="R27" s="122">
        <v>1.55</v>
      </c>
      <c r="S27" s="122">
        <v>4.67</v>
      </c>
      <c r="T27" s="122">
        <v>17.420000000000002</v>
      </c>
      <c r="U27" s="122">
        <v>1.61</v>
      </c>
      <c r="V27" s="122">
        <v>1.67</v>
      </c>
      <c r="W27" s="122">
        <v>2.65</v>
      </c>
    </row>
    <row r="28" spans="1:23" ht="13.8" x14ac:dyDescent="0.25">
      <c r="A28" s="119">
        <v>4</v>
      </c>
      <c r="B28" s="122">
        <v>21.15</v>
      </c>
      <c r="C28" s="122">
        <v>7</v>
      </c>
      <c r="D28" s="122">
        <v>1.96</v>
      </c>
      <c r="E28" s="122">
        <v>5.89</v>
      </c>
      <c r="F28" s="122">
        <v>27.1</v>
      </c>
      <c r="G28" s="122">
        <v>1.01</v>
      </c>
      <c r="H28" s="122">
        <v>1.05</v>
      </c>
      <c r="I28" s="122">
        <v>1.67</v>
      </c>
      <c r="M28" s="54" t="s">
        <v>491</v>
      </c>
      <c r="N28" s="103" t="s">
        <v>60</v>
      </c>
      <c r="O28" s="119">
        <v>4</v>
      </c>
      <c r="P28" s="122">
        <v>21.15</v>
      </c>
      <c r="Q28" s="122">
        <v>7</v>
      </c>
      <c r="R28" s="122">
        <v>1.96</v>
      </c>
      <c r="S28" s="122">
        <v>5.89</v>
      </c>
      <c r="T28" s="122">
        <v>27.1</v>
      </c>
      <c r="U28" s="122">
        <v>1.01</v>
      </c>
      <c r="V28" s="122">
        <v>1.05</v>
      </c>
      <c r="W28" s="122">
        <v>1.67</v>
      </c>
    </row>
    <row r="29" spans="1:23" x14ac:dyDescent="0.25">
      <c r="A29" s="119">
        <v>3</v>
      </c>
      <c r="B29" s="122">
        <v>26.66</v>
      </c>
      <c r="C29" s="122">
        <v>7</v>
      </c>
      <c r="D29" s="122">
        <v>2.21</v>
      </c>
      <c r="E29" s="122">
        <v>6.6</v>
      </c>
      <c r="F29" s="122">
        <v>34.19</v>
      </c>
      <c r="G29" s="122">
        <v>0.8</v>
      </c>
      <c r="H29" s="122">
        <v>0.83299999999999996</v>
      </c>
      <c r="I29" s="122">
        <v>1.32</v>
      </c>
      <c r="N29" s="103" t="s">
        <v>327</v>
      </c>
      <c r="O29" s="119">
        <v>3</v>
      </c>
      <c r="P29" s="122">
        <v>26.66</v>
      </c>
      <c r="Q29" s="122">
        <v>7</v>
      </c>
      <c r="R29" s="122">
        <v>2.21</v>
      </c>
      <c r="S29" s="122">
        <v>6.6</v>
      </c>
      <c r="T29" s="122">
        <v>34.19</v>
      </c>
      <c r="U29" s="122">
        <v>0.8</v>
      </c>
      <c r="V29" s="122">
        <v>0.83299999999999996</v>
      </c>
      <c r="W29" s="122">
        <v>1.32</v>
      </c>
    </row>
    <row r="30" spans="1:23" ht="13.8" x14ac:dyDescent="0.25">
      <c r="A30" s="119">
        <v>2</v>
      </c>
      <c r="B30" s="122">
        <v>33.630000000000003</v>
      </c>
      <c r="C30" s="122">
        <v>7</v>
      </c>
      <c r="D30" s="122">
        <v>2.46</v>
      </c>
      <c r="E30" s="122">
        <v>7.42</v>
      </c>
      <c r="F30" s="122">
        <v>43.23</v>
      </c>
      <c r="G30" s="122">
        <v>0.64</v>
      </c>
      <c r="H30" s="122">
        <v>0.65900000000000003</v>
      </c>
      <c r="I30" s="122">
        <v>1.05</v>
      </c>
      <c r="M30" s="54" t="s">
        <v>492</v>
      </c>
      <c r="N30" s="103" t="s">
        <v>61</v>
      </c>
      <c r="O30" s="119">
        <v>2</v>
      </c>
      <c r="P30" s="122">
        <v>33.630000000000003</v>
      </c>
      <c r="Q30" s="122">
        <v>7</v>
      </c>
      <c r="R30" s="122">
        <v>2.46</v>
      </c>
      <c r="S30" s="122">
        <v>7.42</v>
      </c>
      <c r="T30" s="122">
        <v>43.23</v>
      </c>
      <c r="U30" s="122">
        <v>0.64</v>
      </c>
      <c r="V30" s="122">
        <v>0.65900000000000003</v>
      </c>
      <c r="W30" s="122">
        <v>1.05</v>
      </c>
    </row>
    <row r="31" spans="1:23" ht="14.4" thickBot="1" x14ac:dyDescent="0.3">
      <c r="A31" s="119">
        <v>1</v>
      </c>
      <c r="B31" s="122">
        <v>42.41</v>
      </c>
      <c r="C31" s="122">
        <v>19</v>
      </c>
      <c r="D31" s="122">
        <v>1.68</v>
      </c>
      <c r="E31" s="122">
        <v>8.43</v>
      </c>
      <c r="F31" s="122">
        <v>56.13</v>
      </c>
      <c r="G31" s="122">
        <v>0.51</v>
      </c>
      <c r="H31" s="122">
        <v>0.52500000000000002</v>
      </c>
      <c r="I31" s="122">
        <v>0.83</v>
      </c>
      <c r="M31" s="54" t="s">
        <v>492</v>
      </c>
      <c r="N31" s="106" t="s">
        <v>181</v>
      </c>
      <c r="O31" s="119">
        <v>1</v>
      </c>
      <c r="P31" s="122">
        <v>42.41</v>
      </c>
      <c r="Q31" s="122">
        <v>19</v>
      </c>
      <c r="R31" s="122">
        <v>1.68</v>
      </c>
      <c r="S31" s="122">
        <v>8.43</v>
      </c>
      <c r="T31" s="122">
        <v>56.13</v>
      </c>
      <c r="U31" s="122">
        <v>0.51</v>
      </c>
      <c r="V31" s="122">
        <v>0.52500000000000002</v>
      </c>
      <c r="W31" s="122">
        <v>0.83</v>
      </c>
    </row>
    <row r="32" spans="1:23" ht="13.8" x14ac:dyDescent="0.25">
      <c r="A32" s="119" t="s">
        <v>205</v>
      </c>
      <c r="B32" s="122">
        <v>53.51</v>
      </c>
      <c r="C32" s="122">
        <v>19</v>
      </c>
      <c r="D32" s="122">
        <v>1.88</v>
      </c>
      <c r="E32" s="122">
        <v>9.4499999999999993</v>
      </c>
      <c r="F32" s="122">
        <v>70.319999999999993</v>
      </c>
      <c r="G32" s="122">
        <v>0.4</v>
      </c>
      <c r="H32" s="122">
        <v>0.41699999999999998</v>
      </c>
      <c r="I32" s="122">
        <v>0.66</v>
      </c>
      <c r="M32" s="54" t="s">
        <v>493</v>
      </c>
      <c r="N32" s="100" t="s">
        <v>33</v>
      </c>
      <c r="O32" s="119" t="s">
        <v>205</v>
      </c>
      <c r="P32" s="122">
        <v>53.51</v>
      </c>
      <c r="Q32" s="122">
        <v>19</v>
      </c>
      <c r="R32" s="122">
        <v>1.88</v>
      </c>
      <c r="S32" s="122">
        <v>9.4499999999999993</v>
      </c>
      <c r="T32" s="122">
        <v>70.319999999999993</v>
      </c>
      <c r="U32" s="122">
        <v>0.4</v>
      </c>
      <c r="V32" s="122">
        <v>0.41699999999999998</v>
      </c>
      <c r="W32" s="122">
        <v>0.66</v>
      </c>
    </row>
    <row r="33" spans="1:23" ht="13.8" x14ac:dyDescent="0.25">
      <c r="A33" s="119" t="s">
        <v>206</v>
      </c>
      <c r="B33" s="122">
        <v>67.44</v>
      </c>
      <c r="C33" s="122">
        <v>19</v>
      </c>
      <c r="D33" s="122">
        <v>2.13</v>
      </c>
      <c r="E33" s="122">
        <v>10.62</v>
      </c>
      <c r="F33" s="122">
        <v>88.39</v>
      </c>
      <c r="G33" s="122">
        <v>0.317</v>
      </c>
      <c r="H33" s="122">
        <v>0.33100000000000002</v>
      </c>
      <c r="I33" s="122">
        <v>0.52</v>
      </c>
      <c r="M33" s="54" t="s">
        <v>494</v>
      </c>
      <c r="N33" s="103" t="s">
        <v>36</v>
      </c>
      <c r="O33" s="119" t="s">
        <v>206</v>
      </c>
      <c r="P33" s="122">
        <v>67.44</v>
      </c>
      <c r="Q33" s="122">
        <v>19</v>
      </c>
      <c r="R33" s="122">
        <v>2.13</v>
      </c>
      <c r="S33" s="122">
        <v>10.62</v>
      </c>
      <c r="T33" s="122">
        <v>88.39</v>
      </c>
      <c r="U33" s="122">
        <v>0.317</v>
      </c>
      <c r="V33" s="122">
        <v>0.33100000000000002</v>
      </c>
      <c r="W33" s="122">
        <v>0.52</v>
      </c>
    </row>
    <row r="34" spans="1:23" ht="13.8" x14ac:dyDescent="0.25">
      <c r="A34" s="119" t="s">
        <v>207</v>
      </c>
      <c r="B34" s="122">
        <v>85.03</v>
      </c>
      <c r="C34" s="122">
        <v>19</v>
      </c>
      <c r="D34" s="122">
        <v>2.39</v>
      </c>
      <c r="E34" s="122">
        <v>11.94</v>
      </c>
      <c r="F34" s="122">
        <v>111.61</v>
      </c>
      <c r="G34" s="122">
        <v>0.251</v>
      </c>
      <c r="H34" s="122">
        <v>0.26100000000000001</v>
      </c>
      <c r="I34" s="122">
        <v>0.41</v>
      </c>
      <c r="M34" s="54" t="s">
        <v>495</v>
      </c>
      <c r="N34" s="103" t="s">
        <v>37</v>
      </c>
      <c r="O34" s="119" t="s">
        <v>207</v>
      </c>
      <c r="P34" s="122">
        <v>85.03</v>
      </c>
      <c r="Q34" s="122">
        <v>19</v>
      </c>
      <c r="R34" s="122">
        <v>2.39</v>
      </c>
      <c r="S34" s="122">
        <v>11.94</v>
      </c>
      <c r="T34" s="122">
        <v>111.61</v>
      </c>
      <c r="U34" s="122">
        <v>0.251</v>
      </c>
      <c r="V34" s="122">
        <v>0.26100000000000001</v>
      </c>
      <c r="W34" s="122">
        <v>0.41</v>
      </c>
    </row>
    <row r="35" spans="1:23" ht="14.4" thickBot="1" x14ac:dyDescent="0.3">
      <c r="A35" s="119" t="s">
        <v>133</v>
      </c>
      <c r="B35" s="122">
        <v>107.22</v>
      </c>
      <c r="C35" s="122">
        <v>19</v>
      </c>
      <c r="D35" s="122">
        <v>2.69</v>
      </c>
      <c r="E35" s="122">
        <v>13.41</v>
      </c>
      <c r="F35" s="122">
        <v>141.29</v>
      </c>
      <c r="G35" s="122">
        <v>0.19900000000000001</v>
      </c>
      <c r="H35" s="122">
        <v>0.20499999999999999</v>
      </c>
      <c r="I35" s="122">
        <v>0.33</v>
      </c>
      <c r="M35" s="54" t="s">
        <v>495</v>
      </c>
      <c r="N35" s="106" t="s">
        <v>38</v>
      </c>
      <c r="O35" s="119" t="s">
        <v>133</v>
      </c>
      <c r="P35" s="122">
        <v>107.22</v>
      </c>
      <c r="Q35" s="122">
        <v>19</v>
      </c>
      <c r="R35" s="122">
        <v>2.69</v>
      </c>
      <c r="S35" s="122">
        <v>13.41</v>
      </c>
      <c r="T35" s="122">
        <v>141.29</v>
      </c>
      <c r="U35" s="122">
        <v>0.19900000000000001</v>
      </c>
      <c r="V35" s="122">
        <v>0.20499999999999999</v>
      </c>
      <c r="W35" s="122">
        <v>0.33</v>
      </c>
    </row>
    <row r="36" spans="1:23" ht="13.8" thickBot="1" x14ac:dyDescent="0.3"/>
    <row r="37" spans="1:23" x14ac:dyDescent="0.25">
      <c r="A37" s="372" t="s">
        <v>234</v>
      </c>
      <c r="B37" s="373"/>
      <c r="C37" s="373"/>
      <c r="D37" s="373"/>
      <c r="E37" s="373"/>
      <c r="F37" s="373"/>
      <c r="G37" s="374"/>
    </row>
    <row r="38" spans="1:23" x14ac:dyDescent="0.25">
      <c r="A38" s="375"/>
      <c r="B38" s="376"/>
      <c r="C38" s="376"/>
      <c r="D38" s="376"/>
      <c r="E38" s="376"/>
      <c r="F38" s="376"/>
      <c r="G38" s="377"/>
    </row>
    <row r="39" spans="1:23" ht="13.8" thickBot="1" x14ac:dyDescent="0.3">
      <c r="A39" s="378"/>
      <c r="B39" s="379"/>
      <c r="C39" s="379"/>
      <c r="D39" s="379"/>
      <c r="E39" s="379"/>
      <c r="F39" s="379"/>
      <c r="G39" s="380"/>
    </row>
    <row r="40" spans="1:23" x14ac:dyDescent="0.25">
      <c r="A40" s="381"/>
      <c r="B40" s="382"/>
      <c r="C40" s="382"/>
      <c r="D40" s="385" t="s">
        <v>215</v>
      </c>
      <c r="E40" s="386"/>
      <c r="F40" s="385" t="s">
        <v>216</v>
      </c>
      <c r="G40" s="386"/>
      <c r="O40" s="381"/>
      <c r="P40" s="382"/>
      <c r="Q40" s="382"/>
      <c r="R40" s="385" t="s">
        <v>202</v>
      </c>
      <c r="S40" s="386"/>
      <c r="T40" s="385" t="s">
        <v>303</v>
      </c>
      <c r="U40" s="386"/>
    </row>
    <row r="41" spans="1:23" ht="13.8" thickBot="1" x14ac:dyDescent="0.3">
      <c r="A41" s="383"/>
      <c r="B41" s="384"/>
      <c r="C41" s="384"/>
      <c r="D41" s="387"/>
      <c r="E41" s="388"/>
      <c r="F41" s="387"/>
      <c r="G41" s="388"/>
      <c r="O41" s="383"/>
      <c r="P41" s="384"/>
      <c r="Q41" s="384"/>
      <c r="R41" s="387"/>
      <c r="S41" s="388"/>
      <c r="T41" s="387"/>
      <c r="U41" s="388"/>
    </row>
    <row r="42" spans="1:23" ht="16.2" thickBot="1" x14ac:dyDescent="0.3">
      <c r="A42" s="134"/>
      <c r="B42" s="391" t="s">
        <v>217</v>
      </c>
      <c r="C42" s="392"/>
      <c r="D42" s="389"/>
      <c r="E42" s="390"/>
      <c r="F42" s="389"/>
      <c r="G42" s="390"/>
      <c r="O42" s="134"/>
      <c r="P42" s="391" t="s">
        <v>217</v>
      </c>
      <c r="Q42" s="392"/>
      <c r="R42" s="389"/>
      <c r="S42" s="390"/>
      <c r="T42" s="389"/>
      <c r="U42" s="390"/>
    </row>
    <row r="43" spans="1:23" ht="40.200000000000003" thickBot="1" x14ac:dyDescent="0.3">
      <c r="A43" s="120" t="s">
        <v>235</v>
      </c>
      <c r="B43" s="120" t="s">
        <v>218</v>
      </c>
      <c r="C43" s="120" t="s">
        <v>219</v>
      </c>
      <c r="D43" s="120" t="s">
        <v>220</v>
      </c>
      <c r="E43" s="120" t="s">
        <v>219</v>
      </c>
      <c r="F43" s="120" t="s">
        <v>220</v>
      </c>
      <c r="G43" s="120" t="s">
        <v>219</v>
      </c>
      <c r="O43" s="120" t="s">
        <v>235</v>
      </c>
      <c r="P43" s="120" t="s">
        <v>350</v>
      </c>
      <c r="Q43" s="120" t="s">
        <v>456</v>
      </c>
      <c r="R43" s="120" t="s">
        <v>350</v>
      </c>
      <c r="S43" s="120" t="s">
        <v>456</v>
      </c>
      <c r="T43" s="120" t="s">
        <v>350</v>
      </c>
      <c r="U43" s="120" t="s">
        <v>456</v>
      </c>
    </row>
    <row r="44" spans="1:23" x14ac:dyDescent="0.25">
      <c r="A44" s="118">
        <v>14</v>
      </c>
      <c r="B44" s="121">
        <v>0.19</v>
      </c>
      <c r="C44" s="121">
        <v>0.24</v>
      </c>
      <c r="D44" s="121">
        <v>10.17</v>
      </c>
      <c r="E44" s="121">
        <v>10.17</v>
      </c>
      <c r="F44" s="121"/>
      <c r="G44" s="121"/>
      <c r="N44" s="103" t="s">
        <v>55</v>
      </c>
      <c r="O44" s="118">
        <v>14</v>
      </c>
      <c r="P44" s="121">
        <v>0.19</v>
      </c>
      <c r="Q44" s="121">
        <v>0.24</v>
      </c>
      <c r="R44" s="121">
        <v>10.17</v>
      </c>
      <c r="S44" s="121">
        <v>10.17</v>
      </c>
      <c r="T44" s="121"/>
      <c r="U44" s="121"/>
    </row>
    <row r="45" spans="1:23" x14ac:dyDescent="0.25">
      <c r="A45" s="119">
        <v>12</v>
      </c>
      <c r="B45" s="122">
        <v>0.17699999999999999</v>
      </c>
      <c r="C45" s="122">
        <v>0.223</v>
      </c>
      <c r="D45" s="122">
        <v>6.56</v>
      </c>
      <c r="E45" s="122">
        <v>6.56</v>
      </c>
      <c r="F45" s="122">
        <v>10.49</v>
      </c>
      <c r="G45" s="122">
        <v>10.49</v>
      </c>
      <c r="N45" s="103" t="s">
        <v>56</v>
      </c>
      <c r="O45" s="119">
        <v>12</v>
      </c>
      <c r="P45" s="122">
        <v>0.17699999999999999</v>
      </c>
      <c r="Q45" s="122">
        <v>0.223</v>
      </c>
      <c r="R45" s="122">
        <v>6.56</v>
      </c>
      <c r="S45" s="122">
        <v>6.56</v>
      </c>
      <c r="T45" s="122">
        <v>10.49</v>
      </c>
      <c r="U45" s="122">
        <v>10.49</v>
      </c>
    </row>
    <row r="46" spans="1:23" x14ac:dyDescent="0.25">
      <c r="A46" s="119">
        <v>10</v>
      </c>
      <c r="B46" s="122">
        <v>0.16400000000000001</v>
      </c>
      <c r="C46" s="122">
        <v>0.20699999999999999</v>
      </c>
      <c r="D46" s="122">
        <v>3.94</v>
      </c>
      <c r="E46" s="122">
        <v>3.94</v>
      </c>
      <c r="F46" s="122">
        <v>6.56</v>
      </c>
      <c r="G46" s="122">
        <v>6.56</v>
      </c>
      <c r="N46" s="103" t="s">
        <v>57</v>
      </c>
      <c r="O46" s="119">
        <v>10</v>
      </c>
      <c r="P46" s="122">
        <v>0.16400000000000001</v>
      </c>
      <c r="Q46" s="122">
        <v>0.20699999999999999</v>
      </c>
      <c r="R46" s="122">
        <v>3.94</v>
      </c>
      <c r="S46" s="122">
        <v>3.94</v>
      </c>
      <c r="T46" s="122">
        <v>6.56</v>
      </c>
      <c r="U46" s="122">
        <v>6.56</v>
      </c>
    </row>
    <row r="47" spans="1:23" ht="13.8" thickBot="1" x14ac:dyDescent="0.3">
      <c r="A47" s="119">
        <v>8</v>
      </c>
      <c r="B47" s="122">
        <v>0.17100000000000001</v>
      </c>
      <c r="C47" s="122">
        <v>0.21299999999999999</v>
      </c>
      <c r="D47" s="122">
        <v>2.56</v>
      </c>
      <c r="E47" s="122">
        <v>2.56</v>
      </c>
      <c r="F47" s="122">
        <v>4.2699999999999996</v>
      </c>
      <c r="G47" s="122">
        <v>4.2699999999999996</v>
      </c>
      <c r="N47" s="106" t="s">
        <v>58</v>
      </c>
      <c r="O47" s="119">
        <v>8</v>
      </c>
      <c r="P47" s="122">
        <v>0.17100000000000001</v>
      </c>
      <c r="Q47" s="122">
        <v>0.21299999999999999</v>
      </c>
      <c r="R47" s="122">
        <v>2.56</v>
      </c>
      <c r="S47" s="122">
        <v>2.56</v>
      </c>
      <c r="T47" s="122">
        <v>4.2699999999999996</v>
      </c>
      <c r="U47" s="122">
        <v>4.2699999999999996</v>
      </c>
    </row>
    <row r="48" spans="1:23" x14ac:dyDescent="0.25">
      <c r="A48" s="119">
        <v>6</v>
      </c>
      <c r="B48" s="122">
        <v>0.16700000000000001</v>
      </c>
      <c r="C48" s="122">
        <v>0.21</v>
      </c>
      <c r="D48" s="122">
        <v>1.61</v>
      </c>
      <c r="E48" s="122">
        <v>1.61</v>
      </c>
      <c r="F48" s="122">
        <v>2.66</v>
      </c>
      <c r="G48" s="122">
        <v>2.66</v>
      </c>
      <c r="N48" s="100" t="s">
        <v>59</v>
      </c>
      <c r="O48" s="119">
        <v>6</v>
      </c>
      <c r="P48" s="122">
        <v>0.16700000000000001</v>
      </c>
      <c r="Q48" s="122">
        <v>0.21</v>
      </c>
      <c r="R48" s="122">
        <v>1.61</v>
      </c>
      <c r="S48" s="122">
        <v>1.61</v>
      </c>
      <c r="T48" s="122">
        <v>2.66</v>
      </c>
      <c r="U48" s="122">
        <v>2.66</v>
      </c>
    </row>
    <row r="49" spans="1:21" x14ac:dyDescent="0.25">
      <c r="A49" s="119">
        <v>4</v>
      </c>
      <c r="B49" s="122">
        <v>0.157</v>
      </c>
      <c r="C49" s="122">
        <v>0.19700000000000001</v>
      </c>
      <c r="D49" s="122">
        <v>1.02</v>
      </c>
      <c r="E49" s="122">
        <v>1.02</v>
      </c>
      <c r="F49" s="122">
        <v>1.67</v>
      </c>
      <c r="G49" s="122">
        <v>1.67</v>
      </c>
      <c r="N49" s="103" t="s">
        <v>60</v>
      </c>
      <c r="O49" s="119">
        <v>4</v>
      </c>
      <c r="P49" s="122">
        <v>0.157</v>
      </c>
      <c r="Q49" s="122">
        <v>0.19700000000000001</v>
      </c>
      <c r="R49" s="122">
        <v>1.02</v>
      </c>
      <c r="S49" s="122">
        <v>1.02</v>
      </c>
      <c r="T49" s="122">
        <v>1.67</v>
      </c>
      <c r="U49" s="122">
        <v>1.67</v>
      </c>
    </row>
    <row r="50" spans="1:21" x14ac:dyDescent="0.25">
      <c r="A50" s="119">
        <v>3</v>
      </c>
      <c r="B50" s="122">
        <v>0.154</v>
      </c>
      <c r="C50" s="122">
        <v>0.19400000000000001</v>
      </c>
      <c r="D50" s="122">
        <v>0.82</v>
      </c>
      <c r="E50" s="122">
        <v>0.82</v>
      </c>
      <c r="F50" s="122">
        <v>1.31</v>
      </c>
      <c r="G50" s="122">
        <v>1.31</v>
      </c>
      <c r="N50" s="103" t="s">
        <v>327</v>
      </c>
      <c r="O50" s="119">
        <v>3</v>
      </c>
      <c r="P50" s="122">
        <v>0.154</v>
      </c>
      <c r="Q50" s="122">
        <v>0.19400000000000001</v>
      </c>
      <c r="R50" s="122">
        <v>0.82</v>
      </c>
      <c r="S50" s="122">
        <v>0.82</v>
      </c>
      <c r="T50" s="122">
        <v>1.31</v>
      </c>
      <c r="U50" s="122">
        <v>1.31</v>
      </c>
    </row>
    <row r="51" spans="1:21" x14ac:dyDescent="0.25">
      <c r="A51" s="119">
        <v>2</v>
      </c>
      <c r="B51" s="122">
        <v>0.14799999999999999</v>
      </c>
      <c r="C51" s="122">
        <v>0.187</v>
      </c>
      <c r="D51" s="122">
        <v>0.623</v>
      </c>
      <c r="E51" s="122">
        <v>0.623</v>
      </c>
      <c r="F51" s="122">
        <v>1.05</v>
      </c>
      <c r="G51" s="122">
        <v>1.05</v>
      </c>
      <c r="N51" s="103" t="s">
        <v>61</v>
      </c>
      <c r="O51" s="119">
        <v>2</v>
      </c>
      <c r="P51" s="122">
        <v>0.14799999999999999</v>
      </c>
      <c r="Q51" s="122">
        <v>0.187</v>
      </c>
      <c r="R51" s="122">
        <v>0.623</v>
      </c>
      <c r="S51" s="122">
        <v>0.623</v>
      </c>
      <c r="T51" s="122">
        <v>1.05</v>
      </c>
      <c r="U51" s="122">
        <v>1.05</v>
      </c>
    </row>
    <row r="52" spans="1:21" ht="13.8" thickBot="1" x14ac:dyDescent="0.3">
      <c r="A52" s="119">
        <v>1</v>
      </c>
      <c r="B52" s="122">
        <v>0.151</v>
      </c>
      <c r="C52" s="122">
        <v>0.187</v>
      </c>
      <c r="D52" s="122">
        <v>0.52500000000000002</v>
      </c>
      <c r="E52" s="122">
        <v>0.52500000000000002</v>
      </c>
      <c r="F52" s="122">
        <v>0.82</v>
      </c>
      <c r="G52" s="122">
        <v>0.82</v>
      </c>
      <c r="N52" s="106" t="s">
        <v>181</v>
      </c>
      <c r="O52" s="119">
        <v>1</v>
      </c>
      <c r="P52" s="122">
        <v>0.151</v>
      </c>
      <c r="Q52" s="122">
        <v>0.187</v>
      </c>
      <c r="R52" s="122">
        <v>0.52500000000000002</v>
      </c>
      <c r="S52" s="122">
        <v>0.52500000000000002</v>
      </c>
      <c r="T52" s="122">
        <v>0.82</v>
      </c>
      <c r="U52" s="122">
        <v>0.82</v>
      </c>
    </row>
    <row r="53" spans="1:21" x14ac:dyDescent="0.25">
      <c r="A53" s="119" t="s">
        <v>205</v>
      </c>
      <c r="B53" s="122">
        <v>0.14399999999999999</v>
      </c>
      <c r="C53" s="122">
        <v>0.18</v>
      </c>
      <c r="D53" s="122">
        <v>0.39400000000000002</v>
      </c>
      <c r="E53" s="122">
        <v>0.39400000000000002</v>
      </c>
      <c r="F53" s="122">
        <v>0.65600000000000003</v>
      </c>
      <c r="G53" s="122">
        <v>0.65600000000000003</v>
      </c>
      <c r="N53" s="100" t="s">
        <v>33</v>
      </c>
      <c r="O53" s="119" t="s">
        <v>205</v>
      </c>
      <c r="P53" s="122">
        <v>0.14399999999999999</v>
      </c>
      <c r="Q53" s="122">
        <v>0.18</v>
      </c>
      <c r="R53" s="122">
        <v>0.39400000000000002</v>
      </c>
      <c r="S53" s="122">
        <v>0.39400000000000002</v>
      </c>
      <c r="T53" s="122">
        <v>0.65600000000000003</v>
      </c>
      <c r="U53" s="122">
        <v>0.65600000000000003</v>
      </c>
    </row>
    <row r="54" spans="1:21" x14ac:dyDescent="0.25">
      <c r="A54" s="119" t="s">
        <v>206</v>
      </c>
      <c r="B54" s="122">
        <v>0.14099999999999999</v>
      </c>
      <c r="C54" s="122">
        <v>0.17699999999999999</v>
      </c>
      <c r="D54" s="122">
        <v>0.32800000000000001</v>
      </c>
      <c r="E54" s="122">
        <v>0.32800000000000001</v>
      </c>
      <c r="F54" s="122">
        <v>0.52500000000000002</v>
      </c>
      <c r="G54" s="122">
        <v>0.52500000000000002</v>
      </c>
      <c r="N54" s="103" t="s">
        <v>36</v>
      </c>
      <c r="O54" s="119" t="s">
        <v>206</v>
      </c>
      <c r="P54" s="122">
        <v>0.14099999999999999</v>
      </c>
      <c r="Q54" s="122">
        <v>0.17699999999999999</v>
      </c>
      <c r="R54" s="122">
        <v>0.32800000000000001</v>
      </c>
      <c r="S54" s="122">
        <v>0.32800000000000001</v>
      </c>
      <c r="T54" s="122">
        <v>0.52500000000000002</v>
      </c>
      <c r="U54" s="122">
        <v>0.52500000000000002</v>
      </c>
    </row>
    <row r="55" spans="1:21" x14ac:dyDescent="0.25">
      <c r="A55" s="119" t="s">
        <v>207</v>
      </c>
      <c r="B55" s="122">
        <v>0.13800000000000001</v>
      </c>
      <c r="C55" s="122">
        <v>0.17100000000000001</v>
      </c>
      <c r="D55" s="122">
        <v>0.253</v>
      </c>
      <c r="E55" s="122">
        <v>0.25900000000000001</v>
      </c>
      <c r="F55" s="122">
        <v>0.42699999999999999</v>
      </c>
      <c r="G55" s="122">
        <v>0.42699999999999999</v>
      </c>
      <c r="N55" s="103" t="s">
        <v>37</v>
      </c>
      <c r="O55" s="119" t="s">
        <v>207</v>
      </c>
      <c r="P55" s="122">
        <v>0.13800000000000001</v>
      </c>
      <c r="Q55" s="122">
        <v>0.17100000000000001</v>
      </c>
      <c r="R55" s="122">
        <v>0.253</v>
      </c>
      <c r="S55" s="122">
        <v>0.25900000000000001</v>
      </c>
      <c r="T55" s="122">
        <v>0.42699999999999999</v>
      </c>
      <c r="U55" s="122">
        <v>0.42699999999999999</v>
      </c>
    </row>
    <row r="56" spans="1:21" ht="13.8" thickBot="1" x14ac:dyDescent="0.3">
      <c r="A56" s="119" t="s">
        <v>133</v>
      </c>
      <c r="B56" s="122">
        <v>0.13500000000000001</v>
      </c>
      <c r="C56" s="122">
        <v>0.16700000000000001</v>
      </c>
      <c r="D56" s="122">
        <v>0.20300000000000001</v>
      </c>
      <c r="E56" s="122">
        <v>0.20699999999999999</v>
      </c>
      <c r="F56" s="122">
        <v>0.32800000000000001</v>
      </c>
      <c r="G56" s="122">
        <v>0.32800000000000001</v>
      </c>
      <c r="N56" s="106" t="s">
        <v>38</v>
      </c>
      <c r="O56" s="119" t="s">
        <v>133</v>
      </c>
      <c r="P56" s="122">
        <v>0.13500000000000001</v>
      </c>
      <c r="Q56" s="122">
        <v>0.16700000000000001</v>
      </c>
      <c r="R56" s="122">
        <v>0.20300000000000001</v>
      </c>
      <c r="S56" s="122">
        <v>0.20699999999999999</v>
      </c>
      <c r="T56" s="122">
        <v>0.32800000000000001</v>
      </c>
      <c r="U56" s="122">
        <v>0.32800000000000001</v>
      </c>
    </row>
    <row r="57" spans="1:21" ht="13.8" thickBot="1" x14ac:dyDescent="0.3">
      <c r="A57" s="119">
        <v>250</v>
      </c>
      <c r="B57" s="122">
        <v>0.13500000000000001</v>
      </c>
      <c r="C57" s="122">
        <v>0.17100000000000001</v>
      </c>
      <c r="D57" s="122">
        <v>0.17100000000000001</v>
      </c>
      <c r="E57" s="122">
        <v>0.17699999999999999</v>
      </c>
      <c r="F57" s="122">
        <v>0.27900000000000003</v>
      </c>
      <c r="G57" s="122">
        <v>0.28199999999999997</v>
      </c>
      <c r="N57" s="106" t="s">
        <v>44</v>
      </c>
      <c r="O57" s="119">
        <v>250</v>
      </c>
      <c r="P57" s="122">
        <v>0.13500000000000001</v>
      </c>
      <c r="Q57" s="122">
        <v>0.17100000000000001</v>
      </c>
      <c r="R57" s="122">
        <v>0.17100000000000001</v>
      </c>
      <c r="S57" s="122">
        <v>0.17699999999999999</v>
      </c>
      <c r="T57" s="122">
        <v>0.27900000000000003</v>
      </c>
      <c r="U57" s="122">
        <v>0.28199999999999997</v>
      </c>
    </row>
    <row r="58" spans="1:21" x14ac:dyDescent="0.25">
      <c r="A58" s="119">
        <v>300</v>
      </c>
      <c r="B58" s="122">
        <v>0.13500000000000001</v>
      </c>
      <c r="C58" s="122">
        <v>0.16700000000000001</v>
      </c>
      <c r="D58" s="122">
        <v>0.14399999999999999</v>
      </c>
      <c r="E58" s="122">
        <v>0.14799999999999999</v>
      </c>
      <c r="F58" s="122">
        <v>0.23300000000000001</v>
      </c>
      <c r="G58" s="122">
        <v>0.23599999999999999</v>
      </c>
      <c r="N58" s="103" t="s">
        <v>45</v>
      </c>
      <c r="O58" s="119">
        <v>300</v>
      </c>
      <c r="P58" s="122">
        <v>0.13500000000000001</v>
      </c>
      <c r="Q58" s="122">
        <v>0.16700000000000001</v>
      </c>
      <c r="R58" s="122">
        <v>0.14399999999999999</v>
      </c>
      <c r="S58" s="122">
        <v>0.14799999999999999</v>
      </c>
      <c r="T58" s="122">
        <v>0.23300000000000001</v>
      </c>
      <c r="U58" s="122">
        <v>0.23599999999999999</v>
      </c>
    </row>
    <row r="59" spans="1:21" x14ac:dyDescent="0.25">
      <c r="A59" s="119">
        <v>350</v>
      </c>
      <c r="B59" s="122">
        <v>0.13100000000000001</v>
      </c>
      <c r="C59" s="122">
        <v>0.16400000000000001</v>
      </c>
      <c r="D59" s="122">
        <v>0.125</v>
      </c>
      <c r="E59" s="122">
        <v>0.128</v>
      </c>
      <c r="F59" s="122">
        <v>0.2</v>
      </c>
      <c r="G59" s="122">
        <v>0.20599999999999999</v>
      </c>
      <c r="N59" s="103" t="s">
        <v>46</v>
      </c>
      <c r="O59" s="119">
        <v>350</v>
      </c>
      <c r="P59" s="122">
        <v>0.13100000000000001</v>
      </c>
      <c r="Q59" s="122">
        <v>0.16400000000000001</v>
      </c>
      <c r="R59" s="122">
        <v>0.125</v>
      </c>
      <c r="S59" s="122">
        <v>0.128</v>
      </c>
      <c r="T59" s="122">
        <v>0.2</v>
      </c>
      <c r="U59" s="122">
        <v>0.20599999999999999</v>
      </c>
    </row>
    <row r="60" spans="1:21" x14ac:dyDescent="0.25">
      <c r="A60" s="119">
        <v>400</v>
      </c>
      <c r="B60" s="122">
        <v>0.13100000000000001</v>
      </c>
      <c r="C60" s="122">
        <v>0.161</v>
      </c>
      <c r="D60" s="122">
        <v>0.108</v>
      </c>
      <c r="E60" s="122">
        <v>0.115</v>
      </c>
      <c r="F60" s="122">
        <v>0.17699999999999999</v>
      </c>
      <c r="G60" s="122">
        <v>0.18</v>
      </c>
      <c r="N60" s="100" t="s">
        <v>47</v>
      </c>
      <c r="O60" s="119">
        <v>400</v>
      </c>
      <c r="P60" s="122">
        <v>0.13100000000000001</v>
      </c>
      <c r="Q60" s="122">
        <v>0.161</v>
      </c>
      <c r="R60" s="122">
        <v>0.108</v>
      </c>
      <c r="S60" s="122">
        <v>0.115</v>
      </c>
      <c r="T60" s="122">
        <v>0.17699999999999999</v>
      </c>
      <c r="U60" s="122">
        <v>0.18</v>
      </c>
    </row>
    <row r="61" spans="1:21" ht="13.8" thickBot="1" x14ac:dyDescent="0.3">
      <c r="A61" s="119">
        <v>500</v>
      </c>
      <c r="B61" s="122">
        <v>0.128</v>
      </c>
      <c r="C61" s="122">
        <v>0.157</v>
      </c>
      <c r="D61" s="122">
        <v>8.8999999999999996E-2</v>
      </c>
      <c r="E61" s="122">
        <v>9.5000000000000001E-2</v>
      </c>
      <c r="F61" s="122">
        <v>0.14099999999999999</v>
      </c>
      <c r="G61" s="122">
        <v>0.14799999999999999</v>
      </c>
      <c r="N61" s="106" t="s">
        <v>48</v>
      </c>
      <c r="O61" s="119">
        <v>500</v>
      </c>
      <c r="P61" s="122">
        <v>0.128</v>
      </c>
      <c r="Q61" s="122">
        <v>0.157</v>
      </c>
      <c r="R61" s="122">
        <v>8.8999999999999996E-2</v>
      </c>
      <c r="S61" s="122">
        <v>9.5000000000000001E-2</v>
      </c>
      <c r="T61" s="122">
        <v>0.14099999999999999</v>
      </c>
      <c r="U61" s="122">
        <v>0.14799999999999999</v>
      </c>
    </row>
    <row r="62" spans="1:21" x14ac:dyDescent="0.25">
      <c r="A62" s="119">
        <v>600</v>
      </c>
      <c r="B62" s="122">
        <v>0.129</v>
      </c>
      <c r="C62" s="122">
        <v>0.157</v>
      </c>
      <c r="D62" s="122">
        <v>7.4999999999999997E-2</v>
      </c>
      <c r="E62" s="122">
        <v>8.2000000000000003E-2</v>
      </c>
      <c r="F62" s="122">
        <v>0.11799999999999999</v>
      </c>
      <c r="G62" s="122">
        <v>0.125</v>
      </c>
      <c r="N62" s="103" t="s">
        <v>49</v>
      </c>
      <c r="O62" s="119">
        <v>600</v>
      </c>
      <c r="P62" s="122">
        <v>0.129</v>
      </c>
      <c r="Q62" s="122">
        <v>0.157</v>
      </c>
      <c r="R62" s="122">
        <v>7.4999999999999997E-2</v>
      </c>
      <c r="S62" s="122">
        <v>8.2000000000000003E-2</v>
      </c>
      <c r="T62" s="122">
        <v>0.11799999999999999</v>
      </c>
      <c r="U62" s="122">
        <v>0.125</v>
      </c>
    </row>
    <row r="63" spans="1:21" x14ac:dyDescent="0.25">
      <c r="A63" s="119">
        <v>750</v>
      </c>
      <c r="B63" s="122">
        <v>0.125</v>
      </c>
      <c r="C63" s="122">
        <v>0.157</v>
      </c>
      <c r="D63" s="122">
        <v>6.5000000000000002E-2</v>
      </c>
      <c r="E63" s="122">
        <v>6.9000000000000006E-2</v>
      </c>
      <c r="F63" s="122">
        <v>9.5000000000000001E-2</v>
      </c>
      <c r="G63" s="122">
        <v>0.10199999999999999</v>
      </c>
      <c r="N63" s="103" t="s">
        <v>50</v>
      </c>
      <c r="O63" s="119">
        <v>750</v>
      </c>
      <c r="P63" s="122">
        <v>0.125</v>
      </c>
      <c r="Q63" s="122">
        <v>0.157</v>
      </c>
      <c r="R63" s="122">
        <v>6.5000000000000002E-2</v>
      </c>
      <c r="S63" s="122">
        <v>6.9000000000000006E-2</v>
      </c>
      <c r="T63" s="122">
        <v>9.5000000000000001E-2</v>
      </c>
      <c r="U63" s="122">
        <v>0.10199999999999999</v>
      </c>
    </row>
    <row r="64" spans="1:21" x14ac:dyDescent="0.25">
      <c r="A64" s="119">
        <v>1000</v>
      </c>
      <c r="B64" s="122">
        <v>0.121</v>
      </c>
      <c r="C64" s="122">
        <v>0.151</v>
      </c>
      <c r="D64" s="122">
        <v>4.9000000000000002E-2</v>
      </c>
      <c r="E64" s="122">
        <v>5.8999999999999997E-2</v>
      </c>
      <c r="F64" s="122">
        <v>7.4999999999999997E-2</v>
      </c>
      <c r="G64" s="122">
        <v>8.2000000000000003E-2</v>
      </c>
      <c r="N64" s="103" t="s">
        <v>52</v>
      </c>
      <c r="O64" s="119">
        <v>1000</v>
      </c>
      <c r="P64" s="122">
        <v>0.121</v>
      </c>
      <c r="Q64" s="122">
        <v>0.151</v>
      </c>
      <c r="R64" s="122">
        <v>4.9000000000000002E-2</v>
      </c>
      <c r="S64" s="122">
        <v>5.8999999999999997E-2</v>
      </c>
      <c r="T64" s="122">
        <v>7.4999999999999997E-2</v>
      </c>
      <c r="U64" s="122">
        <v>8.2000000000000003E-2</v>
      </c>
    </row>
  </sheetData>
  <mergeCells count="33">
    <mergeCell ref="O40:Q41"/>
    <mergeCell ref="R40:S42"/>
    <mergeCell ref="T40:U42"/>
    <mergeCell ref="P42:Q42"/>
    <mergeCell ref="B25:B26"/>
    <mergeCell ref="P12:P14"/>
    <mergeCell ref="Q12:T12"/>
    <mergeCell ref="U12:W12"/>
    <mergeCell ref="Q13:R13"/>
    <mergeCell ref="S13:T13"/>
    <mergeCell ref="U13:V13"/>
    <mergeCell ref="O12:O14"/>
    <mergeCell ref="A37:G39"/>
    <mergeCell ref="A40:C41"/>
    <mergeCell ref="D40:E42"/>
    <mergeCell ref="F40:G42"/>
    <mergeCell ref="B42:C42"/>
    <mergeCell ref="C13:D13"/>
    <mergeCell ref="E13:F13"/>
    <mergeCell ref="A12:A14"/>
    <mergeCell ref="B12:B14"/>
    <mergeCell ref="B15:B16"/>
    <mergeCell ref="G13:H13"/>
    <mergeCell ref="B17:B18"/>
    <mergeCell ref="B19:B20"/>
    <mergeCell ref="B21:B22"/>
    <mergeCell ref="B23:B24"/>
    <mergeCell ref="A4:B4"/>
    <mergeCell ref="A5:B5"/>
    <mergeCell ref="A1:G2"/>
    <mergeCell ref="C12:F12"/>
    <mergeCell ref="G12:I12"/>
    <mergeCell ref="A7:G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79"/>
  <sheetViews>
    <sheetView topLeftCell="A10" zoomScale="85" zoomScaleNormal="85" workbookViewId="0"/>
  </sheetViews>
  <sheetFormatPr baseColWidth="10" defaultColWidth="11.44140625" defaultRowHeight="14.4" x14ac:dyDescent="0.3"/>
  <cols>
    <col min="4" max="4" width="13.109375" bestFit="1" customWidth="1"/>
    <col min="5" max="5" width="20.44140625" bestFit="1" customWidth="1"/>
    <col min="8" max="8" width="14.6640625" bestFit="1" customWidth="1"/>
    <col min="11" max="11" width="20.88671875" customWidth="1"/>
  </cols>
  <sheetData>
    <row r="1" spans="1:5" ht="15" thickBot="1" x14ac:dyDescent="0.35">
      <c r="A1" t="s">
        <v>352</v>
      </c>
    </row>
    <row r="2" spans="1:5" ht="15" thickBot="1" x14ac:dyDescent="0.35">
      <c r="A2" s="62"/>
      <c r="B2" s="62" t="s">
        <v>348</v>
      </c>
      <c r="C2" s="62" t="s">
        <v>349</v>
      </c>
      <c r="D2" s="62" t="s">
        <v>350</v>
      </c>
      <c r="E2" s="62" t="s">
        <v>351</v>
      </c>
    </row>
    <row r="3" spans="1:5" ht="39" customHeight="1" thickBot="1" x14ac:dyDescent="0.35">
      <c r="A3" s="62" t="s">
        <v>135</v>
      </c>
      <c r="B3" s="63" t="s">
        <v>359</v>
      </c>
      <c r="C3" s="63" t="s">
        <v>359</v>
      </c>
      <c r="D3" s="63" t="s">
        <v>359</v>
      </c>
      <c r="E3" s="63" t="s">
        <v>359</v>
      </c>
    </row>
    <row r="4" spans="1:5" ht="15" thickBot="1" x14ac:dyDescent="0.35">
      <c r="A4" s="47" t="s">
        <v>356</v>
      </c>
      <c r="B4" s="150" t="s">
        <v>358</v>
      </c>
      <c r="C4" s="150" t="s">
        <v>358</v>
      </c>
      <c r="D4" s="150" t="s">
        <v>358</v>
      </c>
      <c r="E4" s="150">
        <f t="shared" ref="E4:E12" si="0">H38</f>
        <v>12</v>
      </c>
    </row>
    <row r="5" spans="1:5" ht="15" thickBot="1" x14ac:dyDescent="0.35">
      <c r="A5" s="47" t="s">
        <v>145</v>
      </c>
      <c r="B5" s="150">
        <f t="shared" ref="B5:B14" si="1">E21-(2*F21)</f>
        <v>15.798799999999998</v>
      </c>
      <c r="C5" s="150">
        <f t="shared" ref="C5:C12" si="2">N23-(2*O23)</f>
        <v>16.256</v>
      </c>
      <c r="D5" s="150">
        <f t="shared" ref="D5:D10" si="3">D38-(2*E38)</f>
        <v>18.3</v>
      </c>
      <c r="E5" s="150">
        <f t="shared" si="0"/>
        <v>15</v>
      </c>
    </row>
    <row r="6" spans="1:5" ht="15" thickBot="1" x14ac:dyDescent="0.35">
      <c r="A6" s="47" t="s">
        <v>146</v>
      </c>
      <c r="B6" s="150">
        <f t="shared" si="1"/>
        <v>20.929600000000001</v>
      </c>
      <c r="C6" s="150">
        <f t="shared" si="2"/>
        <v>21.4376</v>
      </c>
      <c r="D6" s="150">
        <f t="shared" si="3"/>
        <v>23.630000000000003</v>
      </c>
      <c r="E6" s="150">
        <f t="shared" si="0"/>
        <v>20</v>
      </c>
    </row>
    <row r="7" spans="1:5" ht="15" thickBot="1" x14ac:dyDescent="0.35">
      <c r="A7" s="47" t="s">
        <v>184</v>
      </c>
      <c r="B7" s="150">
        <f t="shared" si="1"/>
        <v>26.644599999999997</v>
      </c>
      <c r="C7" s="150">
        <f t="shared" si="2"/>
        <v>27.558999999999997</v>
      </c>
      <c r="D7" s="150">
        <f t="shared" si="3"/>
        <v>30.36</v>
      </c>
      <c r="E7" s="150">
        <f t="shared" si="0"/>
        <v>25</v>
      </c>
    </row>
    <row r="8" spans="1:5" ht="15" thickBot="1" x14ac:dyDescent="0.35">
      <c r="A8" s="47" t="s">
        <v>148</v>
      </c>
      <c r="B8" s="150">
        <f t="shared" si="1"/>
        <v>35.052</v>
      </c>
      <c r="C8" s="150">
        <f t="shared" si="2"/>
        <v>36.067999999999998</v>
      </c>
      <c r="D8" s="150">
        <f t="shared" si="3"/>
        <v>38.599999999999994</v>
      </c>
      <c r="E8" s="150">
        <f t="shared" si="0"/>
        <v>34</v>
      </c>
    </row>
    <row r="9" spans="1:5" ht="15" thickBot="1" x14ac:dyDescent="0.35">
      <c r="A9" s="47" t="s">
        <v>149</v>
      </c>
      <c r="B9" s="150">
        <f t="shared" si="1"/>
        <v>40.893999999999998</v>
      </c>
      <c r="C9" s="150">
        <f t="shared" si="2"/>
        <v>42.036999999999999</v>
      </c>
      <c r="D9" s="150">
        <f t="shared" si="3"/>
        <v>44.199999999999996</v>
      </c>
      <c r="E9" s="150">
        <f t="shared" si="0"/>
        <v>39</v>
      </c>
    </row>
    <row r="10" spans="1:5" ht="15" thickBot="1" x14ac:dyDescent="0.35">
      <c r="A10" s="47" t="s">
        <v>185</v>
      </c>
      <c r="B10" s="150">
        <f t="shared" si="1"/>
        <v>52.501799999999996</v>
      </c>
      <c r="C10" s="150">
        <f t="shared" si="2"/>
        <v>53.898799999999994</v>
      </c>
      <c r="D10" s="150">
        <f t="shared" si="3"/>
        <v>55.24</v>
      </c>
      <c r="E10" s="150">
        <f t="shared" si="0"/>
        <v>50</v>
      </c>
    </row>
    <row r="11" spans="1:5" ht="15" thickBot="1" x14ac:dyDescent="0.35">
      <c r="A11" s="47" t="s">
        <v>151</v>
      </c>
      <c r="B11" s="150">
        <f t="shared" si="1"/>
        <v>69.367399999999989</v>
      </c>
      <c r="C11" s="150">
        <f t="shared" si="2"/>
        <v>64.1858</v>
      </c>
      <c r="D11" s="150" t="s">
        <v>358</v>
      </c>
      <c r="E11" s="150">
        <f t="shared" si="0"/>
        <v>62</v>
      </c>
    </row>
    <row r="12" spans="1:5" ht="15" thickBot="1" x14ac:dyDescent="0.35">
      <c r="A12" s="47" t="s">
        <v>186</v>
      </c>
      <c r="B12" s="150">
        <f t="shared" si="1"/>
        <v>85.242399999999989</v>
      </c>
      <c r="C12" s="150">
        <f t="shared" si="2"/>
        <v>79.9084</v>
      </c>
      <c r="D12" s="150" t="s">
        <v>358</v>
      </c>
      <c r="E12" s="150">
        <f t="shared" si="0"/>
        <v>81</v>
      </c>
    </row>
    <row r="13" spans="1:5" ht="15" thickBot="1" x14ac:dyDescent="0.35">
      <c r="A13" s="47" t="s">
        <v>188</v>
      </c>
      <c r="B13" s="150">
        <f t="shared" si="1"/>
        <v>97.383600000000001</v>
      </c>
      <c r="C13" s="150" t="s">
        <v>358</v>
      </c>
      <c r="D13" s="150" t="s">
        <v>358</v>
      </c>
      <c r="E13" s="150" t="s">
        <v>358</v>
      </c>
    </row>
    <row r="14" spans="1:5" ht="15" thickBot="1" x14ac:dyDescent="0.35">
      <c r="A14" s="47" t="s">
        <v>187</v>
      </c>
      <c r="B14" s="150">
        <f t="shared" si="1"/>
        <v>110.08359999999999</v>
      </c>
      <c r="C14" s="150">
        <f>N31-(2*O31)</f>
        <v>105.0544</v>
      </c>
      <c r="D14" s="150" t="s">
        <v>358</v>
      </c>
      <c r="E14" s="150">
        <f>H47</f>
        <v>104</v>
      </c>
    </row>
    <row r="18" spans="1:15" x14ac:dyDescent="0.3">
      <c r="A18" s="43" t="s">
        <v>136</v>
      </c>
      <c r="H18" t="s">
        <v>231</v>
      </c>
    </row>
    <row r="19" spans="1:15" ht="15" thickBot="1" x14ac:dyDescent="0.35">
      <c r="A19" t="s">
        <v>137</v>
      </c>
      <c r="B19" t="s">
        <v>138</v>
      </c>
      <c r="H19" t="s">
        <v>137</v>
      </c>
      <c r="I19" t="s">
        <v>138</v>
      </c>
    </row>
    <row r="20" spans="1:15" ht="39" customHeight="1" thickBot="1" x14ac:dyDescent="0.35">
      <c r="A20" s="62" t="s">
        <v>135</v>
      </c>
      <c r="B20" s="63" t="s">
        <v>171</v>
      </c>
      <c r="C20" s="63" t="s">
        <v>172</v>
      </c>
      <c r="D20" s="63" t="s">
        <v>173</v>
      </c>
      <c r="E20" s="63" t="s">
        <v>353</v>
      </c>
      <c r="F20" s="63" t="s">
        <v>354</v>
      </c>
      <c r="H20" s="401" t="s">
        <v>139</v>
      </c>
      <c r="I20" s="405" t="s">
        <v>140</v>
      </c>
      <c r="J20" s="406"/>
      <c r="K20" s="405" t="s">
        <v>141</v>
      </c>
      <c r="L20" s="406"/>
      <c r="M20" s="397" t="s">
        <v>142</v>
      </c>
      <c r="N20" s="397" t="s">
        <v>353</v>
      </c>
      <c r="O20" s="399" t="s">
        <v>354</v>
      </c>
    </row>
    <row r="21" spans="1:15" ht="15" thickBot="1" x14ac:dyDescent="0.35">
      <c r="A21" s="47" t="s">
        <v>145</v>
      </c>
      <c r="B21" s="48">
        <v>0.70599999999999996</v>
      </c>
      <c r="C21" s="48">
        <v>4.2000000000000003E-2</v>
      </c>
      <c r="D21" s="48">
        <v>1.29</v>
      </c>
      <c r="E21" s="150">
        <f t="shared" ref="E21:E30" si="4">B21*25.4</f>
        <v>17.932399999999998</v>
      </c>
      <c r="F21" s="150">
        <f t="shared" ref="F21:F30" si="5">C21*25.4</f>
        <v>1.0668</v>
      </c>
      <c r="H21" s="402"/>
      <c r="I21" s="60" t="s">
        <v>143</v>
      </c>
      <c r="J21" s="60" t="s">
        <v>144</v>
      </c>
      <c r="K21" s="64" t="s">
        <v>143</v>
      </c>
      <c r="L21" s="59" t="s">
        <v>144</v>
      </c>
      <c r="M21" s="398"/>
      <c r="N21" s="398"/>
      <c r="O21" s="400"/>
    </row>
    <row r="22" spans="1:15" ht="26.25" customHeight="1" thickBot="1" x14ac:dyDescent="0.35">
      <c r="A22" s="47" t="s">
        <v>146</v>
      </c>
      <c r="B22" s="48">
        <v>0.92200000000000004</v>
      </c>
      <c r="C22" s="48">
        <v>4.9000000000000002E-2</v>
      </c>
      <c r="D22" s="48">
        <v>1.97</v>
      </c>
      <c r="E22" s="150">
        <f t="shared" si="4"/>
        <v>23.418800000000001</v>
      </c>
      <c r="F22" s="150">
        <f t="shared" si="5"/>
        <v>1.2445999999999999</v>
      </c>
      <c r="H22" s="403"/>
      <c r="I22" s="61" t="s">
        <v>176</v>
      </c>
      <c r="J22" s="61" t="s">
        <v>175</v>
      </c>
      <c r="K22" s="66" t="s">
        <v>176</v>
      </c>
      <c r="L22" s="67" t="s">
        <v>175</v>
      </c>
      <c r="M22" s="404"/>
      <c r="N22" s="398"/>
      <c r="O22" s="400"/>
    </row>
    <row r="23" spans="1:15" ht="15" thickBot="1" x14ac:dyDescent="0.35">
      <c r="A23" s="47" t="s">
        <v>184</v>
      </c>
      <c r="B23" s="48">
        <v>1.163</v>
      </c>
      <c r="C23" s="48">
        <v>5.7000000000000002E-2</v>
      </c>
      <c r="D23" s="48">
        <v>2.9</v>
      </c>
      <c r="E23" s="150">
        <f t="shared" si="4"/>
        <v>29.540199999999999</v>
      </c>
      <c r="F23" s="150">
        <f t="shared" si="5"/>
        <v>1.4478</v>
      </c>
      <c r="H23" s="161" t="s">
        <v>145</v>
      </c>
      <c r="I23" s="162">
        <v>0.82</v>
      </c>
      <c r="J23" s="162">
        <v>0.81</v>
      </c>
      <c r="K23" s="162">
        <v>8.5000000000000006E-2</v>
      </c>
      <c r="L23" s="65">
        <v>7.0000000000000007E-2</v>
      </c>
      <c r="M23" s="151">
        <v>3.09</v>
      </c>
      <c r="N23" s="153">
        <f t="shared" ref="N23:N31" si="6">J23*25.4</f>
        <v>20.574000000000002</v>
      </c>
      <c r="O23" s="154">
        <f t="shared" ref="O23:O31" si="7">K23*25.4</f>
        <v>2.1590000000000003</v>
      </c>
    </row>
    <row r="24" spans="1:15" ht="15" thickBot="1" x14ac:dyDescent="0.35">
      <c r="A24" s="47" t="s">
        <v>148</v>
      </c>
      <c r="B24" s="48">
        <v>1.51</v>
      </c>
      <c r="C24" s="48">
        <v>6.5000000000000002E-2</v>
      </c>
      <c r="D24" s="48">
        <v>4.3099999999999996</v>
      </c>
      <c r="E24" s="150">
        <f t="shared" si="4"/>
        <v>38.353999999999999</v>
      </c>
      <c r="F24" s="150">
        <f t="shared" si="5"/>
        <v>1.651</v>
      </c>
      <c r="H24" s="163" t="s">
        <v>146</v>
      </c>
      <c r="I24" s="164">
        <v>1.034</v>
      </c>
      <c r="J24" s="164">
        <v>1.024</v>
      </c>
      <c r="K24" s="165">
        <v>0.09</v>
      </c>
      <c r="L24" s="165">
        <v>7.4999999999999997E-2</v>
      </c>
      <c r="M24" s="152">
        <v>4.07</v>
      </c>
      <c r="N24" s="155">
        <f t="shared" si="6"/>
        <v>26.009599999999999</v>
      </c>
      <c r="O24" s="156">
        <f t="shared" si="7"/>
        <v>2.2859999999999996</v>
      </c>
    </row>
    <row r="25" spans="1:15" ht="15" thickBot="1" x14ac:dyDescent="0.35">
      <c r="A25" s="47" t="s">
        <v>149</v>
      </c>
      <c r="B25" s="48">
        <v>1.74</v>
      </c>
      <c r="C25" s="48">
        <v>6.5000000000000002E-2</v>
      </c>
      <c r="D25" s="48">
        <v>4.99</v>
      </c>
      <c r="E25" s="150">
        <f t="shared" si="4"/>
        <v>44.195999999999998</v>
      </c>
      <c r="F25" s="150">
        <f t="shared" si="5"/>
        <v>1.651</v>
      </c>
      <c r="H25" s="161" t="s">
        <v>147</v>
      </c>
      <c r="I25" s="166">
        <v>1.2949999999999999</v>
      </c>
      <c r="J25" s="166">
        <v>1.2849999999999999</v>
      </c>
      <c r="K25" s="162">
        <v>0.1</v>
      </c>
      <c r="L25" s="162">
        <v>8.5000000000000006E-2</v>
      </c>
      <c r="M25" s="151">
        <v>5.74</v>
      </c>
      <c r="N25" s="157">
        <f t="shared" si="6"/>
        <v>32.638999999999996</v>
      </c>
      <c r="O25" s="158">
        <f t="shared" si="7"/>
        <v>2.54</v>
      </c>
    </row>
    <row r="26" spans="1:15" ht="15" thickBot="1" x14ac:dyDescent="0.35">
      <c r="A26" s="47" t="s">
        <v>185</v>
      </c>
      <c r="B26" s="48">
        <v>2.1970000000000001</v>
      </c>
      <c r="C26" s="48">
        <v>6.5000000000000002E-2</v>
      </c>
      <c r="D26" s="48">
        <v>6.35</v>
      </c>
      <c r="E26" s="150">
        <f t="shared" si="4"/>
        <v>55.803799999999995</v>
      </c>
      <c r="F26" s="150">
        <f t="shared" si="5"/>
        <v>1.651</v>
      </c>
      <c r="H26" s="163" t="s">
        <v>148</v>
      </c>
      <c r="I26" s="164">
        <v>1.645</v>
      </c>
      <c r="J26" s="164">
        <v>1.63</v>
      </c>
      <c r="K26" s="165">
        <v>0.105</v>
      </c>
      <c r="L26" s="165">
        <v>8.5000000000000006E-2</v>
      </c>
      <c r="M26" s="152">
        <v>7.508</v>
      </c>
      <c r="N26" s="155">
        <f t="shared" si="6"/>
        <v>41.401999999999994</v>
      </c>
      <c r="O26" s="156">
        <f t="shared" si="7"/>
        <v>2.6669999999999998</v>
      </c>
    </row>
    <row r="27" spans="1:15" ht="15" thickBot="1" x14ac:dyDescent="0.35">
      <c r="A27" s="47" t="s">
        <v>151</v>
      </c>
      <c r="B27" s="48">
        <v>2.875</v>
      </c>
      <c r="C27" s="48">
        <v>7.1999999999999995E-2</v>
      </c>
      <c r="D27" s="48">
        <v>9.3000000000000007</v>
      </c>
      <c r="E27" s="150">
        <f t="shared" si="4"/>
        <v>73.024999999999991</v>
      </c>
      <c r="F27" s="150">
        <f t="shared" si="5"/>
        <v>1.8287999999999998</v>
      </c>
      <c r="H27" s="161" t="s">
        <v>149</v>
      </c>
      <c r="I27" s="166">
        <v>1.89</v>
      </c>
      <c r="J27" s="166">
        <v>1.875</v>
      </c>
      <c r="K27" s="162">
        <v>0.11</v>
      </c>
      <c r="L27" s="162">
        <v>0.09</v>
      </c>
      <c r="M27" s="151">
        <v>9.18</v>
      </c>
      <c r="N27" s="157">
        <f t="shared" si="6"/>
        <v>47.625</v>
      </c>
      <c r="O27" s="158">
        <f t="shared" si="7"/>
        <v>2.794</v>
      </c>
    </row>
    <row r="28" spans="1:15" ht="15" thickBot="1" x14ac:dyDescent="0.35">
      <c r="A28" s="47" t="s">
        <v>186</v>
      </c>
      <c r="B28" s="48">
        <v>3.5</v>
      </c>
      <c r="C28" s="48">
        <v>7.1999999999999995E-2</v>
      </c>
      <c r="D28" s="48">
        <v>11.34</v>
      </c>
      <c r="E28" s="150">
        <f t="shared" si="4"/>
        <v>88.899999999999991</v>
      </c>
      <c r="F28" s="150">
        <f t="shared" si="5"/>
        <v>1.8287999999999998</v>
      </c>
      <c r="H28" s="163" t="s">
        <v>150</v>
      </c>
      <c r="I28" s="164">
        <v>2.367</v>
      </c>
      <c r="J28" s="164">
        <v>2.3519999999999999</v>
      </c>
      <c r="K28" s="165">
        <v>0.115</v>
      </c>
      <c r="L28" s="165">
        <v>9.5000000000000001E-2</v>
      </c>
      <c r="M28" s="152">
        <v>12.154999999999999</v>
      </c>
      <c r="N28" s="155">
        <f t="shared" si="6"/>
        <v>59.740799999999993</v>
      </c>
      <c r="O28" s="156">
        <f t="shared" si="7"/>
        <v>2.9209999999999998</v>
      </c>
    </row>
    <row r="29" spans="1:15" ht="15" thickBot="1" x14ac:dyDescent="0.35">
      <c r="A29" s="47" t="s">
        <v>188</v>
      </c>
      <c r="B29" s="48">
        <v>4</v>
      </c>
      <c r="C29" s="48">
        <v>8.3000000000000004E-2</v>
      </c>
      <c r="D29" s="48">
        <v>14.74</v>
      </c>
      <c r="E29" s="150">
        <f t="shared" si="4"/>
        <v>101.6</v>
      </c>
      <c r="F29" s="150">
        <f t="shared" si="5"/>
        <v>2.1082000000000001</v>
      </c>
      <c r="H29" s="161" t="s">
        <v>151</v>
      </c>
      <c r="I29" s="166">
        <v>2.867</v>
      </c>
      <c r="J29" s="166">
        <v>2.847</v>
      </c>
      <c r="K29" s="162">
        <v>0.16</v>
      </c>
      <c r="L29" s="162">
        <v>0.14000000000000001</v>
      </c>
      <c r="M29" s="151">
        <v>20.51</v>
      </c>
      <c r="N29" s="157">
        <f t="shared" si="6"/>
        <v>72.313800000000001</v>
      </c>
      <c r="O29" s="158">
        <f t="shared" si="7"/>
        <v>4.0640000000000001</v>
      </c>
    </row>
    <row r="30" spans="1:15" ht="15" thickBot="1" x14ac:dyDescent="0.35">
      <c r="A30" s="47" t="s">
        <v>187</v>
      </c>
      <c r="B30" s="48">
        <v>4.5</v>
      </c>
      <c r="C30" s="48">
        <v>8.3000000000000004E-2</v>
      </c>
      <c r="D30" s="48">
        <v>16.78</v>
      </c>
      <c r="E30" s="150">
        <f t="shared" si="4"/>
        <v>114.3</v>
      </c>
      <c r="F30" s="150">
        <f t="shared" si="5"/>
        <v>2.1082000000000001</v>
      </c>
      <c r="H30" s="163" t="s">
        <v>152</v>
      </c>
      <c r="I30" s="164">
        <v>3.4860000000000002</v>
      </c>
      <c r="J30" s="164">
        <v>3.4660000000000002</v>
      </c>
      <c r="K30" s="165">
        <v>0.16</v>
      </c>
      <c r="L30" s="165">
        <v>0.14000000000000001</v>
      </c>
      <c r="M30" s="152">
        <v>25.07</v>
      </c>
      <c r="N30" s="155">
        <f t="shared" si="6"/>
        <v>88.0364</v>
      </c>
      <c r="O30" s="156">
        <f t="shared" si="7"/>
        <v>4.0640000000000001</v>
      </c>
    </row>
    <row r="31" spans="1:15" x14ac:dyDescent="0.3">
      <c r="D31" s="45">
        <f>B24-2*C24</f>
        <v>1.38</v>
      </c>
      <c r="H31" s="161" t="s">
        <v>153</v>
      </c>
      <c r="I31" s="166">
        <v>4.476</v>
      </c>
      <c r="J31" s="166">
        <v>4.4560000000000004</v>
      </c>
      <c r="K31" s="162">
        <v>0.16</v>
      </c>
      <c r="L31" s="162">
        <v>0.14000000000000001</v>
      </c>
      <c r="M31" s="151">
        <v>32.53</v>
      </c>
      <c r="N31" s="157">
        <f t="shared" si="6"/>
        <v>113.1824</v>
      </c>
      <c r="O31" s="158">
        <f t="shared" si="7"/>
        <v>4.0640000000000001</v>
      </c>
    </row>
    <row r="32" spans="1:15" ht="15" thickBot="1" x14ac:dyDescent="0.35">
      <c r="H32" s="167" t="s">
        <v>154</v>
      </c>
      <c r="I32" s="168" t="s">
        <v>155</v>
      </c>
      <c r="J32" s="168" t="s">
        <v>155</v>
      </c>
      <c r="K32" s="168" t="s">
        <v>155</v>
      </c>
      <c r="L32" s="168" t="s">
        <v>155</v>
      </c>
      <c r="M32" s="169" t="s">
        <v>155</v>
      </c>
      <c r="N32" s="159"/>
      <c r="O32" s="160"/>
    </row>
    <row r="33" spans="1:8" x14ac:dyDescent="0.3">
      <c r="H33" t="s">
        <v>174</v>
      </c>
    </row>
    <row r="35" spans="1:8" x14ac:dyDescent="0.3">
      <c r="A35" s="43" t="s">
        <v>355</v>
      </c>
      <c r="G35" s="43" t="s">
        <v>351</v>
      </c>
    </row>
    <row r="36" spans="1:8" ht="15" thickBot="1" x14ac:dyDescent="0.35">
      <c r="A36" t="s">
        <v>137</v>
      </c>
      <c r="B36" t="s">
        <v>357</v>
      </c>
      <c r="G36" t="s">
        <v>137</v>
      </c>
      <c r="H36" t="s">
        <v>523</v>
      </c>
    </row>
    <row r="37" spans="1:8" ht="42" thickBot="1" x14ac:dyDescent="0.35">
      <c r="A37" s="62" t="s">
        <v>135</v>
      </c>
      <c r="B37" s="63" t="s">
        <v>353</v>
      </c>
      <c r="C37" s="63" t="s">
        <v>354</v>
      </c>
      <c r="D37" s="63" t="s">
        <v>353</v>
      </c>
      <c r="E37" s="63" t="s">
        <v>354</v>
      </c>
      <c r="G37" s="62" t="s">
        <v>135</v>
      </c>
      <c r="H37" s="63" t="s">
        <v>359</v>
      </c>
    </row>
    <row r="38" spans="1:8" ht="15" thickBot="1" x14ac:dyDescent="0.35">
      <c r="A38" s="47" t="s">
        <v>145</v>
      </c>
      <c r="B38" s="47">
        <v>21.34</v>
      </c>
      <c r="C38" s="47">
        <v>1.52</v>
      </c>
      <c r="D38" s="150">
        <f t="shared" ref="D38:E43" si="8">B38</f>
        <v>21.34</v>
      </c>
      <c r="E38" s="150">
        <f t="shared" si="8"/>
        <v>1.52</v>
      </c>
      <c r="G38" s="47" t="s">
        <v>356</v>
      </c>
      <c r="H38" s="194">
        <f>12.4-0.4</f>
        <v>12</v>
      </c>
    </row>
    <row r="39" spans="1:8" ht="15" thickBot="1" x14ac:dyDescent="0.35">
      <c r="A39" s="47" t="s">
        <v>146</v>
      </c>
      <c r="B39" s="47">
        <v>26.67</v>
      </c>
      <c r="C39" s="47">
        <v>1.52</v>
      </c>
      <c r="D39" s="150">
        <f t="shared" si="8"/>
        <v>26.67</v>
      </c>
      <c r="E39" s="150">
        <f t="shared" si="8"/>
        <v>1.52</v>
      </c>
      <c r="G39" s="47" t="s">
        <v>145</v>
      </c>
      <c r="H39" s="194">
        <v>15</v>
      </c>
    </row>
    <row r="40" spans="1:8" ht="15" thickBot="1" x14ac:dyDescent="0.35">
      <c r="A40" s="47" t="s">
        <v>184</v>
      </c>
      <c r="B40" s="47">
        <v>33.4</v>
      </c>
      <c r="C40" s="47">
        <v>1.52</v>
      </c>
      <c r="D40" s="150">
        <f t="shared" si="8"/>
        <v>33.4</v>
      </c>
      <c r="E40" s="150">
        <f t="shared" si="8"/>
        <v>1.52</v>
      </c>
      <c r="G40" s="47" t="s">
        <v>146</v>
      </c>
      <c r="H40" s="194">
        <v>20</v>
      </c>
    </row>
    <row r="41" spans="1:8" ht="15" thickBot="1" x14ac:dyDescent="0.35">
      <c r="A41" s="47" t="s">
        <v>148</v>
      </c>
      <c r="B41" s="47">
        <v>42.16</v>
      </c>
      <c r="C41" s="47">
        <v>1.78</v>
      </c>
      <c r="D41" s="150">
        <f t="shared" si="8"/>
        <v>42.16</v>
      </c>
      <c r="E41" s="150">
        <f t="shared" si="8"/>
        <v>1.78</v>
      </c>
      <c r="G41" s="47" t="s">
        <v>184</v>
      </c>
      <c r="H41" s="194">
        <v>25</v>
      </c>
    </row>
    <row r="42" spans="1:8" ht="15" thickBot="1" x14ac:dyDescent="0.35">
      <c r="A42" s="47" t="s">
        <v>149</v>
      </c>
      <c r="B42" s="47">
        <v>48.26</v>
      </c>
      <c r="C42" s="47">
        <v>2.0299999999999998</v>
      </c>
      <c r="D42" s="150">
        <f t="shared" si="8"/>
        <v>48.26</v>
      </c>
      <c r="E42" s="150">
        <f t="shared" si="8"/>
        <v>2.0299999999999998</v>
      </c>
      <c r="G42" s="47" t="s">
        <v>148</v>
      </c>
      <c r="H42" s="194">
        <v>34</v>
      </c>
    </row>
    <row r="43" spans="1:8" ht="15" thickBot="1" x14ac:dyDescent="0.35">
      <c r="A43" s="47" t="s">
        <v>185</v>
      </c>
      <c r="B43" s="47">
        <v>60.32</v>
      </c>
      <c r="C43" s="47">
        <v>2.54</v>
      </c>
      <c r="D43" s="150">
        <f t="shared" si="8"/>
        <v>60.32</v>
      </c>
      <c r="E43" s="150">
        <f t="shared" si="8"/>
        <v>2.54</v>
      </c>
      <c r="G43" s="47" t="s">
        <v>149</v>
      </c>
      <c r="H43" s="194">
        <v>39</v>
      </c>
    </row>
    <row r="44" spans="1:8" ht="15" thickBot="1" x14ac:dyDescent="0.35">
      <c r="G44" s="47" t="s">
        <v>185</v>
      </c>
      <c r="H44" s="194">
        <v>50</v>
      </c>
    </row>
    <row r="45" spans="1:8" ht="15" thickBot="1" x14ac:dyDescent="0.35">
      <c r="G45" s="47" t="s">
        <v>151</v>
      </c>
      <c r="H45" s="194">
        <v>62</v>
      </c>
    </row>
    <row r="46" spans="1:8" ht="15" thickBot="1" x14ac:dyDescent="0.35">
      <c r="G46" s="47" t="s">
        <v>186</v>
      </c>
      <c r="H46" s="194">
        <v>81</v>
      </c>
    </row>
    <row r="47" spans="1:8" ht="15" thickBot="1" x14ac:dyDescent="0.35">
      <c r="G47" s="47" t="s">
        <v>187</v>
      </c>
      <c r="H47" s="194">
        <v>104</v>
      </c>
    </row>
    <row r="50" spans="7:9" x14ac:dyDescent="0.3">
      <c r="G50" t="s">
        <v>230</v>
      </c>
    </row>
    <row r="51" spans="7:9" x14ac:dyDescent="0.3">
      <c r="G51" s="49" t="s">
        <v>178</v>
      </c>
      <c r="H51" s="49"/>
      <c r="I51" s="49"/>
    </row>
    <row r="52" spans="7:9" x14ac:dyDescent="0.3">
      <c r="G52" s="50" t="s">
        <v>34</v>
      </c>
      <c r="H52" s="50" t="s">
        <v>180</v>
      </c>
      <c r="I52" s="49"/>
    </row>
    <row r="53" spans="7:9" x14ac:dyDescent="0.3">
      <c r="G53" s="52" t="s">
        <v>177</v>
      </c>
      <c r="H53" s="53">
        <v>0.52</v>
      </c>
      <c r="I53" s="49"/>
    </row>
    <row r="54" spans="7:9" x14ac:dyDescent="0.3">
      <c r="G54" s="52" t="s">
        <v>53</v>
      </c>
      <c r="H54" s="53">
        <v>0.82</v>
      </c>
      <c r="I54" s="49"/>
    </row>
    <row r="55" spans="7:9" x14ac:dyDescent="0.3">
      <c r="G55" s="52" t="s">
        <v>54</v>
      </c>
      <c r="H55" s="53">
        <v>1.31</v>
      </c>
      <c r="I55" s="49"/>
    </row>
    <row r="56" spans="7:9" x14ac:dyDescent="0.3">
      <c r="G56" s="52" t="s">
        <v>55</v>
      </c>
      <c r="H56" s="53">
        <v>2.08</v>
      </c>
      <c r="I56" s="49"/>
    </row>
    <row r="57" spans="7:9" x14ac:dyDescent="0.3">
      <c r="G57" s="52" t="s">
        <v>56</v>
      </c>
      <c r="H57" s="53">
        <v>3.3</v>
      </c>
      <c r="I57" s="49"/>
    </row>
    <row r="58" spans="7:9" x14ac:dyDescent="0.3">
      <c r="G58" s="52" t="s">
        <v>57</v>
      </c>
      <c r="H58" s="53">
        <v>5.25</v>
      </c>
      <c r="I58" s="49"/>
    </row>
    <row r="59" spans="7:9" x14ac:dyDescent="0.3">
      <c r="G59" s="52" t="s">
        <v>58</v>
      </c>
      <c r="H59" s="53">
        <v>8.36</v>
      </c>
      <c r="I59" s="49"/>
    </row>
    <row r="60" spans="7:9" x14ac:dyDescent="0.3">
      <c r="G60" s="52" t="s">
        <v>59</v>
      </c>
      <c r="H60" s="53">
        <v>13.29</v>
      </c>
      <c r="I60" s="49"/>
    </row>
    <row r="61" spans="7:9" x14ac:dyDescent="0.3">
      <c r="G61" s="52" t="s">
        <v>60</v>
      </c>
      <c r="H61" s="53">
        <v>21.14</v>
      </c>
      <c r="I61" s="49"/>
    </row>
    <row r="62" spans="7:9" x14ac:dyDescent="0.3">
      <c r="G62" s="56" t="s">
        <v>61</v>
      </c>
      <c r="H62" s="53">
        <v>33.619999999999997</v>
      </c>
      <c r="I62" s="49"/>
    </row>
    <row r="63" spans="7:9" x14ac:dyDescent="0.3">
      <c r="G63" s="52" t="s">
        <v>181</v>
      </c>
      <c r="H63" s="57">
        <v>42.4</v>
      </c>
      <c r="I63" s="49"/>
    </row>
    <row r="64" spans="7:9" x14ac:dyDescent="0.3">
      <c r="G64" s="52" t="s">
        <v>33</v>
      </c>
      <c r="H64" s="57">
        <v>53.5</v>
      </c>
      <c r="I64" s="49"/>
    </row>
    <row r="65" spans="7:9" x14ac:dyDescent="0.3">
      <c r="G65" s="52" t="s">
        <v>36</v>
      </c>
      <c r="H65" s="57">
        <v>67.44</v>
      </c>
      <c r="I65" s="49"/>
    </row>
    <row r="66" spans="7:9" x14ac:dyDescent="0.3">
      <c r="G66" s="52" t="s">
        <v>37</v>
      </c>
      <c r="H66" s="53">
        <v>85.02</v>
      </c>
      <c r="I66" s="49"/>
    </row>
    <row r="67" spans="7:9" x14ac:dyDescent="0.3">
      <c r="G67" s="52" t="s">
        <v>38</v>
      </c>
      <c r="H67" s="53">
        <v>107.21</v>
      </c>
      <c r="I67" s="49"/>
    </row>
    <row r="68" spans="7:9" x14ac:dyDescent="0.3">
      <c r="G68" s="52" t="s">
        <v>44</v>
      </c>
      <c r="H68" s="53">
        <v>126.67</v>
      </c>
      <c r="I68" s="49"/>
    </row>
    <row r="69" spans="7:9" x14ac:dyDescent="0.3">
      <c r="G69" s="52" t="s">
        <v>45</v>
      </c>
      <c r="H69" s="53">
        <v>152.01</v>
      </c>
      <c r="I69" s="49"/>
    </row>
    <row r="70" spans="7:9" x14ac:dyDescent="0.3">
      <c r="G70" s="52" t="s">
        <v>46</v>
      </c>
      <c r="H70" s="53">
        <v>177.34</v>
      </c>
      <c r="I70" s="49"/>
    </row>
    <row r="71" spans="7:9" x14ac:dyDescent="0.3">
      <c r="G71" s="52" t="s">
        <v>47</v>
      </c>
      <c r="H71" s="53">
        <v>202.68</v>
      </c>
      <c r="I71" s="49"/>
    </row>
    <row r="72" spans="7:9" x14ac:dyDescent="0.3">
      <c r="G72" s="52" t="s">
        <v>48</v>
      </c>
      <c r="H72" s="53">
        <v>253.35</v>
      </c>
      <c r="I72" s="49"/>
    </row>
    <row r="73" spans="7:9" x14ac:dyDescent="0.3">
      <c r="G73" s="52" t="s">
        <v>49</v>
      </c>
      <c r="H73" s="53">
        <v>304.02</v>
      </c>
      <c r="I73" s="49"/>
    </row>
    <row r="74" spans="7:9" x14ac:dyDescent="0.3">
      <c r="G74" s="52" t="s">
        <v>50</v>
      </c>
      <c r="H74" s="53">
        <v>380.02</v>
      </c>
      <c r="I74" s="49"/>
    </row>
    <row r="75" spans="7:9" x14ac:dyDescent="0.3">
      <c r="G75" s="52" t="s">
        <v>51</v>
      </c>
      <c r="H75" s="53">
        <v>405.36</v>
      </c>
      <c r="I75" s="49"/>
    </row>
    <row r="76" spans="7:9" x14ac:dyDescent="0.3">
      <c r="G76" s="52" t="s">
        <v>52</v>
      </c>
      <c r="H76" s="53">
        <v>506.7</v>
      </c>
      <c r="I76" s="49"/>
    </row>
    <row r="77" spans="7:9" x14ac:dyDescent="0.3">
      <c r="G77" s="49"/>
      <c r="H77" s="49"/>
      <c r="I77" s="49"/>
    </row>
    <row r="78" spans="7:9" x14ac:dyDescent="0.3">
      <c r="G78" s="49"/>
      <c r="H78" s="49"/>
      <c r="I78" s="49"/>
    </row>
    <row r="79" spans="7:9" x14ac:dyDescent="0.3">
      <c r="G79" s="49"/>
      <c r="H79" s="49"/>
      <c r="I79" s="49"/>
    </row>
  </sheetData>
  <mergeCells count="6">
    <mergeCell ref="N20:N22"/>
    <mergeCell ref="O20:O22"/>
    <mergeCell ref="H20:H22"/>
    <mergeCell ref="M20:M22"/>
    <mergeCell ref="K20:L20"/>
    <mergeCell ref="I20:J20"/>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9"/>
  <sheetViews>
    <sheetView workbookViewId="0"/>
  </sheetViews>
  <sheetFormatPr baseColWidth="10" defaultColWidth="11.44140625" defaultRowHeight="14.4" x14ac:dyDescent="0.3"/>
  <sheetData>
    <row r="1" spans="1:4" x14ac:dyDescent="0.3">
      <c r="A1" t="s">
        <v>386</v>
      </c>
    </row>
    <row r="2" spans="1:4" ht="15" thickBot="1" x14ac:dyDescent="0.35">
      <c r="A2" t="s">
        <v>137</v>
      </c>
      <c r="B2" t="s">
        <v>387</v>
      </c>
    </row>
    <row r="3" spans="1:4" ht="42" thickBot="1" x14ac:dyDescent="0.35">
      <c r="A3" s="62" t="s">
        <v>381</v>
      </c>
      <c r="B3" s="62" t="s">
        <v>383</v>
      </c>
      <c r="C3" s="62" t="s">
        <v>384</v>
      </c>
      <c r="D3" s="62" t="s">
        <v>385</v>
      </c>
    </row>
    <row r="4" spans="1:4" ht="15" thickBot="1" x14ac:dyDescent="0.35">
      <c r="A4" s="192" t="s">
        <v>382</v>
      </c>
      <c r="B4" s="191">
        <v>5</v>
      </c>
      <c r="C4" s="191">
        <v>10</v>
      </c>
      <c r="D4" s="191">
        <v>10</v>
      </c>
    </row>
    <row r="5" spans="1:4" ht="15" thickBot="1" x14ac:dyDescent="0.35">
      <c r="A5" s="192" t="s">
        <v>382</v>
      </c>
      <c r="B5" s="191">
        <v>5</v>
      </c>
      <c r="C5" s="191">
        <v>20</v>
      </c>
      <c r="D5" s="191">
        <v>10</v>
      </c>
    </row>
    <row r="6" spans="1:4" ht="15" thickBot="1" x14ac:dyDescent="0.35">
      <c r="A6" s="192" t="s">
        <v>382</v>
      </c>
      <c r="B6" s="191">
        <v>5</v>
      </c>
      <c r="C6" s="191">
        <v>30</v>
      </c>
      <c r="D6" s="191">
        <v>10</v>
      </c>
    </row>
    <row r="7" spans="1:4" ht="15" thickBot="1" x14ac:dyDescent="0.35">
      <c r="A7" s="192" t="s">
        <v>382</v>
      </c>
      <c r="B7" s="191">
        <v>5</v>
      </c>
      <c r="C7" s="191">
        <v>10</v>
      </c>
      <c r="D7" s="191">
        <v>25</v>
      </c>
    </row>
    <row r="8" spans="1:4" ht="15" thickBot="1" x14ac:dyDescent="0.35">
      <c r="A8" s="192" t="s">
        <v>382</v>
      </c>
      <c r="B8" s="191">
        <v>5</v>
      </c>
      <c r="C8" s="191">
        <v>20</v>
      </c>
      <c r="D8" s="191">
        <v>25</v>
      </c>
    </row>
    <row r="9" spans="1:4" ht="15" thickBot="1" x14ac:dyDescent="0.35">
      <c r="A9" s="192" t="s">
        <v>382</v>
      </c>
      <c r="B9" s="191">
        <v>5</v>
      </c>
      <c r="C9" s="191">
        <v>30</v>
      </c>
      <c r="D9" s="191">
        <v>25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9"/>
  <sheetViews>
    <sheetView workbookViewId="0"/>
  </sheetViews>
  <sheetFormatPr baseColWidth="10" defaultColWidth="11.44140625" defaultRowHeight="14.4" x14ac:dyDescent="0.3"/>
  <sheetData>
    <row r="1" spans="1:8" x14ac:dyDescent="0.3">
      <c r="A1" s="200" t="s">
        <v>179</v>
      </c>
      <c r="B1" s="49"/>
      <c r="C1" s="49"/>
      <c r="F1" s="200" t="s">
        <v>178</v>
      </c>
    </row>
    <row r="2" spans="1:8" x14ac:dyDescent="0.3">
      <c r="A2" s="51" t="s">
        <v>485</v>
      </c>
      <c r="B2" s="51" t="s">
        <v>485</v>
      </c>
      <c r="C2" s="51" t="s">
        <v>183</v>
      </c>
      <c r="D2" s="51" t="s">
        <v>34</v>
      </c>
      <c r="F2" s="51" t="s">
        <v>34</v>
      </c>
      <c r="G2" s="51" t="s">
        <v>92</v>
      </c>
      <c r="H2" s="51" t="s">
        <v>485</v>
      </c>
    </row>
    <row r="3" spans="1:8" x14ac:dyDescent="0.3">
      <c r="A3" s="54" t="s">
        <v>486</v>
      </c>
      <c r="B3" s="54">
        <v>0.5</v>
      </c>
      <c r="C3" s="54">
        <v>0.52</v>
      </c>
      <c r="D3" s="55" t="s">
        <v>177</v>
      </c>
      <c r="F3" s="55" t="s">
        <v>177</v>
      </c>
      <c r="G3" s="54">
        <v>0.5</v>
      </c>
      <c r="H3" s="54" t="s">
        <v>486</v>
      </c>
    </row>
    <row r="4" spans="1:8" x14ac:dyDescent="0.3">
      <c r="A4" s="54" t="s">
        <v>487</v>
      </c>
      <c r="B4" s="54">
        <v>0.75</v>
      </c>
      <c r="C4" s="54">
        <v>0.82</v>
      </c>
      <c r="D4" s="55" t="s">
        <v>53</v>
      </c>
      <c r="F4" s="55" t="s">
        <v>53</v>
      </c>
      <c r="G4" s="54">
        <v>0.75</v>
      </c>
      <c r="H4" s="54" t="s">
        <v>487</v>
      </c>
    </row>
    <row r="5" spans="1:8" x14ac:dyDescent="0.3">
      <c r="A5" s="54" t="s">
        <v>488</v>
      </c>
      <c r="B5" s="54">
        <v>1.5</v>
      </c>
      <c r="C5" s="54">
        <v>1.31</v>
      </c>
      <c r="D5" s="55" t="s">
        <v>54</v>
      </c>
      <c r="F5" s="55" t="s">
        <v>54</v>
      </c>
      <c r="G5" s="54">
        <v>1.5</v>
      </c>
      <c r="H5" s="54" t="s">
        <v>488</v>
      </c>
    </row>
    <row r="6" spans="1:8" x14ac:dyDescent="0.3">
      <c r="A6" s="54" t="s">
        <v>489</v>
      </c>
      <c r="B6" s="54">
        <v>2.5</v>
      </c>
      <c r="C6" s="54">
        <v>2.08</v>
      </c>
      <c r="D6" s="55" t="s">
        <v>55</v>
      </c>
      <c r="F6" s="55" t="s">
        <v>55</v>
      </c>
      <c r="G6" s="54">
        <v>2.5</v>
      </c>
      <c r="H6" s="54" t="s">
        <v>489</v>
      </c>
    </row>
    <row r="7" spans="1:8" x14ac:dyDescent="0.3">
      <c r="A7" s="54" t="s">
        <v>39</v>
      </c>
      <c r="B7" s="54">
        <v>4</v>
      </c>
      <c r="C7" s="54">
        <v>3.3</v>
      </c>
      <c r="D7" s="55" t="s">
        <v>56</v>
      </c>
      <c r="F7" s="55" t="s">
        <v>56</v>
      </c>
      <c r="G7" s="54">
        <v>4</v>
      </c>
      <c r="H7" s="54" t="s">
        <v>39</v>
      </c>
    </row>
    <row r="8" spans="1:8" x14ac:dyDescent="0.3">
      <c r="A8" s="54" t="s">
        <v>40</v>
      </c>
      <c r="B8" s="54">
        <v>6</v>
      </c>
      <c r="C8" s="54">
        <v>5.25</v>
      </c>
      <c r="D8" s="55" t="s">
        <v>57</v>
      </c>
      <c r="F8" s="55" t="s">
        <v>57</v>
      </c>
      <c r="G8" s="54">
        <v>6</v>
      </c>
      <c r="H8" s="54" t="s">
        <v>40</v>
      </c>
    </row>
    <row r="9" spans="1:8" x14ac:dyDescent="0.3">
      <c r="A9" s="54" t="s">
        <v>42</v>
      </c>
      <c r="B9" s="54">
        <v>10</v>
      </c>
      <c r="C9" s="54">
        <v>8.36</v>
      </c>
      <c r="D9" s="55" t="s">
        <v>58</v>
      </c>
      <c r="F9" s="55" t="s">
        <v>58</v>
      </c>
      <c r="G9" s="54">
        <v>10</v>
      </c>
      <c r="H9" s="54" t="s">
        <v>42</v>
      </c>
    </row>
    <row r="10" spans="1:8" x14ac:dyDescent="0.3">
      <c r="A10" s="54" t="s">
        <v>490</v>
      </c>
      <c r="B10" s="54">
        <v>16</v>
      </c>
      <c r="C10" s="54">
        <v>13.29</v>
      </c>
      <c r="D10" s="55" t="s">
        <v>59</v>
      </c>
      <c r="F10" s="55" t="s">
        <v>59</v>
      </c>
      <c r="G10" s="54">
        <v>16</v>
      </c>
      <c r="H10" s="54" t="s">
        <v>490</v>
      </c>
    </row>
    <row r="11" spans="1:8" x14ac:dyDescent="0.3">
      <c r="A11" s="54" t="s">
        <v>491</v>
      </c>
      <c r="B11" s="54">
        <v>25</v>
      </c>
      <c r="C11" s="54">
        <v>21.14</v>
      </c>
      <c r="D11" s="55" t="s">
        <v>60</v>
      </c>
      <c r="F11" s="55" t="s">
        <v>60</v>
      </c>
      <c r="G11" s="54">
        <v>25</v>
      </c>
      <c r="H11" s="54" t="s">
        <v>491</v>
      </c>
    </row>
    <row r="12" spans="1:8" x14ac:dyDescent="0.3">
      <c r="A12" s="54" t="s">
        <v>492</v>
      </c>
      <c r="B12" s="54">
        <v>35</v>
      </c>
      <c r="C12" s="54">
        <v>33.619999999999997</v>
      </c>
      <c r="D12" s="58" t="s">
        <v>61</v>
      </c>
      <c r="F12" s="58" t="s">
        <v>61</v>
      </c>
      <c r="G12" s="54">
        <v>35</v>
      </c>
      <c r="H12" s="54" t="s">
        <v>492</v>
      </c>
    </row>
    <row r="13" spans="1:8" x14ac:dyDescent="0.3">
      <c r="A13" s="54" t="s">
        <v>492</v>
      </c>
      <c r="B13" s="54">
        <v>35</v>
      </c>
      <c r="C13" s="54">
        <v>42.4</v>
      </c>
      <c r="D13" s="55" t="s">
        <v>181</v>
      </c>
      <c r="F13" s="55" t="s">
        <v>181</v>
      </c>
      <c r="G13" s="54">
        <v>35</v>
      </c>
      <c r="H13" s="54" t="s">
        <v>492</v>
      </c>
    </row>
    <row r="14" spans="1:8" x14ac:dyDescent="0.3">
      <c r="A14" s="54" t="s">
        <v>493</v>
      </c>
      <c r="B14" s="54">
        <v>50</v>
      </c>
      <c r="C14" s="54">
        <v>53.5</v>
      </c>
      <c r="D14" s="55" t="s">
        <v>33</v>
      </c>
      <c r="F14" s="55" t="s">
        <v>33</v>
      </c>
      <c r="G14" s="54">
        <v>50</v>
      </c>
      <c r="H14" s="54" t="s">
        <v>493</v>
      </c>
    </row>
    <row r="15" spans="1:8" x14ac:dyDescent="0.3">
      <c r="A15" s="54" t="s">
        <v>494</v>
      </c>
      <c r="B15" s="54">
        <v>75</v>
      </c>
      <c r="C15" s="54">
        <v>67.44</v>
      </c>
      <c r="D15" s="55" t="s">
        <v>36</v>
      </c>
      <c r="F15" s="55" t="s">
        <v>36</v>
      </c>
      <c r="G15" s="54">
        <v>75</v>
      </c>
      <c r="H15" s="54" t="s">
        <v>494</v>
      </c>
    </row>
    <row r="16" spans="1:8" x14ac:dyDescent="0.3">
      <c r="A16" s="54" t="s">
        <v>495</v>
      </c>
      <c r="B16" s="54">
        <v>95</v>
      </c>
      <c r="C16" s="54">
        <v>85.02</v>
      </c>
      <c r="D16" s="55" t="s">
        <v>37</v>
      </c>
      <c r="F16" s="55" t="s">
        <v>37</v>
      </c>
      <c r="G16" s="54">
        <v>95</v>
      </c>
      <c r="H16" s="54" t="s">
        <v>495</v>
      </c>
    </row>
    <row r="17" spans="1:8" x14ac:dyDescent="0.3">
      <c r="A17" s="54" t="s">
        <v>495</v>
      </c>
      <c r="B17" s="54">
        <v>95</v>
      </c>
      <c r="C17" s="54">
        <v>107.21</v>
      </c>
      <c r="D17" s="55" t="s">
        <v>38</v>
      </c>
      <c r="F17" s="55" t="s">
        <v>38</v>
      </c>
      <c r="G17" s="54">
        <v>95</v>
      </c>
      <c r="H17" s="54" t="s">
        <v>495</v>
      </c>
    </row>
    <row r="18" spans="1:8" x14ac:dyDescent="0.3">
      <c r="A18" s="54" t="s">
        <v>496</v>
      </c>
      <c r="B18" s="54">
        <v>120</v>
      </c>
      <c r="C18" s="54">
        <v>107.21</v>
      </c>
      <c r="D18" s="55" t="s">
        <v>38</v>
      </c>
      <c r="F18" s="55" t="s">
        <v>38</v>
      </c>
      <c r="G18" s="54">
        <v>120</v>
      </c>
      <c r="H18" s="54" t="s">
        <v>496</v>
      </c>
    </row>
    <row r="19" spans="1:8" x14ac:dyDescent="0.3">
      <c r="A19" s="54" t="s">
        <v>496</v>
      </c>
      <c r="B19" s="54">
        <v>120</v>
      </c>
      <c r="C19" s="54">
        <v>126.67</v>
      </c>
      <c r="D19" s="55" t="s">
        <v>44</v>
      </c>
      <c r="F19" s="55" t="s">
        <v>44</v>
      </c>
      <c r="G19" s="54">
        <v>120</v>
      </c>
      <c r="H19" s="54" t="s">
        <v>496</v>
      </c>
    </row>
    <row r="20" spans="1:8" x14ac:dyDescent="0.3">
      <c r="A20" s="54" t="s">
        <v>497</v>
      </c>
      <c r="B20" s="54">
        <v>150</v>
      </c>
      <c r="C20" s="54">
        <v>152.01</v>
      </c>
      <c r="D20" s="55" t="s">
        <v>45</v>
      </c>
      <c r="F20" s="55" t="s">
        <v>45</v>
      </c>
      <c r="G20" s="54">
        <v>150</v>
      </c>
      <c r="H20" s="54" t="s">
        <v>497</v>
      </c>
    </row>
    <row r="21" spans="1:8" x14ac:dyDescent="0.3">
      <c r="A21" s="54" t="s">
        <v>498</v>
      </c>
      <c r="B21" s="54">
        <v>185</v>
      </c>
      <c r="C21" s="54">
        <v>177.34</v>
      </c>
      <c r="D21" s="55" t="s">
        <v>46</v>
      </c>
      <c r="F21" s="55" t="s">
        <v>46</v>
      </c>
      <c r="G21" s="54">
        <v>185</v>
      </c>
      <c r="H21" s="54" t="s">
        <v>498</v>
      </c>
    </row>
    <row r="22" spans="1:8" x14ac:dyDescent="0.3">
      <c r="A22" s="54" t="s">
        <v>498</v>
      </c>
      <c r="B22" s="54">
        <v>185</v>
      </c>
      <c r="C22" s="54">
        <v>202.68</v>
      </c>
      <c r="D22" s="55" t="s">
        <v>47</v>
      </c>
      <c r="F22" s="55" t="s">
        <v>47</v>
      </c>
      <c r="G22" s="54">
        <v>185</v>
      </c>
      <c r="H22" s="54" t="s">
        <v>498</v>
      </c>
    </row>
    <row r="23" spans="1:8" x14ac:dyDescent="0.3">
      <c r="A23" s="54" t="s">
        <v>499</v>
      </c>
      <c r="B23" s="54">
        <v>240</v>
      </c>
      <c r="C23" s="54">
        <v>228</v>
      </c>
      <c r="D23" s="55" t="s">
        <v>182</v>
      </c>
      <c r="F23" s="55" t="s">
        <v>182</v>
      </c>
      <c r="G23" s="54">
        <v>240</v>
      </c>
      <c r="H23" s="54" t="s">
        <v>499</v>
      </c>
    </row>
    <row r="24" spans="1:8" x14ac:dyDescent="0.3">
      <c r="A24" s="54" t="s">
        <v>499</v>
      </c>
      <c r="B24" s="54">
        <v>240</v>
      </c>
      <c r="C24" s="54">
        <v>253.35</v>
      </c>
      <c r="D24" s="55" t="s">
        <v>48</v>
      </c>
      <c r="F24" s="55" t="s">
        <v>48</v>
      </c>
      <c r="G24" s="54">
        <v>240</v>
      </c>
      <c r="H24" s="54" t="s">
        <v>499</v>
      </c>
    </row>
    <row r="25" spans="1:8" x14ac:dyDescent="0.3">
      <c r="A25" s="54" t="s">
        <v>500</v>
      </c>
      <c r="B25" s="54">
        <v>300</v>
      </c>
      <c r="C25" s="54">
        <v>304.02</v>
      </c>
      <c r="D25" s="55" t="s">
        <v>49</v>
      </c>
      <c r="F25" s="55" t="s">
        <v>49</v>
      </c>
      <c r="G25" s="54">
        <v>300</v>
      </c>
      <c r="H25" s="54" t="s">
        <v>500</v>
      </c>
    </row>
    <row r="26" spans="1:8" x14ac:dyDescent="0.3">
      <c r="A26" s="54" t="s">
        <v>501</v>
      </c>
      <c r="B26" s="54">
        <v>400</v>
      </c>
      <c r="C26" s="54">
        <v>380.02</v>
      </c>
      <c r="D26" s="55" t="s">
        <v>50</v>
      </c>
      <c r="F26" s="55" t="s">
        <v>50</v>
      </c>
      <c r="G26" s="54">
        <v>400</v>
      </c>
      <c r="H26" s="54" t="s">
        <v>501</v>
      </c>
    </row>
    <row r="27" spans="1:8" x14ac:dyDescent="0.3">
      <c r="A27" s="54" t="s">
        <v>501</v>
      </c>
      <c r="B27" s="54">
        <v>400</v>
      </c>
      <c r="C27" s="54">
        <v>405.36</v>
      </c>
      <c r="D27" s="55" t="s">
        <v>51</v>
      </c>
      <c r="F27" s="55" t="s">
        <v>51</v>
      </c>
      <c r="G27" s="54">
        <v>400</v>
      </c>
      <c r="H27" s="54" t="s">
        <v>501</v>
      </c>
    </row>
    <row r="28" spans="1:8" x14ac:dyDescent="0.3">
      <c r="A28" s="54" t="s">
        <v>502</v>
      </c>
      <c r="B28" s="54">
        <v>500</v>
      </c>
      <c r="C28" s="54">
        <v>506.7</v>
      </c>
      <c r="D28" s="55" t="s">
        <v>52</v>
      </c>
      <c r="F28" s="55" t="s">
        <v>52</v>
      </c>
      <c r="G28" s="54">
        <v>500</v>
      </c>
      <c r="H28" s="54" t="s">
        <v>502</v>
      </c>
    </row>
    <row r="29" spans="1:8" x14ac:dyDescent="0.3">
      <c r="A29" s="5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31"/>
  <sheetViews>
    <sheetView workbookViewId="0">
      <selection activeCell="A16" sqref="A16"/>
    </sheetView>
  </sheetViews>
  <sheetFormatPr baseColWidth="10" defaultColWidth="11.44140625" defaultRowHeight="14.4" x14ac:dyDescent="0.3"/>
  <cols>
    <col min="1" max="1" width="30.88671875" bestFit="1" customWidth="1"/>
    <col min="2" max="2" width="47.21875" bestFit="1" customWidth="1"/>
    <col min="3" max="3" width="18.44140625" customWidth="1"/>
    <col min="4" max="4" width="23.33203125" bestFit="1" customWidth="1"/>
    <col min="5" max="5" width="22.109375" bestFit="1" customWidth="1"/>
    <col min="6" max="6" width="23.33203125" customWidth="1"/>
  </cols>
  <sheetData>
    <row r="1" spans="1:8" ht="45.6" customHeight="1" x14ac:dyDescent="0.3">
      <c r="A1" s="43" t="s">
        <v>302</v>
      </c>
      <c r="B1" s="43" t="s">
        <v>306</v>
      </c>
      <c r="C1" s="190" t="s">
        <v>320</v>
      </c>
      <c r="D1" s="43" t="s">
        <v>347</v>
      </c>
      <c r="E1" s="43" t="s">
        <v>135</v>
      </c>
      <c r="F1" s="43" t="s">
        <v>410</v>
      </c>
      <c r="H1" s="43" t="s">
        <v>531</v>
      </c>
    </row>
    <row r="2" spans="1:8" x14ac:dyDescent="0.3">
      <c r="A2" s="28" t="s">
        <v>303</v>
      </c>
      <c r="B2" s="122" t="s">
        <v>192</v>
      </c>
      <c r="C2" s="100" t="s">
        <v>53</v>
      </c>
      <c r="D2" t="s">
        <v>348</v>
      </c>
      <c r="E2" t="s">
        <v>356</v>
      </c>
      <c r="F2" t="s">
        <v>411</v>
      </c>
      <c r="G2" t="s">
        <v>350</v>
      </c>
      <c r="H2" t="s">
        <v>532</v>
      </c>
    </row>
    <row r="3" spans="1:8" x14ac:dyDescent="0.3">
      <c r="A3" s="28" t="s">
        <v>304</v>
      </c>
      <c r="B3" s="122" t="s">
        <v>193</v>
      </c>
      <c r="C3" s="103" t="s">
        <v>54</v>
      </c>
      <c r="D3" t="s">
        <v>349</v>
      </c>
      <c r="E3" t="s">
        <v>145</v>
      </c>
      <c r="F3" t="s">
        <v>412</v>
      </c>
      <c r="G3" t="s">
        <v>456</v>
      </c>
      <c r="H3" t="s">
        <v>533</v>
      </c>
    </row>
    <row r="4" spans="1:8" x14ac:dyDescent="0.3">
      <c r="A4" s="28" t="s">
        <v>202</v>
      </c>
      <c r="B4" s="122" t="s">
        <v>194</v>
      </c>
      <c r="C4" s="103" t="s">
        <v>55</v>
      </c>
      <c r="D4" t="s">
        <v>350</v>
      </c>
      <c r="E4" t="s">
        <v>146</v>
      </c>
      <c r="F4" t="s">
        <v>413</v>
      </c>
      <c r="H4" t="s">
        <v>521</v>
      </c>
    </row>
    <row r="5" spans="1:8" x14ac:dyDescent="0.3">
      <c r="A5" s="28"/>
      <c r="B5" s="122" t="s">
        <v>307</v>
      </c>
      <c r="C5" s="103" t="s">
        <v>56</v>
      </c>
      <c r="D5" t="s">
        <v>351</v>
      </c>
      <c r="E5" t="s">
        <v>147</v>
      </c>
    </row>
    <row r="6" spans="1:8" x14ac:dyDescent="0.3">
      <c r="C6" s="103" t="s">
        <v>57</v>
      </c>
      <c r="E6" t="s">
        <v>148</v>
      </c>
    </row>
    <row r="7" spans="1:8" ht="15" thickBot="1" x14ac:dyDescent="0.35">
      <c r="C7" s="106" t="s">
        <v>58</v>
      </c>
      <c r="E7" t="s">
        <v>149</v>
      </c>
    </row>
    <row r="8" spans="1:8" x14ac:dyDescent="0.3">
      <c r="C8" s="100" t="s">
        <v>59</v>
      </c>
      <c r="E8" t="s">
        <v>150</v>
      </c>
    </row>
    <row r="9" spans="1:8" x14ac:dyDescent="0.3">
      <c r="C9" s="103" t="s">
        <v>60</v>
      </c>
      <c r="E9" t="s">
        <v>151</v>
      </c>
    </row>
    <row r="10" spans="1:8" x14ac:dyDescent="0.3">
      <c r="C10" s="103" t="s">
        <v>327</v>
      </c>
      <c r="E10" t="s">
        <v>152</v>
      </c>
    </row>
    <row r="11" spans="1:8" x14ac:dyDescent="0.3">
      <c r="C11" s="103" t="s">
        <v>61</v>
      </c>
      <c r="E11" t="s">
        <v>188</v>
      </c>
    </row>
    <row r="12" spans="1:8" ht="15" thickBot="1" x14ac:dyDescent="0.35">
      <c r="C12" s="106" t="s">
        <v>181</v>
      </c>
      <c r="E12" t="s">
        <v>153</v>
      </c>
    </row>
    <row r="13" spans="1:8" x14ac:dyDescent="0.3">
      <c r="C13" s="100" t="s">
        <v>33</v>
      </c>
    </row>
    <row r="14" spans="1:8" x14ac:dyDescent="0.3">
      <c r="C14" s="103" t="s">
        <v>36</v>
      </c>
    </row>
    <row r="15" spans="1:8" x14ac:dyDescent="0.3">
      <c r="C15" s="103" t="s">
        <v>37</v>
      </c>
    </row>
    <row r="16" spans="1:8" ht="15" thickBot="1" x14ac:dyDescent="0.35">
      <c r="C16" s="106" t="s">
        <v>38</v>
      </c>
    </row>
    <row r="17" spans="3:3" x14ac:dyDescent="0.3">
      <c r="C17" s="100" t="s">
        <v>44</v>
      </c>
    </row>
    <row r="18" spans="3:3" x14ac:dyDescent="0.3">
      <c r="C18" s="103" t="s">
        <v>45</v>
      </c>
    </row>
    <row r="19" spans="3:3" x14ac:dyDescent="0.3">
      <c r="C19" s="103" t="s">
        <v>46</v>
      </c>
    </row>
    <row r="20" spans="3:3" x14ac:dyDescent="0.3">
      <c r="C20" s="103" t="s">
        <v>47</v>
      </c>
    </row>
    <row r="21" spans="3:3" ht="15" thickBot="1" x14ac:dyDescent="0.35">
      <c r="C21" s="106" t="s">
        <v>48</v>
      </c>
    </row>
    <row r="22" spans="3:3" x14ac:dyDescent="0.3">
      <c r="C22" s="100" t="s">
        <v>49</v>
      </c>
    </row>
    <row r="23" spans="3:3" x14ac:dyDescent="0.3">
      <c r="C23" s="103" t="s">
        <v>326</v>
      </c>
    </row>
    <row r="24" spans="3:3" x14ac:dyDescent="0.3">
      <c r="C24" s="103" t="s">
        <v>50</v>
      </c>
    </row>
    <row r="25" spans="3:3" x14ac:dyDescent="0.3">
      <c r="C25" s="103" t="s">
        <v>51</v>
      </c>
    </row>
    <row r="26" spans="3:3" ht="15" thickBot="1" x14ac:dyDescent="0.35">
      <c r="C26" s="106" t="s">
        <v>325</v>
      </c>
    </row>
    <row r="27" spans="3:3" x14ac:dyDescent="0.3">
      <c r="C27" s="100" t="s">
        <v>52</v>
      </c>
    </row>
    <row r="28" spans="3:3" x14ac:dyDescent="0.3">
      <c r="C28" s="103" t="s">
        <v>324</v>
      </c>
    </row>
    <row r="29" spans="3:3" x14ac:dyDescent="0.3">
      <c r="C29" s="103" t="s">
        <v>323</v>
      </c>
    </row>
    <row r="30" spans="3:3" x14ac:dyDescent="0.3">
      <c r="C30" s="103" t="s">
        <v>322</v>
      </c>
    </row>
    <row r="31" spans="3:3" ht="15" thickBot="1" x14ac:dyDescent="0.35">
      <c r="C31" s="106" t="s">
        <v>321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50"/>
  <sheetViews>
    <sheetView zoomScaleNormal="100" workbookViewId="0">
      <selection activeCell="K9" sqref="K9"/>
    </sheetView>
  </sheetViews>
  <sheetFormatPr baseColWidth="10" defaultColWidth="11.44140625" defaultRowHeight="13.2" x14ac:dyDescent="0.25"/>
  <cols>
    <col min="1" max="6" width="11.44140625" style="68"/>
    <col min="7" max="7" width="16" style="68" customWidth="1"/>
    <col min="8" max="8" width="14" style="68" customWidth="1"/>
    <col min="9" max="11" width="11.44140625" style="68"/>
    <col min="12" max="12" width="12.5546875" style="68" bestFit="1" customWidth="1"/>
    <col min="13" max="262" width="11.44140625" style="68"/>
    <col min="263" max="263" width="16" style="68" customWidth="1"/>
    <col min="264" max="264" width="14" style="68" customWidth="1"/>
    <col min="265" max="267" width="11.44140625" style="68"/>
    <col min="268" max="268" width="12.5546875" style="68" bestFit="1" customWidth="1"/>
    <col min="269" max="518" width="11.44140625" style="68"/>
    <col min="519" max="519" width="16" style="68" customWidth="1"/>
    <col min="520" max="520" width="14" style="68" customWidth="1"/>
    <col min="521" max="523" width="11.44140625" style="68"/>
    <col min="524" max="524" width="12.5546875" style="68" bestFit="1" customWidth="1"/>
    <col min="525" max="774" width="11.44140625" style="68"/>
    <col min="775" max="775" width="16" style="68" customWidth="1"/>
    <col min="776" max="776" width="14" style="68" customWidth="1"/>
    <col min="777" max="779" width="11.44140625" style="68"/>
    <col min="780" max="780" width="12.5546875" style="68" bestFit="1" customWidth="1"/>
    <col min="781" max="1030" width="11.44140625" style="68"/>
    <col min="1031" max="1031" width="16" style="68" customWidth="1"/>
    <col min="1032" max="1032" width="14" style="68" customWidth="1"/>
    <col min="1033" max="1035" width="11.44140625" style="68"/>
    <col min="1036" max="1036" width="12.5546875" style="68" bestFit="1" customWidth="1"/>
    <col min="1037" max="1286" width="11.44140625" style="68"/>
    <col min="1287" max="1287" width="16" style="68" customWidth="1"/>
    <col min="1288" max="1288" width="14" style="68" customWidth="1"/>
    <col min="1289" max="1291" width="11.44140625" style="68"/>
    <col min="1292" max="1292" width="12.5546875" style="68" bestFit="1" customWidth="1"/>
    <col min="1293" max="1542" width="11.44140625" style="68"/>
    <col min="1543" max="1543" width="16" style="68" customWidth="1"/>
    <col min="1544" max="1544" width="14" style="68" customWidth="1"/>
    <col min="1545" max="1547" width="11.44140625" style="68"/>
    <col min="1548" max="1548" width="12.5546875" style="68" bestFit="1" customWidth="1"/>
    <col min="1549" max="1798" width="11.44140625" style="68"/>
    <col min="1799" max="1799" width="16" style="68" customWidth="1"/>
    <col min="1800" max="1800" width="14" style="68" customWidth="1"/>
    <col min="1801" max="1803" width="11.44140625" style="68"/>
    <col min="1804" max="1804" width="12.5546875" style="68" bestFit="1" customWidth="1"/>
    <col min="1805" max="2054" width="11.44140625" style="68"/>
    <col min="2055" max="2055" width="16" style="68" customWidth="1"/>
    <col min="2056" max="2056" width="14" style="68" customWidth="1"/>
    <col min="2057" max="2059" width="11.44140625" style="68"/>
    <col min="2060" max="2060" width="12.5546875" style="68" bestFit="1" customWidth="1"/>
    <col min="2061" max="2310" width="11.44140625" style="68"/>
    <col min="2311" max="2311" width="16" style="68" customWidth="1"/>
    <col min="2312" max="2312" width="14" style="68" customWidth="1"/>
    <col min="2313" max="2315" width="11.44140625" style="68"/>
    <col min="2316" max="2316" width="12.5546875" style="68" bestFit="1" customWidth="1"/>
    <col min="2317" max="2566" width="11.44140625" style="68"/>
    <col min="2567" max="2567" width="16" style="68" customWidth="1"/>
    <col min="2568" max="2568" width="14" style="68" customWidth="1"/>
    <col min="2569" max="2571" width="11.44140625" style="68"/>
    <col min="2572" max="2572" width="12.5546875" style="68" bestFit="1" customWidth="1"/>
    <col min="2573" max="2822" width="11.44140625" style="68"/>
    <col min="2823" max="2823" width="16" style="68" customWidth="1"/>
    <col min="2824" max="2824" width="14" style="68" customWidth="1"/>
    <col min="2825" max="2827" width="11.44140625" style="68"/>
    <col min="2828" max="2828" width="12.5546875" style="68" bestFit="1" customWidth="1"/>
    <col min="2829" max="3078" width="11.44140625" style="68"/>
    <col min="3079" max="3079" width="16" style="68" customWidth="1"/>
    <col min="3080" max="3080" width="14" style="68" customWidth="1"/>
    <col min="3081" max="3083" width="11.44140625" style="68"/>
    <col min="3084" max="3084" width="12.5546875" style="68" bestFit="1" customWidth="1"/>
    <col min="3085" max="3334" width="11.44140625" style="68"/>
    <col min="3335" max="3335" width="16" style="68" customWidth="1"/>
    <col min="3336" max="3336" width="14" style="68" customWidth="1"/>
    <col min="3337" max="3339" width="11.44140625" style="68"/>
    <col min="3340" max="3340" width="12.5546875" style="68" bestFit="1" customWidth="1"/>
    <col min="3341" max="3590" width="11.44140625" style="68"/>
    <col min="3591" max="3591" width="16" style="68" customWidth="1"/>
    <col min="3592" max="3592" width="14" style="68" customWidth="1"/>
    <col min="3593" max="3595" width="11.44140625" style="68"/>
    <col min="3596" max="3596" width="12.5546875" style="68" bestFit="1" customWidth="1"/>
    <col min="3597" max="3846" width="11.44140625" style="68"/>
    <col min="3847" max="3847" width="16" style="68" customWidth="1"/>
    <col min="3848" max="3848" width="14" style="68" customWidth="1"/>
    <col min="3849" max="3851" width="11.44140625" style="68"/>
    <col min="3852" max="3852" width="12.5546875" style="68" bestFit="1" customWidth="1"/>
    <col min="3853" max="4102" width="11.44140625" style="68"/>
    <col min="4103" max="4103" width="16" style="68" customWidth="1"/>
    <col min="4104" max="4104" width="14" style="68" customWidth="1"/>
    <col min="4105" max="4107" width="11.44140625" style="68"/>
    <col min="4108" max="4108" width="12.5546875" style="68" bestFit="1" customWidth="1"/>
    <col min="4109" max="4358" width="11.44140625" style="68"/>
    <col min="4359" max="4359" width="16" style="68" customWidth="1"/>
    <col min="4360" max="4360" width="14" style="68" customWidth="1"/>
    <col min="4361" max="4363" width="11.44140625" style="68"/>
    <col min="4364" max="4364" width="12.5546875" style="68" bestFit="1" customWidth="1"/>
    <col min="4365" max="4614" width="11.44140625" style="68"/>
    <col min="4615" max="4615" width="16" style="68" customWidth="1"/>
    <col min="4616" max="4616" width="14" style="68" customWidth="1"/>
    <col min="4617" max="4619" width="11.44140625" style="68"/>
    <col min="4620" max="4620" width="12.5546875" style="68" bestFit="1" customWidth="1"/>
    <col min="4621" max="4870" width="11.44140625" style="68"/>
    <col min="4871" max="4871" width="16" style="68" customWidth="1"/>
    <col min="4872" max="4872" width="14" style="68" customWidth="1"/>
    <col min="4873" max="4875" width="11.44140625" style="68"/>
    <col min="4876" max="4876" width="12.5546875" style="68" bestFit="1" customWidth="1"/>
    <col min="4877" max="5126" width="11.44140625" style="68"/>
    <col min="5127" max="5127" width="16" style="68" customWidth="1"/>
    <col min="5128" max="5128" width="14" style="68" customWidth="1"/>
    <col min="5129" max="5131" width="11.44140625" style="68"/>
    <col min="5132" max="5132" width="12.5546875" style="68" bestFit="1" customWidth="1"/>
    <col min="5133" max="5382" width="11.44140625" style="68"/>
    <col min="5383" max="5383" width="16" style="68" customWidth="1"/>
    <col min="5384" max="5384" width="14" style="68" customWidth="1"/>
    <col min="5385" max="5387" width="11.44140625" style="68"/>
    <col min="5388" max="5388" width="12.5546875" style="68" bestFit="1" customWidth="1"/>
    <col min="5389" max="5638" width="11.44140625" style="68"/>
    <col min="5639" max="5639" width="16" style="68" customWidth="1"/>
    <col min="5640" max="5640" width="14" style="68" customWidth="1"/>
    <col min="5641" max="5643" width="11.44140625" style="68"/>
    <col min="5644" max="5644" width="12.5546875" style="68" bestFit="1" customWidth="1"/>
    <col min="5645" max="5894" width="11.44140625" style="68"/>
    <col min="5895" max="5895" width="16" style="68" customWidth="1"/>
    <col min="5896" max="5896" width="14" style="68" customWidth="1"/>
    <col min="5897" max="5899" width="11.44140625" style="68"/>
    <col min="5900" max="5900" width="12.5546875" style="68" bestFit="1" customWidth="1"/>
    <col min="5901" max="6150" width="11.44140625" style="68"/>
    <col min="6151" max="6151" width="16" style="68" customWidth="1"/>
    <col min="6152" max="6152" width="14" style="68" customWidth="1"/>
    <col min="6153" max="6155" width="11.44140625" style="68"/>
    <col min="6156" max="6156" width="12.5546875" style="68" bestFit="1" customWidth="1"/>
    <col min="6157" max="6406" width="11.44140625" style="68"/>
    <col min="6407" max="6407" width="16" style="68" customWidth="1"/>
    <col min="6408" max="6408" width="14" style="68" customWidth="1"/>
    <col min="6409" max="6411" width="11.44140625" style="68"/>
    <col min="6412" max="6412" width="12.5546875" style="68" bestFit="1" customWidth="1"/>
    <col min="6413" max="6662" width="11.44140625" style="68"/>
    <col min="6663" max="6663" width="16" style="68" customWidth="1"/>
    <col min="6664" max="6664" width="14" style="68" customWidth="1"/>
    <col min="6665" max="6667" width="11.44140625" style="68"/>
    <col min="6668" max="6668" width="12.5546875" style="68" bestFit="1" customWidth="1"/>
    <col min="6669" max="6918" width="11.44140625" style="68"/>
    <col min="6919" max="6919" width="16" style="68" customWidth="1"/>
    <col min="6920" max="6920" width="14" style="68" customWidth="1"/>
    <col min="6921" max="6923" width="11.44140625" style="68"/>
    <col min="6924" max="6924" width="12.5546875" style="68" bestFit="1" customWidth="1"/>
    <col min="6925" max="7174" width="11.44140625" style="68"/>
    <col min="7175" max="7175" width="16" style="68" customWidth="1"/>
    <col min="7176" max="7176" width="14" style="68" customWidth="1"/>
    <col min="7177" max="7179" width="11.44140625" style="68"/>
    <col min="7180" max="7180" width="12.5546875" style="68" bestFit="1" customWidth="1"/>
    <col min="7181" max="7430" width="11.44140625" style="68"/>
    <col min="7431" max="7431" width="16" style="68" customWidth="1"/>
    <col min="7432" max="7432" width="14" style="68" customWidth="1"/>
    <col min="7433" max="7435" width="11.44140625" style="68"/>
    <col min="7436" max="7436" width="12.5546875" style="68" bestFit="1" customWidth="1"/>
    <col min="7437" max="7686" width="11.44140625" style="68"/>
    <col min="7687" max="7687" width="16" style="68" customWidth="1"/>
    <col min="7688" max="7688" width="14" style="68" customWidth="1"/>
    <col min="7689" max="7691" width="11.44140625" style="68"/>
    <col min="7692" max="7692" width="12.5546875" style="68" bestFit="1" customWidth="1"/>
    <col min="7693" max="7942" width="11.44140625" style="68"/>
    <col min="7943" max="7943" width="16" style="68" customWidth="1"/>
    <col min="7944" max="7944" width="14" style="68" customWidth="1"/>
    <col min="7945" max="7947" width="11.44140625" style="68"/>
    <col min="7948" max="7948" width="12.5546875" style="68" bestFit="1" customWidth="1"/>
    <col min="7949" max="8198" width="11.44140625" style="68"/>
    <col min="8199" max="8199" width="16" style="68" customWidth="1"/>
    <col min="8200" max="8200" width="14" style="68" customWidth="1"/>
    <col min="8201" max="8203" width="11.44140625" style="68"/>
    <col min="8204" max="8204" width="12.5546875" style="68" bestFit="1" customWidth="1"/>
    <col min="8205" max="8454" width="11.44140625" style="68"/>
    <col min="8455" max="8455" width="16" style="68" customWidth="1"/>
    <col min="8456" max="8456" width="14" style="68" customWidth="1"/>
    <col min="8457" max="8459" width="11.44140625" style="68"/>
    <col min="8460" max="8460" width="12.5546875" style="68" bestFit="1" customWidth="1"/>
    <col min="8461" max="8710" width="11.44140625" style="68"/>
    <col min="8711" max="8711" width="16" style="68" customWidth="1"/>
    <col min="8712" max="8712" width="14" style="68" customWidth="1"/>
    <col min="8713" max="8715" width="11.44140625" style="68"/>
    <col min="8716" max="8716" width="12.5546875" style="68" bestFit="1" customWidth="1"/>
    <col min="8717" max="8966" width="11.44140625" style="68"/>
    <col min="8967" max="8967" width="16" style="68" customWidth="1"/>
    <col min="8968" max="8968" width="14" style="68" customWidth="1"/>
    <col min="8969" max="8971" width="11.44140625" style="68"/>
    <col min="8972" max="8972" width="12.5546875" style="68" bestFit="1" customWidth="1"/>
    <col min="8973" max="9222" width="11.44140625" style="68"/>
    <col min="9223" max="9223" width="16" style="68" customWidth="1"/>
    <col min="9224" max="9224" width="14" style="68" customWidth="1"/>
    <col min="9225" max="9227" width="11.44140625" style="68"/>
    <col min="9228" max="9228" width="12.5546875" style="68" bestFit="1" customWidth="1"/>
    <col min="9229" max="9478" width="11.44140625" style="68"/>
    <col min="9479" max="9479" width="16" style="68" customWidth="1"/>
    <col min="9480" max="9480" width="14" style="68" customWidth="1"/>
    <col min="9481" max="9483" width="11.44140625" style="68"/>
    <col min="9484" max="9484" width="12.5546875" style="68" bestFit="1" customWidth="1"/>
    <col min="9485" max="9734" width="11.44140625" style="68"/>
    <col min="9735" max="9735" width="16" style="68" customWidth="1"/>
    <col min="9736" max="9736" width="14" style="68" customWidth="1"/>
    <col min="9737" max="9739" width="11.44140625" style="68"/>
    <col min="9740" max="9740" width="12.5546875" style="68" bestFit="1" customWidth="1"/>
    <col min="9741" max="9990" width="11.44140625" style="68"/>
    <col min="9991" max="9991" width="16" style="68" customWidth="1"/>
    <col min="9992" max="9992" width="14" style="68" customWidth="1"/>
    <col min="9993" max="9995" width="11.44140625" style="68"/>
    <col min="9996" max="9996" width="12.5546875" style="68" bestFit="1" customWidth="1"/>
    <col min="9997" max="10246" width="11.44140625" style="68"/>
    <col min="10247" max="10247" width="16" style="68" customWidth="1"/>
    <col min="10248" max="10248" width="14" style="68" customWidth="1"/>
    <col min="10249" max="10251" width="11.44140625" style="68"/>
    <col min="10252" max="10252" width="12.5546875" style="68" bestFit="1" customWidth="1"/>
    <col min="10253" max="10502" width="11.44140625" style="68"/>
    <col min="10503" max="10503" width="16" style="68" customWidth="1"/>
    <col min="10504" max="10504" width="14" style="68" customWidth="1"/>
    <col min="10505" max="10507" width="11.44140625" style="68"/>
    <col min="10508" max="10508" width="12.5546875" style="68" bestFit="1" customWidth="1"/>
    <col min="10509" max="10758" width="11.44140625" style="68"/>
    <col min="10759" max="10759" width="16" style="68" customWidth="1"/>
    <col min="10760" max="10760" width="14" style="68" customWidth="1"/>
    <col min="10761" max="10763" width="11.44140625" style="68"/>
    <col min="10764" max="10764" width="12.5546875" style="68" bestFit="1" customWidth="1"/>
    <col min="10765" max="11014" width="11.44140625" style="68"/>
    <col min="11015" max="11015" width="16" style="68" customWidth="1"/>
    <col min="11016" max="11016" width="14" style="68" customWidth="1"/>
    <col min="11017" max="11019" width="11.44140625" style="68"/>
    <col min="11020" max="11020" width="12.5546875" style="68" bestFit="1" customWidth="1"/>
    <col min="11021" max="11270" width="11.44140625" style="68"/>
    <col min="11271" max="11271" width="16" style="68" customWidth="1"/>
    <col min="11272" max="11272" width="14" style="68" customWidth="1"/>
    <col min="11273" max="11275" width="11.44140625" style="68"/>
    <col min="11276" max="11276" width="12.5546875" style="68" bestFit="1" customWidth="1"/>
    <col min="11277" max="11526" width="11.44140625" style="68"/>
    <col min="11527" max="11527" width="16" style="68" customWidth="1"/>
    <col min="11528" max="11528" width="14" style="68" customWidth="1"/>
    <col min="11529" max="11531" width="11.44140625" style="68"/>
    <col min="11532" max="11532" width="12.5546875" style="68" bestFit="1" customWidth="1"/>
    <col min="11533" max="11782" width="11.44140625" style="68"/>
    <col min="11783" max="11783" width="16" style="68" customWidth="1"/>
    <col min="11784" max="11784" width="14" style="68" customWidth="1"/>
    <col min="11785" max="11787" width="11.44140625" style="68"/>
    <col min="11788" max="11788" width="12.5546875" style="68" bestFit="1" customWidth="1"/>
    <col min="11789" max="12038" width="11.44140625" style="68"/>
    <col min="12039" max="12039" width="16" style="68" customWidth="1"/>
    <col min="12040" max="12040" width="14" style="68" customWidth="1"/>
    <col min="12041" max="12043" width="11.44140625" style="68"/>
    <col min="12044" max="12044" width="12.5546875" style="68" bestFit="1" customWidth="1"/>
    <col min="12045" max="12294" width="11.44140625" style="68"/>
    <col min="12295" max="12295" width="16" style="68" customWidth="1"/>
    <col min="12296" max="12296" width="14" style="68" customWidth="1"/>
    <col min="12297" max="12299" width="11.44140625" style="68"/>
    <col min="12300" max="12300" width="12.5546875" style="68" bestFit="1" customWidth="1"/>
    <col min="12301" max="12550" width="11.44140625" style="68"/>
    <col min="12551" max="12551" width="16" style="68" customWidth="1"/>
    <col min="12552" max="12552" width="14" style="68" customWidth="1"/>
    <col min="12553" max="12555" width="11.44140625" style="68"/>
    <col min="12556" max="12556" width="12.5546875" style="68" bestFit="1" customWidth="1"/>
    <col min="12557" max="12806" width="11.44140625" style="68"/>
    <col min="12807" max="12807" width="16" style="68" customWidth="1"/>
    <col min="12808" max="12808" width="14" style="68" customWidth="1"/>
    <col min="12809" max="12811" width="11.44140625" style="68"/>
    <col min="12812" max="12812" width="12.5546875" style="68" bestFit="1" customWidth="1"/>
    <col min="12813" max="13062" width="11.44140625" style="68"/>
    <col min="13063" max="13063" width="16" style="68" customWidth="1"/>
    <col min="13064" max="13064" width="14" style="68" customWidth="1"/>
    <col min="13065" max="13067" width="11.44140625" style="68"/>
    <col min="13068" max="13068" width="12.5546875" style="68" bestFit="1" customWidth="1"/>
    <col min="13069" max="13318" width="11.44140625" style="68"/>
    <col min="13319" max="13319" width="16" style="68" customWidth="1"/>
    <col min="13320" max="13320" width="14" style="68" customWidth="1"/>
    <col min="13321" max="13323" width="11.44140625" style="68"/>
    <col min="13324" max="13324" width="12.5546875" style="68" bestFit="1" customWidth="1"/>
    <col min="13325" max="13574" width="11.44140625" style="68"/>
    <col min="13575" max="13575" width="16" style="68" customWidth="1"/>
    <col min="13576" max="13576" width="14" style="68" customWidth="1"/>
    <col min="13577" max="13579" width="11.44140625" style="68"/>
    <col min="13580" max="13580" width="12.5546875" style="68" bestFit="1" customWidth="1"/>
    <col min="13581" max="13830" width="11.44140625" style="68"/>
    <col min="13831" max="13831" width="16" style="68" customWidth="1"/>
    <col min="13832" max="13832" width="14" style="68" customWidth="1"/>
    <col min="13833" max="13835" width="11.44140625" style="68"/>
    <col min="13836" max="13836" width="12.5546875" style="68" bestFit="1" customWidth="1"/>
    <col min="13837" max="14086" width="11.44140625" style="68"/>
    <col min="14087" max="14087" width="16" style="68" customWidth="1"/>
    <col min="14088" max="14088" width="14" style="68" customWidth="1"/>
    <col min="14089" max="14091" width="11.44140625" style="68"/>
    <col min="14092" max="14092" width="12.5546875" style="68" bestFit="1" customWidth="1"/>
    <col min="14093" max="14342" width="11.44140625" style="68"/>
    <col min="14343" max="14343" width="16" style="68" customWidth="1"/>
    <col min="14344" max="14344" width="14" style="68" customWidth="1"/>
    <col min="14345" max="14347" width="11.44140625" style="68"/>
    <col min="14348" max="14348" width="12.5546875" style="68" bestFit="1" customWidth="1"/>
    <col min="14349" max="14598" width="11.44140625" style="68"/>
    <col min="14599" max="14599" width="16" style="68" customWidth="1"/>
    <col min="14600" max="14600" width="14" style="68" customWidth="1"/>
    <col min="14601" max="14603" width="11.44140625" style="68"/>
    <col min="14604" max="14604" width="12.5546875" style="68" bestFit="1" customWidth="1"/>
    <col min="14605" max="14854" width="11.44140625" style="68"/>
    <col min="14855" max="14855" width="16" style="68" customWidth="1"/>
    <col min="14856" max="14856" width="14" style="68" customWidth="1"/>
    <col min="14857" max="14859" width="11.44140625" style="68"/>
    <col min="14860" max="14860" width="12.5546875" style="68" bestFit="1" customWidth="1"/>
    <col min="14861" max="15110" width="11.44140625" style="68"/>
    <col min="15111" max="15111" width="16" style="68" customWidth="1"/>
    <col min="15112" max="15112" width="14" style="68" customWidth="1"/>
    <col min="15113" max="15115" width="11.44140625" style="68"/>
    <col min="15116" max="15116" width="12.5546875" style="68" bestFit="1" customWidth="1"/>
    <col min="15117" max="15366" width="11.44140625" style="68"/>
    <col min="15367" max="15367" width="16" style="68" customWidth="1"/>
    <col min="15368" max="15368" width="14" style="68" customWidth="1"/>
    <col min="15369" max="15371" width="11.44140625" style="68"/>
    <col min="15372" max="15372" width="12.5546875" style="68" bestFit="1" customWidth="1"/>
    <col min="15373" max="15622" width="11.44140625" style="68"/>
    <col min="15623" max="15623" width="16" style="68" customWidth="1"/>
    <col min="15624" max="15624" width="14" style="68" customWidth="1"/>
    <col min="15625" max="15627" width="11.44140625" style="68"/>
    <col min="15628" max="15628" width="12.5546875" style="68" bestFit="1" customWidth="1"/>
    <col min="15629" max="15878" width="11.44140625" style="68"/>
    <col min="15879" max="15879" width="16" style="68" customWidth="1"/>
    <col min="15880" max="15880" width="14" style="68" customWidth="1"/>
    <col min="15881" max="15883" width="11.44140625" style="68"/>
    <col min="15884" max="15884" width="12.5546875" style="68" bestFit="1" customWidth="1"/>
    <col min="15885" max="16134" width="11.44140625" style="68"/>
    <col min="16135" max="16135" width="16" style="68" customWidth="1"/>
    <col min="16136" max="16136" width="14" style="68" customWidth="1"/>
    <col min="16137" max="16139" width="11.44140625" style="68"/>
    <col min="16140" max="16140" width="12.5546875" style="68" bestFit="1" customWidth="1"/>
    <col min="16141" max="16384" width="11.44140625" style="68"/>
  </cols>
  <sheetData>
    <row r="1" spans="1:12" ht="52.5" customHeight="1" thickBot="1" x14ac:dyDescent="0.3">
      <c r="A1" s="411" t="s">
        <v>214</v>
      </c>
      <c r="B1" s="412"/>
      <c r="C1" s="412"/>
      <c r="D1" s="412"/>
      <c r="E1" s="412"/>
      <c r="F1" s="412"/>
      <c r="G1" s="412"/>
      <c r="H1" s="413"/>
    </row>
    <row r="2" spans="1:12" ht="13.8" thickBot="1" x14ac:dyDescent="0.3"/>
    <row r="3" spans="1:12" ht="13.8" thickBot="1" x14ac:dyDescent="0.3">
      <c r="A3" s="414" t="s">
        <v>189</v>
      </c>
      <c r="B3" s="417" t="s">
        <v>190</v>
      </c>
      <c r="C3" s="418"/>
      <c r="D3" s="418"/>
      <c r="E3" s="418"/>
      <c r="F3" s="418"/>
      <c r="G3" s="419"/>
      <c r="H3" s="420" t="s">
        <v>191</v>
      </c>
    </row>
    <row r="4" spans="1:12" ht="13.8" thickBot="1" x14ac:dyDescent="0.3">
      <c r="A4" s="415"/>
      <c r="B4" s="69" t="s">
        <v>192</v>
      </c>
      <c r="C4" s="69" t="s">
        <v>193</v>
      </c>
      <c r="D4" s="69" t="s">
        <v>194</v>
      </c>
      <c r="E4" s="69" t="s">
        <v>192</v>
      </c>
      <c r="F4" s="69" t="s">
        <v>193</v>
      </c>
      <c r="G4" s="70" t="s">
        <v>194</v>
      </c>
      <c r="H4" s="421"/>
    </row>
    <row r="5" spans="1:12" ht="13.8" thickBot="1" x14ac:dyDescent="0.3">
      <c r="A5" s="415"/>
      <c r="B5" s="69" t="s">
        <v>195</v>
      </c>
      <c r="C5" s="69" t="s">
        <v>195</v>
      </c>
      <c r="D5" s="69" t="s">
        <v>195</v>
      </c>
      <c r="E5" s="69" t="s">
        <v>195</v>
      </c>
      <c r="F5" s="69" t="s">
        <v>195</v>
      </c>
      <c r="G5" s="69" t="s">
        <v>195</v>
      </c>
      <c r="H5" s="421"/>
    </row>
    <row r="6" spans="1:12" ht="128.25" customHeight="1" thickBot="1" x14ac:dyDescent="0.3">
      <c r="A6" s="416"/>
      <c r="B6" s="71" t="s">
        <v>196</v>
      </c>
      <c r="C6" s="72" t="s">
        <v>197</v>
      </c>
      <c r="D6" s="72" t="s">
        <v>198</v>
      </c>
      <c r="E6" s="71" t="s">
        <v>199</v>
      </c>
      <c r="F6" s="72" t="s">
        <v>200</v>
      </c>
      <c r="G6" s="72" t="s">
        <v>201</v>
      </c>
      <c r="H6" s="422"/>
    </row>
    <row r="7" spans="1:12" ht="13.8" thickBot="1" x14ac:dyDescent="0.3">
      <c r="A7" s="69" t="s">
        <v>92</v>
      </c>
      <c r="B7" s="417" t="s">
        <v>202</v>
      </c>
      <c r="C7" s="418"/>
      <c r="D7" s="419"/>
      <c r="E7" s="417" t="s">
        <v>203</v>
      </c>
      <c r="F7" s="418"/>
      <c r="G7" s="419"/>
      <c r="H7" s="69" t="s">
        <v>204</v>
      </c>
    </row>
    <row r="8" spans="1:12" x14ac:dyDescent="0.25">
      <c r="A8" s="73">
        <v>0.82</v>
      </c>
      <c r="B8" s="74"/>
      <c r="C8" s="73"/>
      <c r="D8" s="74">
        <v>18</v>
      </c>
      <c r="E8" s="73"/>
      <c r="F8" s="74"/>
      <c r="G8" s="73"/>
      <c r="H8" s="75">
        <v>18</v>
      </c>
    </row>
    <row r="9" spans="1:12" x14ac:dyDescent="0.25">
      <c r="A9" s="76">
        <v>1.31</v>
      </c>
      <c r="B9" s="77"/>
      <c r="C9" s="76"/>
      <c r="D9" s="77">
        <v>24</v>
      </c>
      <c r="E9" s="76"/>
      <c r="F9" s="77"/>
      <c r="G9" s="76"/>
      <c r="H9" s="78">
        <v>16</v>
      </c>
    </row>
    <row r="10" spans="1:12" x14ac:dyDescent="0.25">
      <c r="A10" s="76">
        <v>2.08</v>
      </c>
      <c r="B10" s="77">
        <v>25</v>
      </c>
      <c r="C10" s="76">
        <v>30</v>
      </c>
      <c r="D10" s="77">
        <v>35</v>
      </c>
      <c r="E10" s="76"/>
      <c r="F10" s="77"/>
      <c r="G10" s="76"/>
      <c r="H10" s="78">
        <v>14</v>
      </c>
    </row>
    <row r="11" spans="1:12" x14ac:dyDescent="0.25">
      <c r="A11" s="76">
        <v>3.3</v>
      </c>
      <c r="B11" s="77">
        <v>30</v>
      </c>
      <c r="C11" s="76">
        <v>35</v>
      </c>
      <c r="D11" s="77">
        <v>40</v>
      </c>
      <c r="E11" s="76">
        <v>25</v>
      </c>
      <c r="F11" s="77">
        <v>30</v>
      </c>
      <c r="G11" s="76">
        <v>35</v>
      </c>
      <c r="H11" s="78">
        <v>12</v>
      </c>
    </row>
    <row r="12" spans="1:12" x14ac:dyDescent="0.25">
      <c r="A12" s="76">
        <v>5.25</v>
      </c>
      <c r="B12" s="77">
        <v>40</v>
      </c>
      <c r="C12" s="76">
        <v>50</v>
      </c>
      <c r="D12" s="77">
        <v>55</v>
      </c>
      <c r="E12" s="76">
        <v>35</v>
      </c>
      <c r="F12" s="77">
        <v>40</v>
      </c>
      <c r="G12" s="76">
        <v>40</v>
      </c>
      <c r="H12" s="78">
        <v>10</v>
      </c>
      <c r="L12" s="68">
        <f>A17/3.14</f>
        <v>10.70700636942675</v>
      </c>
    </row>
    <row r="13" spans="1:12" ht="13.8" thickBot="1" x14ac:dyDescent="0.3">
      <c r="A13" s="79">
        <v>8.36</v>
      </c>
      <c r="B13" s="80">
        <v>60</v>
      </c>
      <c r="C13" s="79">
        <v>70</v>
      </c>
      <c r="D13" s="80">
        <v>80</v>
      </c>
      <c r="E13" s="79">
        <v>45</v>
      </c>
      <c r="F13" s="80">
        <v>55</v>
      </c>
      <c r="G13" s="79">
        <v>60</v>
      </c>
      <c r="H13" s="81">
        <v>8</v>
      </c>
      <c r="L13" s="68">
        <f>SQRT(L12)</f>
        <v>3.2721562263172506</v>
      </c>
    </row>
    <row r="14" spans="1:12" x14ac:dyDescent="0.25">
      <c r="A14" s="82">
        <v>13.29</v>
      </c>
      <c r="B14" s="74">
        <v>80</v>
      </c>
      <c r="C14" s="82">
        <v>95</v>
      </c>
      <c r="D14" s="74">
        <v>105</v>
      </c>
      <c r="E14" s="82">
        <v>60</v>
      </c>
      <c r="F14" s="74">
        <v>75</v>
      </c>
      <c r="G14" s="82">
        <v>80</v>
      </c>
      <c r="H14" s="75">
        <v>6</v>
      </c>
      <c r="L14" s="68">
        <f>L13*2</f>
        <v>6.5443124526345011</v>
      </c>
    </row>
    <row r="15" spans="1:12" x14ac:dyDescent="0.25">
      <c r="A15" s="76">
        <v>21.14</v>
      </c>
      <c r="B15" s="77">
        <v>105</v>
      </c>
      <c r="C15" s="76">
        <v>125</v>
      </c>
      <c r="D15" s="77">
        <v>140</v>
      </c>
      <c r="E15" s="76">
        <v>80</v>
      </c>
      <c r="F15" s="77">
        <v>100</v>
      </c>
      <c r="G15" s="76">
        <v>110</v>
      </c>
      <c r="H15" s="78">
        <v>4</v>
      </c>
    </row>
    <row r="16" spans="1:12" x14ac:dyDescent="0.25">
      <c r="A16" s="76">
        <v>26.66</v>
      </c>
      <c r="B16" s="77">
        <v>120</v>
      </c>
      <c r="C16" s="76">
        <v>145</v>
      </c>
      <c r="D16" s="77">
        <v>165</v>
      </c>
      <c r="E16" s="76">
        <v>95</v>
      </c>
      <c r="F16" s="77">
        <v>115</v>
      </c>
      <c r="G16" s="76">
        <v>130</v>
      </c>
      <c r="H16" s="78">
        <v>3</v>
      </c>
    </row>
    <row r="17" spans="1:8" x14ac:dyDescent="0.25">
      <c r="A17" s="76">
        <v>33.619999999999997</v>
      </c>
      <c r="B17" s="77">
        <v>140</v>
      </c>
      <c r="C17" s="76">
        <v>170</v>
      </c>
      <c r="D17" s="77">
        <v>190</v>
      </c>
      <c r="E17" s="76">
        <v>110</v>
      </c>
      <c r="F17" s="77">
        <v>135</v>
      </c>
      <c r="G17" s="76">
        <v>150</v>
      </c>
      <c r="H17" s="78">
        <v>2</v>
      </c>
    </row>
    <row r="18" spans="1:8" ht="13.8" thickBot="1" x14ac:dyDescent="0.3">
      <c r="A18" s="79">
        <v>42.2</v>
      </c>
      <c r="B18" s="80">
        <v>165</v>
      </c>
      <c r="C18" s="79">
        <v>195</v>
      </c>
      <c r="D18" s="80">
        <v>220</v>
      </c>
      <c r="E18" s="79">
        <v>130</v>
      </c>
      <c r="F18" s="80">
        <v>155</v>
      </c>
      <c r="G18" s="79">
        <v>175</v>
      </c>
      <c r="H18" s="81">
        <v>1</v>
      </c>
    </row>
    <row r="19" spans="1:8" x14ac:dyDescent="0.25">
      <c r="A19" s="82">
        <v>53.5</v>
      </c>
      <c r="B19" s="74">
        <v>195</v>
      </c>
      <c r="C19" s="82">
        <v>230</v>
      </c>
      <c r="D19" s="74">
        <v>260</v>
      </c>
      <c r="E19" s="82">
        <v>150</v>
      </c>
      <c r="F19" s="74">
        <v>180</v>
      </c>
      <c r="G19" s="82">
        <v>205</v>
      </c>
      <c r="H19" s="75" t="s">
        <v>205</v>
      </c>
    </row>
    <row r="20" spans="1:8" x14ac:dyDescent="0.25">
      <c r="A20" s="76">
        <v>67.44</v>
      </c>
      <c r="B20" s="77">
        <v>225</v>
      </c>
      <c r="C20" s="76">
        <v>265</v>
      </c>
      <c r="D20" s="77">
        <v>300</v>
      </c>
      <c r="E20" s="76">
        <v>175</v>
      </c>
      <c r="F20" s="77">
        <v>210</v>
      </c>
      <c r="G20" s="76">
        <v>235</v>
      </c>
      <c r="H20" s="78" t="s">
        <v>206</v>
      </c>
    </row>
    <row r="21" spans="1:8" x14ac:dyDescent="0.25">
      <c r="A21" s="76">
        <v>85.02</v>
      </c>
      <c r="B21" s="77">
        <v>260</v>
      </c>
      <c r="C21" s="76">
        <v>310</v>
      </c>
      <c r="D21" s="77">
        <v>350</v>
      </c>
      <c r="E21" s="76">
        <v>200</v>
      </c>
      <c r="F21" s="77">
        <v>240</v>
      </c>
      <c r="G21" s="76">
        <v>275</v>
      </c>
      <c r="H21" s="78" t="s">
        <v>207</v>
      </c>
    </row>
    <row r="22" spans="1:8" ht="13.8" thickBot="1" x14ac:dyDescent="0.3">
      <c r="A22" s="79">
        <v>107.21</v>
      </c>
      <c r="B22" s="80">
        <v>300</v>
      </c>
      <c r="C22" s="79">
        <v>360</v>
      </c>
      <c r="D22" s="80">
        <v>405</v>
      </c>
      <c r="E22" s="79">
        <v>135</v>
      </c>
      <c r="F22" s="80">
        <v>280</v>
      </c>
      <c r="G22" s="79">
        <v>315</v>
      </c>
      <c r="H22" s="81" t="s">
        <v>133</v>
      </c>
    </row>
    <row r="23" spans="1:8" x14ac:dyDescent="0.25">
      <c r="A23" s="82">
        <v>126.67</v>
      </c>
      <c r="B23" s="74">
        <v>340</v>
      </c>
      <c r="C23" s="82">
        <v>405</v>
      </c>
      <c r="D23" s="74">
        <v>455</v>
      </c>
      <c r="E23" s="82">
        <v>265</v>
      </c>
      <c r="F23" s="74">
        <v>315</v>
      </c>
      <c r="G23" s="82">
        <v>355</v>
      </c>
      <c r="H23" s="75">
        <v>250</v>
      </c>
    </row>
    <row r="24" spans="1:8" x14ac:dyDescent="0.25">
      <c r="A24" s="76">
        <v>152.01</v>
      </c>
      <c r="B24" s="77">
        <v>375</v>
      </c>
      <c r="C24" s="76">
        <v>445</v>
      </c>
      <c r="D24" s="77">
        <v>505</v>
      </c>
      <c r="E24" s="76">
        <v>290</v>
      </c>
      <c r="F24" s="77">
        <v>350</v>
      </c>
      <c r="G24" s="76">
        <v>395</v>
      </c>
      <c r="H24" s="78">
        <v>300</v>
      </c>
    </row>
    <row r="25" spans="1:8" x14ac:dyDescent="0.25">
      <c r="A25" s="76">
        <v>177.34</v>
      </c>
      <c r="B25" s="77">
        <v>420</v>
      </c>
      <c r="C25" s="76">
        <v>505</v>
      </c>
      <c r="D25" s="77">
        <v>570</v>
      </c>
      <c r="E25" s="76">
        <v>330</v>
      </c>
      <c r="F25" s="77">
        <v>395</v>
      </c>
      <c r="G25" s="76">
        <v>445</v>
      </c>
      <c r="H25" s="78">
        <v>350</v>
      </c>
    </row>
    <row r="26" spans="1:8" x14ac:dyDescent="0.25">
      <c r="A26" s="76">
        <v>202.68</v>
      </c>
      <c r="B26" s="77">
        <v>455</v>
      </c>
      <c r="C26" s="76">
        <v>545</v>
      </c>
      <c r="D26" s="77">
        <v>615</v>
      </c>
      <c r="E26" s="76">
        <v>355</v>
      </c>
      <c r="F26" s="77">
        <v>425</v>
      </c>
      <c r="G26" s="76">
        <v>480</v>
      </c>
      <c r="H26" s="78">
        <v>400</v>
      </c>
    </row>
    <row r="27" spans="1:8" ht="13.8" thickBot="1" x14ac:dyDescent="0.3">
      <c r="A27" s="79">
        <v>253.35</v>
      </c>
      <c r="B27" s="80">
        <v>515</v>
      </c>
      <c r="C27" s="79">
        <v>620</v>
      </c>
      <c r="D27" s="80">
        <v>700</v>
      </c>
      <c r="E27" s="79">
        <v>405</v>
      </c>
      <c r="F27" s="80">
        <v>485</v>
      </c>
      <c r="G27" s="79">
        <v>545</v>
      </c>
      <c r="H27" s="81">
        <v>500</v>
      </c>
    </row>
    <row r="28" spans="1:8" x14ac:dyDescent="0.25">
      <c r="A28" s="82">
        <v>304.02</v>
      </c>
      <c r="B28" s="74">
        <v>575</v>
      </c>
      <c r="C28" s="82">
        <v>690</v>
      </c>
      <c r="D28" s="74">
        <v>780</v>
      </c>
      <c r="E28" s="82">
        <v>455</v>
      </c>
      <c r="F28" s="74">
        <v>540</v>
      </c>
      <c r="G28" s="82">
        <v>615</v>
      </c>
      <c r="H28" s="75">
        <v>600</v>
      </c>
    </row>
    <row r="29" spans="1:8" x14ac:dyDescent="0.25">
      <c r="A29" s="76">
        <v>354.69</v>
      </c>
      <c r="B29" s="77">
        <v>630</v>
      </c>
      <c r="C29" s="76">
        <v>755</v>
      </c>
      <c r="D29" s="77">
        <v>855</v>
      </c>
      <c r="E29" s="76">
        <v>500</v>
      </c>
      <c r="F29" s="77">
        <v>595</v>
      </c>
      <c r="G29" s="76">
        <v>675</v>
      </c>
      <c r="H29" s="78">
        <v>700</v>
      </c>
    </row>
    <row r="30" spans="1:8" x14ac:dyDescent="0.25">
      <c r="A30" s="76">
        <v>380.02</v>
      </c>
      <c r="B30" s="77">
        <v>655</v>
      </c>
      <c r="C30" s="76">
        <v>785</v>
      </c>
      <c r="D30" s="77">
        <v>855</v>
      </c>
      <c r="E30" s="76">
        <v>515</v>
      </c>
      <c r="F30" s="77">
        <v>620</v>
      </c>
      <c r="G30" s="76">
        <v>700</v>
      </c>
      <c r="H30" s="78">
        <v>750</v>
      </c>
    </row>
    <row r="31" spans="1:8" x14ac:dyDescent="0.25">
      <c r="A31" s="76">
        <v>405.36</v>
      </c>
      <c r="B31" s="77">
        <v>680</v>
      </c>
      <c r="C31" s="76">
        <v>815</v>
      </c>
      <c r="D31" s="77">
        <v>920</v>
      </c>
      <c r="E31" s="76">
        <v>535</v>
      </c>
      <c r="F31" s="77">
        <v>645</v>
      </c>
      <c r="G31" s="76">
        <v>725</v>
      </c>
      <c r="H31" s="78">
        <v>800</v>
      </c>
    </row>
    <row r="32" spans="1:8" ht="13.8" thickBot="1" x14ac:dyDescent="0.3">
      <c r="A32" s="79">
        <v>456.03</v>
      </c>
      <c r="B32" s="80">
        <v>730</v>
      </c>
      <c r="C32" s="79">
        <v>870</v>
      </c>
      <c r="D32" s="80">
        <v>985</v>
      </c>
      <c r="E32" s="79">
        <v>580</v>
      </c>
      <c r="F32" s="80">
        <v>700</v>
      </c>
      <c r="G32" s="79">
        <v>785</v>
      </c>
      <c r="H32" s="81">
        <v>900</v>
      </c>
    </row>
    <row r="33" spans="1:8" x14ac:dyDescent="0.25">
      <c r="A33" s="82">
        <v>506.7</v>
      </c>
      <c r="B33" s="74">
        <v>780</v>
      </c>
      <c r="C33" s="82">
        <v>935</v>
      </c>
      <c r="D33" s="74">
        <v>1055</v>
      </c>
      <c r="E33" s="82">
        <v>625</v>
      </c>
      <c r="F33" s="74">
        <v>750</v>
      </c>
      <c r="G33" s="82">
        <v>845</v>
      </c>
      <c r="H33" s="75">
        <v>1000</v>
      </c>
    </row>
    <row r="34" spans="1:8" x14ac:dyDescent="0.25">
      <c r="A34" s="76">
        <v>633.38</v>
      </c>
      <c r="B34" s="77">
        <v>890</v>
      </c>
      <c r="C34" s="76">
        <v>1065</v>
      </c>
      <c r="D34" s="77">
        <v>1200</v>
      </c>
      <c r="E34" s="76">
        <v>710</v>
      </c>
      <c r="F34" s="77">
        <v>855</v>
      </c>
      <c r="G34" s="76">
        <v>960</v>
      </c>
      <c r="H34" s="78">
        <v>1250</v>
      </c>
    </row>
    <row r="35" spans="1:8" x14ac:dyDescent="0.25">
      <c r="A35" s="76">
        <v>760.05</v>
      </c>
      <c r="B35" s="77">
        <v>980</v>
      </c>
      <c r="C35" s="76">
        <v>1175</v>
      </c>
      <c r="D35" s="77">
        <v>1325</v>
      </c>
      <c r="E35" s="76">
        <v>795</v>
      </c>
      <c r="F35" s="77">
        <v>950</v>
      </c>
      <c r="G35" s="76">
        <v>1075</v>
      </c>
      <c r="H35" s="78">
        <v>1500</v>
      </c>
    </row>
    <row r="36" spans="1:8" x14ac:dyDescent="0.25">
      <c r="A36" s="76">
        <v>886.73</v>
      </c>
      <c r="B36" s="77">
        <v>1070</v>
      </c>
      <c r="C36" s="76">
        <v>1280</v>
      </c>
      <c r="D36" s="77">
        <v>1445</v>
      </c>
      <c r="E36" s="76">
        <v>875</v>
      </c>
      <c r="F36" s="77">
        <v>1050</v>
      </c>
      <c r="G36" s="76">
        <v>1185</v>
      </c>
      <c r="H36" s="78">
        <v>1750</v>
      </c>
    </row>
    <row r="37" spans="1:8" ht="13.8" thickBot="1" x14ac:dyDescent="0.3">
      <c r="A37" s="79">
        <v>1013.04</v>
      </c>
      <c r="B37" s="80">
        <v>1155</v>
      </c>
      <c r="C37" s="79">
        <v>1385</v>
      </c>
      <c r="D37" s="80">
        <v>1560</v>
      </c>
      <c r="E37" s="79">
        <v>960</v>
      </c>
      <c r="F37" s="80">
        <v>1150</v>
      </c>
      <c r="G37" s="79">
        <v>1335</v>
      </c>
      <c r="H37" s="81">
        <v>2000</v>
      </c>
    </row>
    <row r="38" spans="1:8" ht="13.8" thickBot="1" x14ac:dyDescent="0.3"/>
    <row r="39" spans="1:8" ht="13.8" thickBot="1" x14ac:dyDescent="0.3">
      <c r="A39" s="407" t="s">
        <v>208</v>
      </c>
      <c r="B39" s="408"/>
      <c r="C39" s="408"/>
      <c r="D39" s="408"/>
      <c r="E39" s="408"/>
      <c r="F39" s="408"/>
      <c r="G39" s="408"/>
      <c r="H39" s="409"/>
    </row>
    <row r="40" spans="1:8" ht="38.25" customHeight="1" thickBot="1" x14ac:dyDescent="0.3">
      <c r="A40" s="83" t="s">
        <v>209</v>
      </c>
      <c r="B40" s="410" t="s">
        <v>210</v>
      </c>
      <c r="C40" s="410"/>
      <c r="D40" s="410"/>
      <c r="E40" s="410"/>
      <c r="F40" s="410"/>
      <c r="G40" s="410"/>
      <c r="H40" s="83" t="s">
        <v>209</v>
      </c>
    </row>
    <row r="41" spans="1:8" x14ac:dyDescent="0.25">
      <c r="A41" s="84" t="s">
        <v>2</v>
      </c>
      <c r="B41" s="85">
        <v>1.08</v>
      </c>
      <c r="C41" s="84">
        <v>1.05</v>
      </c>
      <c r="D41" s="85">
        <v>1.04</v>
      </c>
      <c r="E41" s="84">
        <v>1.08</v>
      </c>
      <c r="F41" s="85">
        <v>1.05</v>
      </c>
      <c r="G41" s="84">
        <v>1.04</v>
      </c>
      <c r="H41" s="86" t="s">
        <v>2</v>
      </c>
    </row>
    <row r="42" spans="1:8" x14ac:dyDescent="0.25">
      <c r="A42" s="87" t="s">
        <v>3</v>
      </c>
      <c r="B42" s="88">
        <v>1</v>
      </c>
      <c r="C42" s="87">
        <v>1</v>
      </c>
      <c r="D42" s="88">
        <v>1</v>
      </c>
      <c r="E42" s="87">
        <v>1</v>
      </c>
      <c r="F42" s="88">
        <v>1</v>
      </c>
      <c r="G42" s="87">
        <v>1</v>
      </c>
      <c r="H42" s="89" t="s">
        <v>3</v>
      </c>
    </row>
    <row r="43" spans="1:8" x14ac:dyDescent="0.25">
      <c r="A43" s="87" t="s">
        <v>4</v>
      </c>
      <c r="B43" s="88">
        <v>0.91</v>
      </c>
      <c r="C43" s="87">
        <v>0.94</v>
      </c>
      <c r="D43" s="88">
        <v>0.96</v>
      </c>
      <c r="E43" s="87">
        <v>0.91</v>
      </c>
      <c r="F43" s="88">
        <v>0.94</v>
      </c>
      <c r="G43" s="87">
        <v>0.96</v>
      </c>
      <c r="H43" s="89" t="s">
        <v>4</v>
      </c>
    </row>
    <row r="44" spans="1:8" x14ac:dyDescent="0.25">
      <c r="A44" s="87" t="s">
        <v>5</v>
      </c>
      <c r="B44" s="88">
        <v>0.82</v>
      </c>
      <c r="C44" s="87">
        <v>0.88</v>
      </c>
      <c r="D44" s="88">
        <v>0.91</v>
      </c>
      <c r="E44" s="87">
        <v>0.82</v>
      </c>
      <c r="F44" s="88">
        <v>0.88</v>
      </c>
      <c r="G44" s="87">
        <v>0.91</v>
      </c>
      <c r="H44" s="89" t="s">
        <v>5</v>
      </c>
    </row>
    <row r="45" spans="1:8" x14ac:dyDescent="0.25">
      <c r="A45" s="87" t="s">
        <v>8</v>
      </c>
      <c r="B45" s="88">
        <v>0.71</v>
      </c>
      <c r="C45" s="87">
        <v>0.82</v>
      </c>
      <c r="D45" s="88">
        <v>0.87</v>
      </c>
      <c r="E45" s="87">
        <v>0.71</v>
      </c>
      <c r="F45" s="88">
        <v>0.82</v>
      </c>
      <c r="G45" s="87">
        <v>0.87</v>
      </c>
      <c r="H45" s="89" t="s">
        <v>8</v>
      </c>
    </row>
    <row r="46" spans="1:8" x14ac:dyDescent="0.25">
      <c r="A46" s="87" t="s">
        <v>9</v>
      </c>
      <c r="B46" s="88">
        <v>0.57999999999999996</v>
      </c>
      <c r="C46" s="87">
        <v>0.75</v>
      </c>
      <c r="D46" s="88">
        <v>0.82</v>
      </c>
      <c r="E46" s="87">
        <v>0.57999999999999996</v>
      </c>
      <c r="F46" s="88">
        <v>0.75</v>
      </c>
      <c r="G46" s="87">
        <v>0.82</v>
      </c>
      <c r="H46" s="89" t="s">
        <v>9</v>
      </c>
    </row>
    <row r="47" spans="1:8" x14ac:dyDescent="0.25">
      <c r="A47" s="87" t="s">
        <v>10</v>
      </c>
      <c r="B47" s="88">
        <v>0.41</v>
      </c>
      <c r="C47" s="87">
        <v>0.67</v>
      </c>
      <c r="D47" s="88">
        <v>0.76</v>
      </c>
      <c r="E47" s="87">
        <v>0.41</v>
      </c>
      <c r="F47" s="88">
        <v>0.67</v>
      </c>
      <c r="G47" s="87">
        <v>0.76</v>
      </c>
      <c r="H47" s="89" t="s">
        <v>10</v>
      </c>
    </row>
    <row r="48" spans="1:8" x14ac:dyDescent="0.25">
      <c r="A48" s="87" t="s">
        <v>211</v>
      </c>
      <c r="B48" s="88"/>
      <c r="C48" s="87">
        <v>0.57999999999999996</v>
      </c>
      <c r="D48" s="88">
        <v>0.71</v>
      </c>
      <c r="E48" s="87"/>
      <c r="F48" s="88">
        <v>0.57999999999999996</v>
      </c>
      <c r="G48" s="87">
        <v>0.71</v>
      </c>
      <c r="H48" s="89" t="s">
        <v>211</v>
      </c>
    </row>
    <row r="49" spans="1:8" x14ac:dyDescent="0.25">
      <c r="A49" s="87" t="s">
        <v>212</v>
      </c>
      <c r="B49" s="88"/>
      <c r="C49" s="87">
        <v>0.33</v>
      </c>
      <c r="D49" s="88">
        <v>0.57999999999999996</v>
      </c>
      <c r="E49" s="87"/>
      <c r="F49" s="88">
        <v>0.33</v>
      </c>
      <c r="G49" s="87">
        <v>0.57999999999999996</v>
      </c>
      <c r="H49" s="89" t="s">
        <v>212</v>
      </c>
    </row>
    <row r="50" spans="1:8" ht="13.8" thickBot="1" x14ac:dyDescent="0.3">
      <c r="A50" s="90" t="s">
        <v>213</v>
      </c>
      <c r="B50" s="91"/>
      <c r="C50" s="90"/>
      <c r="D50" s="91">
        <v>0.41</v>
      </c>
      <c r="E50" s="90"/>
      <c r="F50" s="91"/>
      <c r="G50" s="90">
        <v>0.41</v>
      </c>
      <c r="H50" s="92" t="s">
        <v>213</v>
      </c>
    </row>
  </sheetData>
  <mergeCells count="8">
    <mergeCell ref="A39:H39"/>
    <mergeCell ref="B40:G40"/>
    <mergeCell ref="A1:H1"/>
    <mergeCell ref="A3:A6"/>
    <mergeCell ref="B3:G3"/>
    <mergeCell ref="H3:H6"/>
    <mergeCell ref="B7:D7"/>
    <mergeCell ref="E7:G7"/>
  </mergeCells>
  <printOptions horizontalCentered="1" verticalCentered="1"/>
  <pageMargins left="0.39370078740157483" right="0.39370078740157483" top="0.39370078740157483" bottom="0.39370078740157483" header="0" footer="0"/>
  <pageSetup scale="9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A9AA-4A21-4E60-8B0E-DF297851E6A1}">
  <dimension ref="A1:AC8"/>
  <sheetViews>
    <sheetView workbookViewId="0">
      <selection activeCell="E15" sqref="E15"/>
    </sheetView>
  </sheetViews>
  <sheetFormatPr baseColWidth="10" defaultRowHeight="14.4" x14ac:dyDescent="0.3"/>
  <cols>
    <col min="3" max="3" width="11.6640625" customWidth="1"/>
    <col min="4" max="4" width="33.33203125" bestFit="1" customWidth="1"/>
    <col min="5" max="5" width="29.44140625" bestFit="1" customWidth="1"/>
    <col min="6" max="6" width="32.88671875" bestFit="1" customWidth="1"/>
    <col min="7" max="7" width="31.88671875" bestFit="1" customWidth="1"/>
    <col min="8" max="8" width="25" bestFit="1" customWidth="1"/>
    <col min="9" max="9" width="19.5546875" bestFit="1" customWidth="1"/>
    <col min="10" max="10" width="27.109375" bestFit="1" customWidth="1"/>
    <col min="11" max="11" width="9.109375" customWidth="1"/>
    <col min="12" max="12" width="14.5546875" bestFit="1" customWidth="1"/>
    <col min="13" max="13" width="9.6640625" bestFit="1" customWidth="1"/>
    <col min="14" max="14" width="47.21875" bestFit="1" customWidth="1"/>
    <col min="15" max="15" width="23.77734375" bestFit="1" customWidth="1"/>
    <col min="16" max="16" width="22.44140625" bestFit="1" customWidth="1"/>
    <col min="17" max="17" width="25" bestFit="1" customWidth="1"/>
    <col min="18" max="18" width="19.5546875" bestFit="1" customWidth="1"/>
    <col min="19" max="19" width="35.77734375" bestFit="1" customWidth="1"/>
    <col min="20" max="20" width="6.33203125" bestFit="1" customWidth="1"/>
    <col min="21" max="21" width="48.21875" bestFit="1" customWidth="1"/>
    <col min="22" max="22" width="23" bestFit="1" customWidth="1"/>
    <col min="23" max="23" width="22.6640625" bestFit="1" customWidth="1"/>
    <col min="24" max="24" width="25" bestFit="1" customWidth="1"/>
    <col min="25" max="25" width="19.5546875" bestFit="1" customWidth="1"/>
    <col min="26" max="26" width="35.77734375" bestFit="1" customWidth="1"/>
    <col min="27" max="27" width="6.33203125" bestFit="1" customWidth="1"/>
    <col min="28" max="28" width="15" bestFit="1" customWidth="1"/>
    <col min="29" max="29" width="20.21875" bestFit="1" customWidth="1"/>
  </cols>
  <sheetData>
    <row r="1" spans="1:29" x14ac:dyDescent="0.3">
      <c r="A1" s="280" t="s">
        <v>169</v>
      </c>
      <c r="B1" s="281" t="s">
        <v>168</v>
      </c>
      <c r="C1" s="239" t="s">
        <v>169</v>
      </c>
      <c r="D1" s="239" t="s">
        <v>528</v>
      </c>
      <c r="E1" s="239" t="s">
        <v>163</v>
      </c>
      <c r="F1" s="239" t="s">
        <v>476</v>
      </c>
      <c r="G1" s="239" t="s">
        <v>167</v>
      </c>
      <c r="H1" s="239" t="s">
        <v>302</v>
      </c>
      <c r="I1" s="239" t="s">
        <v>105</v>
      </c>
      <c r="J1" s="239" t="s">
        <v>161</v>
      </c>
      <c r="K1" s="239" t="s">
        <v>106</v>
      </c>
      <c r="L1" s="239" t="s">
        <v>469</v>
      </c>
      <c r="M1" s="239" t="s">
        <v>165</v>
      </c>
      <c r="N1" s="239" t="s">
        <v>538</v>
      </c>
      <c r="O1" s="239" t="s">
        <v>465</v>
      </c>
      <c r="P1" s="239" t="s">
        <v>470</v>
      </c>
      <c r="Q1" s="239" t="s">
        <v>302</v>
      </c>
      <c r="R1" s="239" t="s">
        <v>105</v>
      </c>
      <c r="S1" s="239" t="s">
        <v>471</v>
      </c>
      <c r="T1" s="239" t="s">
        <v>106</v>
      </c>
      <c r="U1" s="239" t="s">
        <v>542</v>
      </c>
      <c r="V1" s="239" t="s">
        <v>164</v>
      </c>
      <c r="W1" s="239" t="s">
        <v>472</v>
      </c>
      <c r="X1" s="239" t="s">
        <v>302</v>
      </c>
      <c r="Y1" s="239" t="s">
        <v>105</v>
      </c>
      <c r="Z1" s="239" t="s">
        <v>471</v>
      </c>
      <c r="AA1" s="239" t="s">
        <v>106</v>
      </c>
      <c r="AB1" s="239" t="s">
        <v>473</v>
      </c>
      <c r="AC1" s="239" t="s">
        <v>474</v>
      </c>
    </row>
    <row r="2" spans="1:29" s="235" customFormat="1" x14ac:dyDescent="0.3">
      <c r="A2" s="282" t="str">
        <f>C2</f>
        <v>1.1.1</v>
      </c>
      <c r="B2" s="283">
        <f>K2</f>
        <v>9.6531799543165351E-3</v>
      </c>
      <c r="C2" s="235" t="str">
        <f>Regulación_Voltaje!A4</f>
        <v>1.1.1</v>
      </c>
      <c r="D2" s="235">
        <f>Regulación_Voltaje!B4</f>
        <v>20</v>
      </c>
      <c r="E2" s="240">
        <f>Regulación_Voltaje!C4</f>
        <v>13.03</v>
      </c>
      <c r="F2" s="235">
        <f>Regulación_Voltaje!D4</f>
        <v>7</v>
      </c>
      <c r="G2" s="240">
        <f>Regulación_Voltaje!E4</f>
        <v>363.37</v>
      </c>
      <c r="H2" s="240" t="str">
        <f>Regulación_Voltaje!F4</f>
        <v>COBRE</v>
      </c>
      <c r="I2" s="240" t="str">
        <f>Regulación_Voltaje!G4</f>
        <v>4 mm²</v>
      </c>
      <c r="J2" s="240">
        <f>Regulación_Voltaje!H4</f>
        <v>6.73</v>
      </c>
      <c r="K2" s="241">
        <f>Regulación_Voltaje!I4</f>
        <v>9.6531799543165351E-3</v>
      </c>
      <c r="L2" s="241">
        <f>Regulación_Voltaje!R4</f>
        <v>9.6531799543165351E-3</v>
      </c>
      <c r="M2" s="235">
        <f>Regulación_Voltaje!S4</f>
        <v>1</v>
      </c>
      <c r="N2" s="235">
        <f>Regulación_Voltaje!T4</f>
        <v>2.5</v>
      </c>
      <c r="O2" s="235">
        <f>Regulación_Voltaje!U4</f>
        <v>45.5</v>
      </c>
      <c r="P2" s="235">
        <f>Regulación_Voltaje!V4</f>
        <v>220</v>
      </c>
      <c r="Q2" s="235" t="str">
        <f>Regulación_Voltaje!W4</f>
        <v>COBRE</v>
      </c>
      <c r="R2" s="235" t="str">
        <f>Regulación_Voltaje!X4</f>
        <v>10 AWG</v>
      </c>
      <c r="S2" s="240">
        <f>Regulación_Voltaje!Y4</f>
        <v>3.94</v>
      </c>
      <c r="T2" s="242">
        <f>Regulación_Voltaje!Z4</f>
        <v>3.5284630485553697E-3</v>
      </c>
      <c r="U2" s="235">
        <f>Regulación_Voltaje!AA4</f>
        <v>2</v>
      </c>
      <c r="V2" s="235">
        <f>Regulación_Voltaje!AB4</f>
        <v>45.5</v>
      </c>
      <c r="W2" s="235">
        <f>Regulación_Voltaje!AC4</f>
        <v>220</v>
      </c>
      <c r="X2" s="235" t="str">
        <f>Regulación_Voltaje!AD4</f>
        <v>COBRE</v>
      </c>
      <c r="Y2" s="235" t="str">
        <f>Regulación_Voltaje!AE4</f>
        <v>10 AWG</v>
      </c>
      <c r="Z2" s="235">
        <f>Regulación_Voltaje!AF4</f>
        <v>3.94</v>
      </c>
      <c r="AA2" s="242">
        <f>Regulación_Voltaje!AG4</f>
        <v>2.8227704388442965E-3</v>
      </c>
      <c r="AB2" s="242">
        <f>Regulación_Voltaje!AO4</f>
        <v>6.3512334873996662E-3</v>
      </c>
      <c r="AC2" s="242">
        <f>Regulación_Voltaje!AP4</f>
        <v>1.9532876490271571E-2</v>
      </c>
    </row>
    <row r="3" spans="1:29" x14ac:dyDescent="0.3">
      <c r="A3" s="282" t="str">
        <f>C3</f>
        <v>1.2.1</v>
      </c>
      <c r="B3" s="283">
        <f>K3</f>
        <v>7.5080288533573066E-3</v>
      </c>
      <c r="C3" s="235" t="str">
        <f>Regulación_Voltaje!A5</f>
        <v>1.2.1</v>
      </c>
      <c r="D3" s="235">
        <f>Regulación_Voltaje!B5</f>
        <v>20</v>
      </c>
      <c r="E3" s="240">
        <f>Regulación_Voltaje!C5</f>
        <v>13.03</v>
      </c>
      <c r="F3" s="235">
        <f>Regulación_Voltaje!D5</f>
        <v>9</v>
      </c>
      <c r="G3" s="240">
        <f>Regulación_Voltaje!E5</f>
        <v>467.18999999999994</v>
      </c>
      <c r="H3" s="240" t="str">
        <f>Regulación_Voltaje!F5</f>
        <v>COBRE</v>
      </c>
      <c r="I3" s="240" t="str">
        <f>Regulación_Voltaje!G5</f>
        <v>4 mm²</v>
      </c>
      <c r="J3" s="240">
        <f>Regulación_Voltaje!H5</f>
        <v>6.73</v>
      </c>
      <c r="K3" s="241">
        <f>Regulación_Voltaje!I5</f>
        <v>7.5080288533573066E-3</v>
      </c>
      <c r="L3" s="241">
        <f>Regulación_Voltaje!R5</f>
        <v>9.6531799543165351E-3</v>
      </c>
    </row>
    <row r="4" spans="1:29" x14ac:dyDescent="0.3">
      <c r="A4" s="282" t="str">
        <f>C4</f>
        <v>2.1.1</v>
      </c>
      <c r="B4" s="283">
        <f>K4</f>
        <v>9.6531799543165351E-3</v>
      </c>
      <c r="C4" s="235" t="str">
        <f>Regulación_Voltaje!A6</f>
        <v>2.1.1</v>
      </c>
      <c r="D4" s="235">
        <f>Regulación_Voltaje!B6</f>
        <v>20</v>
      </c>
      <c r="E4" s="240">
        <f>Regulación_Voltaje!C6</f>
        <v>13.03</v>
      </c>
      <c r="F4" s="235">
        <f>Regulación_Voltaje!D6</f>
        <v>7</v>
      </c>
      <c r="G4" s="240">
        <f>Regulación_Voltaje!E6</f>
        <v>363.37</v>
      </c>
      <c r="H4" s="240" t="str">
        <f>Regulación_Voltaje!F6</f>
        <v>COBRE</v>
      </c>
      <c r="I4" s="240" t="str">
        <f>Regulación_Voltaje!G6</f>
        <v>4 mm²</v>
      </c>
      <c r="J4" s="240">
        <f>Regulación_Voltaje!H6</f>
        <v>6.73</v>
      </c>
      <c r="K4" s="241">
        <f>Regulación_Voltaje!I6</f>
        <v>9.6531799543165351E-3</v>
      </c>
      <c r="L4" s="241">
        <f>Regulación_Voltaje!R6</f>
        <v>9.6531799543165351E-3</v>
      </c>
    </row>
    <row r="5" spans="1:29" x14ac:dyDescent="0.3">
      <c r="A5" s="284" t="str">
        <f>C5</f>
        <v>2.2.1</v>
      </c>
      <c r="B5" s="252">
        <f>K5</f>
        <v>8.1802145522388049E-3</v>
      </c>
      <c r="C5" s="235" t="str">
        <f>Regulación_Voltaje!A7</f>
        <v>2.2.1</v>
      </c>
      <c r="D5" s="235">
        <f>Regulación_Voltaje!B7</f>
        <v>20</v>
      </c>
      <c r="E5" s="240">
        <f>Regulación_Voltaje!C7</f>
        <v>13.03</v>
      </c>
      <c r="F5" s="235">
        <f>Regulación_Voltaje!D7</f>
        <v>8</v>
      </c>
      <c r="G5" s="240">
        <f>Regulación_Voltaje!E7</f>
        <v>428.8</v>
      </c>
      <c r="H5" s="240" t="str">
        <f>Regulación_Voltaje!F7</f>
        <v>COBRE</v>
      </c>
      <c r="I5" s="240" t="str">
        <f>Regulación_Voltaje!G7</f>
        <v>4 mm²</v>
      </c>
      <c r="J5" s="240">
        <f>Regulación_Voltaje!H7</f>
        <v>6.73</v>
      </c>
      <c r="K5" s="241">
        <f>Regulación_Voltaje!I7</f>
        <v>8.1802145522388049E-3</v>
      </c>
      <c r="L5" s="241">
        <f>Regulación_Voltaje!R7</f>
        <v>0</v>
      </c>
    </row>
    <row r="6" spans="1:29" x14ac:dyDescent="0.3">
      <c r="C6" s="235"/>
      <c r="D6" s="235"/>
      <c r="E6" s="240"/>
      <c r="F6" s="235"/>
      <c r="G6" s="240"/>
      <c r="H6" s="240"/>
      <c r="I6" s="240"/>
      <c r="J6" s="240"/>
      <c r="K6" s="241"/>
      <c r="L6" s="241"/>
    </row>
    <row r="7" spans="1:29" x14ac:dyDescent="0.3">
      <c r="C7" s="277" t="s">
        <v>165</v>
      </c>
      <c r="D7" s="285" t="s">
        <v>170</v>
      </c>
      <c r="E7" s="278" t="s">
        <v>166</v>
      </c>
      <c r="H7" s="240"/>
      <c r="I7" s="240"/>
      <c r="J7" s="240"/>
      <c r="K7" s="241"/>
      <c r="L7" s="241"/>
    </row>
    <row r="8" spans="1:29" x14ac:dyDescent="0.3">
      <c r="C8" s="286">
        <v>1</v>
      </c>
      <c r="D8" s="283">
        <f>AB2+AI2</f>
        <v>6.3512334873996662E-3</v>
      </c>
      <c r="E8" s="287">
        <f>AC2</f>
        <v>1.9532876490271571E-2</v>
      </c>
      <c r="H8" s="240"/>
      <c r="I8" s="240"/>
      <c r="J8" s="240"/>
      <c r="K8" s="241"/>
      <c r="L8" s="241"/>
    </row>
  </sheetData>
  <pageMargins left="0.7" right="0.7" top="0.75" bottom="0.75" header="0.3" footer="0.3"/>
  <pageSetup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CD4B0-5126-4364-A13B-B3D4096E6BB0}">
  <dimension ref="A1:AA2"/>
  <sheetViews>
    <sheetView workbookViewId="0">
      <selection activeCell="AA2" sqref="AA2"/>
    </sheetView>
  </sheetViews>
  <sheetFormatPr baseColWidth="10" defaultRowHeight="14.4" x14ac:dyDescent="0.3"/>
  <cols>
    <col min="1" max="1" width="7.33203125" bestFit="1" customWidth="1"/>
    <col min="2" max="2" width="33.33203125" bestFit="1" customWidth="1"/>
    <col min="3" max="3" width="29.44140625" bestFit="1" customWidth="1"/>
    <col min="4" max="4" width="32.88671875" bestFit="1" customWidth="1"/>
    <col min="5" max="5" width="31.88671875" bestFit="1" customWidth="1"/>
    <col min="6" max="6" width="25" bestFit="1" customWidth="1"/>
    <col min="7" max="7" width="19.5546875" bestFit="1" customWidth="1"/>
    <col min="8" max="8" width="27.109375" bestFit="1" customWidth="1"/>
    <col min="9" max="9" width="25.21875" bestFit="1" customWidth="1"/>
    <col min="10" max="10" width="50.44140625" bestFit="1" customWidth="1"/>
    <col min="11" max="11" width="9.6640625" bestFit="1" customWidth="1"/>
    <col min="12" max="12" width="47.21875" bestFit="1" customWidth="1"/>
    <col min="13" max="13" width="23.77734375" bestFit="1" customWidth="1"/>
    <col min="14" max="14" width="22.44140625" bestFit="1" customWidth="1"/>
    <col min="15" max="15" width="25" bestFit="1" customWidth="1"/>
    <col min="16" max="16" width="19.5546875" bestFit="1" customWidth="1"/>
    <col min="17" max="17" width="35.77734375" customWidth="1"/>
    <col min="18" max="18" width="25.21875" bestFit="1" customWidth="1"/>
    <col min="19" max="19" width="49.5546875" bestFit="1" customWidth="1"/>
    <col min="20" max="20" width="48.21875" bestFit="1" customWidth="1"/>
    <col min="21" max="21" width="23" bestFit="1" customWidth="1"/>
    <col min="22" max="22" width="22.6640625" bestFit="1" customWidth="1"/>
    <col min="23" max="23" width="25" bestFit="1" customWidth="1"/>
    <col min="24" max="24" width="19.5546875" bestFit="1" customWidth="1"/>
    <col min="25" max="25" width="35.77734375" bestFit="1" customWidth="1"/>
    <col min="26" max="26" width="25.21875" bestFit="1" customWidth="1"/>
    <col min="27" max="27" width="59" bestFit="1" customWidth="1"/>
  </cols>
  <sheetData>
    <row r="1" spans="1:27" x14ac:dyDescent="0.3">
      <c r="A1" s="239" t="s">
        <v>169</v>
      </c>
      <c r="B1" s="239" t="s">
        <v>528</v>
      </c>
      <c r="C1" s="239" t="s">
        <v>163</v>
      </c>
      <c r="D1" s="239" t="s">
        <v>476</v>
      </c>
      <c r="E1" s="239" t="s">
        <v>167</v>
      </c>
      <c r="F1" s="239" t="s">
        <v>302</v>
      </c>
      <c r="G1" s="239" t="s">
        <v>105</v>
      </c>
      <c r="H1" s="239" t="s">
        <v>161</v>
      </c>
      <c r="I1" s="239" t="s">
        <v>504</v>
      </c>
      <c r="J1" s="239" t="s">
        <v>543</v>
      </c>
      <c r="K1" s="239" t="s">
        <v>165</v>
      </c>
      <c r="L1" s="239" t="s">
        <v>538</v>
      </c>
      <c r="M1" s="239" t="s">
        <v>465</v>
      </c>
      <c r="N1" s="239" t="s">
        <v>470</v>
      </c>
      <c r="O1" s="239" t="s">
        <v>302</v>
      </c>
      <c r="P1" s="239" t="s">
        <v>105</v>
      </c>
      <c r="Q1" s="239" t="s">
        <v>471</v>
      </c>
      <c r="R1" s="239" t="s">
        <v>504</v>
      </c>
      <c r="S1" s="239" t="s">
        <v>522</v>
      </c>
      <c r="T1" s="239" t="s">
        <v>542</v>
      </c>
      <c r="U1" s="239" t="s">
        <v>164</v>
      </c>
      <c r="V1" s="239" t="s">
        <v>472</v>
      </c>
      <c r="W1" s="239" t="s">
        <v>302</v>
      </c>
      <c r="X1" s="239" t="s">
        <v>105</v>
      </c>
      <c r="Y1" s="239" t="s">
        <v>471</v>
      </c>
      <c r="Z1" s="239" t="s">
        <v>504</v>
      </c>
      <c r="AA1" s="239" t="s">
        <v>544</v>
      </c>
    </row>
    <row r="2" spans="1:27" x14ac:dyDescent="0.3">
      <c r="A2" t="str">
        <f>'Perdidas P_E '!A4</f>
        <v>1.1.1</v>
      </c>
      <c r="B2">
        <f>'Perdidas P_E '!B4</f>
        <v>20</v>
      </c>
      <c r="C2" s="45">
        <f>'Perdidas P_E '!C4</f>
        <v>9.1999999999999993</v>
      </c>
      <c r="D2">
        <f>'Perdidas P_E '!D4</f>
        <v>7</v>
      </c>
      <c r="E2" s="45">
        <f>'Perdidas P_E '!E4</f>
        <v>227.9</v>
      </c>
      <c r="F2" t="str">
        <f>'Perdidas P_E '!F4</f>
        <v>COBRE</v>
      </c>
      <c r="G2" t="str">
        <f>'Perdidas P_E '!G4</f>
        <v>4 mm²</v>
      </c>
      <c r="H2" s="45">
        <f>'Perdidas P_E '!H4</f>
        <v>6.73</v>
      </c>
      <c r="I2" s="45">
        <f>'Perdidas P_E '!I4</f>
        <v>22.785087999999998</v>
      </c>
      <c r="J2" s="45">
        <f>'Perdidas P_E '!J4</f>
        <v>2.7342105600000002</v>
      </c>
      <c r="K2">
        <f>'Perdidas P_E '!T4</f>
        <v>1</v>
      </c>
      <c r="L2">
        <f>'Perdidas P_E '!U4</f>
        <v>2.5</v>
      </c>
      <c r="M2">
        <f>'Perdidas P_E '!V4</f>
        <v>45.5</v>
      </c>
      <c r="N2">
        <f>'Perdidas P_E '!W4</f>
        <v>220</v>
      </c>
      <c r="O2" t="str">
        <f>'Perdidas P_E '!X4</f>
        <v>COBRE</v>
      </c>
      <c r="P2" t="str">
        <f>'Perdidas P_E '!Y4</f>
        <v>10 AWG</v>
      </c>
      <c r="Q2">
        <f>'Perdidas P_E '!Z4</f>
        <v>3.94</v>
      </c>
      <c r="R2">
        <f>'Perdidas P_E '!AA4</f>
        <v>35.319915116039255</v>
      </c>
      <c r="S2">
        <f>'Perdidas P_E '!AB4</f>
        <v>4.2383898139247105</v>
      </c>
      <c r="T2">
        <f>'Perdidas P_E '!AC4</f>
        <v>1</v>
      </c>
      <c r="U2">
        <f>'Perdidas P_E '!AD4</f>
        <v>45.5</v>
      </c>
      <c r="V2">
        <f>'Perdidas P_E '!AE4</f>
        <v>240</v>
      </c>
      <c r="W2" t="str">
        <f>'Perdidas P_E '!AF4</f>
        <v>COBRE</v>
      </c>
      <c r="X2" t="str">
        <f>'Perdidas P_E '!AG4</f>
        <v>10 AWG</v>
      </c>
      <c r="Y2">
        <f>'Perdidas P_E '!AH4</f>
        <v>3.94</v>
      </c>
      <c r="Z2">
        <f>'Perdidas P_E '!AI4</f>
        <v>14.127966046415702</v>
      </c>
      <c r="AA2">
        <f>'Perdidas P_E '!AJ4</f>
        <v>1.6953559255698842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704E7-B8BE-4C8A-AC64-798648DFAB80}">
  <dimension ref="A1:Z2"/>
  <sheetViews>
    <sheetView workbookViewId="0">
      <selection activeCell="H2" sqref="H2"/>
    </sheetView>
  </sheetViews>
  <sheetFormatPr baseColWidth="10" defaultRowHeight="14.4" x14ac:dyDescent="0.3"/>
  <cols>
    <col min="1" max="1" width="16.6640625" bestFit="1" customWidth="1"/>
    <col min="2" max="2" width="22.88671875" bestFit="1" customWidth="1"/>
    <col min="3" max="3" width="19.6640625" bestFit="1" customWidth="1"/>
    <col min="4" max="4" width="18.5546875" bestFit="1" customWidth="1"/>
    <col min="5" max="5" width="19.44140625" bestFit="1" customWidth="1"/>
    <col min="6" max="6" width="21.21875" bestFit="1" customWidth="1"/>
    <col min="7" max="7" width="7.44140625" bestFit="1" customWidth="1"/>
    <col min="8" max="8" width="29.33203125" bestFit="1" customWidth="1"/>
    <col min="9" max="9" width="19.6640625" bestFit="1" customWidth="1"/>
    <col min="10" max="10" width="15" bestFit="1" customWidth="1"/>
    <col min="11" max="11" width="19.44140625" bestFit="1" customWidth="1"/>
    <col min="12" max="12" width="21.21875" bestFit="1" customWidth="1"/>
    <col min="13" max="13" width="6.21875" bestFit="1" customWidth="1"/>
    <col min="14" max="14" width="37.77734375" bestFit="1" customWidth="1"/>
    <col min="15" max="15" width="19.6640625" bestFit="1" customWidth="1"/>
    <col min="16" max="16" width="19.33203125" bestFit="1" customWidth="1"/>
    <col min="17" max="17" width="19.44140625" bestFit="1" customWidth="1"/>
    <col min="18" max="18" width="21.21875" bestFit="1" customWidth="1"/>
    <col min="19" max="19" width="7.44140625" bestFit="1" customWidth="1"/>
    <col min="20" max="20" width="45" bestFit="1" customWidth="1"/>
    <col min="21" max="21" width="19.6640625" bestFit="1" customWidth="1"/>
    <col min="22" max="22" width="19.33203125" bestFit="1" customWidth="1"/>
    <col min="23" max="23" width="19.44140625" bestFit="1" customWidth="1"/>
    <col min="24" max="24" width="21.21875" bestFit="1" customWidth="1"/>
    <col min="25" max="25" width="6.21875" bestFit="1" customWidth="1"/>
    <col min="26" max="26" width="12.109375" bestFit="1" customWidth="1"/>
  </cols>
  <sheetData>
    <row r="1" spans="1:26" s="248" customFormat="1" x14ac:dyDescent="0.3">
      <c r="A1" s="245" t="s">
        <v>126</v>
      </c>
      <c r="B1" s="246" t="s">
        <v>107</v>
      </c>
      <c r="C1" s="246" t="s">
        <v>127</v>
      </c>
      <c r="D1" s="246" t="s">
        <v>128</v>
      </c>
      <c r="E1" s="246" t="s">
        <v>105</v>
      </c>
      <c r="F1" s="246" t="s">
        <v>132</v>
      </c>
      <c r="G1" s="247" t="s">
        <v>106</v>
      </c>
      <c r="H1" s="245" t="s">
        <v>130</v>
      </c>
      <c r="I1" s="246" t="s">
        <v>127</v>
      </c>
      <c r="J1" s="246" t="s">
        <v>129</v>
      </c>
      <c r="K1" s="246" t="s">
        <v>105</v>
      </c>
      <c r="L1" s="246" t="s">
        <v>132</v>
      </c>
      <c r="M1" s="247" t="s">
        <v>106</v>
      </c>
      <c r="N1" s="245" t="s">
        <v>108</v>
      </c>
      <c r="O1" s="246" t="s">
        <v>127</v>
      </c>
      <c r="P1" s="246" t="s">
        <v>131</v>
      </c>
      <c r="Q1" s="246" t="s">
        <v>105</v>
      </c>
      <c r="R1" s="246" t="s">
        <v>132</v>
      </c>
      <c r="S1" s="247" t="s">
        <v>106</v>
      </c>
      <c r="T1" s="245" t="s">
        <v>109</v>
      </c>
      <c r="U1" s="246" t="s">
        <v>127</v>
      </c>
      <c r="V1" s="246" t="s">
        <v>131</v>
      </c>
      <c r="W1" s="246" t="s">
        <v>105</v>
      </c>
      <c r="X1" s="246" t="s">
        <v>132</v>
      </c>
      <c r="Y1" s="246" t="s">
        <v>106</v>
      </c>
      <c r="Z1" s="247" t="s">
        <v>134</v>
      </c>
    </row>
    <row r="2" spans="1:26" x14ac:dyDescent="0.3">
      <c r="A2" t="str">
        <f>'CAIDA DE TENSION TOTAL'!A3</f>
        <v>1.1</v>
      </c>
      <c r="B2">
        <f>'CAIDA DE TENSION TOTAL'!B3</f>
        <v>25.2</v>
      </c>
      <c r="C2">
        <f>'CAIDA DE TENSION TOTAL'!C3</f>
        <v>9.09</v>
      </c>
      <c r="D2">
        <f>'CAIDA DE TENSION TOTAL'!D3</f>
        <v>698.4</v>
      </c>
      <c r="E2" t="str">
        <f>'CAIDA DE TENSION TOTAL'!E3</f>
        <v>6 mm2</v>
      </c>
      <c r="F2">
        <f>'CAIDA DE TENSION TOTAL'!F3</f>
        <v>4.1479999999999997</v>
      </c>
      <c r="G2" s="250">
        <f>'CAIDA DE TENSION TOTAL'!G3</f>
        <v>2.7210024742268038E-3</v>
      </c>
      <c r="H2">
        <f>'CAIDA DE TENSION TOTAL'!H3</f>
        <v>34</v>
      </c>
      <c r="I2">
        <f>'CAIDA DE TENSION TOTAL'!I3</f>
        <v>18.18</v>
      </c>
      <c r="J2">
        <f>'CAIDA DE TENSION TOTAL'!J3</f>
        <v>698.4</v>
      </c>
      <c r="K2" t="str">
        <f>'CAIDA DE TENSION TOTAL'!K3</f>
        <v>10 mm2</v>
      </c>
      <c r="L2">
        <f>'CAIDA DE TENSION TOTAL'!L3</f>
        <v>2.5790000000000002</v>
      </c>
      <c r="M2" s="250">
        <f>'CAIDA DE TENSION TOTAL'!M3</f>
        <v>4.5650958762886605E-3</v>
      </c>
      <c r="N2">
        <f>'CAIDA DE TENSION TOTAL'!N3</f>
        <v>2</v>
      </c>
      <c r="O2">
        <f>'CAIDA DE TENSION TOTAL'!O3</f>
        <v>41.6</v>
      </c>
      <c r="P2">
        <f>'CAIDA DE TENSION TOTAL'!P3</f>
        <v>208</v>
      </c>
      <c r="Q2" t="str">
        <f>'CAIDA DE TENSION TOTAL'!Q3</f>
        <v>6 AWG</v>
      </c>
      <c r="R2">
        <f>'CAIDA DE TENSION TOTAL'!R3</f>
        <v>0.67500000000000004</v>
      </c>
      <c r="S2" s="250">
        <f>'CAIDA DE TENSION TOTAL'!S3</f>
        <v>4.6710000000000008E-4</v>
      </c>
      <c r="T2">
        <f>'CAIDA DE TENSION TOTAL'!T3</f>
        <v>72</v>
      </c>
      <c r="U2">
        <f>'CAIDA DE TENSION TOTAL'!U3</f>
        <v>166.4</v>
      </c>
      <c r="V2">
        <f>'CAIDA DE TENSION TOTAL'!V3</f>
        <v>208</v>
      </c>
      <c r="W2" t="str">
        <f>'CAIDA DE TENSION TOTAL'!W3</f>
        <v>4/0</v>
      </c>
      <c r="X2">
        <f>'CAIDA DE TENSION TOTAL'!X3</f>
        <v>0.27700000000000002</v>
      </c>
      <c r="Y2" s="249">
        <f>'CAIDA DE TENSION TOTAL'!Y3</f>
        <v>1.3801248000000004E-2</v>
      </c>
      <c r="Z2" s="250">
        <f>'CAIDA DE TENSION TOTAL'!Z3</f>
        <v>2.8548291814432993E-2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224A-BCC0-401B-A1A9-74D4C59CD725}">
  <dimension ref="A1:B8"/>
  <sheetViews>
    <sheetView tabSelected="1" workbookViewId="0">
      <selection activeCell="B1" sqref="B1"/>
    </sheetView>
  </sheetViews>
  <sheetFormatPr baseColWidth="10" defaultRowHeight="14.4" x14ac:dyDescent="0.3"/>
  <cols>
    <col min="1" max="1" width="33.21875" bestFit="1" customWidth="1"/>
    <col min="2" max="2" width="31.109375" style="235" bestFit="1" customWidth="1"/>
  </cols>
  <sheetData>
    <row r="1" spans="1:2" x14ac:dyDescent="0.3">
      <c r="A1" s="464" t="s">
        <v>667</v>
      </c>
      <c r="B1" s="465" t="s">
        <v>668</v>
      </c>
    </row>
    <row r="2" spans="1:2" x14ac:dyDescent="0.3">
      <c r="A2" s="462" t="s">
        <v>650</v>
      </c>
      <c r="B2" s="279" t="str">
        <f>CONCATENATE('TABLERO FV_INTX'!B9," ",'TABLERO FV_INTX'!B3," ",'TABLERO FV_INTX'!B4,"",)</f>
        <v>1 Growatt MIN10000 TL-X2</v>
      </c>
    </row>
    <row r="3" spans="1:2" x14ac:dyDescent="0.3">
      <c r="A3" s="462" t="s">
        <v>649</v>
      </c>
      <c r="B3" s="463">
        <f>Vars!F26</f>
        <v>45.5</v>
      </c>
    </row>
    <row r="4" spans="1:2" x14ac:dyDescent="0.3">
      <c r="A4" s="462" t="s">
        <v>656</v>
      </c>
      <c r="B4" s="279">
        <f>'TABLERO FV_INTX'!B5+'TABLERO FV_INTX'!F5</f>
        <v>10</v>
      </c>
    </row>
    <row r="5" spans="1:2" x14ac:dyDescent="0.3">
      <c r="A5" s="462" t="s">
        <v>657</v>
      </c>
      <c r="B5" s="279" t="str">
        <f>Vars!F7</f>
        <v>240/120</v>
      </c>
    </row>
    <row r="6" spans="1:2" x14ac:dyDescent="0.3">
      <c r="A6" s="462" t="s">
        <v>581</v>
      </c>
      <c r="B6" s="279" t="str">
        <f>Vars!F17</f>
        <v>Longi LR5-72HTH-570M 570Wp</v>
      </c>
    </row>
    <row r="7" spans="1:2" x14ac:dyDescent="0.3">
      <c r="A7" s="462" t="s">
        <v>582</v>
      </c>
      <c r="B7" s="279">
        <f>PV_INV_STRING!D5</f>
        <v>19</v>
      </c>
    </row>
    <row r="8" spans="1:2" x14ac:dyDescent="0.3">
      <c r="A8" s="466" t="s">
        <v>655</v>
      </c>
      <c r="B8" s="467">
        <f>PV_INV_STRING!C5</f>
        <v>10.83</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0DAED-2BBC-4B78-AD5F-2465F1C55E0A}">
  <sheetPr filterMode="1"/>
  <dimension ref="A1:F40"/>
  <sheetViews>
    <sheetView workbookViewId="0">
      <selection activeCell="C49" sqref="C49"/>
    </sheetView>
  </sheetViews>
  <sheetFormatPr baseColWidth="10" defaultColWidth="11.6640625" defaultRowHeight="14.4" x14ac:dyDescent="0.3"/>
  <cols>
    <col min="1" max="1" width="7.21875" style="244" bestFit="1" customWidth="1"/>
    <col min="2" max="2" width="19.109375" style="244" bestFit="1" customWidth="1"/>
    <col min="3" max="3" width="9.33203125" style="222" bestFit="1" customWidth="1"/>
    <col min="4" max="4" width="22.33203125" style="222" bestFit="1" customWidth="1"/>
    <col min="5" max="5" width="69.88671875" style="222" bestFit="1" customWidth="1"/>
    <col min="6" max="6" width="31.88671875" style="222" customWidth="1"/>
    <col min="7" max="7" width="16.33203125" style="244" bestFit="1" customWidth="1"/>
    <col min="8" max="16384" width="11.6640625" style="244"/>
  </cols>
  <sheetData>
    <row r="1" spans="1:6" x14ac:dyDescent="0.3">
      <c r="A1" s="251" t="s">
        <v>600</v>
      </c>
      <c r="B1" s="251" t="s">
        <v>601</v>
      </c>
      <c r="C1" s="222" t="s">
        <v>602</v>
      </c>
      <c r="D1" s="256" t="s">
        <v>603</v>
      </c>
      <c r="E1" s="253" t="s">
        <v>604</v>
      </c>
      <c r="F1" s="253" t="s">
        <v>76</v>
      </c>
    </row>
    <row r="2" spans="1:6" hidden="1" x14ac:dyDescent="0.3">
      <c r="A2" s="244">
        <v>1</v>
      </c>
      <c r="B2" s="244" t="s">
        <v>607</v>
      </c>
      <c r="C2" s="222">
        <v>1</v>
      </c>
      <c r="D2" s="255" t="str">
        <f t="shared" ref="D2:D24" si="0">_xlfn.CONCAT(B2,"00",C2)</f>
        <v>string001</v>
      </c>
      <c r="E2" s="222" t="s">
        <v>608</v>
      </c>
      <c r="F2" s="274" t="s">
        <v>609</v>
      </c>
    </row>
    <row r="3" spans="1:6" hidden="1" x14ac:dyDescent="0.3">
      <c r="A3" s="244">
        <v>2</v>
      </c>
      <c r="B3" s="244" t="s">
        <v>607</v>
      </c>
      <c r="C3" s="222">
        <v>2</v>
      </c>
      <c r="D3" s="255" t="str">
        <f t="shared" si="0"/>
        <v>string002</v>
      </c>
      <c r="E3" s="222" t="s">
        <v>610</v>
      </c>
      <c r="F3" s="274" t="s">
        <v>611</v>
      </c>
    </row>
    <row r="4" spans="1:6" hidden="1" x14ac:dyDescent="0.3">
      <c r="A4" s="244">
        <v>3</v>
      </c>
      <c r="B4" s="244" t="s">
        <v>607</v>
      </c>
      <c r="C4" s="222">
        <v>3</v>
      </c>
      <c r="D4" s="255" t="str">
        <f>_xlfn.CONCAT(B4,"00",C4)</f>
        <v>string003</v>
      </c>
      <c r="E4" s="222" t="s">
        <v>612</v>
      </c>
      <c r="F4" s="275">
        <v>45323</v>
      </c>
    </row>
    <row r="5" spans="1:6" hidden="1" x14ac:dyDescent="0.3">
      <c r="A5" s="244">
        <v>4</v>
      </c>
      <c r="B5" s="244" t="s">
        <v>607</v>
      </c>
      <c r="C5" s="222">
        <v>4</v>
      </c>
      <c r="D5" s="255" t="str">
        <f t="shared" si="0"/>
        <v>string004</v>
      </c>
      <c r="E5" s="222" t="s">
        <v>613</v>
      </c>
      <c r="F5" s="274" t="s">
        <v>614</v>
      </c>
    </row>
    <row r="6" spans="1:6" hidden="1" x14ac:dyDescent="0.3">
      <c r="A6" s="244">
        <v>5</v>
      </c>
      <c r="B6" s="244" t="s">
        <v>607</v>
      </c>
      <c r="C6" s="222">
        <v>6</v>
      </c>
      <c r="D6" s="255" t="str">
        <f>_xlfn.CONCAT(B6,"00",C6)</f>
        <v>string006</v>
      </c>
      <c r="E6" s="222" t="s">
        <v>621</v>
      </c>
      <c r="F6" s="274" t="s">
        <v>622</v>
      </c>
    </row>
    <row r="7" spans="1:6" x14ac:dyDescent="0.3">
      <c r="A7" s="244">
        <v>6</v>
      </c>
      <c r="B7" s="244" t="s">
        <v>615</v>
      </c>
      <c r="C7" s="222">
        <v>6</v>
      </c>
      <c r="D7" s="255" t="str">
        <f>_xlfn.CONCAT(B7,"00",C7)</f>
        <v>int006</v>
      </c>
      <c r="E7" s="222" t="s">
        <v>624</v>
      </c>
      <c r="F7" s="274" t="s">
        <v>625</v>
      </c>
    </row>
    <row r="8" spans="1:6" hidden="1" x14ac:dyDescent="0.3">
      <c r="A8" s="244">
        <v>7</v>
      </c>
      <c r="B8" s="244" t="s">
        <v>607</v>
      </c>
      <c r="C8" s="222">
        <v>8</v>
      </c>
      <c r="D8" s="222" t="str">
        <f>_xlfn.CONCAT(B8,"00",C8)</f>
        <v>string008</v>
      </c>
      <c r="E8" s="222" t="s">
        <v>664</v>
      </c>
      <c r="F8" s="274" t="s">
        <v>665</v>
      </c>
    </row>
    <row r="9" spans="1:6" hidden="1" x14ac:dyDescent="0.3">
      <c r="A9" s="244">
        <v>8</v>
      </c>
      <c r="B9" s="244" t="s">
        <v>605</v>
      </c>
      <c r="C9" s="255">
        <v>1</v>
      </c>
      <c r="D9" s="255" t="str">
        <f>_xlfn.CONCAT(B9,"00",C9)</f>
        <v>float001</v>
      </c>
      <c r="E9" s="222" t="s">
        <v>606</v>
      </c>
      <c r="F9" s="254">
        <f>PV_INV_STRING!$C$5</f>
        <v>10.83</v>
      </c>
    </row>
    <row r="10" spans="1:6" x14ac:dyDescent="0.3">
      <c r="A10" s="244">
        <v>9</v>
      </c>
      <c r="B10" s="244" t="s">
        <v>615</v>
      </c>
      <c r="C10" s="222">
        <v>1</v>
      </c>
      <c r="D10" s="255" t="str">
        <f t="shared" si="0"/>
        <v>int001</v>
      </c>
      <c r="E10" s="222" t="s">
        <v>616</v>
      </c>
      <c r="F10" s="255">
        <f>'INV1_TABLERO FV'!B5</f>
        <v>10</v>
      </c>
    </row>
    <row r="11" spans="1:6" x14ac:dyDescent="0.3">
      <c r="A11" s="244">
        <v>10</v>
      </c>
      <c r="B11" s="244" t="s">
        <v>615</v>
      </c>
      <c r="C11" s="222">
        <v>2</v>
      </c>
      <c r="D11" s="255" t="str">
        <f t="shared" si="0"/>
        <v>int002</v>
      </c>
      <c r="E11" s="222" t="s">
        <v>617</v>
      </c>
      <c r="F11" s="255">
        <f>'TABLERO FV_INTX'!B5+'TABLERO FV_INTX'!F5</f>
        <v>10</v>
      </c>
    </row>
    <row r="12" spans="1:6" x14ac:dyDescent="0.3">
      <c r="A12" s="244">
        <v>11</v>
      </c>
      <c r="B12" s="244" t="s">
        <v>615</v>
      </c>
      <c r="C12" s="222">
        <v>3</v>
      </c>
      <c r="D12" s="255" t="str">
        <f t="shared" si="0"/>
        <v>int003</v>
      </c>
      <c r="E12" s="222" t="s">
        <v>618</v>
      </c>
      <c r="F12" s="222">
        <f>PV_INV_STRING!$D$5</f>
        <v>19</v>
      </c>
    </row>
    <row r="13" spans="1:6" hidden="1" x14ac:dyDescent="0.3">
      <c r="A13" s="244">
        <v>12</v>
      </c>
      <c r="B13" s="244" t="s">
        <v>607</v>
      </c>
      <c r="C13" s="222">
        <v>5</v>
      </c>
      <c r="D13" s="255" t="str">
        <f t="shared" si="0"/>
        <v>string005</v>
      </c>
      <c r="E13" s="222" t="s">
        <v>619</v>
      </c>
      <c r="F13" s="222" t="str">
        <f>CONCATENATE('INV1_TABLERO FV'!B3," ",'INV1_TABLERO FV'!B4)</f>
        <v>Growatt MIN10000 TL-X2</v>
      </c>
    </row>
    <row r="14" spans="1:6" x14ac:dyDescent="0.3">
      <c r="A14" s="244">
        <v>13</v>
      </c>
      <c r="B14" s="244" t="s">
        <v>615</v>
      </c>
      <c r="C14" s="222">
        <v>4</v>
      </c>
      <c r="D14" s="255" t="str">
        <f t="shared" si="0"/>
        <v>int004</v>
      </c>
      <c r="E14" s="222" t="s">
        <v>620</v>
      </c>
      <c r="F14" s="222">
        <f>'TABLERO FV_INTX'!B9+'TABLERO FV_INTX'!F9</f>
        <v>1</v>
      </c>
    </row>
    <row r="15" spans="1:6" x14ac:dyDescent="0.3">
      <c r="A15" s="244">
        <v>14</v>
      </c>
      <c r="B15" s="244" t="s">
        <v>615</v>
      </c>
      <c r="C15" s="222">
        <v>5</v>
      </c>
      <c r="D15" s="255" t="str">
        <f t="shared" si="0"/>
        <v>int005</v>
      </c>
      <c r="E15" s="222" t="s">
        <v>623</v>
      </c>
      <c r="F15" s="222">
        <f>'INV1_TABLERO FV'!B6</f>
        <v>220</v>
      </c>
    </row>
    <row r="16" spans="1:6" x14ac:dyDescent="0.3">
      <c r="A16" s="244">
        <v>15</v>
      </c>
      <c r="B16" s="244" t="s">
        <v>615</v>
      </c>
      <c r="C16" s="222">
        <v>7</v>
      </c>
      <c r="D16" s="255" t="str">
        <f t="shared" si="0"/>
        <v>int007</v>
      </c>
      <c r="E16" s="222" t="s">
        <v>626</v>
      </c>
      <c r="F16" s="254" t="str">
        <f>PV_INV_STRING!B66</f>
        <v>10 AWG</v>
      </c>
    </row>
    <row r="17" spans="1:6" hidden="1" x14ac:dyDescent="0.3">
      <c r="A17" s="244">
        <v>16</v>
      </c>
      <c r="B17" s="244" t="s">
        <v>607</v>
      </c>
      <c r="C17" s="222">
        <v>7</v>
      </c>
      <c r="D17" s="222" t="str">
        <f t="shared" si="0"/>
        <v>string007</v>
      </c>
      <c r="E17" s="222" t="s">
        <v>627</v>
      </c>
      <c r="F17" s="222" t="str">
        <f>CONCATENATE(PV_INV_STRING!B3," ",PV_INV_STRING!B4," ",PV_INV_STRING!B5,"Wp")</f>
        <v>Longi LR5-72HTH-570M 570Wp</v>
      </c>
    </row>
    <row r="18" spans="1:6" hidden="1" x14ac:dyDescent="0.3">
      <c r="A18" s="244">
        <v>17</v>
      </c>
      <c r="B18" s="244" t="s">
        <v>605</v>
      </c>
      <c r="C18" s="222">
        <v>2</v>
      </c>
      <c r="D18" s="222" t="str">
        <f t="shared" si="0"/>
        <v>float002</v>
      </c>
      <c r="E18" s="222" t="s">
        <v>628</v>
      </c>
      <c r="F18" s="222">
        <f>PV_INV_STRING!B7</f>
        <v>14.07</v>
      </c>
    </row>
    <row r="19" spans="1:6" hidden="1" x14ac:dyDescent="0.3">
      <c r="A19" s="244">
        <v>18</v>
      </c>
      <c r="B19" s="244" t="s">
        <v>605</v>
      </c>
      <c r="C19" s="222">
        <v>3</v>
      </c>
      <c r="D19" s="222" t="str">
        <f t="shared" si="0"/>
        <v>float003</v>
      </c>
      <c r="E19" s="222" t="s">
        <v>629</v>
      </c>
      <c r="F19" s="254">
        <f>PV_INV_STRING!$B$26</f>
        <v>17.587499999999999</v>
      </c>
    </row>
    <row r="20" spans="1:6" hidden="1" x14ac:dyDescent="0.3">
      <c r="A20" s="244">
        <v>19</v>
      </c>
      <c r="B20" s="244" t="s">
        <v>605</v>
      </c>
      <c r="C20" s="222">
        <v>4</v>
      </c>
      <c r="D20" s="222" t="str">
        <f t="shared" si="0"/>
        <v>float004</v>
      </c>
      <c r="E20" s="222" t="s">
        <v>630</v>
      </c>
      <c r="F20" s="254">
        <f>PV_INV_STRING!B28</f>
        <v>1.04</v>
      </c>
    </row>
    <row r="21" spans="1:6" hidden="1" x14ac:dyDescent="0.3">
      <c r="A21" s="244">
        <v>20</v>
      </c>
      <c r="B21" s="244" t="s">
        <v>605</v>
      </c>
      <c r="C21" s="222">
        <v>5</v>
      </c>
      <c r="D21" s="222" t="str">
        <f t="shared" si="0"/>
        <v>float005</v>
      </c>
      <c r="E21" s="222" t="s">
        <v>631</v>
      </c>
      <c r="F21" s="254">
        <f>PV_INV_STRING!B29</f>
        <v>1</v>
      </c>
    </row>
    <row r="22" spans="1:6" hidden="1" x14ac:dyDescent="0.3">
      <c r="A22" s="244">
        <v>21</v>
      </c>
      <c r="B22" s="244" t="s">
        <v>605</v>
      </c>
      <c r="C22" s="222">
        <v>6</v>
      </c>
      <c r="D22" s="222" t="str">
        <f t="shared" si="0"/>
        <v>float006</v>
      </c>
      <c r="E22" s="222" t="s">
        <v>632</v>
      </c>
      <c r="F22" s="254">
        <f>PV_INV_STRING!B30</f>
        <v>13.528846153846153</v>
      </c>
    </row>
    <row r="23" spans="1:6" x14ac:dyDescent="0.3">
      <c r="A23" s="244">
        <v>22</v>
      </c>
      <c r="B23" s="244" t="s">
        <v>615</v>
      </c>
      <c r="C23" s="222">
        <v>8</v>
      </c>
      <c r="D23" s="255" t="str">
        <f t="shared" si="0"/>
        <v>int008</v>
      </c>
      <c r="E23" s="222" t="s">
        <v>633</v>
      </c>
      <c r="F23" s="255" t="str">
        <f>CONCATENATE(PV_INV_STRING!B36," ","mm²")</f>
        <v>4 mm²</v>
      </c>
    </row>
    <row r="24" spans="1:6" x14ac:dyDescent="0.3">
      <c r="A24" s="244">
        <v>23</v>
      </c>
      <c r="B24" s="244" t="s">
        <v>615</v>
      </c>
      <c r="C24" s="222">
        <v>9</v>
      </c>
      <c r="D24" s="255" t="str">
        <f t="shared" si="0"/>
        <v>int009</v>
      </c>
      <c r="E24" s="222" t="s">
        <v>634</v>
      </c>
      <c r="F24" s="254" t="str">
        <f>PV_INV_STRING!B35</f>
        <v>12 AWG</v>
      </c>
    </row>
    <row r="25" spans="1:6" x14ac:dyDescent="0.3">
      <c r="A25" s="244">
        <v>24</v>
      </c>
      <c r="B25" s="244" t="s">
        <v>615</v>
      </c>
      <c r="C25" s="222">
        <v>10</v>
      </c>
      <c r="D25" s="255" t="str">
        <f>_xlfn.CONCAT(B25,"0",C25)</f>
        <v>int010</v>
      </c>
      <c r="E25" s="222" t="s">
        <v>635</v>
      </c>
      <c r="F25" s="222">
        <f>PV_INV_STRING!B42</f>
        <v>20</v>
      </c>
    </row>
    <row r="26" spans="1:6" x14ac:dyDescent="0.3">
      <c r="A26" s="244">
        <v>25</v>
      </c>
      <c r="B26" s="244" t="s">
        <v>615</v>
      </c>
      <c r="C26" s="222">
        <v>12</v>
      </c>
      <c r="D26" s="255" t="str">
        <f t="shared" ref="D26" si="1">_xlfn.CONCAT(B26,"0",C26)</f>
        <v>int012</v>
      </c>
      <c r="E26" s="222" t="s">
        <v>636</v>
      </c>
      <c r="F26" s="254">
        <f>'TABLERO FV_INTX'!B13</f>
        <v>45.5</v>
      </c>
    </row>
    <row r="27" spans="1:6" hidden="1" x14ac:dyDescent="0.3">
      <c r="A27" s="244">
        <v>26</v>
      </c>
      <c r="B27" s="244" t="s">
        <v>605</v>
      </c>
      <c r="C27" s="222">
        <v>7</v>
      </c>
      <c r="D27" s="222" t="str">
        <f>_xlfn.CONCAT(B27,"00",C27)</f>
        <v>float007</v>
      </c>
      <c r="E27" s="222" t="s">
        <v>637</v>
      </c>
      <c r="F27" s="254">
        <f>'INV1_TABLERO FV'!B26</f>
        <v>1</v>
      </c>
    </row>
    <row r="28" spans="1:6" x14ac:dyDescent="0.3">
      <c r="A28" s="244">
        <v>27</v>
      </c>
      <c r="B28" s="244" t="s">
        <v>615</v>
      </c>
      <c r="C28" s="222">
        <v>13</v>
      </c>
      <c r="D28" s="255" t="str">
        <f t="shared" ref="D28:D31" si="2">_xlfn.CONCAT(B28,"0",C28)</f>
        <v>int013</v>
      </c>
      <c r="E28" s="222" t="s">
        <v>638</v>
      </c>
      <c r="F28" s="254" t="str">
        <f>'INV1_TABLERO FV'!B32</f>
        <v>6 AWG</v>
      </c>
    </row>
    <row r="29" spans="1:6" x14ac:dyDescent="0.3">
      <c r="A29" s="244">
        <v>28</v>
      </c>
      <c r="B29" s="244" t="s">
        <v>615</v>
      </c>
      <c r="C29" s="222">
        <v>14</v>
      </c>
      <c r="D29" s="255" t="str">
        <f t="shared" si="2"/>
        <v>int014</v>
      </c>
      <c r="E29" s="222" t="s">
        <v>651</v>
      </c>
      <c r="F29" s="254" t="str">
        <f>'TABLERO FV_INTX'!B33</f>
        <v>6 AWG</v>
      </c>
    </row>
    <row r="30" spans="1:6" x14ac:dyDescent="0.3">
      <c r="A30" s="244">
        <v>29</v>
      </c>
      <c r="B30" s="244" t="s">
        <v>615</v>
      </c>
      <c r="C30" s="222">
        <v>15</v>
      </c>
      <c r="D30" s="255" t="str">
        <f t="shared" si="2"/>
        <v>int015</v>
      </c>
      <c r="E30" s="222" t="s">
        <v>639</v>
      </c>
      <c r="F30" s="222">
        <f>'TABLERO FV_INTX'!B39</f>
        <v>50</v>
      </c>
    </row>
    <row r="31" spans="1:6" x14ac:dyDescent="0.3">
      <c r="A31" s="244">
        <v>30</v>
      </c>
      <c r="B31" s="244" t="s">
        <v>615</v>
      </c>
      <c r="C31" s="222">
        <v>16</v>
      </c>
      <c r="D31" s="255" t="str">
        <f t="shared" si="2"/>
        <v>int016</v>
      </c>
      <c r="E31" s="222" t="s">
        <v>640</v>
      </c>
      <c r="F31" s="254" t="str">
        <f>'TABLERO FV_INTX'!B63</f>
        <v>10 AWG</v>
      </c>
    </row>
    <row r="32" spans="1:6" hidden="1" x14ac:dyDescent="0.3">
      <c r="A32" s="244">
        <v>31</v>
      </c>
      <c r="B32" s="244" t="s">
        <v>666</v>
      </c>
      <c r="C32" s="222">
        <v>1</v>
      </c>
      <c r="D32" s="222" t="str">
        <f>_xlfn.CONCAT(B32,"00",C32)</f>
        <v>tabla001</v>
      </c>
      <c r="E32" s="222" t="s">
        <v>641</v>
      </c>
      <c r="F32" s="222" t="s">
        <v>642</v>
      </c>
    </row>
    <row r="33" spans="1:6" hidden="1" x14ac:dyDescent="0.3">
      <c r="A33" s="244">
        <v>32</v>
      </c>
      <c r="B33" s="244" t="s">
        <v>605</v>
      </c>
      <c r="C33" s="222">
        <v>8</v>
      </c>
      <c r="D33" s="222" t="str">
        <f>_xlfn.CONCAT(B33,"00",C33)</f>
        <v>float008</v>
      </c>
      <c r="E33" s="222" t="s">
        <v>652</v>
      </c>
      <c r="F33" s="254">
        <f>'INV1_TABLERO FV'!B27</f>
        <v>43.75</v>
      </c>
    </row>
    <row r="34" spans="1:6" hidden="1" x14ac:dyDescent="0.3">
      <c r="A34" s="244">
        <v>33</v>
      </c>
      <c r="B34" s="244" t="s">
        <v>605</v>
      </c>
      <c r="C34" s="222">
        <v>9</v>
      </c>
      <c r="D34" s="222" t="str">
        <f>_xlfn.CONCAT(B34,"00",C34)</f>
        <v>float009</v>
      </c>
      <c r="E34" s="222" t="s">
        <v>643</v>
      </c>
      <c r="F34" s="254">
        <f>'INV1_TABLERO FV'!B23</f>
        <v>45.5</v>
      </c>
    </row>
    <row r="35" spans="1:6" hidden="1" x14ac:dyDescent="0.3">
      <c r="A35" s="244">
        <v>34</v>
      </c>
      <c r="B35" s="244" t="s">
        <v>605</v>
      </c>
      <c r="C35" s="222">
        <v>10</v>
      </c>
      <c r="D35" s="222" t="str">
        <f t="shared" ref="D35:D40" si="3">_xlfn.CONCAT(B35,"0",C35)</f>
        <v>float010</v>
      </c>
      <c r="E35" s="222" t="s">
        <v>644</v>
      </c>
      <c r="F35" s="254">
        <f>'TABLERO FV_INTX'!B24</f>
        <v>45.5</v>
      </c>
    </row>
    <row r="36" spans="1:6" hidden="1" x14ac:dyDescent="0.3">
      <c r="A36" s="244">
        <v>35</v>
      </c>
      <c r="B36" s="244" t="s">
        <v>605</v>
      </c>
      <c r="C36" s="222">
        <v>11</v>
      </c>
      <c r="D36" s="222" t="str">
        <f t="shared" si="3"/>
        <v>float011</v>
      </c>
      <c r="E36" s="222" t="s">
        <v>645</v>
      </c>
      <c r="F36" s="254">
        <f>'TABLERO FV_INTX'!B27</f>
        <v>1</v>
      </c>
    </row>
    <row r="37" spans="1:6" hidden="1" x14ac:dyDescent="0.3">
      <c r="A37" s="244">
        <v>36</v>
      </c>
      <c r="B37" s="244" t="s">
        <v>605</v>
      </c>
      <c r="C37" s="222">
        <v>12</v>
      </c>
      <c r="D37" s="222" t="str">
        <f t="shared" si="3"/>
        <v>float012</v>
      </c>
      <c r="E37" s="222" t="s">
        <v>646</v>
      </c>
      <c r="F37" s="254">
        <f>'TABLERO FV_INTX'!B24</f>
        <v>45.5</v>
      </c>
    </row>
    <row r="38" spans="1:6" x14ac:dyDescent="0.3">
      <c r="A38" s="244">
        <v>37</v>
      </c>
      <c r="B38" s="244" t="s">
        <v>615</v>
      </c>
      <c r="C38" s="222">
        <v>17</v>
      </c>
      <c r="D38" s="222" t="str">
        <f t="shared" si="3"/>
        <v>int017</v>
      </c>
      <c r="E38" s="222" t="s">
        <v>647</v>
      </c>
      <c r="F38" s="222">
        <f>'TABLERO FV_INTX'!B39</f>
        <v>50</v>
      </c>
    </row>
    <row r="39" spans="1:6" x14ac:dyDescent="0.3">
      <c r="A39" s="244">
        <v>38</v>
      </c>
      <c r="B39" s="244" t="s">
        <v>615</v>
      </c>
      <c r="C39" s="222">
        <v>18</v>
      </c>
      <c r="D39" s="222" t="str">
        <f t="shared" si="3"/>
        <v>int018</v>
      </c>
      <c r="E39" s="222" t="s">
        <v>648</v>
      </c>
      <c r="F39" s="254" t="str">
        <f>'TABLERO FV_INTX'!B63</f>
        <v>10 AWG</v>
      </c>
    </row>
    <row r="40" spans="1:6" hidden="1" x14ac:dyDescent="0.3">
      <c r="A40" s="244">
        <v>39</v>
      </c>
      <c r="B40" s="244" t="s">
        <v>605</v>
      </c>
      <c r="C40" s="222">
        <v>13</v>
      </c>
      <c r="D40" s="222" t="str">
        <f t="shared" si="3"/>
        <v>float013</v>
      </c>
      <c r="E40" s="222" t="s">
        <v>653</v>
      </c>
      <c r="F40" s="254">
        <f>'INV1_TABLERO FV'!B12</f>
        <v>45.5</v>
      </c>
    </row>
  </sheetData>
  <autoFilter ref="A1:F40" xr:uid="{9595633C-4F8E-497C-AFA0-38047FECB769}">
    <filterColumn colId="1">
      <filters>
        <filter val="int"/>
      </filters>
    </filterColumn>
    <filterColumn colId="2" showButton="0"/>
  </autoFilter>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K22"/>
  <sheetViews>
    <sheetView topLeftCell="A7" zoomScaleNormal="100" workbookViewId="0">
      <selection activeCell="G10" sqref="G10:G13"/>
    </sheetView>
  </sheetViews>
  <sheetFormatPr baseColWidth="10" defaultColWidth="9.109375" defaultRowHeight="14.4" x14ac:dyDescent="0.3"/>
  <cols>
    <col min="2" max="2" width="22.6640625" bestFit="1" customWidth="1"/>
    <col min="4" max="4" width="16.33203125" bestFit="1" customWidth="1"/>
    <col min="7" max="7" width="12.109375" customWidth="1"/>
    <col min="9" max="9" width="37.5546875" customWidth="1"/>
    <col min="10" max="10" width="21.6640625" bestFit="1" customWidth="1"/>
    <col min="11" max="11" width="10.44140625" bestFit="1" customWidth="1"/>
    <col min="13" max="13" width="37.5546875" bestFit="1" customWidth="1"/>
    <col min="16" max="16" width="22.44140625" bestFit="1" customWidth="1"/>
    <col min="18" max="18" width="21.5546875" bestFit="1" customWidth="1"/>
    <col min="19" max="19" width="21.6640625" bestFit="1" customWidth="1"/>
    <col min="20" max="20" width="10.44140625" bestFit="1" customWidth="1"/>
  </cols>
  <sheetData>
    <row r="1" spans="2:11" x14ac:dyDescent="0.3">
      <c r="D1" s="437" t="s">
        <v>79</v>
      </c>
      <c r="E1" s="438"/>
      <c r="F1" s="438"/>
      <c r="G1" s="438"/>
      <c r="H1" s="438"/>
      <c r="I1" s="439"/>
    </row>
    <row r="2" spans="2:11" x14ac:dyDescent="0.3">
      <c r="D2" s="440"/>
      <c r="E2" s="441"/>
      <c r="F2" s="441"/>
      <c r="G2" s="441"/>
      <c r="H2" s="441"/>
      <c r="I2" s="442"/>
    </row>
    <row r="3" spans="2:11" x14ac:dyDescent="0.3">
      <c r="D3" s="443" t="s">
        <v>77</v>
      </c>
      <c r="E3" s="444"/>
      <c r="F3" s="444"/>
      <c r="G3" s="445"/>
    </row>
    <row r="6" spans="2:11" x14ac:dyDescent="0.3">
      <c r="B6" s="31"/>
      <c r="C6" s="31"/>
      <c r="D6" s="31"/>
      <c r="E6" s="31"/>
      <c r="F6" s="31"/>
      <c r="G6" s="31"/>
      <c r="H6" s="31"/>
      <c r="I6" s="31"/>
      <c r="J6" s="31"/>
      <c r="K6" s="31"/>
    </row>
    <row r="7" spans="2:11" x14ac:dyDescent="0.3">
      <c r="B7" s="31"/>
      <c r="C7" s="31"/>
      <c r="D7" s="31"/>
      <c r="E7" s="31"/>
      <c r="F7" s="31"/>
      <c r="G7" s="31"/>
      <c r="H7" s="31"/>
      <c r="I7" s="31"/>
      <c r="J7" s="31"/>
      <c r="K7" s="31"/>
    </row>
    <row r="8" spans="2:11" x14ac:dyDescent="0.3">
      <c r="B8" s="446" t="s">
        <v>103</v>
      </c>
      <c r="C8" s="447"/>
      <c r="D8" s="447"/>
      <c r="E8" s="447"/>
      <c r="F8" s="447"/>
      <c r="G8" s="448"/>
      <c r="H8" s="31"/>
      <c r="I8" s="449" t="s">
        <v>101</v>
      </c>
      <c r="J8" s="449"/>
      <c r="K8" s="449"/>
    </row>
    <row r="9" spans="2:11" x14ac:dyDescent="0.3">
      <c r="B9" s="426" t="s">
        <v>27</v>
      </c>
      <c r="C9" s="25" t="s">
        <v>28</v>
      </c>
      <c r="D9" s="14">
        <v>3</v>
      </c>
      <c r="E9" s="25" t="s">
        <v>29</v>
      </c>
      <c r="F9" s="19">
        <v>208</v>
      </c>
      <c r="G9" s="30" t="s">
        <v>78</v>
      </c>
      <c r="H9" s="31"/>
      <c r="I9" s="29" t="s">
        <v>88</v>
      </c>
      <c r="J9" s="29" t="s">
        <v>75</v>
      </c>
      <c r="K9" s="29" t="s">
        <v>76</v>
      </c>
    </row>
    <row r="10" spans="2:11" x14ac:dyDescent="0.3">
      <c r="B10" s="426"/>
      <c r="C10" s="25" t="s">
        <v>30</v>
      </c>
      <c r="D10" s="15">
        <v>41.6</v>
      </c>
      <c r="E10" s="427" t="s">
        <v>31</v>
      </c>
      <c r="F10" s="430"/>
      <c r="G10" s="433">
        <f>(SQRT(3)*D12*D9*D10*D13)/((VLOOKUP(D11:D11,'Area cable'!B2:C28,2,FALSE))*F9)/2</f>
        <v>6.6466961012801159E-4</v>
      </c>
      <c r="H10" s="31"/>
      <c r="I10" s="28" t="s">
        <v>98</v>
      </c>
      <c r="J10" s="28" t="s">
        <v>74</v>
      </c>
      <c r="K10" s="23">
        <v>320</v>
      </c>
    </row>
    <row r="11" spans="2:11" x14ac:dyDescent="0.3">
      <c r="B11" s="426"/>
      <c r="C11" s="25" t="s">
        <v>32</v>
      </c>
      <c r="D11" s="18" t="s">
        <v>59</v>
      </c>
      <c r="E11" s="428"/>
      <c r="F11" s="431"/>
      <c r="G11" s="434"/>
      <c r="H11" s="31"/>
      <c r="I11" s="28" t="s">
        <v>80</v>
      </c>
      <c r="J11" s="28"/>
      <c r="K11" s="23" t="s">
        <v>93</v>
      </c>
    </row>
    <row r="12" spans="2:11" x14ac:dyDescent="0.3">
      <c r="B12" s="426"/>
      <c r="C12" s="25"/>
      <c r="D12" s="16">
        <v>1.7000000000000001E-2</v>
      </c>
      <c r="E12" s="428"/>
      <c r="F12" s="431"/>
      <c r="G12" s="434"/>
      <c r="H12" s="31"/>
      <c r="I12" s="28" t="s">
        <v>99</v>
      </c>
      <c r="J12" s="28"/>
      <c r="K12" s="23" t="s">
        <v>100</v>
      </c>
    </row>
    <row r="13" spans="2:11" x14ac:dyDescent="0.3">
      <c r="B13" s="426"/>
      <c r="C13" s="25"/>
      <c r="D13" s="17">
        <v>1</v>
      </c>
      <c r="E13" s="429"/>
      <c r="F13" s="432"/>
      <c r="G13" s="435"/>
      <c r="H13" s="31"/>
      <c r="I13" s="28" t="s">
        <v>81</v>
      </c>
      <c r="J13" s="28" t="s">
        <v>89</v>
      </c>
      <c r="K13" s="23">
        <v>20</v>
      </c>
    </row>
    <row r="14" spans="2:11" x14ac:dyDescent="0.3">
      <c r="I14" s="28" t="s">
        <v>82</v>
      </c>
      <c r="J14" s="28" t="s">
        <v>89</v>
      </c>
      <c r="K14" s="23">
        <v>40</v>
      </c>
    </row>
    <row r="15" spans="2:11" x14ac:dyDescent="0.3">
      <c r="B15" s="436" t="s">
        <v>102</v>
      </c>
      <c r="C15" s="436"/>
      <c r="D15" s="436"/>
      <c r="E15" s="23">
        <v>170</v>
      </c>
      <c r="F15" s="23">
        <v>2</v>
      </c>
      <c r="G15" s="23">
        <f>+F15*E15</f>
        <v>340</v>
      </c>
      <c r="I15" s="28" t="s">
        <v>83</v>
      </c>
      <c r="J15" s="28" t="s">
        <v>90</v>
      </c>
      <c r="K15" s="23" t="s">
        <v>94</v>
      </c>
    </row>
    <row r="16" spans="2:11" x14ac:dyDescent="0.3">
      <c r="I16" s="28" t="s">
        <v>84</v>
      </c>
      <c r="J16" s="28" t="s">
        <v>91</v>
      </c>
      <c r="K16" s="23" t="s">
        <v>95</v>
      </c>
    </row>
    <row r="17" spans="2:11" ht="28.5" customHeight="1" x14ac:dyDescent="0.3">
      <c r="B17" s="423" t="s">
        <v>104</v>
      </c>
      <c r="C17" s="424"/>
      <c r="D17" s="424"/>
      <c r="E17" s="424"/>
      <c r="F17" s="424"/>
      <c r="G17" s="425"/>
      <c r="I17" s="28" t="s">
        <v>85</v>
      </c>
      <c r="J17" s="28" t="s">
        <v>92</v>
      </c>
      <c r="K17" s="23" t="s">
        <v>96</v>
      </c>
    </row>
    <row r="18" spans="2:11" x14ac:dyDescent="0.3">
      <c r="B18" s="426" t="s">
        <v>27</v>
      </c>
      <c r="C18" s="25" t="s">
        <v>28</v>
      </c>
      <c r="D18" s="14">
        <v>73</v>
      </c>
      <c r="E18" s="25" t="s">
        <v>29</v>
      </c>
      <c r="F18" s="19">
        <v>208</v>
      </c>
      <c r="G18" s="30" t="s">
        <v>78</v>
      </c>
      <c r="I18" s="28" t="s">
        <v>86</v>
      </c>
      <c r="J18" s="28" t="s">
        <v>92</v>
      </c>
      <c r="K18" s="23" t="s">
        <v>96</v>
      </c>
    </row>
    <row r="19" spans="2:11" x14ac:dyDescent="0.3">
      <c r="B19" s="426"/>
      <c r="C19" s="25" t="s">
        <v>30</v>
      </c>
      <c r="D19" s="15">
        <v>166.4</v>
      </c>
      <c r="E19" s="427" t="s">
        <v>31</v>
      </c>
      <c r="F19" s="430"/>
      <c r="G19" s="433">
        <f>(SQRT(3)*D21*D18*D19*D22)/((VLOOKUP(D20:D20,'Area cable'!B11:C37,2,FALSE))*F18)/2</f>
        <v>8.0196811946384727E-3</v>
      </c>
      <c r="I19" s="28" t="s">
        <v>87</v>
      </c>
      <c r="J19" s="28" t="s">
        <v>92</v>
      </c>
      <c r="K19" s="23" t="s">
        <v>97</v>
      </c>
    </row>
    <row r="20" spans="2:11" x14ac:dyDescent="0.3">
      <c r="B20" s="426"/>
      <c r="C20" s="25" t="s">
        <v>32</v>
      </c>
      <c r="D20" s="18" t="s">
        <v>38</v>
      </c>
      <c r="E20" s="428"/>
      <c r="F20" s="431"/>
      <c r="G20" s="434"/>
    </row>
    <row r="21" spans="2:11" x14ac:dyDescent="0.3">
      <c r="B21" s="426"/>
      <c r="C21" s="25"/>
      <c r="D21" s="16">
        <v>1.7000000000000001E-2</v>
      </c>
      <c r="E21" s="428"/>
      <c r="F21" s="431"/>
      <c r="G21" s="434"/>
    </row>
    <row r="22" spans="2:11" x14ac:dyDescent="0.3">
      <c r="B22" s="426"/>
      <c r="C22" s="25"/>
      <c r="D22" s="17">
        <v>1</v>
      </c>
      <c r="E22" s="429"/>
      <c r="F22" s="432"/>
      <c r="G22" s="435"/>
    </row>
  </sheetData>
  <mergeCells count="14">
    <mergeCell ref="B15:D15"/>
    <mergeCell ref="D1:I2"/>
    <mergeCell ref="D3:G3"/>
    <mergeCell ref="B8:G8"/>
    <mergeCell ref="I8:K8"/>
    <mergeCell ref="B9:B13"/>
    <mergeCell ref="E10:E13"/>
    <mergeCell ref="F10:F13"/>
    <mergeCell ref="G10:G13"/>
    <mergeCell ref="B17:G17"/>
    <mergeCell ref="B18:B22"/>
    <mergeCell ref="E19:E22"/>
    <mergeCell ref="F19:F22"/>
    <mergeCell ref="G19:G2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'Area cable'!$B$2:$B$28</xm:f>
          </x14:formula1>
          <xm:sqref>D11 D20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K19"/>
  <sheetViews>
    <sheetView zoomScaleNormal="100" workbookViewId="0">
      <selection activeCell="G10" sqref="G10:G13"/>
    </sheetView>
  </sheetViews>
  <sheetFormatPr baseColWidth="10" defaultColWidth="9.109375" defaultRowHeight="14.4" x14ac:dyDescent="0.3"/>
  <cols>
    <col min="2" max="2" width="22.6640625" bestFit="1" customWidth="1"/>
    <col min="4" max="4" width="16.33203125" bestFit="1" customWidth="1"/>
    <col min="7" max="7" width="12.109375" customWidth="1"/>
    <col min="9" max="9" width="37.5546875" customWidth="1"/>
    <col min="10" max="10" width="21.6640625" bestFit="1" customWidth="1"/>
    <col min="11" max="11" width="10.44140625" bestFit="1" customWidth="1"/>
    <col min="13" max="13" width="37.5546875" bestFit="1" customWidth="1"/>
    <col min="16" max="16" width="22.44140625" bestFit="1" customWidth="1"/>
    <col min="18" max="18" width="21.5546875" bestFit="1" customWidth="1"/>
    <col min="19" max="19" width="21.6640625" bestFit="1" customWidth="1"/>
    <col min="20" max="20" width="10.44140625" bestFit="1" customWidth="1"/>
  </cols>
  <sheetData>
    <row r="1" spans="2:11" x14ac:dyDescent="0.3">
      <c r="D1" s="437" t="s">
        <v>79</v>
      </c>
      <c r="E1" s="438"/>
      <c r="F1" s="438"/>
      <c r="G1" s="438"/>
      <c r="H1" s="438"/>
      <c r="I1" s="439"/>
    </row>
    <row r="2" spans="2:11" x14ac:dyDescent="0.3">
      <c r="D2" s="440"/>
      <c r="E2" s="441"/>
      <c r="F2" s="441"/>
      <c r="G2" s="441"/>
      <c r="H2" s="441"/>
      <c r="I2" s="442"/>
    </row>
    <row r="3" spans="2:11" x14ac:dyDescent="0.3">
      <c r="D3" s="443" t="s">
        <v>77</v>
      </c>
      <c r="E3" s="444"/>
      <c r="F3" s="444"/>
      <c r="G3" s="445"/>
    </row>
    <row r="6" spans="2:11" x14ac:dyDescent="0.3">
      <c r="B6" s="31"/>
      <c r="C6" s="31"/>
      <c r="D6" s="31"/>
      <c r="E6" s="31"/>
      <c r="F6" s="31"/>
      <c r="G6" s="31"/>
      <c r="H6" s="31"/>
      <c r="I6" s="31"/>
      <c r="J6" s="31"/>
      <c r="K6" s="31"/>
    </row>
    <row r="7" spans="2:11" x14ac:dyDescent="0.3">
      <c r="B7" s="31"/>
      <c r="C7" s="31"/>
      <c r="D7" s="31"/>
      <c r="E7" s="31"/>
      <c r="F7" s="31"/>
      <c r="G7" s="31"/>
      <c r="H7" s="31"/>
      <c r="I7" s="31"/>
      <c r="J7" s="31"/>
      <c r="K7" s="31"/>
    </row>
    <row r="8" spans="2:11" x14ac:dyDescent="0.3">
      <c r="B8" s="446" t="s">
        <v>26</v>
      </c>
      <c r="C8" s="447"/>
      <c r="D8" s="447"/>
      <c r="E8" s="447"/>
      <c r="F8" s="447"/>
      <c r="G8" s="448"/>
      <c r="H8" s="31"/>
      <c r="I8" s="449" t="s">
        <v>101</v>
      </c>
      <c r="J8" s="449"/>
      <c r="K8" s="449"/>
    </row>
    <row r="9" spans="2:11" x14ac:dyDescent="0.3">
      <c r="B9" s="426" t="s">
        <v>27</v>
      </c>
      <c r="C9" s="25" t="s">
        <v>28</v>
      </c>
      <c r="D9" s="14">
        <v>8</v>
      </c>
      <c r="E9" s="25" t="s">
        <v>29</v>
      </c>
      <c r="F9" s="19">
        <v>208</v>
      </c>
      <c r="G9" s="30" t="s">
        <v>78</v>
      </c>
      <c r="H9" s="31"/>
      <c r="I9" s="29" t="s">
        <v>88</v>
      </c>
      <c r="J9" s="29" t="s">
        <v>75</v>
      </c>
      <c r="K9" s="29" t="s">
        <v>76</v>
      </c>
    </row>
    <row r="10" spans="2:11" x14ac:dyDescent="0.3">
      <c r="B10" s="426"/>
      <c r="C10" s="25" t="s">
        <v>30</v>
      </c>
      <c r="D10" s="15">
        <v>41.6</v>
      </c>
      <c r="E10" s="427" t="s">
        <v>31</v>
      </c>
      <c r="F10" s="430"/>
      <c r="G10" s="433">
        <f>(SQRT(3)*D12*D9*D10*D13)/((VLOOKUP(D11:D11,'Area cable'!B2:C28,2,FALSE))*F9)/2</f>
        <v>2.8176903089637238E-3</v>
      </c>
      <c r="H10" s="31"/>
      <c r="I10" s="28" t="s">
        <v>98</v>
      </c>
      <c r="J10" s="28" t="s">
        <v>74</v>
      </c>
      <c r="K10" s="23">
        <v>320</v>
      </c>
    </row>
    <row r="11" spans="2:11" x14ac:dyDescent="0.3">
      <c r="B11" s="426"/>
      <c r="C11" s="25" t="s">
        <v>32</v>
      </c>
      <c r="D11" s="18" t="s">
        <v>58</v>
      </c>
      <c r="E11" s="428"/>
      <c r="F11" s="431"/>
      <c r="G11" s="434"/>
      <c r="H11" s="31"/>
      <c r="I11" s="28" t="s">
        <v>80</v>
      </c>
      <c r="J11" s="28"/>
      <c r="K11" s="23" t="s">
        <v>93</v>
      </c>
    </row>
    <row r="12" spans="2:11" x14ac:dyDescent="0.3">
      <c r="B12" s="426"/>
      <c r="C12" s="25"/>
      <c r="D12" s="16">
        <v>1.7000000000000001E-2</v>
      </c>
      <c r="E12" s="428"/>
      <c r="F12" s="431"/>
      <c r="G12" s="434"/>
      <c r="H12" s="31"/>
      <c r="I12" s="28" t="s">
        <v>99</v>
      </c>
      <c r="J12" s="28"/>
      <c r="K12" s="23" t="s">
        <v>100</v>
      </c>
    </row>
    <row r="13" spans="2:11" x14ac:dyDescent="0.3">
      <c r="B13" s="426"/>
      <c r="C13" s="25"/>
      <c r="D13" s="17">
        <v>1</v>
      </c>
      <c r="E13" s="429"/>
      <c r="F13" s="432"/>
      <c r="G13" s="435"/>
      <c r="H13" s="31"/>
      <c r="I13" s="28" t="s">
        <v>81</v>
      </c>
      <c r="J13" s="28" t="s">
        <v>89</v>
      </c>
      <c r="K13" s="23">
        <v>20</v>
      </c>
    </row>
    <row r="14" spans="2:11" x14ac:dyDescent="0.3">
      <c r="I14" s="28" t="s">
        <v>82</v>
      </c>
      <c r="J14" s="28" t="s">
        <v>89</v>
      </c>
      <c r="K14" s="23">
        <v>40</v>
      </c>
    </row>
    <row r="15" spans="2:11" x14ac:dyDescent="0.3">
      <c r="I15" s="28" t="s">
        <v>83</v>
      </c>
      <c r="J15" s="28" t="s">
        <v>90</v>
      </c>
      <c r="K15" s="23" t="s">
        <v>94</v>
      </c>
    </row>
    <row r="16" spans="2:11" x14ac:dyDescent="0.3">
      <c r="I16" s="28" t="s">
        <v>84</v>
      </c>
      <c r="J16" s="28" t="s">
        <v>91</v>
      </c>
      <c r="K16" s="23" t="s">
        <v>95</v>
      </c>
    </row>
    <row r="17" spans="9:11" x14ac:dyDescent="0.3">
      <c r="I17" s="28" t="s">
        <v>85</v>
      </c>
      <c r="J17" s="28" t="s">
        <v>92</v>
      </c>
      <c r="K17" s="23" t="s">
        <v>96</v>
      </c>
    </row>
    <row r="18" spans="9:11" x14ac:dyDescent="0.3">
      <c r="I18" s="28" t="s">
        <v>86</v>
      </c>
      <c r="J18" s="28" t="s">
        <v>92</v>
      </c>
      <c r="K18" s="23" t="s">
        <v>96</v>
      </c>
    </row>
    <row r="19" spans="9:11" x14ac:dyDescent="0.3">
      <c r="I19" s="28" t="s">
        <v>87</v>
      </c>
      <c r="J19" s="28" t="s">
        <v>92</v>
      </c>
      <c r="K19" s="23" t="s">
        <v>97</v>
      </c>
    </row>
  </sheetData>
  <mergeCells count="8">
    <mergeCell ref="D1:I2"/>
    <mergeCell ref="D3:G3"/>
    <mergeCell ref="B8:G8"/>
    <mergeCell ref="I8:K8"/>
    <mergeCell ref="B9:B13"/>
    <mergeCell ref="E10:E13"/>
    <mergeCell ref="F10:F13"/>
    <mergeCell ref="G10:G13"/>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200-000000000000}">
          <x14:formula1>
            <xm:f>'Area cable'!$B$2:$B$28</xm:f>
          </x14:formula1>
          <xm:sqref>D11</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K19"/>
  <sheetViews>
    <sheetView zoomScaleNormal="100" workbookViewId="0">
      <selection activeCell="G10" sqref="G10:G13"/>
    </sheetView>
  </sheetViews>
  <sheetFormatPr baseColWidth="10" defaultColWidth="9.109375" defaultRowHeight="14.4" x14ac:dyDescent="0.3"/>
  <cols>
    <col min="2" max="2" width="22.6640625" bestFit="1" customWidth="1"/>
    <col min="4" max="4" width="16.33203125" bestFit="1" customWidth="1"/>
    <col min="7" max="7" width="12.109375" customWidth="1"/>
    <col min="9" max="9" width="37.5546875" customWidth="1"/>
    <col min="10" max="10" width="21.6640625" bestFit="1" customWidth="1"/>
    <col min="11" max="11" width="10.44140625" bestFit="1" customWidth="1"/>
    <col min="13" max="13" width="37.5546875" bestFit="1" customWidth="1"/>
    <col min="16" max="16" width="22.44140625" bestFit="1" customWidth="1"/>
    <col min="18" max="18" width="21.5546875" bestFit="1" customWidth="1"/>
    <col min="19" max="19" width="21.6640625" bestFit="1" customWidth="1"/>
    <col min="20" max="20" width="10.44140625" bestFit="1" customWidth="1"/>
  </cols>
  <sheetData>
    <row r="1" spans="2:11" x14ac:dyDescent="0.3">
      <c r="D1" s="437" t="s">
        <v>79</v>
      </c>
      <c r="E1" s="438"/>
      <c r="F1" s="438"/>
      <c r="G1" s="438"/>
      <c r="H1" s="438"/>
      <c r="I1" s="439"/>
    </row>
    <row r="2" spans="2:11" x14ac:dyDescent="0.3">
      <c r="D2" s="440"/>
      <c r="E2" s="441"/>
      <c r="F2" s="441"/>
      <c r="G2" s="441"/>
      <c r="H2" s="441"/>
      <c r="I2" s="442"/>
    </row>
    <row r="3" spans="2:11" x14ac:dyDescent="0.3">
      <c r="D3" s="443" t="s">
        <v>77</v>
      </c>
      <c r="E3" s="444"/>
      <c r="F3" s="444"/>
      <c r="G3" s="445"/>
    </row>
    <row r="6" spans="2:11" x14ac:dyDescent="0.3">
      <c r="B6" s="31"/>
      <c r="C6" s="31"/>
      <c r="D6" s="31"/>
      <c r="E6" s="31"/>
      <c r="F6" s="31"/>
      <c r="G6" s="31"/>
      <c r="H6" s="31"/>
      <c r="I6" s="31"/>
      <c r="J6" s="31"/>
      <c r="K6" s="31"/>
    </row>
    <row r="7" spans="2:11" x14ac:dyDescent="0.3">
      <c r="B7" s="31"/>
      <c r="C7" s="31"/>
      <c r="D7" s="31"/>
      <c r="E7" s="31"/>
      <c r="F7" s="31"/>
      <c r="G7" s="31"/>
      <c r="H7" s="31"/>
      <c r="I7" s="31"/>
      <c r="J7" s="31"/>
      <c r="K7" s="31"/>
    </row>
    <row r="8" spans="2:11" x14ac:dyDescent="0.3">
      <c r="B8" s="446" t="s">
        <v>26</v>
      </c>
      <c r="C8" s="447"/>
      <c r="D8" s="447"/>
      <c r="E8" s="447"/>
      <c r="F8" s="447"/>
      <c r="G8" s="448"/>
      <c r="H8" s="31"/>
      <c r="I8" s="449" t="s">
        <v>101</v>
      </c>
      <c r="J8" s="449"/>
      <c r="K8" s="449"/>
    </row>
    <row r="9" spans="2:11" x14ac:dyDescent="0.3">
      <c r="B9" s="426" t="s">
        <v>27</v>
      </c>
      <c r="C9" s="25" t="s">
        <v>28</v>
      </c>
      <c r="D9" s="14">
        <v>8</v>
      </c>
      <c r="E9" s="25" t="s">
        <v>29</v>
      </c>
      <c r="F9" s="19">
        <v>208</v>
      </c>
      <c r="G9" s="30" t="s">
        <v>78</v>
      </c>
      <c r="H9" s="31"/>
      <c r="I9" s="29" t="s">
        <v>88</v>
      </c>
      <c r="J9" s="29" t="s">
        <v>75</v>
      </c>
      <c r="K9" s="29" t="s">
        <v>76</v>
      </c>
    </row>
    <row r="10" spans="2:11" x14ac:dyDescent="0.3">
      <c r="B10" s="426"/>
      <c r="C10" s="25" t="s">
        <v>30</v>
      </c>
      <c r="D10" s="15">
        <v>27.7</v>
      </c>
      <c r="E10" s="427" t="s">
        <v>31</v>
      </c>
      <c r="F10" s="430"/>
      <c r="G10" s="433">
        <f>(SQRT(3)*D12*D9*D10*D13)/((VLOOKUP(D11:D11,'Area cable'!B2:C28,2,FALSE))*F9)/2</f>
        <v>1.8762024413051721E-3</v>
      </c>
      <c r="H10" s="31"/>
      <c r="I10" s="28" t="s">
        <v>98</v>
      </c>
      <c r="J10" s="28" t="s">
        <v>74</v>
      </c>
      <c r="K10" s="23">
        <v>320</v>
      </c>
    </row>
    <row r="11" spans="2:11" x14ac:dyDescent="0.3">
      <c r="B11" s="426"/>
      <c r="C11" s="25" t="s">
        <v>32</v>
      </c>
      <c r="D11" s="18" t="s">
        <v>58</v>
      </c>
      <c r="E11" s="428"/>
      <c r="F11" s="431"/>
      <c r="G11" s="434"/>
      <c r="H11" s="31"/>
      <c r="I11" s="28" t="s">
        <v>80</v>
      </c>
      <c r="J11" s="28"/>
      <c r="K11" s="23" t="s">
        <v>93</v>
      </c>
    </row>
    <row r="12" spans="2:11" x14ac:dyDescent="0.3">
      <c r="B12" s="426"/>
      <c r="C12" s="25"/>
      <c r="D12" s="16">
        <v>1.7000000000000001E-2</v>
      </c>
      <c r="E12" s="428"/>
      <c r="F12" s="431"/>
      <c r="G12" s="434"/>
      <c r="H12" s="31"/>
      <c r="I12" s="28" t="s">
        <v>99</v>
      </c>
      <c r="J12" s="28"/>
      <c r="K12" s="23" t="s">
        <v>100</v>
      </c>
    </row>
    <row r="13" spans="2:11" x14ac:dyDescent="0.3">
      <c r="B13" s="426"/>
      <c r="C13" s="25"/>
      <c r="D13" s="17">
        <v>1</v>
      </c>
      <c r="E13" s="429"/>
      <c r="F13" s="432"/>
      <c r="G13" s="435"/>
      <c r="H13" s="31"/>
      <c r="I13" s="28" t="s">
        <v>81</v>
      </c>
      <c r="J13" s="28" t="s">
        <v>89</v>
      </c>
      <c r="K13" s="23">
        <v>20</v>
      </c>
    </row>
    <row r="14" spans="2:11" x14ac:dyDescent="0.3">
      <c r="I14" s="28" t="s">
        <v>82</v>
      </c>
      <c r="J14" s="28" t="s">
        <v>89</v>
      </c>
      <c r="K14" s="23">
        <v>40</v>
      </c>
    </row>
    <row r="15" spans="2:11" x14ac:dyDescent="0.3">
      <c r="I15" s="28" t="s">
        <v>83</v>
      </c>
      <c r="J15" s="28" t="s">
        <v>90</v>
      </c>
      <c r="K15" s="23" t="s">
        <v>94</v>
      </c>
    </row>
    <row r="16" spans="2:11" x14ac:dyDescent="0.3">
      <c r="I16" s="28" t="s">
        <v>84</v>
      </c>
      <c r="J16" s="28" t="s">
        <v>91</v>
      </c>
      <c r="K16" s="23" t="s">
        <v>95</v>
      </c>
    </row>
    <row r="17" spans="9:11" x14ac:dyDescent="0.3">
      <c r="I17" s="28" t="s">
        <v>85</v>
      </c>
      <c r="J17" s="28" t="s">
        <v>92</v>
      </c>
      <c r="K17" s="23" t="s">
        <v>96</v>
      </c>
    </row>
    <row r="18" spans="9:11" x14ac:dyDescent="0.3">
      <c r="I18" s="28" t="s">
        <v>86</v>
      </c>
      <c r="J18" s="28" t="s">
        <v>92</v>
      </c>
      <c r="K18" s="23" t="s">
        <v>96</v>
      </c>
    </row>
    <row r="19" spans="9:11" x14ac:dyDescent="0.3">
      <c r="I19" s="28" t="s">
        <v>87</v>
      </c>
      <c r="J19" s="28" t="s">
        <v>92</v>
      </c>
      <c r="K19" s="23" t="s">
        <v>97</v>
      </c>
    </row>
  </sheetData>
  <mergeCells count="8">
    <mergeCell ref="D1:I2"/>
    <mergeCell ref="D3:G3"/>
    <mergeCell ref="I8:K8"/>
    <mergeCell ref="B9:B13"/>
    <mergeCell ref="E10:E13"/>
    <mergeCell ref="F10:F13"/>
    <mergeCell ref="G10:G13"/>
    <mergeCell ref="B8:G8"/>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1300-000000000000}">
          <x14:formula1>
            <xm:f>'Area cable'!$B$2:$B$28</xm:f>
          </x14:formula1>
          <xm:sqref>D11</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49"/>
  <sheetViews>
    <sheetView workbookViewId="0">
      <selection activeCell="G10" sqref="G10:G13"/>
    </sheetView>
  </sheetViews>
  <sheetFormatPr baseColWidth="10" defaultColWidth="11.44140625" defaultRowHeight="14.4" x14ac:dyDescent="0.3"/>
  <cols>
    <col min="1" max="1" width="26.44140625" customWidth="1"/>
    <col min="2" max="2" width="27" bestFit="1" customWidth="1"/>
    <col min="3" max="3" width="27.44140625" bestFit="1" customWidth="1"/>
    <col min="4" max="4" width="19.88671875" hidden="1" customWidth="1"/>
    <col min="5" max="5" width="20.5546875" bestFit="1" customWidth="1"/>
    <col min="9" max="10" width="11.44140625" hidden="1" customWidth="1"/>
  </cols>
  <sheetData>
    <row r="1" spans="1:10" x14ac:dyDescent="0.3">
      <c r="A1" s="452" t="s">
        <v>0</v>
      </c>
      <c r="B1" s="452"/>
      <c r="C1" s="452"/>
      <c r="D1" s="452"/>
    </row>
    <row r="3" spans="1:10" x14ac:dyDescent="0.3">
      <c r="A3" s="450" t="s">
        <v>1</v>
      </c>
      <c r="B3" s="451"/>
      <c r="C3" s="22" t="s">
        <v>3</v>
      </c>
      <c r="D3" s="3">
        <f>VLOOKUP(C3:C3,I33:J39,2,FALSE)</f>
        <v>1</v>
      </c>
    </row>
    <row r="4" spans="1:10" x14ac:dyDescent="0.3">
      <c r="A4" s="450" t="s">
        <v>25</v>
      </c>
      <c r="B4" s="451"/>
      <c r="C4" s="22" t="s">
        <v>12</v>
      </c>
      <c r="D4" s="3">
        <f>VLOOKUP(C4:C4,I43:J49,2,FALSE)</f>
        <v>1</v>
      </c>
    </row>
    <row r="5" spans="1:10" ht="15" thickBot="1" x14ac:dyDescent="0.35"/>
    <row r="6" spans="1:10" ht="45" customHeight="1" x14ac:dyDescent="0.3">
      <c r="A6" s="4" t="s">
        <v>19</v>
      </c>
      <c r="B6" s="5" t="s">
        <v>20</v>
      </c>
      <c r="C6" s="6" t="s">
        <v>21</v>
      </c>
      <c r="D6" s="2"/>
      <c r="E6" s="2"/>
      <c r="I6" s="5" t="s">
        <v>20</v>
      </c>
      <c r="J6" s="6" t="s">
        <v>21</v>
      </c>
    </row>
    <row r="7" spans="1:10" x14ac:dyDescent="0.3">
      <c r="A7" s="7" t="s">
        <v>62</v>
      </c>
      <c r="B7" s="9">
        <f>I7*$D$3*$D$4</f>
        <v>20</v>
      </c>
      <c r="C7" s="10">
        <f>J7*$D$3*$D$4</f>
        <v>25</v>
      </c>
      <c r="I7">
        <v>20</v>
      </c>
      <c r="J7">
        <v>25</v>
      </c>
    </row>
    <row r="8" spans="1:10" x14ac:dyDescent="0.3">
      <c r="A8" s="7" t="s">
        <v>63</v>
      </c>
      <c r="B8" s="9">
        <f t="shared" ref="B8:B29" si="0">I8*$D$3*$D$4</f>
        <v>25</v>
      </c>
      <c r="C8" s="10">
        <f t="shared" ref="C8:C26" si="1">J8*$D$3*$D$4</f>
        <v>30</v>
      </c>
      <c r="I8">
        <v>25</v>
      </c>
      <c r="J8">
        <v>30</v>
      </c>
    </row>
    <row r="9" spans="1:10" x14ac:dyDescent="0.3">
      <c r="A9" s="7" t="s">
        <v>64</v>
      </c>
      <c r="B9" s="9">
        <f t="shared" si="0"/>
        <v>35</v>
      </c>
      <c r="C9" s="10">
        <f t="shared" si="1"/>
        <v>40</v>
      </c>
      <c r="I9">
        <v>35</v>
      </c>
      <c r="J9">
        <v>40</v>
      </c>
    </row>
    <row r="10" spans="1:10" x14ac:dyDescent="0.3">
      <c r="A10" s="7" t="s">
        <v>65</v>
      </c>
      <c r="B10" s="9">
        <f t="shared" si="0"/>
        <v>50</v>
      </c>
      <c r="C10" s="10">
        <f t="shared" si="1"/>
        <v>55</v>
      </c>
      <c r="I10">
        <v>50</v>
      </c>
      <c r="J10">
        <v>55</v>
      </c>
    </row>
    <row r="11" spans="1:10" x14ac:dyDescent="0.3">
      <c r="A11" s="7" t="s">
        <v>66</v>
      </c>
      <c r="B11" s="9">
        <f t="shared" si="0"/>
        <v>65</v>
      </c>
      <c r="C11" s="10">
        <f t="shared" si="1"/>
        <v>75</v>
      </c>
      <c r="I11">
        <v>65</v>
      </c>
      <c r="J11">
        <v>75</v>
      </c>
    </row>
    <row r="12" spans="1:10" x14ac:dyDescent="0.3">
      <c r="A12" s="7" t="s">
        <v>67</v>
      </c>
      <c r="B12" s="9">
        <f t="shared" si="0"/>
        <v>85</v>
      </c>
      <c r="C12" s="10">
        <f t="shared" si="1"/>
        <v>95</v>
      </c>
      <c r="I12">
        <v>85</v>
      </c>
      <c r="J12">
        <v>95</v>
      </c>
    </row>
    <row r="13" spans="1:10" x14ac:dyDescent="0.3">
      <c r="A13" s="7" t="s">
        <v>68</v>
      </c>
      <c r="B13" s="9">
        <f t="shared" si="0"/>
        <v>115</v>
      </c>
      <c r="C13" s="10">
        <f t="shared" si="1"/>
        <v>130</v>
      </c>
      <c r="I13">
        <v>115</v>
      </c>
      <c r="J13">
        <v>130</v>
      </c>
    </row>
    <row r="14" spans="1:10" x14ac:dyDescent="0.3">
      <c r="A14" s="7" t="s">
        <v>69</v>
      </c>
      <c r="B14" s="9">
        <f t="shared" si="0"/>
        <v>150</v>
      </c>
      <c r="C14" s="10">
        <f t="shared" si="1"/>
        <v>170</v>
      </c>
      <c r="I14">
        <v>150</v>
      </c>
      <c r="J14">
        <v>170</v>
      </c>
    </row>
    <row r="15" spans="1:10" x14ac:dyDescent="0.3">
      <c r="A15" s="7" t="s">
        <v>70</v>
      </c>
      <c r="B15" s="9">
        <f t="shared" si="0"/>
        <v>175</v>
      </c>
      <c r="C15" s="10">
        <f t="shared" si="1"/>
        <v>195</v>
      </c>
      <c r="I15">
        <v>175</v>
      </c>
      <c r="J15">
        <v>195</v>
      </c>
    </row>
    <row r="16" spans="1:10" x14ac:dyDescent="0.3">
      <c r="A16" s="7" t="s">
        <v>71</v>
      </c>
      <c r="B16" s="9">
        <f t="shared" si="0"/>
        <v>200</v>
      </c>
      <c r="C16" s="10">
        <f t="shared" si="1"/>
        <v>225</v>
      </c>
      <c r="I16">
        <v>200</v>
      </c>
      <c r="J16">
        <v>225</v>
      </c>
    </row>
    <row r="17" spans="1:10" x14ac:dyDescent="0.3">
      <c r="A17" s="7" t="s">
        <v>72</v>
      </c>
      <c r="B17" s="9">
        <f t="shared" si="0"/>
        <v>230</v>
      </c>
      <c r="C17" s="10">
        <f t="shared" si="1"/>
        <v>260</v>
      </c>
      <c r="I17">
        <v>230</v>
      </c>
      <c r="J17">
        <v>260</v>
      </c>
    </row>
    <row r="18" spans="1:10" x14ac:dyDescent="0.3">
      <c r="A18" s="7" t="s">
        <v>44</v>
      </c>
      <c r="B18" s="9">
        <f t="shared" si="0"/>
        <v>255</v>
      </c>
      <c r="C18" s="10">
        <f t="shared" si="1"/>
        <v>290</v>
      </c>
      <c r="I18">
        <v>255</v>
      </c>
      <c r="J18">
        <v>290</v>
      </c>
    </row>
    <row r="19" spans="1:10" x14ac:dyDescent="0.3">
      <c r="A19" s="7" t="s">
        <v>45</v>
      </c>
      <c r="B19" s="9">
        <f t="shared" si="0"/>
        <v>285</v>
      </c>
      <c r="C19" s="10">
        <f t="shared" si="1"/>
        <v>320</v>
      </c>
      <c r="I19">
        <v>285</v>
      </c>
      <c r="J19">
        <v>320</v>
      </c>
    </row>
    <row r="20" spans="1:10" x14ac:dyDescent="0.3">
      <c r="A20" s="7" t="s">
        <v>46</v>
      </c>
      <c r="B20" s="9">
        <f t="shared" si="0"/>
        <v>310</v>
      </c>
      <c r="C20" s="10">
        <f t="shared" si="1"/>
        <v>350</v>
      </c>
      <c r="I20">
        <v>310</v>
      </c>
      <c r="J20">
        <v>350</v>
      </c>
    </row>
    <row r="21" spans="1:10" x14ac:dyDescent="0.3">
      <c r="A21" s="7" t="s">
        <v>47</v>
      </c>
      <c r="B21" s="9">
        <f t="shared" si="0"/>
        <v>335</v>
      </c>
      <c r="C21" s="10">
        <f t="shared" si="1"/>
        <v>380</v>
      </c>
      <c r="I21">
        <v>335</v>
      </c>
      <c r="J21">
        <v>380</v>
      </c>
    </row>
    <row r="22" spans="1:10" x14ac:dyDescent="0.3">
      <c r="A22" s="7" t="s">
        <v>48</v>
      </c>
      <c r="B22" s="9">
        <f t="shared" si="0"/>
        <v>380</v>
      </c>
      <c r="C22" s="10">
        <f t="shared" si="1"/>
        <v>430</v>
      </c>
      <c r="I22">
        <v>380</v>
      </c>
      <c r="J22">
        <v>430</v>
      </c>
    </row>
    <row r="23" spans="1:10" x14ac:dyDescent="0.3">
      <c r="A23" s="7" t="s">
        <v>49</v>
      </c>
      <c r="B23" s="9">
        <f t="shared" si="0"/>
        <v>420</v>
      </c>
      <c r="C23" s="10">
        <f t="shared" si="1"/>
        <v>475</v>
      </c>
      <c r="I23">
        <v>420</v>
      </c>
      <c r="J23">
        <v>475</v>
      </c>
    </row>
    <row r="24" spans="1:10" x14ac:dyDescent="0.3">
      <c r="A24" s="7" t="s">
        <v>50</v>
      </c>
      <c r="B24" s="9">
        <f t="shared" si="0"/>
        <v>475</v>
      </c>
      <c r="C24" s="10">
        <f t="shared" si="1"/>
        <v>535</v>
      </c>
      <c r="I24">
        <v>475</v>
      </c>
      <c r="J24">
        <v>535</v>
      </c>
    </row>
    <row r="25" spans="1:10" x14ac:dyDescent="0.3">
      <c r="A25" s="7" t="s">
        <v>51</v>
      </c>
      <c r="B25" s="9">
        <f t="shared" si="0"/>
        <v>490</v>
      </c>
      <c r="C25" s="10">
        <f t="shared" si="1"/>
        <v>555</v>
      </c>
      <c r="I25">
        <v>490</v>
      </c>
      <c r="J25">
        <v>555</v>
      </c>
    </row>
    <row r="26" spans="1:10" x14ac:dyDescent="0.3">
      <c r="A26" s="7" t="s">
        <v>52</v>
      </c>
      <c r="B26" s="9">
        <f t="shared" si="0"/>
        <v>545</v>
      </c>
      <c r="C26" s="10">
        <f t="shared" si="1"/>
        <v>615</v>
      </c>
      <c r="I26">
        <v>545</v>
      </c>
      <c r="J26">
        <v>615</v>
      </c>
    </row>
    <row r="27" spans="1:10" x14ac:dyDescent="0.3">
      <c r="A27" s="7" t="s">
        <v>22</v>
      </c>
      <c r="B27" s="9">
        <f t="shared" si="0"/>
        <v>62</v>
      </c>
      <c r="C27" s="11"/>
      <c r="I27">
        <v>62</v>
      </c>
    </row>
    <row r="28" spans="1:10" x14ac:dyDescent="0.3">
      <c r="A28" s="7" t="s">
        <v>23</v>
      </c>
      <c r="B28" s="9">
        <f t="shared" si="0"/>
        <v>80</v>
      </c>
      <c r="C28" s="11"/>
      <c r="I28">
        <v>80</v>
      </c>
    </row>
    <row r="29" spans="1:10" ht="15" thickBot="1" x14ac:dyDescent="0.35">
      <c r="A29" s="8" t="s">
        <v>24</v>
      </c>
      <c r="B29" s="12">
        <f t="shared" si="0"/>
        <v>121</v>
      </c>
      <c r="C29" s="13"/>
      <c r="I29">
        <v>121</v>
      </c>
    </row>
    <row r="30" spans="1:10" ht="15" thickBot="1" x14ac:dyDescent="0.35"/>
    <row r="31" spans="1:10" ht="15" customHeight="1" x14ac:dyDescent="0.3">
      <c r="A31" s="453" t="s">
        <v>73</v>
      </c>
      <c r="B31" s="454"/>
      <c r="C31" s="455"/>
    </row>
    <row r="32" spans="1:10" x14ac:dyDescent="0.3">
      <c r="A32" s="456"/>
      <c r="B32" s="457"/>
      <c r="C32" s="458"/>
      <c r="I32" t="s">
        <v>6</v>
      </c>
      <c r="J32" t="s">
        <v>7</v>
      </c>
    </row>
    <row r="33" spans="1:10" x14ac:dyDescent="0.3">
      <c r="A33" s="456"/>
      <c r="B33" s="457"/>
      <c r="C33" s="458"/>
      <c r="I33" t="s">
        <v>2</v>
      </c>
      <c r="J33">
        <v>1.05</v>
      </c>
    </row>
    <row r="34" spans="1:10" ht="15" thickBot="1" x14ac:dyDescent="0.35">
      <c r="A34" s="459"/>
      <c r="B34" s="460"/>
      <c r="C34" s="461"/>
      <c r="I34" t="s">
        <v>3</v>
      </c>
      <c r="J34">
        <v>1</v>
      </c>
    </row>
    <row r="35" spans="1:10" x14ac:dyDescent="0.3">
      <c r="I35" t="s">
        <v>4</v>
      </c>
      <c r="J35">
        <v>0.94</v>
      </c>
    </row>
    <row r="36" spans="1:10" x14ac:dyDescent="0.3">
      <c r="I36" t="s">
        <v>5</v>
      </c>
      <c r="J36">
        <v>0.88</v>
      </c>
    </row>
    <row r="37" spans="1:10" x14ac:dyDescent="0.3">
      <c r="I37" t="s">
        <v>8</v>
      </c>
      <c r="J37">
        <v>0.82</v>
      </c>
    </row>
    <row r="38" spans="1:10" x14ac:dyDescent="0.3">
      <c r="I38" t="s">
        <v>9</v>
      </c>
      <c r="J38">
        <v>0.75</v>
      </c>
    </row>
    <row r="39" spans="1:10" x14ac:dyDescent="0.3">
      <c r="I39" t="s">
        <v>10</v>
      </c>
      <c r="J39">
        <v>0.67</v>
      </c>
    </row>
    <row r="42" spans="1:10" x14ac:dyDescent="0.3">
      <c r="I42" t="s">
        <v>11</v>
      </c>
    </row>
    <row r="43" spans="1:10" x14ac:dyDescent="0.3">
      <c r="I43" s="1" t="s">
        <v>12</v>
      </c>
      <c r="J43">
        <v>1</v>
      </c>
    </row>
    <row r="44" spans="1:10" x14ac:dyDescent="0.3">
      <c r="I44" t="s">
        <v>13</v>
      </c>
      <c r="J44">
        <v>0.8</v>
      </c>
    </row>
    <row r="45" spans="1:10" x14ac:dyDescent="0.3">
      <c r="I45" t="s">
        <v>14</v>
      </c>
      <c r="J45">
        <v>0.7</v>
      </c>
    </row>
    <row r="46" spans="1:10" x14ac:dyDescent="0.3">
      <c r="I46" t="s">
        <v>15</v>
      </c>
      <c r="J46">
        <v>0.5</v>
      </c>
    </row>
    <row r="47" spans="1:10" x14ac:dyDescent="0.3">
      <c r="I47" t="s">
        <v>16</v>
      </c>
      <c r="J47">
        <v>0.45</v>
      </c>
    </row>
    <row r="48" spans="1:10" x14ac:dyDescent="0.3">
      <c r="I48" t="s">
        <v>17</v>
      </c>
      <c r="J48">
        <v>0.4</v>
      </c>
    </row>
    <row r="49" spans="9:10" x14ac:dyDescent="0.3">
      <c r="I49" t="s">
        <v>18</v>
      </c>
      <c r="J49">
        <v>0.35</v>
      </c>
    </row>
  </sheetData>
  <sheetProtection sheet="1" objects="1" scenarios="1"/>
  <dataConsolidate/>
  <mergeCells count="4">
    <mergeCell ref="A3:B3"/>
    <mergeCell ref="A4:B4"/>
    <mergeCell ref="A1:D1"/>
    <mergeCell ref="A31:C34"/>
  </mergeCells>
  <dataValidations count="2">
    <dataValidation type="list" allowBlank="1" showInputMessage="1" showErrorMessage="1" sqref="C3" xr:uid="{00000000-0002-0000-1400-000000000000}">
      <formula1>$I$33:$I$39</formula1>
    </dataValidation>
    <dataValidation type="list" allowBlank="1" showInputMessage="1" showErrorMessage="1" sqref="C4" xr:uid="{00000000-0002-0000-1400-000001000000}">
      <formula1>$I$43:$I$49</formula1>
    </dataValidation>
  </dataValidation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28"/>
  <sheetViews>
    <sheetView workbookViewId="0">
      <selection activeCell="G10" sqref="G10:G13"/>
    </sheetView>
  </sheetViews>
  <sheetFormatPr baseColWidth="10" defaultColWidth="11.44140625" defaultRowHeight="14.4" x14ac:dyDescent="0.3"/>
  <cols>
    <col min="1" max="1" width="5.44140625" customWidth="1"/>
    <col min="2" max="2" width="10.109375" bestFit="1" customWidth="1"/>
    <col min="3" max="3" width="13.33203125" bestFit="1" customWidth="1"/>
  </cols>
  <sheetData>
    <row r="1" spans="2:3" x14ac:dyDescent="0.3">
      <c r="B1" s="27" t="s">
        <v>34</v>
      </c>
      <c r="C1" s="27" t="s">
        <v>35</v>
      </c>
    </row>
    <row r="2" spans="2:3" x14ac:dyDescent="0.3">
      <c r="B2" s="20" t="s">
        <v>53</v>
      </c>
      <c r="C2" s="21">
        <v>0.82</v>
      </c>
    </row>
    <row r="3" spans="2:3" x14ac:dyDescent="0.3">
      <c r="B3" s="20" t="s">
        <v>54</v>
      </c>
      <c r="C3" s="21">
        <v>1.31</v>
      </c>
    </row>
    <row r="4" spans="2:3" x14ac:dyDescent="0.3">
      <c r="B4" s="20" t="s">
        <v>55</v>
      </c>
      <c r="C4" s="21">
        <v>2.08</v>
      </c>
    </row>
    <row r="5" spans="2:3" x14ac:dyDescent="0.3">
      <c r="B5" s="20" t="s">
        <v>56</v>
      </c>
      <c r="C5" s="21">
        <v>3.3</v>
      </c>
    </row>
    <row r="6" spans="2:3" x14ac:dyDescent="0.3">
      <c r="B6" s="20" t="s">
        <v>57</v>
      </c>
      <c r="C6" s="21">
        <v>5.25</v>
      </c>
    </row>
    <row r="7" spans="2:3" x14ac:dyDescent="0.3">
      <c r="B7" s="20" t="s">
        <v>58</v>
      </c>
      <c r="C7" s="21">
        <v>8.36</v>
      </c>
    </row>
    <row r="8" spans="2:3" x14ac:dyDescent="0.3">
      <c r="B8" s="20" t="s">
        <v>59</v>
      </c>
      <c r="C8" s="21">
        <v>13.29</v>
      </c>
    </row>
    <row r="9" spans="2:3" x14ac:dyDescent="0.3">
      <c r="B9" s="20" t="s">
        <v>60</v>
      </c>
      <c r="C9" s="21">
        <v>21.14</v>
      </c>
    </row>
    <row r="10" spans="2:3" x14ac:dyDescent="0.3">
      <c r="B10" s="24" t="s">
        <v>61</v>
      </c>
      <c r="C10" s="21">
        <v>33.619999999999997</v>
      </c>
    </row>
    <row r="11" spans="2:3" x14ac:dyDescent="0.3">
      <c r="B11" s="20" t="s">
        <v>33</v>
      </c>
      <c r="C11" s="26">
        <v>53.5</v>
      </c>
    </row>
    <row r="12" spans="2:3" x14ac:dyDescent="0.3">
      <c r="B12" s="20" t="s">
        <v>36</v>
      </c>
      <c r="C12" s="26">
        <v>67.44</v>
      </c>
    </row>
    <row r="13" spans="2:3" x14ac:dyDescent="0.3">
      <c r="B13" s="20" t="s">
        <v>37</v>
      </c>
      <c r="C13" s="21">
        <v>85.02</v>
      </c>
    </row>
    <row r="14" spans="2:3" x14ac:dyDescent="0.3">
      <c r="B14" s="20" t="s">
        <v>38</v>
      </c>
      <c r="C14" s="21">
        <v>107.21</v>
      </c>
    </row>
    <row r="15" spans="2:3" x14ac:dyDescent="0.3">
      <c r="B15" s="20" t="s">
        <v>44</v>
      </c>
      <c r="C15" s="21">
        <v>126.67</v>
      </c>
    </row>
    <row r="16" spans="2:3" x14ac:dyDescent="0.3">
      <c r="B16" s="20" t="s">
        <v>45</v>
      </c>
      <c r="C16" s="21">
        <v>152.01</v>
      </c>
    </row>
    <row r="17" spans="2:3" x14ac:dyDescent="0.3">
      <c r="B17" s="20" t="s">
        <v>46</v>
      </c>
      <c r="C17" s="21">
        <v>177.34</v>
      </c>
    </row>
    <row r="18" spans="2:3" x14ac:dyDescent="0.3">
      <c r="B18" s="20" t="s">
        <v>47</v>
      </c>
      <c r="C18" s="21">
        <v>202.68</v>
      </c>
    </row>
    <row r="19" spans="2:3" x14ac:dyDescent="0.3">
      <c r="B19" s="20" t="s">
        <v>48</v>
      </c>
      <c r="C19" s="21">
        <v>253.35</v>
      </c>
    </row>
    <row r="20" spans="2:3" x14ac:dyDescent="0.3">
      <c r="B20" s="20" t="s">
        <v>49</v>
      </c>
      <c r="C20" s="21">
        <v>304.02</v>
      </c>
    </row>
    <row r="21" spans="2:3" x14ac:dyDescent="0.3">
      <c r="B21" s="20" t="s">
        <v>50</v>
      </c>
      <c r="C21" s="21">
        <v>380.02</v>
      </c>
    </row>
    <row r="22" spans="2:3" x14ac:dyDescent="0.3">
      <c r="B22" s="20" t="s">
        <v>51</v>
      </c>
      <c r="C22" s="21">
        <v>405.36</v>
      </c>
    </row>
    <row r="23" spans="2:3" x14ac:dyDescent="0.3">
      <c r="B23" s="20" t="s">
        <v>52</v>
      </c>
      <c r="C23" s="21">
        <v>506.7</v>
      </c>
    </row>
    <row r="24" spans="2:3" x14ac:dyDescent="0.3">
      <c r="B24" s="20" t="s">
        <v>39</v>
      </c>
      <c r="C24" s="21">
        <v>4</v>
      </c>
    </row>
    <row r="25" spans="2:3" x14ac:dyDescent="0.3">
      <c r="B25" s="20" t="s">
        <v>40</v>
      </c>
      <c r="C25" s="21">
        <v>6</v>
      </c>
    </row>
    <row r="26" spans="2:3" x14ac:dyDescent="0.3">
      <c r="B26" s="20" t="s">
        <v>41</v>
      </c>
      <c r="C26" s="21">
        <v>8</v>
      </c>
    </row>
    <row r="27" spans="2:3" x14ac:dyDescent="0.3">
      <c r="B27" s="20" t="s">
        <v>42</v>
      </c>
      <c r="C27" s="21">
        <v>10</v>
      </c>
    </row>
    <row r="28" spans="2:3" x14ac:dyDescent="0.3">
      <c r="B28" s="20" t="s">
        <v>43</v>
      </c>
      <c r="C28" s="21">
        <v>12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145E7DDD108344BAC66FBEF0615587" ma:contentTypeVersion="15" ma:contentTypeDescription="Crear nuevo documento." ma:contentTypeScope="" ma:versionID="1099aa36a1a1944fc2de730b2dcaeb14">
  <xsd:schema xmlns:xsd="http://www.w3.org/2001/XMLSchema" xmlns:xs="http://www.w3.org/2001/XMLSchema" xmlns:p="http://schemas.microsoft.com/office/2006/metadata/properties" xmlns:ns2="8febb905-5b12-4a9a-b33c-f471afb16309" xmlns:ns3="e073ce31-b17c-485d-bcd7-0e073df22ac3" targetNamespace="http://schemas.microsoft.com/office/2006/metadata/properties" ma:root="true" ma:fieldsID="b88b1d8c986049238ba23f4437be4044" ns2:_="" ns3:_="">
    <xsd:import namespace="8febb905-5b12-4a9a-b33c-f471afb16309"/>
    <xsd:import namespace="e073ce31-b17c-485d-bcd7-0e073df22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MediaServiceOCR"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ebb905-5b12-4a9a-b33c-f471afb163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02e88cc5-dea3-463e-8726-b68ab640a4b2"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073ce31-b17c-485d-bcd7-0e073df22a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4264cd3-7527-44b1-955b-249939e13914}" ma:internalName="TaxCatchAll" ma:showField="CatchAllData" ma:web="e073ce31-b17c-485d-bcd7-0e073df22ac3">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ebb905-5b12-4a9a-b33c-f471afb16309">
      <Terms xmlns="http://schemas.microsoft.com/office/infopath/2007/PartnerControls"/>
    </lcf76f155ced4ddcb4097134ff3c332f>
    <TaxCatchAll xmlns="e073ce31-b17c-485d-bcd7-0e073df22ac3" xsi:nil="true"/>
  </documentManagement>
</p:properties>
</file>

<file path=customXml/itemProps1.xml><?xml version="1.0" encoding="utf-8"?>
<ds:datastoreItem xmlns:ds="http://schemas.openxmlformats.org/officeDocument/2006/customXml" ds:itemID="{0C10FA02-D207-49F4-B018-EEC514962F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ebb905-5b12-4a9a-b33c-f471afb16309"/>
    <ds:schemaRef ds:uri="e073ce31-b17c-485d-bcd7-0e073df22a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5DD5FE-6CDB-4ED7-A124-B05819FF13AD}">
  <ds:schemaRefs>
    <ds:schemaRef ds:uri="http://schemas.microsoft.com/sharepoint/v3/contenttype/forms"/>
  </ds:schemaRefs>
</ds:datastoreItem>
</file>

<file path=customXml/itemProps3.xml><?xml version="1.0" encoding="utf-8"?>
<ds:datastoreItem xmlns:ds="http://schemas.openxmlformats.org/officeDocument/2006/customXml" ds:itemID="{AAEE3D5A-0EA9-49D0-B34D-E313BE3DA29F}">
  <ds:schemaRefs>
    <ds:schemaRef ds:uri="http://schemas.microsoft.com/office/2006/metadata/properties"/>
    <ds:schemaRef ds:uri="http://schemas.microsoft.com/office/infopath/2007/PartnerControls"/>
    <ds:schemaRef ds:uri="8febb905-5b12-4a9a-b33c-f471afb16309"/>
    <ds:schemaRef ds:uri="e073ce31-b17c-485d-bcd7-0e073df22a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30</vt:i4>
      </vt:variant>
      <vt:variant>
        <vt:lpstr>Rangos con nombre</vt:lpstr>
      </vt:variant>
      <vt:variant>
        <vt:i4>1</vt:i4>
      </vt:variant>
    </vt:vector>
  </HeadingPairs>
  <TitlesOfParts>
    <vt:vector size="31" baseType="lpstr">
      <vt:lpstr>INDICE</vt:lpstr>
      <vt:lpstr>PV_INV_STRING</vt:lpstr>
      <vt:lpstr>PV_INV_PARALELO</vt:lpstr>
      <vt:lpstr>INV1_TABLERO FV</vt:lpstr>
      <vt:lpstr>INV1_TABLERO FV_N</vt:lpstr>
      <vt:lpstr>INV2_TABLERO FV</vt:lpstr>
      <vt:lpstr>INV2_TABLERO FV_N</vt:lpstr>
      <vt:lpstr>TABLERO FV_INTX</vt:lpstr>
      <vt:lpstr>Regulación_Voltaje</vt:lpstr>
      <vt:lpstr>Perdidas P_E </vt:lpstr>
      <vt:lpstr>Barraje_Pto conex</vt:lpstr>
      <vt:lpstr>CAIDA DE TENSION TOTAL</vt:lpstr>
      <vt:lpstr>Cap 2 NTC</vt:lpstr>
      <vt:lpstr>Cap 3 NTC</vt:lpstr>
      <vt:lpstr>Cap 9 NTC</vt:lpstr>
      <vt:lpstr>Tuberia</vt:lpstr>
      <vt:lpstr>Bandejas</vt:lpstr>
      <vt:lpstr>Cables</vt:lpstr>
      <vt:lpstr>Listas</vt:lpstr>
      <vt:lpstr>TABLA 2</vt:lpstr>
      <vt:lpstr>regulaciondelsistema</vt:lpstr>
      <vt:lpstr>perdidasdeenergia</vt:lpstr>
      <vt:lpstr>caidadetension</vt:lpstr>
      <vt:lpstr>resumendelsistema</vt:lpstr>
      <vt:lpstr>Vars</vt:lpstr>
      <vt:lpstr>Acometida AC</vt:lpstr>
      <vt:lpstr>Symo 15.0-3</vt:lpstr>
      <vt:lpstr>Symo10.0-3</vt:lpstr>
      <vt:lpstr>Capacidad de Corriente</vt:lpstr>
      <vt:lpstr>Area cable</vt:lpstr>
      <vt:lpstr>'TABLA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Vargas</dc:creator>
  <cp:lastModifiedBy>Jorge Ballesta</cp:lastModifiedBy>
  <dcterms:created xsi:type="dcterms:W3CDTF">2015-08-10T14:25:18Z</dcterms:created>
  <dcterms:modified xsi:type="dcterms:W3CDTF">2024-08-01T15:28:23Z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0x01010084145E7DDD108344BAC66FBEF0615587</vt:lpwstr>
  </property>
</Properties>
</file>