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480" activeTab="2"/>
  </bookViews>
  <sheets>
    <sheet name="Cover Page" sheetId="18" r:id="rId1"/>
    <sheet name="Main" sheetId="3" r:id="rId2"/>
    <sheet name="January 2025 - March 2025" sheetId="1" r:id="rId3"/>
    <sheet name="April 2025 - June 2025" sheetId="2" r:id="rId4"/>
    <sheet name="July 2025 - September 2025" sheetId="4" r:id="rId5"/>
    <sheet name="October 2025 - December 2025" sheetId="5" r:id="rId6"/>
    <sheet name="January 2026 - March 2026" sheetId="6" r:id="rId7"/>
    <sheet name="April 2026 - June 2026" sheetId="7" r:id="rId8"/>
    <sheet name="July 2026 - September 2026" sheetId="8" r:id="rId9"/>
    <sheet name="October 2026 - December 2026" sheetId="9" r:id="rId10"/>
    <sheet name="January 2027 - March 2027" sheetId="10" r:id="rId11"/>
    <sheet name="April 2027 - June 2027" sheetId="11" r:id="rId12"/>
    <sheet name="July 2027 - September 2027" sheetId="12" r:id="rId13"/>
    <sheet name="October 2027 - December 2027" sheetId="13" r:id="rId14"/>
    <sheet name="January 2028 - March 2028" sheetId="14" r:id="rId15"/>
    <sheet name="April 2028 - June 2028" sheetId="15" r:id="rId16"/>
    <sheet name="July 2028 - September 2028" sheetId="16" r:id="rId17"/>
    <sheet name="October 2028 - December 2028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<sst xmlns="http://schemas.openxmlformats.org/spreadsheetml/2006/main" count="1280" uniqueCount="147">
  <si>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</si>
  <si>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</si>
  <si>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</si>
  <si>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</si>
  <si>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</si>
  <si>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</si>
  <si>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</si>
  <si>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</si>
  <si>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</si>
  <si>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</si>
  <si>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</si>
  <si>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</si>
  <si>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</si>
  <si>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</si>
  <si>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</si>
  <si>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</si>
  <si>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</si>
  <si>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</si>
  <si>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</si>
  <si>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July 2027 - September 2027</t>
  </si>
  <si>
    <t>October 2027 - December 2027</t>
  </si>
  <si>
    <t>January 2028 - March 2028</t>
  </si>
  <si>
    <t>April 2028 - June 2028</t>
  </si>
  <si>
    <t>July 2028 - September 2028</t>
  </si>
  <si>
    <t>October 2028 - December 2028</t>
  </si>
  <si>
    <t>\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</si>
  <si>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</si>
  <si>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</si>
  <si>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</si>
  <si>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</si>
  <si>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</si>
  <si>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</si>
  <si>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</si>
  <si>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</si>
  <si>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</si>
  <si>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</si>
  <si>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</si>
  <si>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</si>
  <si>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</si>
  <si>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</si>
  <si>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</si>
  <si>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</si>
  <si>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</si>
  <si>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</si>
  <si>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</si>
  <si>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</si>
  <si>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</si>
  <si>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</si>
  <si>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</si>
  <si>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</si>
  <si>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</si>
  <si>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</si>
  <si>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Total Revenue</t>
  </si>
  <si>
    <t>Fix Expenses</t>
  </si>
  <si>
    <t>Fix Expenses Already Paid</t>
  </si>
  <si>
    <t>Mobile And Communications/ Housing Expenses</t>
  </si>
  <si>
    <t>Broadband</t>
  </si>
  <si>
    <t>China Mobile</t>
  </si>
  <si>
    <t>Telephone (Fixed Line)</t>
  </si>
  <si>
    <t>Sosim</t>
  </si>
  <si>
    <t>Birdie Sim Card</t>
  </si>
  <si>
    <t>Total Expenses</t>
  </si>
  <si>
    <t>Credit Card Installments/Government Installments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</si>
  <si>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</si>
  <si>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</si>
  <si>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</si>
  <si>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</si>
  <si>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</si>
  <si>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</si>
  <si>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</si>
  <si>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</si>
  <si>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</si>
  <si>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</si>
  <si>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</si>
  <si>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Sportify Music Paid For 7th of Each Month.</t>
  </si>
  <si>
    <t>Hair Cutting</t>
  </si>
  <si>
    <t>Cigarettes</t>
  </si>
  <si>
    <t>Oxford Dictionary</t>
  </si>
  <si>
    <t>Paid For 19th of Each Month End Subscription on 19th Of June.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</si>
  <si>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</si>
  <si>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</si>
  <si>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</si>
  <si>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</si>
  <si>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</si>
  <si>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</si>
  <si>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</si>
  <si>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</si>
  <si>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Mother Amazon Books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</si>
  <si>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</si>
  <si>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</si>
  <si>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</si>
  <si>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</si>
  <si>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</si>
  <si>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</si>
  <si>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</si>
  <si>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</si>
  <si>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</si>
  <si>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</si>
  <si>
    <t>Social Welfare</t>
  </si>
  <si>
    <t>N/A</t>
  </si>
  <si>
    <t>1. Mother borrowed $570 For Buying Cigarette Buds.
2. Mother give $100 For Lunch (Without Paying Back).
3. Mother borrowed $150.9 For online Amazon Book Store.</t>
  </si>
  <si>
    <t>Additional Half Month Allowance</t>
  </si>
  <si>
    <t>Sportify</t>
  </si>
  <si>
    <t>Sportify $68 for 2 months</t>
  </si>
  <si>
    <t>1. Birdie Mobile
2. Oxford Dictionary</t>
  </si>
  <si>
    <t>1. Stop Services ~ $50
2. Stop Services ~ 19.99</t>
  </si>
  <si>
    <t>Octopus</t>
  </si>
  <si>
    <t>1. 20th May 2025 -  Top Up For Octopus $50 (Don't need to Include)
2. 23rd May 2025 -  Top Up For Octopus $100 (Don't need to Include)</t>
  </si>
  <si>
    <t>yuu</t>
  </si>
  <si>
    <t>1. yuu topup ~ $2</t>
  </si>
  <si>
    <t>Birdie Mobile</t>
  </si>
  <si>
    <t>Stop Services</t>
  </si>
  <si>
    <t>Cancel Oxford Dictionary Subscription</t>
  </si>
  <si>
    <t>- See the Doctor ~ $110
- Buy Cigarette Buds ~ $800</t>
  </si>
  <si>
    <t>-Visit prostitute $390
-Return Trip To Mong Kok ~ $6
~Brought a coke from a Machine ~ $6.5
~Sportify Subscription For 2 months (till 7th July)~ $68
~Oxford Dictionary $19.99 (Don't Need To Include)
~Round Trip to the East Kowloon hospital ~ $4
~KFC ~ $31
~Shu Shi (Chuk Yuen Plaza) ~ $98
~ Coin Machine Transaction Fees ~ $2.7
~ Best Mart 360 ~ $18
~ Minibus to Fung Tak ~ $2
~ Lunch Box ~ $3
~ Coke From Machine ~ $6.5</t>
  </si>
  <si>
    <t>~ Amazon Book Store ~ $150.9</t>
  </si>
  <si>
    <t xml:space="preserve">~ Payback $570 to Mom </t>
  </si>
  <si>
    <t>~ Payback $150.9 to Mom</t>
  </si>
  <si>
    <t>~ See the Doctor (Injection) ~ $19
~ See the Doctor For Blood Pressure ~ $50
~ Brought Lasix 40mg ~ $75
~ Brought Bandage 4 inches X 2 ~ $20</t>
  </si>
  <si>
    <t>~ Buy Cigarette Buds ~ $800
~ Transport for Cigarette Buds ~ $50</t>
  </si>
  <si>
    <t>~ Apple Music one month
~ Top Up For Mobile And Comunication ~ $0.6
~ 20th May 2025 - Top Up For Octopus $50 (Don't need to Include)
~ 23rd May 2025 - Top Up For Octopus $100 (Don't need to Include)</t>
  </si>
  <si>
    <t>~ Food And Transport
   - Devondale Milk X 2 ~ $35.8
   - Chicken Chops X 2 ~ $21
   - Vegetables 1 kg ~ $12
   - Best Mart 360 ~ Coffee Beans $98
  - OK Store ~ Soft drinks $15
  - U Store ~ $16.5
  - Best Mart 360 5kg Rice ~ $49
  - St Honour ~ $10
  - Best Mart 360 Peppsi ~ $14
  - OK Store ~ soft drinks $44
  - Best Mart ~ soft drinks $18
  - Best Mart ~ soft drinks $18
  - Best Mart ~ Starbucks Coffee Beans ~ $49.9
  - Wellcome ~ Sugar ~ $6.5
  - U Mart ~ Nisan Noddle Curd Beans ~ $20.8</t>
  </si>
  <si>
    <t>~ Nivea body lotion 380ml ~ $32
~ Longevity Sweetened Milk 374GM ~ $11
~ Market Slippers ~ $69
~ Round Trip to Mong Kok ~ $6
~ Round Trip to Robert Black Hospital ~ $4
~ Medimart 3M TEGADERM 5 pieces ~ $50
~ Pharmacy (Gauze Pad, cotton buds, Na Solutions) ~ $34
~ Mannings Pad ~ $10
~ Round Trip to East Kowloon Hospital ~ $4
~ Medimart 3M TEGADERM 10 pieces ~ $50
~ Pharmacy Sentalize Solutions ~ $20
~ Round Trip to East Kowloon Hospital ~ $4
~ Watsons ~ Asprin Like medicine ~ $49
~ Wellcome ~ Plastic bag ~ $1</t>
  </si>
  <si>
    <t>Balance Brought Forward From July 2024</t>
  </si>
  <si>
    <t>~ Payback $1100 to Mom</t>
  </si>
  <si>
    <t>- See the Doctor ~ $110
- Buy Cigarette Buds ~ $650</t>
  </si>
  <si>
    <t>~ Food And Transport ~ $400</t>
  </si>
  <si>
    <t>~ Payback $1050 to Mom</t>
  </si>
  <si>
    <t>~ Food And Transport ~ $400
~ See the Doctor (Injection) ~ $19</t>
  </si>
  <si>
    <t>~ Buy Cigarette Buds ~ $650</t>
  </si>
  <si>
    <t>~ Payback $1000 to Mom</t>
  </si>
  <si>
    <t>- See the Doctor ~ $110
- Buy Cigarette Buds ~ $650
~ See the Doctor For Blood Pressure ~ $50</t>
  </si>
  <si>
    <t>~ Payback $800 to Mom</t>
  </si>
  <si>
    <t>~ Payback $770 to Mom</t>
  </si>
  <si>
    <t>~ Payback $200 for Mom Air Ticket</t>
  </si>
  <si>
    <t>~ Food And Transport ~ $400
~ See the Doctor (Injection) ~ $19
~ See the Doctor For Blood Pressure ~ $50</t>
  </si>
  <si>
    <t>~ Payback $250 to Mom</t>
  </si>
  <si>
    <t>~ Payback $400 for Mom Air Ticket</t>
  </si>
  <si>
    <t>- See the Doctor ~ $240
- Buy Cigarette Buds ~ $650</t>
  </si>
  <si>
    <t>~ Payback $483 for Mom Air Ticket</t>
  </si>
  <si>
    <t>- See the Doctor ~ $290
- Buy Cigarette Buds ~ $650
~ See the Doctor For Blood Pressure ~ $160</t>
  </si>
  <si>
    <t>- See the Doctor ~ $290
- Buy Cigarette Buds ~ $650</t>
  </si>
  <si>
    <t>~ Food And Transport ~ $400
~ See the Doctor (Injection) ~ $19
~ See the Doctor For Blood Pressure ~ $160</t>
  </si>
  <si>
    <t>- See the Doctor ~ $240
- Buy Cigarette Buds ~ $800</t>
  </si>
  <si>
    <t>31st October 2025</t>
  </si>
  <si>
    <t>- See the Doctor ~ $290
- Buy Cigarette Buds ~ $800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</si>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</sst>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8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name val="Arial"/>
      <charset val="134"/>
    </font>
    <font>
      <sz val="11"/>
      <color rgb="FF242424"/>
      <name val="Aptos Narrow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0.5"/>
      <color rgb="FF27292E"/>
      <name val="Helvetica Neue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11" borderId="40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2" borderId="43" applyNumberFormat="0" applyAlignment="0" applyProtection="0">
      <alignment vertical="center"/>
    </xf>
    <xf numFmtId="0" fontId="34" fillId="13" borderId="44" applyNumberFormat="0" applyAlignment="0" applyProtection="0">
      <alignment vertical="center"/>
    </xf>
    <xf numFmtId="0" fontId="35" fillId="13" borderId="43" applyNumberFormat="0" applyAlignment="0" applyProtection="0">
      <alignment vertical="center"/>
    </xf>
    <xf numFmtId="0" fontId="36" fillId="14" borderId="45" applyNumberFormat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176" fontId="44" fillId="3" borderId="48">
      <alignment horizontal="center" vertical="center"/>
    </xf>
    <xf numFmtId="176" fontId="4" fillId="0" borderId="0" applyBorder="0" applyProtection="0">
      <alignment horizontal="center" vertical="center"/>
    </xf>
    <xf numFmtId="49" fontId="45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6" fillId="9" borderId="0" applyProtection="0">
      <alignment horizontal="center" vertical="center"/>
    </xf>
    <xf numFmtId="49" fontId="47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49" fontId="9" fillId="0" borderId="1" xfId="52" applyFont="1" applyBorder="1" applyAlignment="1" applyProtection="1">
      <alignment horizontal="left" vertical="center" wrapText="1"/>
    </xf>
    <xf numFmtId="49" fontId="9" fillId="0" borderId="1" xfId="52" applyFont="1" applyBorder="1" applyAlignment="1" applyProtection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vertical="center" wrapText="1"/>
    </xf>
    <xf numFmtId="0" fontId="11" fillId="6" borderId="12" xfId="0" applyFont="1" applyFill="1" applyBorder="1" applyAlignment="1">
      <alignment vertical="center" wrapText="1"/>
    </xf>
    <xf numFmtId="0" fontId="11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9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10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horizontal="left" vertical="center" wrapText="1"/>
    </xf>
    <xf numFmtId="49" fontId="9" fillId="0" borderId="19" xfId="52" applyFont="1" applyBorder="1" applyAlignment="1" applyProtection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20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176" fontId="5" fillId="0" borderId="19" xfId="50" applyFont="1" applyBorder="1" applyAlignment="1" applyProtection="1">
      <alignment horizontal="righ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10" fillId="0" borderId="8" xfId="0" applyNumberFormat="1" applyFont="1" applyBorder="1" applyAlignment="1">
      <alignment vertical="center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9" fillId="0" borderId="22" xfId="52" applyFont="1" applyBorder="1" applyAlignment="1" applyProtection="1">
      <alignment horizontal="left" vertical="center" wrapText="1"/>
    </xf>
    <xf numFmtId="49" fontId="9" fillId="0" borderId="23" xfId="52" applyFont="1" applyBorder="1" applyAlignment="1" applyProtection="1">
      <alignment horizontal="left" vertical="center" wrapText="1"/>
    </xf>
    <xf numFmtId="49" fontId="14" fillId="0" borderId="22" xfId="52" applyFont="1" applyBorder="1" applyAlignment="1" applyProtection="1">
      <alignment horizontal="left" vertical="center"/>
    </xf>
    <xf numFmtId="49" fontId="14" fillId="0" borderId="4" xfId="52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center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176" fontId="3" fillId="3" borderId="20" xfId="49" applyFont="1" applyBorder="1" applyAlignment="1">
      <alignment horizontal="center" vertical="center"/>
    </xf>
    <xf numFmtId="176" fontId="3" fillId="3" borderId="24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9" fillId="0" borderId="2" xfId="52" applyFont="1" applyBorder="1" applyAlignment="1" applyProtection="1">
      <alignment horizontal="left" vertical="center" wrapText="1"/>
    </xf>
    <xf numFmtId="49" fontId="9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9" fillId="0" borderId="11" xfId="52" applyFont="1" applyBorder="1" applyAlignment="1" applyProtection="1">
      <alignment horizontal="left" vertical="center" wrapText="1"/>
    </xf>
    <xf numFmtId="49" fontId="9" fillId="0" borderId="11" xfId="52" applyFont="1" applyBorder="1" applyAlignment="1" applyProtection="1">
      <alignment horizontal="left" vertical="center"/>
    </xf>
    <xf numFmtId="49" fontId="9" fillId="0" borderId="8" xfId="52" applyFont="1" applyBorder="1" applyAlignment="1" applyProtection="1">
      <alignment horizontal="left" vertical="center"/>
    </xf>
    <xf numFmtId="176" fontId="5" fillId="0" borderId="19" xfId="50" applyFont="1" applyBorder="1" applyAlignment="1" applyProtection="1">
      <alignment vertical="center"/>
    </xf>
    <xf numFmtId="49" fontId="9" fillId="0" borderId="11" xfId="0" applyNumberFormat="1" applyFont="1" applyBorder="1" applyAlignment="1">
      <alignment horizontal="left" vertical="center" wrapText="1"/>
    </xf>
    <xf numFmtId="49" fontId="9" fillId="0" borderId="23" xfId="52" applyFont="1" applyBorder="1" applyAlignment="1" applyProtection="1">
      <alignment horizontal="left" vertical="center"/>
    </xf>
    <xf numFmtId="49" fontId="9" fillId="0" borderId="1" xfId="52" applyFont="1" applyBorder="1" applyAlignment="1" applyProtection="1">
      <alignment horizontal="center" vertical="center" wrapText="1"/>
    </xf>
    <xf numFmtId="49" fontId="9" fillId="0" borderId="11" xfId="52" applyFont="1" applyBorder="1" applyAlignment="1" applyProtection="1">
      <alignment horizontal="center" vertical="center" wrapText="1"/>
    </xf>
    <xf numFmtId="49" fontId="2" fillId="0" borderId="1" xfId="51" applyFont="1" applyBorder="1" applyAlignment="1" applyProtection="1">
      <alignment horizontal="center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9" fillId="0" borderId="22" xfId="52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19" xfId="52" applyFont="1" applyBorder="1" applyAlignment="1" applyProtection="1">
      <alignment horizontal="left" vertical="center"/>
    </xf>
    <xf numFmtId="49" fontId="2" fillId="0" borderId="19" xfId="52" applyFont="1" applyBorder="1" applyAlignment="1" applyProtection="1">
      <alignment horizontal="left" vertical="center" wrapText="1"/>
    </xf>
    <xf numFmtId="49" fontId="9" fillId="0" borderId="11" xfId="0" applyNumberFormat="1" applyFont="1" applyBorder="1" applyAlignment="1">
      <alignment vertical="center"/>
    </xf>
    <xf numFmtId="49" fontId="9" fillId="0" borderId="8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vertical="center" wrapText="1"/>
    </xf>
    <xf numFmtId="49" fontId="2" fillId="0" borderId="19" xfId="52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center" vertical="center" wrapText="1"/>
    </xf>
    <xf numFmtId="49" fontId="9" fillId="0" borderId="25" xfId="52" applyFont="1" applyBorder="1" applyAlignment="1" applyProtection="1">
      <alignment horizontal="left" vertical="center" wrapText="1"/>
    </xf>
    <xf numFmtId="49" fontId="9" fillId="0" borderId="15" xfId="52" applyFont="1" applyBorder="1" applyAlignment="1" applyProtection="1">
      <alignment horizontal="left" vertical="center" wrapText="1"/>
    </xf>
    <xf numFmtId="49" fontId="9" fillId="0" borderId="25" xfId="52" applyFont="1" applyBorder="1" applyAlignment="1" applyProtection="1">
      <alignment horizontal="left" vertical="center"/>
    </xf>
    <xf numFmtId="49" fontId="15" fillId="0" borderId="25" xfId="52" applyFont="1" applyBorder="1" applyAlignment="1" applyProtection="1">
      <alignment horizontal="left" vertical="center" wrapText="1"/>
    </xf>
    <xf numFmtId="49" fontId="9" fillId="0" borderId="26" xfId="52" applyFont="1" applyBorder="1" applyAlignment="1" applyProtection="1">
      <alignment horizontal="left" vertical="center" wrapText="1"/>
    </xf>
    <xf numFmtId="49" fontId="9" fillId="0" borderId="27" xfId="52" applyFont="1" applyBorder="1" applyAlignment="1" applyProtection="1">
      <alignment horizontal="left" vertical="center" wrapText="1"/>
    </xf>
    <xf numFmtId="49" fontId="9" fillId="0" borderId="26" xfId="52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9" fillId="0" borderId="28" xfId="52" applyFont="1" applyBorder="1" applyAlignment="1" applyProtection="1">
      <alignment horizontal="left" vertical="center"/>
    </xf>
    <xf numFmtId="49" fontId="9" fillId="0" borderId="29" xfId="52" applyFont="1" applyBorder="1" applyAlignment="1" applyProtection="1">
      <alignment horizontal="left" vertical="center"/>
    </xf>
    <xf numFmtId="176" fontId="3" fillId="3" borderId="30" xfId="49" applyFont="1" applyBorder="1" applyAlignment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1" xfId="49" applyFont="1" applyBorder="1" applyAlignment="1">
      <alignment horizontal="center" vertical="center"/>
    </xf>
    <xf numFmtId="49" fontId="9" fillId="0" borderId="32" xfId="52" applyFont="1" applyBorder="1" applyAlignment="1" applyProtection="1">
      <alignment horizontal="left" vertical="center"/>
    </xf>
    <xf numFmtId="49" fontId="9" fillId="0" borderId="4" xfId="52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9" fillId="0" borderId="8" xfId="0" applyNumberFormat="1" applyFont="1" applyBorder="1" applyAlignment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49" fontId="2" fillId="0" borderId="32" xfId="52" applyFont="1" applyBorder="1" applyAlignment="1" applyProtection="1">
      <alignment horizontal="left" vertical="center" wrapText="1"/>
    </xf>
    <xf numFmtId="0" fontId="6" fillId="0" borderId="0" xfId="0" applyFont="1"/>
    <xf numFmtId="0" fontId="16" fillId="8" borderId="1" xfId="0" applyFont="1" applyFill="1" applyBorder="1" applyAlignment="1">
      <alignment horizontal="center" vertical="center"/>
    </xf>
    <xf numFmtId="49" fontId="1" fillId="9" borderId="34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49" fontId="2" fillId="3" borderId="23" xfId="51" applyFont="1" applyFill="1" applyBorder="1" applyAlignment="1" applyProtection="1">
      <alignment horizontal="center" vertical="center" wrapText="1"/>
    </xf>
    <xf numFmtId="176" fontId="3" fillId="3" borderId="22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5" xfId="51" applyFont="1" applyFill="1" applyBorder="1" applyAlignment="1" applyProtection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20" xfId="51" applyFont="1" applyFill="1" applyBorder="1" applyAlignment="1" applyProtection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8" fillId="0" borderId="11" xfId="0" applyFont="1" applyBorder="1" applyAlignment="1">
      <alignment horizontal="left" vertical="center" wrapText="1"/>
    </xf>
    <xf numFmtId="49" fontId="2" fillId="0" borderId="22" xfId="51" applyFont="1" applyBorder="1" applyAlignment="1" applyProtection="1">
      <alignment horizontal="center" vertical="top" wrapText="1"/>
    </xf>
    <xf numFmtId="49" fontId="9" fillId="0" borderId="1" xfId="52" applyFont="1" applyBorder="1" applyAlignment="1" applyProtection="1">
      <alignment horizontal="left" vertical="top" wrapText="1"/>
    </xf>
    <xf numFmtId="49" fontId="2" fillId="0" borderId="36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1" fillId="6" borderId="11" xfId="0" applyFont="1" applyFill="1" applyBorder="1" applyAlignment="1">
      <alignment wrapText="1"/>
    </xf>
    <xf numFmtId="0" fontId="11" fillId="6" borderId="12" xfId="0" applyFont="1" applyFill="1" applyBorder="1" applyAlignment="1">
      <alignment wrapText="1"/>
    </xf>
    <xf numFmtId="0" fontId="11" fillId="6" borderId="8" xfId="0" applyFont="1" applyFill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19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6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19" fillId="0" borderId="20" xfId="0" applyNumberFormat="1" applyFont="1" applyBorder="1" applyAlignment="1">
      <alignment horizontal="center" vertical="center"/>
    </xf>
    <xf numFmtId="177" fontId="19" fillId="0" borderId="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177" fontId="19" fillId="0" borderId="7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77" fontId="19" fillId="0" borderId="37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177" fontId="19" fillId="0" borderId="8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9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49" fontId="9" fillId="0" borderId="19" xfId="52" applyFont="1" applyBorder="1" applyProtection="1">
      <alignment horizontal="left" vertical="center"/>
    </xf>
    <xf numFmtId="49" fontId="2" fillId="0" borderId="19" xfId="51" applyFont="1" applyBorder="1" applyAlignment="1" applyProtection="1">
      <alignment horizontal="left" vertical="center"/>
    </xf>
    <xf numFmtId="0" fontId="9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19" xfId="49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left" vertical="center" wrapText="1"/>
    </xf>
    <xf numFmtId="4" fontId="20" fillId="0" borderId="39" xfId="0" applyNumberFormat="1" applyFont="1" applyBorder="1"/>
    <xf numFmtId="0" fontId="6" fillId="0" borderId="0" xfId="0" applyFont="1" applyAlignment="1"/>
    <xf numFmtId="0" fontId="13" fillId="0" borderId="1" xfId="0" applyFont="1" applyBorder="1" applyAlignment="1"/>
    <xf numFmtId="0" fontId="10" fillId="0" borderId="0" xfId="0" applyFont="1"/>
    <xf numFmtId="0" fontId="21" fillId="10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1" fillId="10" borderId="37" xfId="0" applyFont="1" applyFill="1" applyBorder="1" applyAlignment="1">
      <alignment horizontal="center" vertical="center" wrapText="1"/>
    </xf>
    <xf numFmtId="180" fontId="10" fillId="0" borderId="37" xfId="0" applyNumberFormat="1" applyFont="1" applyBorder="1" applyAlignment="1">
      <alignment horizontal="center" vertical="center" wrapText="1"/>
    </xf>
    <xf numFmtId="180" fontId="10" fillId="0" borderId="7" xfId="0" applyNumberFormat="1" applyFont="1" applyBorder="1" applyAlignment="1">
      <alignment horizontal="center" vertical="center" wrapText="1"/>
    </xf>
    <xf numFmtId="180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179" fontId="10" fillId="0" borderId="2" xfId="0" applyNumberFormat="1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2" fillId="10" borderId="0" xfId="0" applyFont="1" applyFill="1" applyBorder="1" applyAlignment="1">
      <alignment horizontal="center"/>
    </xf>
    <xf numFmtId="0" fontId="23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A2" sqref="AA2"/>
    </sheetView>
  </sheetViews>
  <sheetFormatPr defaultColWidth="8.875" defaultRowHeight="17.6"/>
  <sheetData>
    <row r="1" spans="1:26">
      <c r="A1" s="243" t="s">
        <v>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26">
      <c r="A2" s="243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</row>
    <row r="3" spans="1:26">
      <c r="A3" s="243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</row>
    <row r="4" spans="1:26">
      <c r="A4" s="243"/>
      <c r="B4" s="243"/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</row>
    <row r="5" spans="1:26">
      <c r="A5" s="243"/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</row>
    <row r="6" spans="1:26">
      <c r="A6" s="243"/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</row>
    <row r="7" spans="1:26">
      <c r="A7" s="243"/>
      <c r="B7" s="243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</row>
    <row r="8" spans="1:26">
      <c r="A8" s="243"/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</row>
    <row r="9" spans="1:26">
      <c r="A9" s="243"/>
      <c r="B9" s="243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</row>
    <row r="10" spans="1:26">
      <c r="A10" s="243"/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  <c r="Y10" s="243"/>
      <c r="Z10" s="243"/>
    </row>
    <row r="11" spans="1:26">
      <c r="A11" s="243"/>
      <c r="B11" s="243"/>
      <c r="C11" s="243"/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</row>
    <row r="12" spans="1:26">
      <c r="A12" s="243"/>
      <c r="B12" s="243"/>
      <c r="C12" s="243"/>
      <c r="D12" s="243"/>
      <c r="E12" s="243"/>
      <c r="F12" s="243"/>
      <c r="G12" s="243"/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</row>
    <row r="13" spans="1:26">
      <c r="A13" s="243"/>
      <c r="B13" s="243"/>
      <c r="C13" s="243"/>
      <c r="D13" s="243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</row>
    <row r="14" spans="1:26">
      <c r="A14" s="243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</row>
    <row r="15" spans="1:26">
      <c r="A15" s="243"/>
      <c r="B15" s="243"/>
      <c r="C15" s="243"/>
      <c r="D15" s="243"/>
      <c r="E15" s="243"/>
      <c r="F15" s="243"/>
      <c r="G15" s="243"/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</row>
    <row r="16" spans="1:26">
      <c r="A16" s="243"/>
      <c r="B16" s="243"/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</row>
    <row r="17" spans="1:26">
      <c r="A17" s="243"/>
      <c r="B17" s="243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</row>
    <row r="18" spans="1:26">
      <c r="A18" s="243"/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243"/>
      <c r="Z18" s="243"/>
    </row>
    <row r="19" spans="1:26">
      <c r="A19" s="243"/>
      <c r="B19" s="243"/>
      <c r="C19" s="243"/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3"/>
      <c r="Z19" s="243"/>
    </row>
    <row r="20" spans="1:26">
      <c r="A20" s="243"/>
      <c r="B20" s="243"/>
      <c r="C20" s="243"/>
      <c r="D20" s="243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Y20" s="243"/>
      <c r="Z20" s="243"/>
    </row>
    <row r="21" spans="1:26">
      <c r="A21" s="243"/>
      <c r="B21" s="243"/>
      <c r="C21" s="243"/>
      <c r="D21" s="243"/>
      <c r="E21" s="243"/>
      <c r="F21" s="243"/>
      <c r="G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3"/>
      <c r="Z21" s="243"/>
    </row>
    <row r="22" spans="1:26">
      <c r="A22" s="243"/>
      <c r="B22" s="243"/>
      <c r="C22" s="243"/>
      <c r="D22" s="243"/>
      <c r="E22" s="243"/>
      <c r="F22" s="243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</row>
    <row r="23" spans="1:26">
      <c r="A23" s="243"/>
      <c r="B23" s="243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</row>
    <row r="24" spans="1:26">
      <c r="A24" s="243"/>
      <c r="B24" s="243"/>
      <c r="C24" s="243"/>
      <c r="D24" s="243"/>
      <c r="E24" s="243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</row>
    <row r="25" spans="1:26">
      <c r="A25" s="243"/>
      <c r="B25" s="243"/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</row>
    <row r="26" spans="1:26">
      <c r="A26" s="243"/>
      <c r="B26" s="243"/>
      <c r="C26" s="243"/>
      <c r="D26" s="243"/>
      <c r="E26" s="243"/>
      <c r="F26" s="243"/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</row>
    <row r="27" spans="1:26">
      <c r="A27" s="243"/>
      <c r="B27" s="243"/>
      <c r="C27" s="243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</row>
    <row r="28" spans="1:26">
      <c r="A28" s="243"/>
      <c r="B28" s="243"/>
      <c r="C28" s="243"/>
      <c r="D28" s="243"/>
      <c r="E28" s="243"/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43"/>
      <c r="Z28" s="243"/>
    </row>
    <row r="29" spans="1:26">
      <c r="A29" s="243"/>
      <c r="B29" s="243"/>
      <c r="C29" s="243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</row>
    <row r="30" spans="1:26">
      <c r="A30" s="243"/>
      <c r="B30" s="243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43"/>
      <c r="Z30" s="243"/>
    </row>
    <row r="31" spans="1:26">
      <c r="A31" s="243"/>
      <c r="B31" s="243"/>
      <c r="C31" s="243"/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</row>
    <row r="32" spans="1:26">
      <c r="A32" s="244" t="s">
        <v>1</v>
      </c>
      <c r="B32" s="244"/>
      <c r="C32" s="244"/>
      <c r="D32" s="244"/>
      <c r="E32" s="244"/>
      <c r="F32" s="244"/>
      <c r="G32" s="244"/>
      <c r="H32" s="244"/>
      <c r="I32" s="244"/>
      <c r="J32" s="244"/>
      <c r="K32" s="244"/>
      <c r="L32" s="244"/>
      <c r="M32" s="244"/>
      <c r="N32" s="244"/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</row>
    <row r="33" spans="1:26">
      <c r="A33" s="244"/>
      <c r="B33" s="244"/>
      <c r="C33" s="244"/>
      <c r="D33" s="244"/>
      <c r="E33" s="244"/>
      <c r="F33" s="244"/>
      <c r="G33" s="244"/>
      <c r="H33" s="244"/>
      <c r="I33" s="244"/>
      <c r="J33" s="244"/>
      <c r="K33" s="244"/>
      <c r="L33" s="244"/>
      <c r="M33" s="244"/>
      <c r="N33" s="244"/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  <c r="Z33" s="244"/>
    </row>
    <row r="34" spans="1:26">
      <c r="A34" s="244"/>
      <c r="B34" s="244"/>
      <c r="C34" s="244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244"/>
      <c r="Q34" s="244"/>
      <c r="R34" s="244"/>
      <c r="S34" s="244"/>
      <c r="T34" s="244"/>
      <c r="U34" s="244"/>
      <c r="V34" s="244"/>
      <c r="W34" s="244"/>
      <c r="X34" s="244"/>
      <c r="Y34" s="244"/>
      <c r="Z34" s="244"/>
    </row>
    <row r="35" spans="1:26">
      <c r="A35" s="244"/>
      <c r="B35" s="244"/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4"/>
      <c r="W35" s="244"/>
      <c r="X35" s="244"/>
      <c r="Y35" s="244"/>
      <c r="Z35" s="244"/>
    </row>
    <row r="36" spans="1:26">
      <c r="A36" s="244"/>
      <c r="B36" s="244"/>
      <c r="C36" s="244"/>
      <c r="D36" s="244"/>
      <c r="E36" s="244"/>
      <c r="F36" s="244"/>
      <c r="G36" s="244"/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4"/>
      <c r="S36" s="244"/>
      <c r="T36" s="244"/>
      <c r="U36" s="244"/>
      <c r="V36" s="244"/>
      <c r="W36" s="244"/>
      <c r="X36" s="244"/>
      <c r="Y36" s="244"/>
      <c r="Z36" s="244"/>
    </row>
    <row r="37" spans="1:26">
      <c r="A37" s="244"/>
      <c r="B37" s="244"/>
      <c r="C37" s="244"/>
      <c r="D37" s="244"/>
      <c r="E37" s="244"/>
      <c r="F37" s="244"/>
      <c r="G37" s="244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4"/>
      <c r="S37" s="244"/>
      <c r="T37" s="244"/>
      <c r="U37" s="244"/>
      <c r="V37" s="244"/>
      <c r="W37" s="244"/>
      <c r="X37" s="244"/>
      <c r="Y37" s="244"/>
      <c r="Z37" s="244"/>
    </row>
    <row r="38" spans="1:26">
      <c r="A38" s="244"/>
      <c r="B38" s="244"/>
      <c r="C38" s="244"/>
      <c r="D38" s="244"/>
      <c r="E38" s="244"/>
      <c r="F38" s="244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4"/>
      <c r="S38" s="244"/>
      <c r="T38" s="244"/>
      <c r="U38" s="244"/>
      <c r="V38" s="244"/>
      <c r="W38" s="244"/>
      <c r="X38" s="244"/>
      <c r="Y38" s="244"/>
      <c r="Z38" s="244"/>
    </row>
    <row r="39" spans="1:26">
      <c r="A39" s="244"/>
      <c r="B39" s="244"/>
      <c r="C39" s="244"/>
      <c r="D39" s="244"/>
      <c r="E39" s="244"/>
      <c r="F39" s="244"/>
      <c r="G39" s="244"/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4"/>
      <c r="S39" s="244"/>
      <c r="T39" s="244"/>
      <c r="U39" s="244"/>
      <c r="V39" s="244"/>
      <c r="W39" s="244"/>
      <c r="X39" s="244"/>
      <c r="Y39" s="244"/>
      <c r="Z39" s="244"/>
    </row>
    <row r="40" spans="1:26">
      <c r="A40" s="244"/>
      <c r="B40" s="244"/>
      <c r="C40" s="244"/>
      <c r="D40" s="244"/>
      <c r="E40" s="244"/>
      <c r="F40" s="244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4"/>
      <c r="S40" s="244"/>
      <c r="T40" s="244"/>
      <c r="U40" s="244"/>
      <c r="V40" s="244"/>
      <c r="W40" s="244"/>
      <c r="X40" s="244"/>
      <c r="Y40" s="244"/>
      <c r="Z40" s="244"/>
    </row>
    <row r="41" spans="1:26">
      <c r="A41" s="244"/>
      <c r="B41" s="244"/>
      <c r="C41" s="244"/>
      <c r="D41" s="244"/>
      <c r="E41" s="244"/>
      <c r="F41" s="244"/>
      <c r="G41" s="244"/>
      <c r="H41" s="244"/>
      <c r="I41" s="244"/>
      <c r="J41" s="244"/>
      <c r="K41" s="244"/>
      <c r="L41" s="244"/>
      <c r="M41" s="244"/>
      <c r="N41" s="244"/>
      <c r="O41" s="244"/>
      <c r="P41" s="244"/>
      <c r="Q41" s="244"/>
      <c r="R41" s="244"/>
      <c r="S41" s="244"/>
      <c r="T41" s="244"/>
      <c r="U41" s="244"/>
      <c r="V41" s="244"/>
      <c r="W41" s="244"/>
      <c r="X41" s="244"/>
      <c r="Y41" s="244"/>
      <c r="Z41" s="244"/>
    </row>
    <row r="42" spans="1:26">
      <c r="A42" s="244"/>
      <c r="B42" s="244"/>
      <c r="C42" s="244"/>
      <c r="D42" s="244"/>
      <c r="E42" s="244"/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4"/>
      <c r="Q42" s="244"/>
      <c r="R42" s="244"/>
      <c r="S42" s="244"/>
      <c r="T42" s="244"/>
      <c r="U42" s="244"/>
      <c r="V42" s="244"/>
      <c r="W42" s="244"/>
      <c r="X42" s="244"/>
      <c r="Y42" s="244"/>
      <c r="Z42" s="244"/>
    </row>
    <row r="43" spans="1:26">
      <c r="A43" s="244"/>
      <c r="B43" s="244"/>
      <c r="C43" s="244"/>
      <c r="D43" s="244"/>
      <c r="E43" s="244"/>
      <c r="F43" s="244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244"/>
      <c r="W43" s="244"/>
      <c r="X43" s="244"/>
      <c r="Y43" s="244"/>
      <c r="Z43" s="244"/>
    </row>
    <row r="44" spans="1:26">
      <c r="A44" s="244"/>
      <c r="B44" s="244"/>
      <c r="C44" s="244"/>
      <c r="D44" s="244"/>
      <c r="E44" s="244"/>
      <c r="F44" s="244"/>
      <c r="G44" s="244"/>
      <c r="H44" s="244"/>
      <c r="I44" s="244"/>
      <c r="J44" s="244"/>
      <c r="K44" s="244"/>
      <c r="L44" s="244"/>
      <c r="M44" s="244"/>
      <c r="N44" s="244"/>
      <c r="O44" s="244"/>
      <c r="P44" s="244"/>
      <c r="Q44" s="244"/>
      <c r="R44" s="244"/>
      <c r="S44" s="244"/>
      <c r="T44" s="244"/>
      <c r="U44" s="244"/>
      <c r="V44" s="244"/>
      <c r="W44" s="244"/>
      <c r="X44" s="244"/>
      <c r="Y44" s="244"/>
      <c r="Z44" s="244"/>
    </row>
    <row r="45" spans="1:26">
      <c r="A45" s="244"/>
      <c r="B45" s="244"/>
      <c r="C45" s="244"/>
      <c r="D45" s="244"/>
      <c r="E45" s="244"/>
      <c r="F45" s="244"/>
      <c r="G45" s="244"/>
      <c r="H45" s="244"/>
      <c r="I45" s="244"/>
      <c r="J45" s="244"/>
      <c r="K45" s="244"/>
      <c r="L45" s="244"/>
      <c r="M45" s="244"/>
      <c r="N45" s="244"/>
      <c r="O45" s="244"/>
      <c r="P45" s="244"/>
      <c r="Q45" s="244"/>
      <c r="R45" s="244"/>
      <c r="S45" s="244"/>
      <c r="T45" s="244"/>
      <c r="U45" s="244"/>
      <c r="V45" s="244"/>
      <c r="W45" s="244"/>
      <c r="X45" s="244"/>
      <c r="Y45" s="244"/>
      <c r="Z45" s="244"/>
    </row>
    <row r="46" spans="1:26">
      <c r="A46" s="244"/>
      <c r="B46" s="244"/>
      <c r="C46" s="244"/>
      <c r="D46" s="244"/>
      <c r="E46" s="244"/>
      <c r="F46" s="244"/>
      <c r="G46" s="244"/>
      <c r="H46" s="244"/>
      <c r="I46" s="244"/>
      <c r="J46" s="244"/>
      <c r="K46" s="244"/>
      <c r="L46" s="244"/>
      <c r="M46" s="244"/>
      <c r="N46" s="244"/>
      <c r="O46" s="244"/>
      <c r="P46" s="244"/>
      <c r="Q46" s="244"/>
      <c r="R46" s="244"/>
      <c r="S46" s="244"/>
      <c r="T46" s="244"/>
      <c r="U46" s="244"/>
      <c r="V46" s="244"/>
      <c r="W46" s="244"/>
      <c r="X46" s="244"/>
      <c r="Y46" s="244"/>
      <c r="Z46" s="244"/>
    </row>
    <row r="47" spans="1:26">
      <c r="A47" s="244"/>
      <c r="B47" s="244"/>
      <c r="C47" s="244"/>
      <c r="D47" s="244"/>
      <c r="E47" s="244"/>
      <c r="F47" s="244"/>
      <c r="G47" s="244"/>
      <c r="H47" s="244"/>
      <c r="I47" s="244"/>
      <c r="J47" s="244"/>
      <c r="K47" s="244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4"/>
    </row>
    <row r="48" spans="1:26">
      <c r="A48" s="244"/>
      <c r="B48" s="244"/>
      <c r="C48" s="244"/>
      <c r="D48" s="244"/>
      <c r="E48" s="244"/>
      <c r="F48" s="244"/>
      <c r="G48" s="244"/>
      <c r="H48" s="244"/>
      <c r="I48" s="244"/>
      <c r="J48" s="244"/>
      <c r="K48" s="244"/>
      <c r="L48" s="244"/>
      <c r="M48" s="244"/>
      <c r="N48" s="244"/>
      <c r="O48" s="244"/>
      <c r="P48" s="244"/>
      <c r="Q48" s="244"/>
      <c r="R48" s="244"/>
      <c r="S48" s="244"/>
      <c r="T48" s="244"/>
      <c r="U48" s="244"/>
      <c r="V48" s="244"/>
      <c r="W48" s="244"/>
      <c r="X48" s="244"/>
      <c r="Y48" s="244"/>
      <c r="Z48" s="244"/>
    </row>
    <row r="49" spans="1:26">
      <c r="A49" s="244"/>
      <c r="B49" s="244"/>
      <c r="C49" s="244"/>
      <c r="D49" s="244"/>
      <c r="E49" s="244"/>
      <c r="F49" s="244"/>
      <c r="G49" s="244"/>
      <c r="H49" s="244"/>
      <c r="I49" s="244"/>
      <c r="J49" s="244"/>
      <c r="K49" s="244"/>
      <c r="L49" s="244"/>
      <c r="M49" s="244"/>
      <c r="N49" s="244"/>
      <c r="O49" s="244"/>
      <c r="P49" s="244"/>
      <c r="Q49" s="244"/>
      <c r="R49" s="244"/>
      <c r="S49" s="244"/>
      <c r="T49" s="244"/>
      <c r="U49" s="244"/>
      <c r="V49" s="244"/>
      <c r="W49" s="244"/>
      <c r="X49" s="244"/>
      <c r="Y49" s="244"/>
      <c r="Z49" s="244"/>
    </row>
    <row r="50" spans="1:26">
      <c r="A50" s="244"/>
      <c r="B50" s="244"/>
      <c r="C50" s="244"/>
      <c r="D50" s="244"/>
      <c r="E50" s="244"/>
      <c r="F50" s="244"/>
      <c r="G50" s="244"/>
      <c r="H50" s="244"/>
      <c r="I50" s="244"/>
      <c r="J50" s="244"/>
      <c r="K50" s="244"/>
      <c r="L50" s="244"/>
      <c r="M50" s="244"/>
      <c r="N50" s="244"/>
      <c r="O50" s="244"/>
      <c r="P50" s="244"/>
      <c r="Q50" s="244"/>
      <c r="R50" s="244"/>
      <c r="S50" s="244"/>
      <c r="T50" s="244"/>
      <c r="U50" s="244"/>
      <c r="V50" s="244"/>
      <c r="W50" s="244"/>
      <c r="X50" s="244"/>
      <c r="Y50" s="244"/>
      <c r="Z50" s="244"/>
    </row>
    <row r="51" spans="1:26">
      <c r="A51" s="244"/>
      <c r="B51" s="244"/>
      <c r="C51" s="244"/>
      <c r="D51" s="244"/>
      <c r="E51" s="244"/>
      <c r="F51" s="244"/>
      <c r="G51" s="244"/>
      <c r="H51" s="244"/>
      <c r="I51" s="244"/>
      <c r="J51" s="244"/>
      <c r="K51" s="244"/>
      <c r="L51" s="244"/>
      <c r="M51" s="244"/>
      <c r="N51" s="244"/>
      <c r="O51" s="244"/>
      <c r="P51" s="244"/>
      <c r="Q51" s="244"/>
      <c r="R51" s="244"/>
      <c r="S51" s="244"/>
      <c r="T51" s="244"/>
      <c r="U51" s="244"/>
      <c r="V51" s="244"/>
      <c r="W51" s="244"/>
      <c r="X51" s="244"/>
      <c r="Y51" s="244"/>
      <c r="Z51" s="244"/>
    </row>
    <row r="52" spans="1:26">
      <c r="A52" s="244"/>
      <c r="B52" s="244"/>
      <c r="C52" s="244"/>
      <c r="D52" s="244"/>
      <c r="E52" s="244"/>
      <c r="F52" s="244"/>
      <c r="G52" s="244"/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4"/>
      <c r="S52" s="244"/>
      <c r="T52" s="244"/>
      <c r="U52" s="244"/>
      <c r="V52" s="244"/>
      <c r="W52" s="244"/>
      <c r="X52" s="244"/>
      <c r="Y52" s="244"/>
      <c r="Z52" s="244"/>
    </row>
    <row r="53" spans="1:26">
      <c r="A53" s="244"/>
      <c r="B53" s="244"/>
      <c r="C53" s="244"/>
      <c r="D53" s="244"/>
      <c r="E53" s="244"/>
      <c r="F53" s="244"/>
      <c r="G53" s="244"/>
      <c r="H53" s="244"/>
      <c r="I53" s="244"/>
      <c r="J53" s="244"/>
      <c r="K53" s="244"/>
      <c r="L53" s="244"/>
      <c r="M53" s="244"/>
      <c r="N53" s="244"/>
      <c r="O53" s="244"/>
      <c r="P53" s="244"/>
      <c r="Q53" s="244"/>
      <c r="R53" s="244"/>
      <c r="S53" s="244"/>
      <c r="T53" s="244"/>
      <c r="U53" s="244"/>
      <c r="V53" s="244"/>
      <c r="W53" s="244"/>
      <c r="X53" s="244"/>
      <c r="Y53" s="244"/>
      <c r="Z53" s="244"/>
    </row>
    <row r="54" spans="1:26">
      <c r="A54" s="244"/>
      <c r="B54" s="244"/>
      <c r="C54" s="244"/>
      <c r="D54" s="244"/>
      <c r="E54" s="244"/>
      <c r="F54" s="244"/>
      <c r="G54" s="244"/>
      <c r="H54" s="244"/>
      <c r="I54" s="244"/>
      <c r="J54" s="244"/>
      <c r="K54" s="244"/>
      <c r="L54" s="244"/>
      <c r="M54" s="244"/>
      <c r="N54" s="244"/>
      <c r="O54" s="244"/>
      <c r="P54" s="244"/>
      <c r="Q54" s="244"/>
      <c r="R54" s="244"/>
      <c r="S54" s="244"/>
      <c r="T54" s="244"/>
      <c r="U54" s="244"/>
      <c r="V54" s="244"/>
      <c r="W54" s="244"/>
      <c r="X54" s="244"/>
      <c r="Y54" s="244"/>
      <c r="Z54" s="244"/>
    </row>
    <row r="55" spans="1:26">
      <c r="A55" s="244"/>
      <c r="B55" s="244"/>
      <c r="C55" s="244"/>
      <c r="D55" s="244"/>
      <c r="E55" s="244"/>
      <c r="F55" s="244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244"/>
      <c r="T55" s="244"/>
      <c r="U55" s="244"/>
      <c r="V55" s="244"/>
      <c r="W55" s="244"/>
      <c r="X55" s="244"/>
      <c r="Y55" s="244"/>
      <c r="Z55" s="244"/>
    </row>
    <row r="56" spans="1:26">
      <c r="A56" s="244"/>
      <c r="B56" s="244"/>
      <c r="C56" s="244"/>
      <c r="D56" s="244"/>
      <c r="E56" s="244"/>
      <c r="F56" s="244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4"/>
      <c r="S56" s="244"/>
      <c r="T56" s="244"/>
      <c r="U56" s="244"/>
      <c r="V56" s="244"/>
      <c r="W56" s="244"/>
      <c r="X56" s="244"/>
      <c r="Y56" s="244"/>
      <c r="Z56" s="244"/>
    </row>
    <row r="57" spans="1:26">
      <c r="A57" s="244"/>
      <c r="B57" s="244"/>
      <c r="C57" s="244"/>
      <c r="D57" s="244"/>
      <c r="E57" s="244"/>
      <c r="F57" s="244"/>
      <c r="G57" s="244"/>
      <c r="H57" s="244"/>
      <c r="I57" s="244"/>
      <c r="J57" s="244"/>
      <c r="K57" s="244"/>
      <c r="L57" s="244"/>
      <c r="M57" s="244"/>
      <c r="N57" s="244"/>
      <c r="O57" s="244"/>
      <c r="P57" s="244"/>
      <c r="Q57" s="244"/>
      <c r="R57" s="244"/>
      <c r="S57" s="244"/>
      <c r="T57" s="244"/>
      <c r="U57" s="244"/>
      <c r="V57" s="244"/>
      <c r="W57" s="244"/>
      <c r="X57" s="244"/>
      <c r="Y57" s="244"/>
      <c r="Z57" s="244"/>
    </row>
    <row r="58" spans="1:26">
      <c r="A58" s="244"/>
      <c r="B58" s="244"/>
      <c r="C58" s="244"/>
      <c r="D58" s="244"/>
      <c r="E58" s="244"/>
      <c r="F58" s="244"/>
      <c r="G58" s="244"/>
      <c r="H58" s="244"/>
      <c r="I58" s="244"/>
      <c r="J58" s="244"/>
      <c r="K58" s="244"/>
      <c r="L58" s="244"/>
      <c r="M58" s="244"/>
      <c r="N58" s="244"/>
      <c r="O58" s="244"/>
      <c r="P58" s="244"/>
      <c r="Q58" s="244"/>
      <c r="R58" s="244"/>
      <c r="S58" s="244"/>
      <c r="T58" s="244"/>
      <c r="U58" s="244"/>
      <c r="V58" s="244"/>
      <c r="W58" s="244"/>
      <c r="X58" s="244"/>
      <c r="Y58" s="244"/>
      <c r="Z58" s="244"/>
    </row>
    <row r="59" spans="1:26">
      <c r="A59" s="244"/>
      <c r="B59" s="244"/>
      <c r="C59" s="244"/>
      <c r="D59" s="244"/>
      <c r="E59" s="244"/>
      <c r="F59" s="244"/>
      <c r="G59" s="244"/>
      <c r="H59" s="244"/>
      <c r="I59" s="244"/>
      <c r="J59" s="244"/>
      <c r="K59" s="244"/>
      <c r="L59" s="244"/>
      <c r="M59" s="244"/>
      <c r="N59" s="244"/>
      <c r="O59" s="244"/>
      <c r="P59" s="244"/>
      <c r="Q59" s="244"/>
      <c r="R59" s="244"/>
      <c r="S59" s="244"/>
      <c r="T59" s="244"/>
      <c r="U59" s="244"/>
      <c r="V59" s="244"/>
      <c r="W59" s="244"/>
      <c r="X59" s="244"/>
      <c r="Y59" s="244"/>
      <c r="Z59" s="244"/>
    </row>
    <row r="60" spans="1:26">
      <c r="A60" s="244"/>
      <c r="B60" s="244"/>
      <c r="C60" s="244"/>
      <c r="D60" s="244"/>
      <c r="E60" s="244"/>
      <c r="F60" s="244"/>
      <c r="G60" s="244"/>
      <c r="H60" s="244"/>
      <c r="I60" s="244"/>
      <c r="J60" s="244"/>
      <c r="K60" s="244"/>
      <c r="L60" s="244"/>
      <c r="M60" s="244"/>
      <c r="N60" s="244"/>
      <c r="O60" s="244"/>
      <c r="P60" s="244"/>
      <c r="Q60" s="244"/>
      <c r="R60" s="244"/>
      <c r="S60" s="244"/>
      <c r="T60" s="244"/>
      <c r="U60" s="244"/>
      <c r="V60" s="244"/>
      <c r="W60" s="244"/>
      <c r="X60" s="244"/>
      <c r="Y60" s="244"/>
      <c r="Z60" s="244"/>
    </row>
    <row r="61" spans="1:26">
      <c r="A61" s="244"/>
      <c r="B61" s="244"/>
      <c r="C61" s="244"/>
      <c r="D61" s="244"/>
      <c r="E61" s="244"/>
      <c r="F61" s="244"/>
      <c r="G61" s="244"/>
      <c r="H61" s="244"/>
      <c r="I61" s="244"/>
      <c r="J61" s="244"/>
      <c r="K61" s="244"/>
      <c r="L61" s="244"/>
      <c r="M61" s="244"/>
      <c r="N61" s="244"/>
      <c r="O61" s="244"/>
      <c r="P61" s="244"/>
      <c r="Q61" s="244"/>
      <c r="R61" s="244"/>
      <c r="S61" s="244"/>
      <c r="T61" s="244"/>
      <c r="U61" s="244"/>
      <c r="V61" s="244"/>
      <c r="W61" s="244"/>
      <c r="X61" s="244"/>
      <c r="Y61" s="244"/>
      <c r="Z61" s="244"/>
    </row>
    <row r="62" spans="1:26">
      <c r="A62" s="244"/>
      <c r="B62" s="244"/>
      <c r="C62" s="244"/>
      <c r="D62" s="244"/>
      <c r="E62" s="244"/>
      <c r="F62" s="244"/>
      <c r="G62" s="244"/>
      <c r="H62" s="244"/>
      <c r="I62" s="244"/>
      <c r="J62" s="244"/>
      <c r="K62" s="244"/>
      <c r="L62" s="244"/>
      <c r="M62" s="244"/>
      <c r="N62" s="244"/>
      <c r="O62" s="244"/>
      <c r="P62" s="244"/>
      <c r="Q62" s="244"/>
      <c r="R62" s="244"/>
      <c r="S62" s="244"/>
      <c r="T62" s="244"/>
      <c r="U62" s="244"/>
      <c r="V62" s="244"/>
      <c r="W62" s="244"/>
      <c r="X62" s="244"/>
      <c r="Y62" s="244"/>
      <c r="Z62" s="244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B51" sqref="B51:B53"/>
    </sheetView>
  </sheetViews>
  <sheetFormatPr defaultColWidth="9" defaultRowHeight="16.8" outlineLevelCol="1"/>
  <cols>
    <col min="1" max="1" width="43.25" style="223" customWidth="1"/>
    <col min="2" max="2" width="34.125" style="223" customWidth="1"/>
    <col min="3" max="16384" width="9" style="223"/>
  </cols>
  <sheetData>
    <row r="1" ht="45" customHeight="1" spans="1:2">
      <c r="A1" s="224" t="s">
        <v>2</v>
      </c>
      <c r="B1" s="225" t="s">
        <v>3</v>
      </c>
    </row>
    <row r="2" ht="45" customHeight="1" spans="1:2">
      <c r="A2" s="226" t="s">
        <v>4</v>
      </c>
      <c r="B2" s="227" t="b">
        <v>1</v>
      </c>
    </row>
    <row r="3" ht="36" customHeight="1" spans="1:2">
      <c r="A3" s="228" t="s">
        <v>5</v>
      </c>
      <c r="B3" s="229">
        <v>45677</v>
      </c>
    </row>
    <row r="4" ht="45" customHeight="1" spans="1:2">
      <c r="A4" s="224" t="s">
        <v>6</v>
      </c>
      <c r="B4" s="230" t="str">
        <f>IF(B2,TEXT(EDATE(B3,1)-1,"dd-mmm-yyyy"),TEXT(EDATE(B3,1)-1,"dd-mmm-yyyy"))</f>
        <v>19-Feb-2025</v>
      </c>
    </row>
    <row r="5" ht="45" customHeight="1" spans="1:2">
      <c r="A5" s="226" t="s">
        <v>7</v>
      </c>
      <c r="B5" s="231">
        <v>45777</v>
      </c>
    </row>
    <row r="6" ht="45" customHeight="1" spans="1:2">
      <c r="A6" s="226"/>
      <c r="B6" s="231"/>
    </row>
    <row r="7" ht="24.75" customHeight="1" spans="1:2">
      <c r="A7" s="232"/>
      <c r="B7" s="233"/>
    </row>
    <row r="8" ht="39.95" customHeight="1" spans="1:2">
      <c r="A8" s="234" t="s">
        <v>8</v>
      </c>
      <c r="B8" s="234"/>
    </row>
    <row r="9" ht="20.25" customHeight="1" spans="1:2">
      <c r="A9" s="235" t="str">
        <f>TEXT(B3,"dd mmmm yyyy")&amp;" - "&amp;IF(B2,TEXT(EDATE(B3,1)-1,"dd mmmm yyyy"),TEXT(B3+B5-B3,"dd mmmm yyyy"))</f>
        <v>20 January 2025 - 19 February 2025</v>
      </c>
      <c r="B9" s="236" t="s">
        <v>9</v>
      </c>
    </row>
    <row r="10" ht="20.25" customHeight="1" spans="1:2">
      <c r="A10" s="227" t="str">
        <f>IF(B2,TEXT(EDATE(B3,1),"dd mmmm yyyy"),TEXT(B3+(B5-B3)+1,"dd mmmm yyyy"))&amp;" - "&amp;IF(B2,TEXT(EDATE(B3,2)-1,"dd mmmm yyyy"),TEXT(B3+(B5-B3)*2+1,"dd mmmm yyyy"))</f>
        <v>20 February 2025 - 19 March 2025</v>
      </c>
      <c r="B10" s="236"/>
    </row>
    <row r="11" ht="20.25" customHeight="1" spans="1:2">
      <c r="A11" s="227" t="str">
        <f>IF(B2,TEXT(EDATE(B3,2),"dd mmmm yyyy"),TEXT(B3+((B5-B3)*2)+2,"dd mmmm yyyy"))&amp;" - "&amp;IF(B2,TEXT(EDATE(B3,3)-1,"dd mmmm yyyy"),TEXT(B3+((B5-B3)*3+2),"dd mmmm yyyy"))</f>
        <v>20 March 2025 - 19 April 2025</v>
      </c>
      <c r="B11" s="237"/>
    </row>
    <row r="12" ht="20.25" customHeight="1" spans="1:2">
      <c r="A12" s="238" t="str">
        <f>IF(B2,TEXT(EDATE(B3,3),"dd mmmm yyyy"),TEXT(B3+((B5-B3)*3)+3,"dd mmmm yyyy"))&amp;" - "&amp;IF(B2,TEXT(EDATE(B3,4)-1,"dd mmmm yyyy"),TEXT(B3+(((B5-B3)*4)+3),"dd mmmm yyyy"))</f>
        <v>20 April 2025 - 19 May 2025</v>
      </c>
      <c r="B12" s="225" t="s">
        <v>10</v>
      </c>
    </row>
    <row r="13" ht="20.25" customHeight="1" spans="1:2">
      <c r="A13" s="238" t="str">
        <f>IF(B2,TEXT(EDATE(B3,4),"dd mmmm yyyy"),TEXT(B3+((B5-B3)*4)+4,"dd mmmm yyyy"))&amp;" - "&amp;IF(B2,TEXT(EDATE(B3,5)-1,"dd mmmm yyyy"),TEXT(B3+(((B5-B3)*5)+4),"dd mmmm yyyy"))</f>
        <v>20 May 2025 - 19 June 2025</v>
      </c>
      <c r="B13" s="239"/>
    </row>
    <row r="14" ht="20.25" customHeight="1" spans="1:2">
      <c r="A14" s="227" t="str">
        <f>IF(B2,TEXT(EDATE(B3,5),"dd mmmm yyyy"),TEXT(B3+((B5-B3)*5)+5,"dd mmmm yyyy"))&amp;" - "&amp;IF(B2,TEXT(EDATE(B3,6)-1,"dd mmmm yyyy"),TEXT(B3+(((B5-B3)*6)+5),"dd mmmm yyyy"))</f>
        <v>20 June 2025 - 19 July 2025</v>
      </c>
      <c r="B14" s="240"/>
    </row>
    <row r="15" ht="20.25" customHeight="1" spans="1:2">
      <c r="A15" s="227" t="str">
        <f>IF(B2,TEXT(EDATE(B3,6),"dd mmmm yyyy"),TEXT(B3+((B5-B3)*6)+6,"dd mmmm yyyy"))&amp;" - "&amp;IF(B2,TEXT(EDATE(B3,7)-1,"dd mmmm yyyy"),TEXT(B3+(((B5-B3)*7)+6),"dd mmmm yyyy"))</f>
        <v>20 July 2025 - 19 August 2025</v>
      </c>
      <c r="B15" s="225" t="s">
        <v>11</v>
      </c>
    </row>
    <row r="16" ht="20.25" customHeight="1" spans="1:2">
      <c r="A16" s="227" t="str">
        <f>IF(B2,TEXT(EDATE(B3,7),"dd mmmm yyyy"),TEXT(B3+((B5-B3)*7)+7,"dd mmmm yyyy"))&amp;" - "&amp;IF(B2,TEXT(EDATE(B3,8)-1,"dd mmmm yyyy"),TEXT(B3+(((B5-B3)*8)+7),"dd mmmm yyyy"))</f>
        <v>20 August 2025 - 19 September 2025</v>
      </c>
      <c r="B16" s="239"/>
    </row>
    <row r="17" ht="20.25" customHeight="1" spans="1:2">
      <c r="A17" s="227" t="str">
        <f>IF(B2,TEXT(EDATE(B3,8),"dd mmmm yyyy"),TEXT(B3+((B5-B3)*8)+8,"dd mmmm yyyy"))&amp;" - "&amp;IF(B2,TEXT(EDATE(B3,9)-1,"dd mmmm yyyy"),TEXT(B3+(((B5-B3)*9)+8),"dd mmmm yyyy"))</f>
        <v>20 September 2025 - 19 October 2025</v>
      </c>
      <c r="B17" s="240"/>
    </row>
    <row r="18" ht="20.25" customHeight="1" spans="1:2">
      <c r="A18" s="227" t="str">
        <f>IF(B2,TEXT(EDATE(B3,9),"dd mmmm yyyy"),TEXT(B3+((B5-B3)*9)+9,"dd mmmm yyyy"))&amp;" - "&amp;IF(B2,TEXT(EDATE(B3,10)-1,"dd mmmm yyyy"),TEXT(B3+(((B5-B3)*10)+9),"dd mmmm yyyy"))</f>
        <v>20 October 2025 - 19 November 2025</v>
      </c>
      <c r="B18" s="225" t="s">
        <v>12</v>
      </c>
    </row>
    <row r="19" ht="20.25" customHeight="1" spans="1:2">
      <c r="A19" s="227" t="str">
        <f>IF(B2,TEXT(EDATE(B3,10),"dd mmmm yyyy"),TEXT(B3+((B5-B3)*10)+10,"dd mmmm yyyy"))&amp;" - "&amp;IF(B2,TEXT(EDATE(B3,11)-1,"dd mmmm yyyy"),TEXT(B3+(((B5-B3)*11)+10),"dd mmmm yyyy"))</f>
        <v>20 November 2025 - 19 December 2025</v>
      </c>
      <c r="B19" s="239"/>
    </row>
    <row r="20" ht="20.25" customHeight="1" spans="1:2">
      <c r="A20" s="241" t="str">
        <f>IF(B2,TEXT(EDATE(B3,11),"dd mmmm yyyy"),TEXT(B3+((B5-B3)*11)+11,"dd mmmm yyyy"))&amp;" - "&amp;IF(B2,TEXT(EDATE(B3,12)-1,"dd mmmm yyyy"),TEXT(B3+(((B5-B3)*12)+11),"dd mmmm yyyy"))</f>
        <v>20 December 2025 - 19 January 2026</v>
      </c>
      <c r="B20" s="240"/>
    </row>
    <row r="21" ht="20.25" customHeight="1" spans="1:2">
      <c r="A21" s="242" t="str">
        <f>IF(B2,TEXT(EDATE(B3,12),"dd mmmm yyyy"),TEXT(B3+((B5-B3)*12)+12,"dd mmmm yyyy"))&amp;" - "&amp;IF(B2,TEXT(EDATE(B3,13)-1,"dd mmmm yyyy"),TEXT(B3+(((B5-B3)*13)+12),"dd mmmm yyyy"))</f>
        <v>20 January 2026 - 19 February 2026</v>
      </c>
      <c r="B21" s="227" t="s">
        <v>13</v>
      </c>
    </row>
    <row r="22" ht="20.25" customHeight="1" spans="1:2">
      <c r="A22" s="242" t="str">
        <f>IF(B2,TEXT(EDATE(B3,13),"dd mmmm yyyy"),TEXT(B3+((B5-B3)*13)+13,"dd mmmm yyyy"))&amp;" - "&amp;IF(B2,TEXT(EDATE(B3,14)-1,"dd mmmm yyyy"),TEXT(B3+(((B5-B3)*14)+13),"dd mmmm yyyy"))</f>
        <v>20 February 2026 - 19 March 2026</v>
      </c>
      <c r="B22" s="227"/>
    </row>
    <row r="23" ht="20.25" customHeight="1" spans="1:2">
      <c r="A23" s="241" t="str">
        <f>IF(B2,TEXT(EDATE(B3,14),"dd mmmm yyyy"),TEXT(B3+((B5-B3)*14)+14,"dd mmmm yyyy"))&amp;" - "&amp;IF(B2,TEXT(EDATE(B3,15)-1,"dd mmmm yyyy"),TEXT(B3+(((B5-B3)*15)+14),"dd mmmm yyyy"))</f>
        <v>20 March 2026 - 19 April 2026</v>
      </c>
      <c r="B23" s="225"/>
    </row>
    <row r="24" ht="20.25" customHeight="1" spans="1:2">
      <c r="A24" s="227" t="str">
        <f>IF(B2,TEXT(EDATE(B3,15),"dd mmmm yyyy"),TEXT(B3+((B5-B3)*15)+15,"dd mmmm yyyy"))&amp;" - "&amp;IF(B2,TEXT(EDATE(B3,16)-1,"dd mmmm yyyy"),TEXT(B3+(((B5-B3)*16)+15),"dd mmmm yyyy"))</f>
        <v>20 April 2026 - 19 May 2026</v>
      </c>
      <c r="B24" s="227" t="s">
        <v>14</v>
      </c>
    </row>
    <row r="25" ht="20.25" customHeight="1" spans="1:2">
      <c r="A25" s="227" t="str">
        <f>IF(B2,TEXT(EDATE(B3,16),"dd mmmm yyyy"),TEXT(B3+((B5-B3)*16)+16,"dd mmmm yyyy"))&amp;" - "&amp;IF(B2,TEXT(EDATE(B3,17)-1,"dd mmmm yyyy"),TEXT(B3+(((B5-B3)*17)+16),"dd mmmm yyyy"))</f>
        <v>20 May 2026 - 19 June 2026</v>
      </c>
      <c r="B25" s="227"/>
    </row>
    <row r="26" ht="20.25" customHeight="1" spans="1:2">
      <c r="A26" s="225" t="str">
        <f>IF(B2,TEXT(EDATE(B3,17),"dd mmmm yyyy"),TEXT(B3+((B5-B3)*17)+17,"dd mmmm yyyy"))&amp;" - "&amp;IF(B2,TEXT(EDATE(B3,18)-1,"dd mmmm yyyy"),TEXT(B3+(((B5-B3)*18)+17),"dd mmmm yyyy"))</f>
        <v>20 June 2026 - 19 July 2026</v>
      </c>
      <c r="B26" s="225"/>
    </row>
    <row r="27" ht="20.25" customHeight="1" spans="1:2">
      <c r="A27" s="227" t="str">
        <f>IF(B2,TEXT(EDATE(B3,18),"dd mmmm yyyy"),TEXT(B3+((B5-B3)*18)+18,"dd mmmm yyyy"))&amp;" - "&amp;IF(B2,TEXT(EDATE(B3,19)-1,"dd mmmm yyyy"),TEXT(B3+(((B5-B3)*19)+18),"dd mmmm yyyy"))</f>
        <v>20 July 2026 - 19 August 2026</v>
      </c>
      <c r="B27" s="227" t="s">
        <v>15</v>
      </c>
    </row>
    <row r="28" ht="20.25" customHeight="1" spans="1:2">
      <c r="A28" s="227" t="str">
        <f>IF(B2,TEXT(EDATE(B3,19),"dd mmmm yyyy"),TEXT(B3+((B5-B3)*19)+19,"dd mmmm yyyy"))&amp;" - "&amp;IF(B2,TEXT(EDATE(B3,20)-1,"dd mmmm yyyy"),TEXT(B3+(((B5-B3)*20)+19),"dd mmmm yyyy"))</f>
        <v>20 August 2026 - 19 September 2026</v>
      </c>
      <c r="B28" s="227"/>
    </row>
    <row r="29" ht="20.25" customHeight="1" spans="1:2">
      <c r="A29" s="225" t="str">
        <f>IF(B2,TEXT(EDATE(B3,20),"dd mmmm yyyy"),TEXT(B3+((B5-B3)*20)+20,"dd mmmm yyyy"))&amp;" - "&amp;IF(B2,TEXT(EDATE(B3,21)-1,"dd mmmm yyyy"),TEXT(B3+(((B5-B3)*21)+20),"dd mmmm yyyy"))</f>
        <v>20 September 2026 - 19 October 2026</v>
      </c>
      <c r="B29" s="225"/>
    </row>
    <row r="30" ht="20.25" customHeight="1" spans="1:2">
      <c r="A30" s="227" t="str">
        <f>IF(B2,TEXT(EDATE(B3,21),"dd mmmm yyyy"),TEXT(B3+((B5-B3)*21)+21,"dd mmmm yyyy"))&amp;" - "&amp;IF(B2,TEXT(EDATE(B3,22)-1,"dd mmmm yyyy"),TEXT(B3+(((B5-B3)*22)+21),"dd mmmm yyyy"))</f>
        <v>20 October 2026 - 19 November 2026</v>
      </c>
      <c r="B30" s="227" t="s">
        <v>16</v>
      </c>
    </row>
    <row r="31" ht="20.25" customHeight="1" spans="1:2">
      <c r="A31" s="227" t="str">
        <f>IF(B2,TEXT(EDATE(B3,22),"dd mmmm yyyy"),TEXT(B3+((B5-B3)*22)+22,"dd mmmm yyyy"))&amp;" - "&amp;IF(B2,TEXT(EDATE(B3,23)-1,"dd mmmm yyyy"),TEXT(B3+(((B5-B3)*23)+22),"dd mmmm yyyy"))</f>
        <v>20 November 2026 - 19 December 2026</v>
      </c>
      <c r="B31" s="227"/>
    </row>
    <row r="32" ht="20.25" customHeight="1" spans="1:2">
      <c r="A32" s="225" t="str">
        <f>IF(B2,TEXT(EDATE(B3,23),"dd mmmm yyyy"),TEXT(B3+((B5-B3)*23)+23,"dd mmmm yyyy"))&amp;" - "&amp;IF(B2,TEXT(EDATE(B3,24)-1,"dd mmmm yyyy"),TEXT(B3+(((B5-B3)*24)+23),"dd mmmm yyyy"))</f>
        <v>20 December 2026 - 19 January 2027</v>
      </c>
      <c r="B32" s="225"/>
    </row>
    <row r="33" ht="20.25" customHeight="1" spans="1:2">
      <c r="A33" s="227" t="str">
        <f>IF(B2,TEXT(EDATE(B3,24),"dd mmmm yyyy"),TEXT(B3+((B5-B3)*24)+24,"dd mmmm yyyy"))&amp;" - "&amp;IF(B2,TEXT(EDATE(B3,25)-1,"dd mmmm yyyy"),TEXT(B3+(((B5-B3)*25)+24),"dd mmmm yyyy"))</f>
        <v>20 January 2027 - 19 February 2027</v>
      </c>
      <c r="B33" s="227" t="s">
        <v>17</v>
      </c>
    </row>
    <row r="34" ht="20.25" customHeight="1" spans="1:2">
      <c r="A34" s="227" t="str">
        <f>IF(B2,TEXT(EDATE(B3,25),"dd mmmm yyyy"),TEXT(B3+((B5-B3)*25)+25,"dd mmmm yyyy"))&amp;" - "&amp;IF(B2,TEXT(EDATE(B3,26)-1,"dd mmmm yyyy"),TEXT(B3+(((B5-B3)*26)+25),"dd mmmm yyyy"))</f>
        <v>20 February 2027 - 19 March 2027</v>
      </c>
      <c r="B34" s="227"/>
    </row>
    <row r="35" ht="20.25" customHeight="1" spans="1:2">
      <c r="A35" s="225" t="str">
        <f>IF(B2,TEXT(EDATE(B3,26),"dd mmmm yyyy"),TEXT(B3+((B5-B3)*26)+26,"dd mmmm yyyy"))&amp;" - "&amp;IF(B2,TEXT(EDATE(B3,27)-1,"dd mmmm yyyy"),TEXT(B3+(((B5-B3)*27)+26),"dd mmmm yyyy"))</f>
        <v>20 March 2027 - 19 April 2027</v>
      </c>
      <c r="B35" s="225"/>
    </row>
    <row r="36" ht="20.25" customHeight="1" spans="1:2">
      <c r="A36" s="227" t="str">
        <f>IF(B2,TEXT(EDATE(B3,27),"dd mmmm yyyy"),TEXT(B3+((B5-B3)*27)+27,"dd mmmm yyyy"))&amp;" - "&amp;IF(B2,TEXT(EDATE(B3,28)-1,"dd mmmm yyyy"),TEXT(B3+(((B5-B3)*28)+27),"dd mmmm yyyy"))</f>
        <v>20 April 2027 - 19 May 2027</v>
      </c>
      <c r="B36" s="227" t="s">
        <v>18</v>
      </c>
    </row>
    <row r="37" ht="20.25" customHeight="1" spans="1:2">
      <c r="A37" s="227" t="str">
        <f>IF(B2,TEXT(EDATE(B3,28),"dd mmmm yyyy"),TEXT(B3+((B5-B3)*28)+28,"dd mmmm yyyy"))&amp;" - "&amp;IF(B2,TEXT(EDATE(B3,29)-1,"dd mmmm yyyy"),TEXT(B3+(((B5-B3)*29)+28),"dd mmmm yyyy"))</f>
        <v>20 May 2027 - 19 June 2027</v>
      </c>
      <c r="B37" s="227"/>
    </row>
    <row r="38" ht="20.25" customHeight="1" spans="1:2">
      <c r="A38" s="225" t="str">
        <f>IF(B2,TEXT(EDATE(B3,29),"dd mmmm yyyy"),TEXT(B3+((B5-B3)*29)+29,"dd mmmm yyyy"))&amp;" - "&amp;IF(B2,TEXT(EDATE(B3,30)-1,"dd mmmm yyyy"),TEXT(B3+(((B5-B3)*30)+29),"dd mmmm yyyy"))</f>
        <v>20 June 2027 - 19 July 2027</v>
      </c>
      <c r="B38" s="225"/>
    </row>
    <row r="39" ht="20.25" customHeight="1" spans="1:2">
      <c r="A39" s="227" t="str">
        <f>IF(B2,TEXT(EDATE(B3,30),"dd mmmm yyyy"),TEXT(B3+((B5-B3)*30)+30,"dd mmmm yyyy"))&amp;" - "&amp;IF(B2,TEXT(EDATE(B3,31)-1,"dd mmmm yyyy"),TEXT(B3+(((B5-B3)*31)+30),"dd mmmm yyyy"))</f>
        <v>20 July 2027 - 19 August 2027</v>
      </c>
      <c r="B39" s="227" t="s">
        <v>19</v>
      </c>
    </row>
    <row r="40" ht="20.25" customHeight="1" spans="1:2">
      <c r="A40" s="227" t="str">
        <f>IF(B2,TEXT(EDATE(B3,31),"dd mmmm yyyy"),TEXT(B3+((B5-B3)*31)+31,"dd mmmm yyyy"))&amp;" - "&amp;IF(B2,TEXT(EDATE(B3,32)-1,"dd mmmm yyyy"),TEXT(B3+(((B5-B3)*32)+31),"dd mmmm yyyy"))</f>
        <v>20 August 2027 - 19 September 2027</v>
      </c>
      <c r="B40" s="227"/>
    </row>
    <row r="41" ht="20.25" customHeight="1" spans="1:2">
      <c r="A41" s="225" t="str">
        <f>IF(B2,TEXT(EDATE(B3,32),"dd mmmm yyyy"),TEXT(B3+((B5-B3)*32)+32,"dd mmmm yyyy"))&amp;" - "&amp;IF(B2,TEXT(EDATE(B3,33)-1,"dd mmmm yyyy"),TEXT(B3+(((B5-B3)*33)+32),"dd mmmm yyyy"))</f>
        <v>20 September 2027 - 19 October 2027</v>
      </c>
      <c r="B41" s="225"/>
    </row>
    <row r="42" ht="20.25" customHeight="1" spans="1:2">
      <c r="A42" s="227" t="str">
        <f>IF(B2,TEXT(EDATE(B3,33),"dd mmmm yyyy"),TEXT(B3+((B5-B3)*33)+33,"dd mmmm yyyy"))&amp;" - "&amp;IF(B2,TEXT(EDATE(B3,34)-1,"dd mmmm yyyy"),TEXT(B3+(((B5-B3)*34)+33),"dd mmmm yyyy"))</f>
        <v>20 October 2027 - 19 November 2027</v>
      </c>
      <c r="B42" s="227" t="s">
        <v>20</v>
      </c>
    </row>
    <row r="43" ht="20.25" customHeight="1" spans="1:2">
      <c r="A43" s="227" t="str">
        <f>IF(B2,TEXT(EDATE(B3,34),"dd mmmm yyyy"),TEXT(B3+((B5-B3)*34)+34,"dd mmmm yyyy"))&amp;" - "&amp;IF(B2,TEXT(EDATE(B3,35)-1,"dd mmmm yyyy"),TEXT(B3+(((B5-B3)*35)+34),"dd mmmm yyyy"))</f>
        <v>20 November 2027 - 19 December 2027</v>
      </c>
      <c r="B43" s="227"/>
    </row>
    <row r="44" ht="20.25" customHeight="1" spans="1:2">
      <c r="A44" s="225" t="str">
        <f>IF(B2,TEXT(EDATE(B3,35),"dd mmmm yyyy"),TEXT(B3+((B5-B3)*35)+35,"dd mmmm yyyy"))&amp;" - "&amp;IF(B2,TEXT(EDATE(B3,36)-1,"dd mmmm yyyy"),TEXT(B3+(((B5-B3)*36)+35),"dd mmmm yyyy"))</f>
        <v>20 December 2027 - 19 January 2028</v>
      </c>
      <c r="B44" s="225"/>
    </row>
    <row r="45" ht="20.25" customHeight="1" spans="1:2">
      <c r="A45" s="227" t="str">
        <f>IF(B2,TEXT(EDATE(B3,36),"dd mmmm yyyy"),TEXT(B3+((B5-B3)*36)+36,"dd mmmm yyyy"))&amp;" - "&amp;IF(B2,TEXT(EDATE(B3,37)-1,"dd mmmm yyyy"),TEXT(B3+(((B5-B3)*37)+36),"dd mmmm yyyy"))</f>
        <v>20 January 2028 - 19 February 2028</v>
      </c>
      <c r="B45" s="227" t="s">
        <v>21</v>
      </c>
    </row>
    <row r="46" ht="20.25" customHeight="1" spans="1:2">
      <c r="A46" s="227" t="str">
        <f>IF(B2,TEXT(EDATE(B3,37),"dd mmmm yyyy"),TEXT(B3+((B5-B3)*37)+37,"dd mmmm yyyy"))&amp;" - "&amp;IF(B2,TEXT(EDATE(B3,38)-1,"dd mmmm yyyy"),TEXT(B3+(((B5-B3)*38)+37),"dd mmmm yyyy"))</f>
        <v>20 February 2028 - 19 March 2028</v>
      </c>
      <c r="B46" s="227"/>
    </row>
    <row r="47" ht="20.25" customHeight="1" spans="1:2">
      <c r="A47" s="225" t="str">
        <f>IF(B2,TEXT(EDATE(B3,38),"dd mmmm yyyy"),TEXT(B3+((B5-B3)*38)+38,"dd mmmm yyyy"))&amp;" - "&amp;IF(B2,TEXT(EDATE(B3,39)-1,"dd mmmm yyyy"),TEXT(B3+(((B5-B3)*39)+38),"dd mmmm yyyy"))</f>
        <v>20 March 2028 - 19 April 2028</v>
      </c>
      <c r="B47" s="225"/>
    </row>
    <row r="48" ht="20.25" customHeight="1" spans="1:2">
      <c r="A48" s="227" t="str">
        <f>IF(B2,TEXT(EDATE(B3,39),"dd mmmm yyyy"),TEXT(B3+((B5-B3)*39)+39,"dd mmmm yyyy"))&amp;" - "&amp;IF(B2,TEXT(EDATE(B3,40)-1,"dd mmmm yyyy"),TEXT(B3+(((B5-B3)*40)+39),"dd mmmm yyyy"))</f>
        <v>20 April 2028 - 19 May 2028</v>
      </c>
      <c r="B48" s="227" t="s">
        <v>22</v>
      </c>
    </row>
    <row r="49" ht="20.25" customHeight="1" spans="1:2">
      <c r="A49" s="227" t="str">
        <f>IF(B2,TEXT(EDATE(B3,40),"dd mmmm yyyy"),TEXT(B3+((B5-B3)*40)+40,"dd mmmm yyyy"))&amp;" - "&amp;IF(B2,TEXT(EDATE(B3,41)-1,"dd mmmm yyyy"),TEXT(B3+(((B5-B3)*41)+40),"dd mmmm yyyy"))</f>
        <v>20 May 2028 - 19 June 2028</v>
      </c>
      <c r="B49" s="227"/>
    </row>
    <row r="50" ht="20.25" customHeight="1" spans="1:2">
      <c r="A50" s="225" t="str">
        <f>IF(B2,TEXT(EDATE(B3,41),"dd mmmm yyyy"),TEXT(B3+((B5-B3)*41)+41,"dd mmmm yyyy"))&amp;" - "&amp;IF(B2,TEXT(EDATE(B3,42)-1,"dd mmmm yyyy"),TEXT(B3+(((B5-B3)*42)+41),"dd mmmm yyyy"))</f>
        <v>20 June 2028 - 19 July 2028</v>
      </c>
      <c r="B50" s="225"/>
    </row>
    <row r="51" ht="20.25" customHeight="1" spans="1:2">
      <c r="A51" s="227" t="str">
        <f>IF(B2,TEXT(EDATE(B3,42),"dd mmmm yyyy"),TEXT(B3+((B5-B3)*42)+42,"dd mmmm yyyy"))&amp;" - "&amp;IF(B2,TEXT(EDATE(B3,43)-1,"dd mmmm yyyy"),TEXT(B3+(((B5-B3)*43)+42),"dd mmmm yyyy"))</f>
        <v>20 July 2028 - 19 August 2028</v>
      </c>
      <c r="B51" s="227" t="s">
        <v>23</v>
      </c>
    </row>
    <row r="52" ht="20.25" customHeight="1" spans="1:2">
      <c r="A52" s="227" t="str">
        <f>IF(B2,TEXT(EDATE(B3,43),"dd mmmm yyyy"),TEXT(B3+((B5-B3)*43)+43,"dd mmmm yyyy"))&amp;" - "&amp;IF(B2,TEXT(EDATE(B3,44)-1,"dd mmmm yyyy"),TEXT(B3+(((B5-B3)*44)+43),"dd mmmm yyyy"))</f>
        <v>20 August 2028 - 19 September 2028</v>
      </c>
      <c r="B52" s="227"/>
    </row>
    <row r="53" ht="20.25" customHeight="1" spans="1:2">
      <c r="A53" s="225" t="str">
        <f>IF(B2,TEXT(EDATE(B3,44),"dd mmmm yyyy"),TEXT(B3+((B5-B3)*44)+44,"dd mmmm yyyy"))&amp;" - "&amp;IF(B2,TEXT(EDATE(B3,45)-1,"dd mmmm yyyy"),TEXT(B3+(((B5-B3)*45)+44),"dd mmmm yyyy"))</f>
        <v>20 September 2028 - 19 October 2028</v>
      </c>
      <c r="B53" s="225"/>
    </row>
    <row r="54" ht="20.25" customHeight="1" spans="1:2">
      <c r="A54" s="227" t="str">
        <f>IF(B2,TEXT(EDATE(B3,45),"dd mmmm yyyy"),TEXT(B3+((B5-B3)*45)+45,"dd mmmm yyyy"))&amp;" - "&amp;IF(B2,TEXT(EDATE(B3,46)-1,"dd mmmm yyyy"),TEXT(B3+(((B5-B3)*46)+45),"dd mmmm yyyy"))</f>
        <v>20 October 2028 - 19 November 2028</v>
      </c>
      <c r="B54" s="227" t="s">
        <v>24</v>
      </c>
    </row>
    <row r="55" ht="20.25" customHeight="1" spans="1:2">
      <c r="A55" s="227" t="str">
        <f>IF(B2,TEXT(EDATE(B3,46),"dd mmmm yyyy"),TEXT(B3+((B5-B3)*46)+46,"dd mmmm yyyy"))&amp;" - "&amp;IF(B2,TEXT(EDATE(B3,47)-1,"dd mmmm yyyy"),TEXT(B3+(((B5-B3)*47)+46),"dd mmmm yyyy"))</f>
        <v>20 November 2028 - 19 December 2028</v>
      </c>
      <c r="B55" s="227"/>
    </row>
    <row r="56" ht="20.25" customHeight="1" spans="1:2">
      <c r="A56" s="227" t="str">
        <f>IF(B2,TEXT(EDATE(B3,47),"dd mmmm yyyy"),TEXT(B3+((B5-B3)*47)+47,"dd mmmm yyyy"))&amp;" - "&amp;IF(B2,TEXT(EDATE(B3,48)-1,"dd mmmm yyyy"),TEXT(B3+(((B5-B3)*48)+47),"dd mmmm yyyy"))</f>
        <v>20 December 2028 - 19 January 2029</v>
      </c>
      <c r="B56" s="227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3" customFormat="1" ht="20.25" customHeight="1"/>
    <row r="66" s="223" customFormat="1" ht="20.25" customHeight="1"/>
    <row r="67" s="223" customFormat="1" ht="20.25" customHeight="1"/>
    <row r="68" s="223" customFormat="1" ht="20.25" customHeight="1"/>
    <row r="69" s="223" customFormat="1" ht="20.25" customHeight="1"/>
    <row r="70" s="223" customFormat="1" ht="20.25" customHeight="1"/>
    <row r="71" s="223" customFormat="1" ht="20.25" customHeight="1"/>
    <row r="72" s="223" customFormat="1" ht="20.25" customHeight="1"/>
    <row r="73" s="223" customFormat="1" ht="20.25" customHeight="1"/>
    <row r="74" s="223" customFormat="1" ht="20.25" customHeight="1"/>
    <row r="75" s="223" customFormat="1" ht="20.25" customHeight="1"/>
    <row r="76" s="223" customFormat="1" ht="20.25" customHeight="1"/>
    <row r="77" s="223" customFormat="1" ht="20.25" customHeight="1"/>
    <row r="78" s="223" customFormat="1" ht="20.25" customHeight="1"/>
    <row r="79" s="223" customFormat="1" ht="20.25" customHeight="1"/>
    <row r="80" s="223" customFormat="1" ht="20.25" customHeight="1"/>
    <row r="81" s="223" customFormat="1" ht="20.25" customHeight="1"/>
    <row r="82" s="223" customFormat="1" ht="20.25" customHeight="1"/>
    <row r="83" s="223" customFormat="1" ht="20.25" customHeight="1"/>
    <row r="84" s="223" customFormat="1" ht="20.25" customHeight="1"/>
    <row r="85" s="223" customFormat="1" ht="20.25" customHeight="1"/>
    <row r="86" s="223" customFormat="1" ht="20.25" customHeight="1"/>
    <row r="87" s="223" customFormat="1" ht="20.25" customHeight="1"/>
    <row r="88" s="223" customFormat="1" ht="20.25" customHeight="1"/>
    <row r="89" s="223" customFormat="1" ht="20.25" customHeight="1"/>
    <row r="90" s="223" customFormat="1" ht="20.25" customHeight="1"/>
    <row r="91" s="223" customFormat="1" ht="20.25" customHeight="1"/>
    <row r="92" s="223" customFormat="1" ht="20.25" customHeight="1"/>
    <row r="93" s="223" customFormat="1" ht="20.25" customHeight="1"/>
    <row r="94" s="223" customFormat="1" ht="20.25" customHeight="1"/>
    <row r="95" s="223" customFormat="1" ht="20.25" customHeight="1"/>
    <row r="96" s="223" customFormat="1" ht="20.25" customHeight="1"/>
    <row r="97" s="223" customFormat="1" ht="20.25" customHeight="1"/>
    <row r="98" s="223" customFormat="1" ht="20.25" customHeight="1"/>
    <row r="99" s="223" customFormat="1" ht="20.25" customHeight="1"/>
    <row r="100" s="223" customFormat="1" ht="20.25" customHeight="1"/>
    <row r="101" s="223" customFormat="1" ht="20.25" customHeight="1"/>
    <row r="102" s="223" customFormat="1" ht="20.25" customHeight="1"/>
    <row r="103" s="223" customFormat="1" ht="20.25" customHeight="1"/>
    <row r="104" s="223" customFormat="1" ht="20.25" customHeight="1"/>
    <row r="105" s="223" customFormat="1" ht="20.25" customHeight="1"/>
    <row r="106" s="223" customFormat="1" ht="20.25" customHeight="1"/>
    <row r="107" s="223" customFormat="1" ht="20.25" customHeight="1"/>
    <row r="108" s="223" customFormat="1" ht="20.25" customHeight="1"/>
    <row r="109" s="223" customFormat="1" ht="20.25" customHeight="1"/>
    <row r="110" s="223" customFormat="1" ht="20.25" customHeight="1"/>
    <row r="111" s="223" customFormat="1" ht="20.25" customHeight="1"/>
    <row r="112" s="223" customFormat="1" ht="20.25" customHeight="1"/>
    <row r="113" s="223" customFormat="1" ht="20.25" customHeight="1"/>
    <row r="114" s="223" customFormat="1" ht="20.25" customHeight="1"/>
    <row r="115" s="223" customFormat="1" ht="20.25" customHeight="1"/>
    <row r="116" s="223" customFormat="1" ht="20.25" customHeight="1"/>
    <row r="117" s="223" customFormat="1" ht="20.25" customHeight="1"/>
    <row r="118" s="223" customFormat="1" ht="20.25" customHeight="1"/>
    <row r="119" s="223" customFormat="1" ht="20.25" customHeight="1"/>
    <row r="120" s="223" customFormat="1" ht="20.25" customHeight="1"/>
    <row r="121" s="223" customFormat="1" ht="20.25" customHeight="1"/>
    <row r="122" s="223" customFormat="1" ht="20.25" customHeight="1"/>
    <row r="123" s="223" customFormat="1" ht="20.25" customHeight="1"/>
    <row r="124" s="223" customFormat="1" ht="20.25" customHeight="1"/>
    <row r="125" s="223" customFormat="1" ht="20.25" customHeight="1"/>
    <row r="126" s="223" customFormat="1" ht="20.25" customHeight="1"/>
    <row r="127" s="223" customFormat="1" ht="20.25" customHeight="1"/>
    <row r="129" s="223" customFormat="1" ht="20.25" customHeight="1"/>
    <row r="130" s="223" customFormat="1" ht="20.25" customHeight="1"/>
    <row r="131" s="223" customFormat="1" ht="20.25" customHeight="1"/>
    <row r="132" s="223" customFormat="1" ht="20.25" customHeight="1"/>
    <row r="133" s="223" customFormat="1" ht="20.25" customHeight="1"/>
    <row r="134" s="223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abSelected="1" workbookViewId="0">
      <selection activeCell="C3" sqref="C3"/>
    </sheetView>
  </sheetViews>
  <sheetFormatPr defaultColWidth="9" defaultRowHeight="17.6"/>
  <cols>
    <col min="1" max="1" width="18.875" style="152" customWidth="1"/>
    <col min="2" max="2" width="25.625" style="152" customWidth="1"/>
    <col min="3" max="4" width="20.625" style="152" customWidth="1"/>
    <col min="5" max="5" width="25.625" style="152" customWidth="1"/>
    <col min="6" max="6" width="20.625" style="152" customWidth="1"/>
    <col min="7" max="7" width="9" style="152"/>
    <col min="8" max="8" width="23" style="152" customWidth="1"/>
    <col min="9" max="9" width="40.75" style="48" customWidth="1"/>
    <col min="10" max="10" width="28.625" style="152" customWidth="1"/>
    <col min="11" max="12" width="9" style="152"/>
    <col min="13" max="13" width="36.625" style="152" customWidth="1"/>
    <col min="14" max="14" width="21.125" style="152" customWidth="1"/>
    <col min="15" max="16384" width="9" style="152"/>
  </cols>
  <sheetData>
    <row r="1" ht="36.75" customHeight="1" spans="1:14">
      <c r="A1" s="153" t="s">
        <v>25</v>
      </c>
      <c r="B1" s="153"/>
      <c r="C1" s="153"/>
      <c r="D1" s="153"/>
      <c r="E1" s="153"/>
      <c r="F1" s="153"/>
      <c r="I1" s="192" t="s">
        <v>26</v>
      </c>
      <c r="J1" s="192"/>
      <c r="M1" s="192" t="s">
        <v>27</v>
      </c>
      <c r="N1" s="192"/>
    </row>
    <row r="2" ht="36" customHeight="1" spans="1:14">
      <c r="A2" s="154" t="s">
        <v>28</v>
      </c>
      <c r="B2" s="155"/>
      <c r="C2" s="155"/>
      <c r="D2" s="156" t="s">
        <v>29</v>
      </c>
      <c r="E2" s="156"/>
      <c r="F2" s="156"/>
      <c r="I2" s="193" t="s">
        <v>30</v>
      </c>
      <c r="J2" s="194" t="s">
        <v>31</v>
      </c>
      <c r="M2" s="203" t="s">
        <v>32</v>
      </c>
      <c r="N2" s="194" t="s">
        <v>33</v>
      </c>
    </row>
    <row r="3" ht="35.25" customHeight="1" spans="1:14">
      <c r="A3" s="157" t="s">
        <v>34</v>
      </c>
      <c r="B3" s="158" t="s">
        <v>35</v>
      </c>
      <c r="C3" s="159">
        <v>0</v>
      </c>
      <c r="D3" s="160" t="s">
        <v>34</v>
      </c>
      <c r="E3" s="5" t="s">
        <v>35</v>
      </c>
      <c r="F3" s="187">
        <v>0</v>
      </c>
      <c r="I3" s="195" t="str">
        <f>TEXT(Main!B3,"dd mmmm yyyy")&amp;" - "&amp;IF(Main!B2,TEXT(EDATE(Main!B3,1)-1,"dd mmmm yyyy"),TEXT(Main!B3+(Main!B5-Main!B3)*1,"dd mmmm yyyy"))</f>
        <v>20 January 2025 - 19 February 2025</v>
      </c>
      <c r="J3" s="196">
        <f>E149</f>
        <v>941.71</v>
      </c>
      <c r="M3" s="201" t="str">
        <f>TEXT(Main!B3,"dd mmmm yyyy")&amp;" - "&amp;IF(Main!B2,TEXT(EDATE(Main!B3,3)-1,"dd mmmm yyyy"),TEXT(Main!B3+((Main!B5-Main!B3)*3+2),"dd mmmm yyyy"))</f>
        <v>20 January 2025 - 19 April 2025</v>
      </c>
      <c r="N3" s="196">
        <f>-C122</f>
        <v>-7773.9</v>
      </c>
    </row>
    <row r="4" ht="35.25" customHeight="1" spans="1:14">
      <c r="A4" s="157"/>
      <c r="B4" s="158" t="s">
        <v>36</v>
      </c>
      <c r="C4" s="159">
        <v>0</v>
      </c>
      <c r="D4" s="161"/>
      <c r="E4" s="5" t="s">
        <v>36</v>
      </c>
      <c r="F4" s="187">
        <v>50</v>
      </c>
      <c r="I4" s="197" t="str">
        <f>IF(Main!B2,TEXT(EDATE(Main!B3,1),"dd mmmm yyyy"),TEXT(Main!B3+(Main!B5-Main!B3)+1,"dd mmmm yyyy"))&amp;" - "&amp;IF(Main!B2,TEXT(EDATE(Main!B3,2)-1,"dd mmmm yyyy"),TEXT(Main!B3+(Main!B5-Main!B3)*2+1,"dd mmmm yyyy"))</f>
        <v>20 February 2025 - 19 March 2025</v>
      </c>
      <c r="J4" s="196">
        <f>E176</f>
        <v>941.71</v>
      </c>
      <c r="M4" s="201" t="str">
        <f>IF(Main!B2,TEXT(EDATE(Main!B3,3),"dd mmmm yyyy"),TEXT(Main!B3+((Main!B5-Main!B3)*3+3),"dd mmmm yyyy"))&amp;" - "&amp;IF(Main!B2,TEXT(EDATE(Main!B3,6)-1,"dd mmmm yyyy"),TEXT(Main!B3+((Main!B5-Main!B3)*6+5),"dd mmmm yyyy"))</f>
        <v>20 April 2025 - 19 July 2025</v>
      </c>
      <c r="N4" s="196">
        <f ca="1">'April 2025 - June 2025'!C5</f>
        <v>-5953</v>
      </c>
    </row>
    <row r="5" ht="35.25" customHeight="1" spans="1:14">
      <c r="A5" s="157"/>
      <c r="B5" s="158" t="s">
        <v>37</v>
      </c>
      <c r="C5" s="159">
        <v>0</v>
      </c>
      <c r="D5" s="161"/>
      <c r="E5" s="5" t="s">
        <v>37</v>
      </c>
      <c r="F5" s="187">
        <v>0</v>
      </c>
      <c r="I5" s="197" t="str">
        <f>IF(Main!B2,TEXT(EDATE(Main!B3,2),"dd mmmm yyyy"),TEXT(Main!B3+((Main!B5-Main!B3)*2)+2,"dd mmmm yyyy"))&amp;" - "&amp;IF(Main!B2,TEXT(EDATE(Main!B3,3)-1,"dd mmmm yyyy"),TEXT(Main!B3+((Main!B5-Main!B3)*3+2),"dd mmmm yyyy"))</f>
        <v>20 March 2025 - 19 April 2025</v>
      </c>
      <c r="J5" s="196">
        <f>E203</f>
        <v>941.71</v>
      </c>
      <c r="M5" s="201" t="str">
        <f>IF(Main!B2,TEXT(EDATE(Main!B3,6),"dd mmmm yyyy"),TEXT(Main!B3+((Main!B5-Main!B3)*6+6),"dd mmmm yyyy"))&amp;" - "&amp;IF(Main!B2,TEXT(EDATE(Main!B3,9)-1,"dd mmmm yyyy"),TEXT(Main!B3+((Main!B5-Main!B3)*9+8),"dd mmmm yyyy"))</f>
        <v>20 July 2025 - 19 October 2025</v>
      </c>
      <c r="N5" s="196">
        <f ca="1">'July 2025 - September 2025'!C5</f>
        <v>-2903</v>
      </c>
    </row>
    <row r="6" ht="35.25" customHeight="1" spans="1:14">
      <c r="A6" s="157"/>
      <c r="B6" s="158" t="s">
        <v>38</v>
      </c>
      <c r="C6" s="159">
        <v>0</v>
      </c>
      <c r="D6" s="161"/>
      <c r="E6" s="5" t="s">
        <v>38</v>
      </c>
      <c r="F6" s="187">
        <v>0</v>
      </c>
      <c r="I6" s="198" t="str">
        <f>IF(Main!B2,TEXT(EDATE(Main!B3,3),"dd mmmm yyyy"),TEXT(Main!B3+((Main!B5-Main!B3)*3)+3,"dd mmmm yyyy"))&amp;" - "&amp;IF(Main!B2,TEXT(EDATE(Main!B3,4)-1,"dd mmmm yyyy"),TEXT(Main!B3+((Main!B5-Main!B3)*4+3),"dd mmmm yyyy"))</f>
        <v>20 April 2025 - 19 May 2025</v>
      </c>
      <c r="J6" s="196">
        <f ca="1">'April 2025 - June 2025'!E136</f>
        <v>46.02</v>
      </c>
      <c r="M6" s="201" t="str">
        <f>IF(Main!B2,TEXT(EDATE(Main!B3,9),"dd mmmm yyyy"),TEXT(Main!B3+((Main!B5-Main!B3)*9+9),"dd mmmm yyyy"))&amp;" - "&amp;IF(Main!B2,TEXT(EDATE(Main!B3,12)-1,"dd mmmm yyyy"),TEXT(Main!B3+((Main!B5-Main!B3)*12+11),"dd mmmm yyyy"))</f>
        <v>20 October 2025 - 19 January 2026</v>
      </c>
      <c r="N6" s="196">
        <f ca="1">'October 2025 - December 2025'!C5</f>
        <v>-483</v>
      </c>
    </row>
    <row r="7" ht="35.25" customHeight="1" spans="1:14">
      <c r="A7" s="157"/>
      <c r="B7" s="158" t="s">
        <v>39</v>
      </c>
      <c r="C7" s="159">
        <v>636.2</v>
      </c>
      <c r="D7" s="161"/>
      <c r="E7" s="5" t="s">
        <v>39</v>
      </c>
      <c r="F7" s="187">
        <v>636.2</v>
      </c>
      <c r="I7" s="198" t="str">
        <f>IF(Main!B2,TEXT(EDATE(Main!B3,4),"dd mmmm yyyy"),TEXT(Main!B3+((Main!B5-Main!B3)*4)+4,"dd mmmm yyyy"))&amp;" - "&amp;IF(Main!B2,TEXT(EDATE(Main!B3,5)-1,"dd mmmm yyyy"),TEXT(Main!B3+((Main!B5-Main!B3)*5+4),"dd mmmm yyyy"))</f>
        <v>20 May 2025 - 19 June 2025</v>
      </c>
      <c r="J7" s="196">
        <f ca="1">'April 2025 - June 2025'!E163</f>
        <v>673.02</v>
      </c>
      <c r="M7" s="201" t="str">
        <f>IF(Main!B2,TEXT(EDATE(Main!B3,12),"dd mmmm yyyy"),TEXT(Main!B3+((Main!B5-Main!B3)*12+12),"dd mmmm yyyy"))&amp;" - "&amp;IF(Main!B2,TEXT(EDATE(Main!B3,15)-1,"dd mmmm yyyy"),TEXT(Main!B3+((Main!B5-Main!B3)*15+14),"dd mmmm yyyy"))</f>
        <v>20 January 2026 - 19 April 2026</v>
      </c>
      <c r="N7" s="196">
        <f ca="1">'January 2026 - March 2026'!C5</f>
        <v>0</v>
      </c>
    </row>
    <row r="8" ht="45" customHeight="1" spans="1:14">
      <c r="A8" s="157"/>
      <c r="B8" s="158" t="s">
        <v>40</v>
      </c>
      <c r="C8" s="159">
        <v>0</v>
      </c>
      <c r="D8" s="161"/>
      <c r="E8" s="5" t="s">
        <v>40</v>
      </c>
      <c r="F8" s="187">
        <v>0</v>
      </c>
      <c r="H8" s="188"/>
      <c r="I8" s="197" t="str">
        <f>IF(Main!B2,TEXT(EDATE(Main!B3,5),"dd mmmm yyyy"),TEXT(Main!B3+((Main!B5-Main!B3)*5)+5,"dd mmmm yyyy"))&amp;" - "&amp;IF(Main!B2,TEXT(EDATE(Main!B3,6)-1,"dd mmmm yyyy"),TEXT(Main!B3+((Main!B5-Main!B3)*6+5),"dd mmmm yyyy"))</f>
        <v>20 June 2025 - 19 July 2025</v>
      </c>
      <c r="J8" s="196">
        <f ca="1">'April 2025 - June 2025'!E190</f>
        <v>498.02</v>
      </c>
      <c r="M8" s="204" t="str">
        <f>IF(Main!B2,TEXT(EDATE(Main!B3,15),"dd mmmm yyyy"),TEXT(Main!B3+((Main!B5-Main!B3)*15+15),"dd mmmm yyyy"))&amp;" - "&amp;IF(Main!B2,TEXT(EDATE(Main!B3,18)-1,"dd mmmm yyyy"),TEXT(Main!B3+((Main!B5-Main!B3)*18+17),"dd mmmm yyyy"))</f>
        <v>20 April 2026 - 19 July 2026</v>
      </c>
      <c r="N8" s="196">
        <f ca="1">'April 2026 - June 2026'!C5</f>
        <v>0</v>
      </c>
    </row>
    <row r="9" ht="39.75" customHeight="1" spans="1:14">
      <c r="A9" s="157"/>
      <c r="B9" s="158" t="s">
        <v>41</v>
      </c>
      <c r="C9" s="159">
        <v>0</v>
      </c>
      <c r="D9" s="161"/>
      <c r="E9" s="5" t="s">
        <v>41</v>
      </c>
      <c r="F9" s="187">
        <v>0</v>
      </c>
      <c r="I9" s="197" t="str">
        <f>IF(Main!B2,TEXT(EDATE(Main!B3,6),"dd mmmm yyyy"),TEXT(Main!B3+((Main!B5-Main!B3)*6)+6,"dd mmmm yyyy"))&amp;" - "&amp;IF(Main!B2,TEXT(EDATE(Main!B3,7)-1,"dd mmmm yyyy"),TEXT(Main!B3+((Main!B5-Main!B3)*7+6),"dd mmmm yyyy"))</f>
        <v>20 July 2025 - 19 August 2025</v>
      </c>
      <c r="J9" s="196">
        <f ca="1">'July 2025 - September 2025'!E136</f>
        <v>464.02</v>
      </c>
      <c r="M9" s="201" t="str">
        <f>IF(Main!B2,TEXT(EDATE(Main!B3,18),"dd mmmm yyyy"),TEXT(Main!B3+((Main!B5-Main!B3)*18+18),"dd mmmm yyyy"))&amp;" - "&amp;IF(Main!B2,TEXT(EDATE(Main!B3,21)-1,"dd mmmm yyyy"),TEXT(Main!B3+((Main!B5-Main!B3)*21+20),"dd mmmm yyyy"))</f>
        <v>20 July 2026 - 19 October 2026</v>
      </c>
      <c r="N9" s="205">
        <f ca="1">'July 2026 - September 2026'!C5</f>
        <v>0</v>
      </c>
    </row>
    <row r="10" ht="35.25" customHeight="1" spans="1:14">
      <c r="A10" s="157"/>
      <c r="B10" s="158" t="s">
        <v>42</v>
      </c>
      <c r="C10" s="159">
        <v>0</v>
      </c>
      <c r="D10" s="161"/>
      <c r="E10" s="5" t="s">
        <v>42</v>
      </c>
      <c r="F10" s="187">
        <v>0</v>
      </c>
      <c r="I10" s="197" t="str">
        <f>IF(Main!B2,TEXT(EDATE(Main!B3,7),"dd mmmm yyyy"),TEXT(Main!B3+((Main!B5-Main!B3)*7)+7,"dd mmmm yyyy"))&amp;" - "&amp;IF(Main!B2,TEXT(EDATE(Main!B3,8)-1,"dd mmmm yyyy"),TEXT(Main!B3+((Main!B5-Main!B3)*8+7),"dd mmmm yyyy"))</f>
        <v>20 August 2025 - 19 September 2025</v>
      </c>
      <c r="J10" s="196">
        <f ca="1">'July 2025 - September 2025'!E163</f>
        <v>339.02</v>
      </c>
      <c r="M10" s="206" t="str">
        <f>IF(Main!B2,TEXT(EDATE(Main!B3,21),"dd mmmm yyyy"),TEXT(Main!B3+((Main!B5-Main!B3)*21+21),"dd mmmm yyyy"))&amp;" - "&amp;IF(Main!B2,TEXT(EDATE(Main!B3,24)-1,"dd mmmm yyyy"),TEXT(Main!B3+((Main!B5-Main!B3)*24+23),"dd mmmm yyyy"))</f>
        <v>20 October 2026 - 19 January 2027</v>
      </c>
      <c r="N10" s="196">
        <f ca="1">'October 2026 - December 2026'!C5</f>
        <v>0</v>
      </c>
    </row>
    <row r="11" ht="35.25" customHeight="1" spans="1:14">
      <c r="A11" s="157"/>
      <c r="B11" s="158" t="s">
        <v>43</v>
      </c>
      <c r="C11" s="159">
        <v>0</v>
      </c>
      <c r="D11" s="161"/>
      <c r="E11" s="5" t="s">
        <v>43</v>
      </c>
      <c r="F11" s="187">
        <v>0</v>
      </c>
      <c r="H11" s="188"/>
      <c r="I11" s="197" t="str">
        <f>IF(Main!B2,TEXT(EDATE(Main!B3,8),"dd mmmm yyyy"),TEXT(Main!B3+((Main!B5-Main!B3)*8)+8,"dd mmmm yyyy"))&amp;" - "&amp;IF(Main!B2,TEXT(EDATE(Main!B3,9)-1,"dd mmmm yyyy"),TEXT(Main!B3+((Main!B5-Main!B3)*9+8),"dd mmmm yyyy"))</f>
        <v>20 September 2025 - 19 October 2025</v>
      </c>
      <c r="J11" s="196">
        <f ca="1">'July 2025 - September 2025'!E190</f>
        <v>355.02</v>
      </c>
      <c r="M11" s="201" t="str">
        <f>IF(Main!B2,TEXT(EDATE(Main!B3,24),"dd mmmm yyyy"),TEXT(Main!B3+((Main!B5-Main!B3)*24+24),"dd mmmm yyyy"))&amp;" - "&amp;IF(Main!B2,TEXT(EDATE(Main!B3,27)-1,"dd mmmm yyyy"),TEXT(Main!B3+((Main!B5-Main!B3)*27+26),"dd mmmm yyyy"))</f>
        <v>20 January 2027 - 19 April 2027</v>
      </c>
      <c r="N11" s="200">
        <f ca="1">'January 2027 - March 2027'!C5</f>
        <v>0</v>
      </c>
    </row>
    <row r="12" ht="35.25" customHeight="1" spans="1:14">
      <c r="A12" s="157"/>
      <c r="B12" s="158" t="s">
        <v>44</v>
      </c>
      <c r="C12" s="159">
        <v>30.02</v>
      </c>
      <c r="D12" s="161"/>
      <c r="E12" s="189" t="s">
        <v>44</v>
      </c>
      <c r="F12" s="187">
        <v>30.02</v>
      </c>
      <c r="I12" s="197" t="str">
        <f>IF(Main!B2,TEXT(EDATE(Main!B3,9),"dd mmmm yyyy"),TEXT(Main!B3+((Main!B5-Main!B3)*9)+9,"dd mmmm yyyy"))&amp;" - "&amp;IF(Main!B2,TEXT(EDATE(Main!B3,10)-1,"dd mmmm yyyy"),TEXT(Main!B3+((Main!B5-Main!B3)*10+9),"dd mmmm yyyy"))</f>
        <v>20 October 2025 - 19 November 2025</v>
      </c>
      <c r="J12" s="196">
        <f ca="1">'October 2025 - December 2025'!E136</f>
        <v>480.02</v>
      </c>
      <c r="M12" s="197" t="str">
        <f>IF(Main!B2,TEXT(EDATE(Main!B3,27),"dd mmmm yyyy"),TEXT(Main!B3+((Main!B5-Main!B3)*27+27),"dd mmmm yyyy"))&amp;" - "&amp;IF(Main!B2,TEXT(EDATE(Main!B3,30)-1,"dd mmmm yyyy"),TEXT(Main!B3+((Main!B5-Main!B3)*30+29),"dd mmmm yyyy"))</f>
        <v>20 April 2027 - 19 July 2027</v>
      </c>
      <c r="N12" s="200">
        <f ca="1">'April 2027 - June 2027'!C5</f>
        <v>0</v>
      </c>
    </row>
    <row r="13" ht="35.25" customHeight="1" spans="1:14">
      <c r="A13" s="157"/>
      <c r="B13" s="158" t="s">
        <v>45</v>
      </c>
      <c r="C13" s="159">
        <v>3</v>
      </c>
      <c r="D13" s="161"/>
      <c r="E13" s="189" t="s">
        <v>45</v>
      </c>
      <c r="F13" s="187">
        <v>3</v>
      </c>
      <c r="I13" s="199" t="str">
        <f>IF(Main!B2,TEXT(EDATE(Main!B3,10),"dd mmmm yyyy"),TEXT(Main!B3+((Main!B5-Main!B3)*10)+10,"dd mmmm yyyy"))&amp;" - "&amp;IF(Main!B2,TEXT(EDATE(Main!B3,11)-1,"dd mmmm yyyy"),TEXT(Main!B3+((Main!B5-Main!B3)*11+10),"dd mmmm yyyy"))</f>
        <v>20 November 2025 - 19 December 2025</v>
      </c>
      <c r="J13" s="196">
        <f ca="1">'October 2025 - December 2025'!E163</f>
        <v>476.02</v>
      </c>
      <c r="M13" s="197" t="str">
        <f>IF(Main!B2,TEXT(EDATE(Main!B3,30),"dd mmmm yyyy"),TEXT(Main!B3+((Main!B5-Main!B3)*30+30),"dd mmmm yyyy"))&amp;" - "&amp;IF(Main!B2,TEXT(EDATE(Main!B3,33)-1,"dd mmmm yyyy"),TEXT(Main!B3+((Main!B5-Main!B3)*33+32),"dd mmmm yyyy"))</f>
        <v>20 July 2027 - 19 October 2027</v>
      </c>
      <c r="N13" s="200">
        <f ca="1">'July 2027 - September 2027'!C5</f>
        <v>0</v>
      </c>
    </row>
    <row r="14" ht="35.25" customHeight="1" spans="1:14">
      <c r="A14" s="157"/>
      <c r="B14" s="158" t="s">
        <v>46</v>
      </c>
      <c r="C14" s="159">
        <v>3.8</v>
      </c>
      <c r="D14" s="161"/>
      <c r="E14" s="189" t="s">
        <v>46</v>
      </c>
      <c r="F14" s="187">
        <v>3.8</v>
      </c>
      <c r="I14" s="199" t="str">
        <f>IF(Main!B2,TEXT(EDATE(Main!B3,11),"dd mmmm yyyy"),TEXT(Main!B3+((Main!B5-Main!B3)*11)+11,"dd mmmm yyyy"))&amp;" - "&amp;IF(Main!B2,TEXT(EDATE(Main!B3,12)-1,"dd mmmm yyyy"),TEXT(Main!B3+((Main!B5-Main!B3)*12+11),"dd mmmm yyyy"))</f>
        <v>20 December 2025 - 19 January 2026</v>
      </c>
      <c r="J14" s="200">
        <f ca="1">'October 2025 - December 2025'!E190</f>
        <v>621.02</v>
      </c>
      <c r="M14" s="197" t="str">
        <f>IF(Main!B2,TEXT(EDATE(Main!B3,33),"dd mmmm yyyy"),TEXT(Main!B3+((Main!B5-Main!B3)*33+33),"dd mmmm yyyy"))&amp;" - "&amp;IF(Main!B2,TEXT(EDATE(Main!B3,36)-1,"dd mmmm yyyy"),TEXT(Main!B3+((Main!B5-Main!B3)*36+35),"dd mmmm yyyy"))</f>
        <v>20 October 2027 - 19 January 2028</v>
      </c>
      <c r="N14" s="200">
        <f ca="1">'October 2027 - December 2027'!C5</f>
        <v>0</v>
      </c>
    </row>
    <row r="15" ht="35.25" customHeight="1" spans="1:14">
      <c r="A15" s="157"/>
      <c r="B15" s="162" t="s">
        <v>47</v>
      </c>
      <c r="C15" s="159">
        <v>0</v>
      </c>
      <c r="D15" s="161"/>
      <c r="E15" s="189" t="s">
        <v>47</v>
      </c>
      <c r="F15" s="187">
        <v>0</v>
      </c>
      <c r="I15" s="201" t="str">
        <f>IF(Main!B2,TEXT(EDATE(Main!B3,12),"dd mmmm yyyy"),TEXT(Main!B3+((Main!B5-Main!B3)*12)+12,"dd mmmm yyyy"))&amp;" - "&amp;IF(Main!B2,TEXT(EDATE(Main!B3,13)-1,"dd mmmm yyyy"),TEXT(Main!B3+((Main!B5-Main!B3)*13+12),"dd mmmm yyyy"))</f>
        <v>20 January 2026 - 19 February 2026</v>
      </c>
      <c r="J15" s="200">
        <f ca="1">'January 2026 - March 2026'!E136</f>
        <v>1154.02</v>
      </c>
      <c r="M15" s="197" t="str">
        <f>IF(Main!B2,TEXT(EDATE(Main!B3,36),"dd mmmm yyyy"),TEXT(Main!B3+((Main!B5-Main!B3)*36+36),"dd mmmm yyyy"))&amp;" - "&amp;IF(Main!B2,TEXT(EDATE(Main!B3,39)-1,"dd mmmm yyyy"),TEXT(Main!B3+((Main!B5-Main!B3)*39+38),"dd mmmm yyyy"))</f>
        <v>20 January 2028 - 19 April 2028</v>
      </c>
      <c r="N15" s="200">
        <f ca="1">'January 2028 - March 2028'!C5</f>
        <v>0</v>
      </c>
    </row>
    <row r="16" ht="35.25" customHeight="1" spans="1:14">
      <c r="A16" s="163"/>
      <c r="B16" s="164" t="s">
        <v>48</v>
      </c>
      <c r="C16" s="165">
        <f>SUM(C3:C15)</f>
        <v>673.02</v>
      </c>
      <c r="D16" s="166"/>
      <c r="E16" s="164" t="s">
        <v>48</v>
      </c>
      <c r="F16" s="190">
        <f>SUM(F3:F15)</f>
        <v>723.02</v>
      </c>
      <c r="I16" s="201" t="str">
        <f>IF(Main!B2,TEXT(EDATE(Main!B3,13),"dd mmmm yyyy"),TEXT(Main!B3+((Main!B5-Main!B3)*13)+13,"dd mmmm yyyy"))&amp;" - "&amp;IF(Main!B2,TEXT(EDATE(Main!B3,14)-1,"dd mmmm yyyy"),TEXT(Main!B3+((Main!B5-Main!B3)*14+13),"dd mmmm yyyy"))</f>
        <v>20 February 2026 - 19 March 2026</v>
      </c>
      <c r="J16" s="200">
        <f ca="1">'January 2026 - March 2026'!E163</f>
        <v>1739.02</v>
      </c>
      <c r="M16" s="197" t="str">
        <f>IF(Main!B2,TEXT(EDATE(Main!B3,39),"dd mmmm yyyy"),TEXT(Main!B3+((Main!B5-Main!B3)*39+39),"dd mmmm yyyy"))&amp;" - "&amp;IF(Main!B2,TEXT(EDATE(Main!B3,42)-1,"dd mmmm yyyy"),TEXT(Main!B3+((Main!B5-Main!B3)*42+41),"dd mmmm yyyy"))</f>
        <v>20 April 2028 - 19 July 2028</v>
      </c>
      <c r="N16" s="200">
        <f ca="1">'April 2028 - June 2028'!C5</f>
        <v>0</v>
      </c>
    </row>
    <row r="17" ht="35.25" customHeight="1" spans="9:14">
      <c r="I17" s="201" t="str">
        <f>IF(Main!B2,TEXT(EDATE(Main!B3,14),"dd mmmm yyyy"),TEXT(Main!B3+((Main!B5-Main!B3)*14)+14,"dd mmmm yyyy"))&amp;" - "&amp;IF(Main!B2,TEXT(EDATE(Main!B3,15)-1,"dd mmmm yyyy"),TEXT(Main!B3+((Main!B5-Main!B3)*15+14),"dd mmmm yyyy"))</f>
        <v>20 March 2026 - 19 April 2026</v>
      </c>
      <c r="J17" s="200">
        <f ca="1">'January 2026 - March 2026'!E190</f>
        <v>2755.02</v>
      </c>
      <c r="M17" s="197" t="str">
        <f>IF(Main!B2,TEXT(EDATE(Main!B3,42),"dd mmmm yyyy"),TEXT(Main!B3+((Main!B5-Main!B3)*42+42),"dd mmmm yyyy"))&amp;" - "&amp;IF(Main!B2,TEXT(EDATE(Main!B3,45)-1,"dd mmmm yyyy"),TEXT(Main!B3+((Main!B5-Main!B3)*45+44),"dd mmmm yyyy"))</f>
        <v>20 July 2028 - 19 October 2028</v>
      </c>
      <c r="N17" s="200">
        <f ca="1">'July 2028 - September 2028'!C5</f>
        <v>0</v>
      </c>
    </row>
    <row r="18" ht="35.25" customHeight="1" spans="9:14">
      <c r="I18" s="201" t="str">
        <f>IF(Main!B2,TEXT(EDATE(Main!B3,15),"dd mmmm yyyy"),TEXT(Main!B3+((Main!B5-Main!B3)*15)+15,"dd mmmm yyyy"))&amp;" - "&amp;IF(Main!B2,TEXT(EDATE(Main!B3,16)-1,"dd mmmm yyyy"),TEXT(Main!B3+((Main!B5-Main!B3)*16+15),"dd mmmm yyyy"))</f>
        <v>20 April 2026 - 19 May 2026</v>
      </c>
      <c r="J18" s="200">
        <f ca="1">'April 2026 - June 2026'!E136</f>
        <v>3500.02</v>
      </c>
      <c r="M18" s="197" t="str">
        <f>IF(Main!B2,TEXT(EDATE(Main!B3,45),"dd mmmm yyyy"),TEXT(Main!B3+((Main!B5-Main!B3)*45+45),"dd mmmm yyyy"))&amp;" - "&amp;IF(Main!B2,TEXT(EDATE(Main!B3,48)-1,"dd mmmm yyyy"),TEXT(Main!B3+((Main!B5-Main!B3)*48+47),"dd mmmm yyyy"))</f>
        <v>20 October 2028 - 19 January 2029</v>
      </c>
      <c r="N18" s="196">
        <f ca="1">'October 2028 - December 2028'!C5</f>
        <v>0</v>
      </c>
    </row>
    <row r="19" ht="33" customHeight="1" spans="9:10">
      <c r="I19" s="201" t="str">
        <f>IF(Main!B2,TEXT(EDATE(Main!B3,16),"dd mmmm yyyy"),TEXT(Main!B3+((Main!B5-Main!B3)*16)+16,"dd mmmm yyyy"))&amp;" - "&amp;IF(Main!B2,TEXT(EDATE(Main!B3,17)-1,"dd mmmm yyyy"),TEXT(Main!B3+((Main!B5-Main!B3)*17+16),"dd mmmm yyyy"))</f>
        <v>20 May 2026 - 19 June 2026</v>
      </c>
      <c r="J19" s="200">
        <f ca="1">'April 2026 - June 2026'!E163</f>
        <v>5439.02</v>
      </c>
    </row>
    <row r="20" ht="35.25" customHeight="1" spans="9:10">
      <c r="I20" s="201" t="str">
        <f>IF(Main!B2,TEXT(EDATE(Main!B3,17),"dd mmmm yyyy"),TEXT(Main!B3+((Main!B5-Main!B3)*17)+17,"dd mmmm yyyy"))&amp;" - "&amp;IF(Main!B2,TEXT(EDATE(Main!B3,18)-1,"dd mmmm yyyy"),TEXT(Main!B3+((Main!B5-Main!B3)*18+17),"dd mmmm yyyy"))</f>
        <v>20 June 2026 - 19 July 2026</v>
      </c>
      <c r="J20" s="200">
        <f ca="1">'April 2026 - June 2026'!E190</f>
        <v>6084.02</v>
      </c>
    </row>
    <row r="21" ht="35.25" customHeight="1" spans="9:10">
      <c r="I21" s="201" t="str">
        <f>IF(Main!B2,TEXT(EDATE(Main!B3,18),"dd mmmm yyyy"),TEXT(Main!B3+((Main!B5-Main!B3)*18)+18,"dd mmmm yyyy"))&amp;" - "&amp;IF(Main!B2,TEXT(EDATE(Main!B3,19)-1,"dd mmmm yyyy"),TEXT(Main!B3+((Main!B5-Main!B3)*19+18),"dd mmmm yyyy"))</f>
        <v>20 July 2026 - 19 August 2026</v>
      </c>
      <c r="J21" s="200">
        <f ca="1">'July 2026 - September 2026'!E136</f>
        <v>7100.02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January 2025 - 19 February 2025 /  (Revenue / Deferred Debts Or Expenses)</v>
      </c>
      <c r="B22" s="16"/>
      <c r="C22" s="16"/>
      <c r="D22" s="16"/>
      <c r="E22" s="16"/>
      <c r="F22" s="16"/>
      <c r="G22" s="16"/>
      <c r="I22" s="201" t="str">
        <f>IF(Main!B2,TEXT(EDATE(Main!B3,19),"dd mmmm yyyy"),TEXT(Main!B3+((Main!B5-Main!B3)*19)+19,"dd mmmm yyyy"))&amp;" - "&amp;IF(Main!B2,TEXT(EDATE(Main!B3,20)-1,"dd mmmm yyyy"),TEXT(Main!B3+((Main!B5-Main!B3)*20+19),"dd mmmm yyyy"))</f>
        <v>20 August 2026 - 19 September 2026</v>
      </c>
      <c r="J22" s="200">
        <f ca="1">'July 2026 - September 2026'!E163</f>
        <v>7685.02</v>
      </c>
    </row>
    <row r="23" ht="24.75" customHeight="1" spans="1:10">
      <c r="A23" s="17" t="s">
        <v>30</v>
      </c>
      <c r="B23" s="17" t="s">
        <v>49</v>
      </c>
      <c r="C23" s="17"/>
      <c r="D23" s="18" t="s">
        <v>50</v>
      </c>
      <c r="E23" s="18"/>
      <c r="F23" s="18" t="s">
        <v>51</v>
      </c>
      <c r="G23" s="18"/>
      <c r="I23" s="201" t="str">
        <f>IF(Main!B2,TEXT(EDATE(Main!B3,20),"dd mmmm yyyy"),TEXT(Main!B3+((Main!B5-Main!B3)*20)+20,"dd mmmm yyyy"))&amp;" - "&amp;IF(Main!B2,TEXT(EDATE(Main!B3,21)-1,"dd mmmm yyyy"),TEXT(Main!B3+((Main!B5-Main!B3)*21+20),"dd mmmm yyyy"))</f>
        <v>20 September 2026 - 19 October 2026</v>
      </c>
      <c r="J23" s="200">
        <f ca="1">'July 2026 - September 2026'!E190</f>
        <v>8701.02</v>
      </c>
    </row>
    <row r="24" ht="33" customHeight="1" spans="1:10">
      <c r="A24" s="19"/>
      <c r="B24" s="167"/>
      <c r="C24" s="168"/>
      <c r="D24" s="168"/>
      <c r="E24" s="168"/>
      <c r="F24" s="43">
        <v>0</v>
      </c>
      <c r="G24" s="44"/>
      <c r="I24" s="201" t="str">
        <f>IF(Main!B2,TEXT(EDATE(Main!B3,21),"dd mmmm yyyy"),TEXT(Main!B3+((Main!B5-Main!B3)*21)+21,"dd mmmm yyyy"))&amp;" - "&amp;IF(Main!B2,TEXT(EDATE(Main!B3,22)-1,"dd mmmm yyyy"),TEXT(Main!B3+((Main!B5-Main!B3)*22+21),"dd mmmm yyyy"))</f>
        <v>20 October 2026 - 19 November 2026</v>
      </c>
      <c r="J24" s="200">
        <f ca="1">'October 2026 - December 2026'!E136</f>
        <v>9446.02</v>
      </c>
    </row>
    <row r="25" ht="30" customHeight="1" spans="1:10">
      <c r="A25" s="19"/>
      <c r="B25" s="22"/>
      <c r="C25" s="23"/>
      <c r="D25" s="22"/>
      <c r="E25" s="23"/>
      <c r="F25" s="43">
        <v>0</v>
      </c>
      <c r="G25" s="44"/>
      <c r="I25" s="201" t="str">
        <f>IF(Main!B2,TEXT(EDATE(Main!B3,22),"dd mmmm yyyy"),TEXT(Main!B3+((Main!B5-Main!B3)*22)+22,"dd mmmm yyyy"))&amp;" - "&amp;IF(Main!B2,TEXT(EDATE(Main!B3,23)-1,"dd mmmm yyyy"),TEXT(Main!B3+((Main!B5-Main!B3)*23+22),"dd mmmm yyyy"))</f>
        <v>20 November 2026 - 19 December 2026</v>
      </c>
      <c r="J25" s="200">
        <f ca="1">'October 2026 - December 2026'!E163</f>
        <v>10302.02</v>
      </c>
    </row>
    <row r="26" ht="30" customHeight="1" spans="1:10">
      <c r="A26" s="19"/>
      <c r="B26" s="22"/>
      <c r="C26" s="23"/>
      <c r="D26" s="24"/>
      <c r="E26" s="42"/>
      <c r="F26" s="43">
        <v>0</v>
      </c>
      <c r="G26" s="44"/>
      <c r="I26" s="199" t="str">
        <f>IF(Main!B2,TEXT(EDATE(Main!B3,23),"dd mmmm yyyy"),TEXT(Main!B3+((Main!B5-Main!B3)*23)+23,"dd mmmm yyyy"))&amp;" - "&amp;IF(Main!B2,TEXT(EDATE(Main!B3,24)-1,"dd mmmm yyyy"),TEXT(Main!B3+((Main!B5-Main!B3)*24+23),"dd mmmm yyyy"))</f>
        <v>20 December 2026 - 19 January 2027</v>
      </c>
      <c r="J26" s="200">
        <f ca="1">'October 2026 - December 2026'!E190</f>
        <v>10897.02</v>
      </c>
    </row>
    <row r="27" ht="30" customHeight="1" spans="1:10">
      <c r="A27" s="19"/>
      <c r="B27" s="22"/>
      <c r="C27" s="23"/>
      <c r="D27" s="24"/>
      <c r="E27" s="42"/>
      <c r="F27" s="43">
        <v>0</v>
      </c>
      <c r="G27" s="44"/>
      <c r="I27" s="201" t="str">
        <f>IF(Main!B2,TEXT(EDATE(Main!B3,24),"dd mmmm yyyy"),TEXT(Main!B3+((Main!B5-Main!B3)*24)+24,"dd mmmm yyyy"))&amp;" - "&amp;IF(Main!B2,TEXT(EDATE(Main!B3,25)-1,"dd mmmm yyyy"),TEXT(Main!B3+((Main!B5-Main!B3)*25+24),"dd mmmm yyyy"))</f>
        <v>20 January 2027 - 19 February 2027</v>
      </c>
      <c r="J27" s="200">
        <f ca="1">'January 2027 - March 2027'!E136</f>
        <v>11913.02</v>
      </c>
    </row>
    <row r="28" ht="30" customHeight="1" spans="1:10">
      <c r="A28" s="19"/>
      <c r="B28" s="22"/>
      <c r="C28" s="23"/>
      <c r="D28" s="24"/>
      <c r="E28" s="42"/>
      <c r="F28" s="43">
        <v>0</v>
      </c>
      <c r="G28" s="44"/>
      <c r="I28" s="201" t="str">
        <f>IF(Main!B2,TEXT(EDATE(Main!B3,25),"dd mmmm yyyy"),TEXT(Main!B3+((Main!B5-Main!B3)*25)+25,"dd mmmm yyyy"))&amp;" - "&amp;IF(Main!B2,TEXT(EDATE(Main!B3,26)-1,"dd mmmm yyyy"),TEXT(Main!B3+((Main!B5-Main!B3)*26+25),"dd mmmm yyyy"))</f>
        <v>20 February 2027 - 19 March 2027</v>
      </c>
      <c r="J28" s="200">
        <f ca="1">'January 2027 - March 2027'!E163</f>
        <v>12498.02</v>
      </c>
    </row>
    <row r="29" ht="30" customHeight="1" spans="1:10">
      <c r="A29" s="19"/>
      <c r="B29" s="22"/>
      <c r="C29" s="23"/>
      <c r="D29" s="24"/>
      <c r="E29" s="42"/>
      <c r="F29" s="43">
        <v>0</v>
      </c>
      <c r="G29" s="44"/>
      <c r="I29" s="197" t="str">
        <f>IF(Main!B2,TEXT(EDATE(Main!B3,26),"dd mmmm yyyy"),TEXT(Main!B3+((Main!B5-Main!B3)*26)+26,"dd mmmm yyyy"))&amp;" - "&amp;IF(Main!B2,TEXT(EDATE(Main!B3,27)-1,"dd mmmm yyyy"),TEXT(Main!B3+((Main!B5-Main!B3)*27+26),"dd mmmm yyyy"))</f>
        <v>20 March 2027 - 19 April 2027</v>
      </c>
      <c r="J29" s="196">
        <f ca="1">'January 2027 - March 2027'!E190</f>
        <v>13514.02</v>
      </c>
    </row>
    <row r="30" ht="30" customHeight="1" spans="1:10">
      <c r="A30" s="169"/>
      <c r="B30" s="170"/>
      <c r="C30" s="171"/>
      <c r="D30" s="28" t="s">
        <v>52</v>
      </c>
      <c r="E30" s="45"/>
      <c r="F30" s="46">
        <f>SUM(F24:G29)</f>
        <v>0</v>
      </c>
      <c r="G30" s="47"/>
      <c r="I30" s="201" t="str">
        <f>IF(Main!B2,TEXT(EDATE(Main!B3,27),"dd mmmm yyyy"),TEXT(Main!B3+((Main!B5-Main!B3)*27)+27,"dd mmmm yyyy"))&amp;" - "&amp;IF(Main!B2,TEXT(EDATE(Main!B3,28)-1,"dd mmmm yyyy"),TEXT(Main!B3+((Main!B5-Main!B3)*28+27),"dd mmmm yyyy"))</f>
        <v>20 April 2027 - 19 May 2027</v>
      </c>
      <c r="J30" s="202">
        <f ca="1">'April 2027 - June 2027'!E136</f>
        <v>14880.02</v>
      </c>
    </row>
    <row r="31" ht="30" customHeight="1" spans="9:10">
      <c r="I31" s="201" t="str">
        <f>IF(Main!B2,TEXT(EDATE(Main!B3,28),"dd mmmm yyyy"),TEXT(Main!B3+((Main!B5-Main!B3)*28)+28,"dd mmmm yyyy"))&amp;" - "&amp;IF(Main!B2,TEXT(EDATE(Main!B3,29)-1,"dd mmmm yyyy"),TEXT(Main!B3+((Main!B5-Main!B3)*29+28),"dd mmmm yyyy"))</f>
        <v>20 May 2027 - 19 June 2027</v>
      </c>
      <c r="J31" s="200">
        <f ca="1">'April 2027 - June 2027'!E163</f>
        <v>16898.02</v>
      </c>
    </row>
    <row r="32" ht="27.75" customHeight="1" spans="9:10">
      <c r="I32" s="201" t="str">
        <f>IF(Main!B2,TEXT(EDATE(Main!B3,29),"dd mmmm yyyy"),TEXT(Main!B3+((Main!B5-Main!B3)*29)+29,"dd mmmm yyyy"))&amp;" - "&amp;IF(Main!B2,TEXT(EDATE(Main!B3,30)-1,"dd mmmm yyyy"),TEXT(Main!B3+((Main!B5-Main!B3)*30+29),"dd mmmm yyyy"))</f>
        <v>20 June 2027 - 19 July 2027</v>
      </c>
      <c r="J32" s="200">
        <f ca="1">'April 2027 - June 2027'!E190</f>
        <v>18264.02</v>
      </c>
    </row>
    <row r="33" ht="30" customHeight="1" spans="9:10">
      <c r="I33" s="201" t="str">
        <f>IF(Main!B2,TEXT(EDATE(Main!B3,30),"dd mmmm yyyy"),TEXT(Main!B3+((Main!B5-Main!B3)*30)+30,"dd mmmm yyyy"))&amp;" - "&amp;IF(Main!B2,TEXT(EDATE(Main!B3,31)-1,"dd mmmm yyyy"),TEXT(Main!B3+((Main!B5-Main!B3)*31+30),"dd mmmm yyyy"))</f>
        <v>20 July 2027 - 19 August 2027</v>
      </c>
      <c r="J33" s="200">
        <f ca="1">'July 2027 - September 2027'!E136</f>
        <v>19009.02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February 2025 - 19 March 2025 (Revenue / Deferred Debts Or Expenses)</v>
      </c>
      <c r="B34" s="16"/>
      <c r="C34" s="16"/>
      <c r="D34" s="16"/>
      <c r="E34" s="16"/>
      <c r="F34" s="16"/>
      <c r="G34" s="16"/>
      <c r="I34" s="201" t="str">
        <f>IF(Main!B2,TEXT(EDATE(Main!B3,31),"dd mmmm yyyy"),TEXT(Main!B3+((Main!B5-Main!B3)*31)+31,"dd mmmm yyyy"))&amp;" - "&amp;IF(Main!B2,TEXT(EDATE(Main!B3,32)-1,"dd mmmm yyyy"),TEXT(Main!B3+((Main!B5-Main!B3)*32+31),"dd mmmm yyyy"))</f>
        <v>20 August 2027 - 19 September 2027</v>
      </c>
      <c r="J34" s="200">
        <f ca="1">'July 2027 - September 2027'!E163</f>
        <v>19865.02</v>
      </c>
    </row>
    <row r="35" ht="24.75" customHeight="1" spans="1:10">
      <c r="A35" s="17" t="s">
        <v>30</v>
      </c>
      <c r="B35" s="17" t="s">
        <v>49</v>
      </c>
      <c r="C35" s="17"/>
      <c r="D35" s="18" t="s">
        <v>50</v>
      </c>
      <c r="E35" s="18"/>
      <c r="F35" s="18" t="s">
        <v>51</v>
      </c>
      <c r="G35" s="18"/>
      <c r="I35" s="201" t="str">
        <f>IF(Main!B2,TEXT(EDATE(Main!B3,32),"dd mmmm yyyy"),TEXT(Main!B3+((Main!B5-Main!B3)*32)+32,"dd mmmm yyyy"))&amp;" - "&amp;IF(Main!B2,TEXT(EDATE(Main!B3,33)-1,"dd mmmm yyyy"),TEXT(Main!B3+((Main!B5-Main!B3)*33+32),"dd mmmm yyyy"))</f>
        <v>20 September 2027 - 19 October 2027</v>
      </c>
      <c r="J35" s="200">
        <f ca="1">'July 2027 - September 2027'!E190</f>
        <v>20460.02</v>
      </c>
    </row>
    <row r="36" ht="22" customHeight="1" spans="1:10">
      <c r="A36" s="19"/>
      <c r="B36" s="22" t="s">
        <v>53</v>
      </c>
      <c r="C36" s="23"/>
      <c r="D36" s="74" t="s">
        <v>54</v>
      </c>
      <c r="E36" s="74"/>
      <c r="F36" s="43">
        <v>400</v>
      </c>
      <c r="G36" s="44"/>
      <c r="I36" s="201" t="str">
        <f>IF(Main!B2,TEXT(EDATE(Main!B3,33),"dd mmmm yyyy"),TEXT(Main!B3+((Main!B5-Main!B3)*33)+33,"dd mmmm yyyy"))&amp;" - "&amp;IF(Main!B2,TEXT(EDATE(Main!B3,34)-1,"dd mmmm yyyy"),TEXT(Main!B3+((Main!B5-Main!B3)*34+33),"dd mmmm yyyy"))</f>
        <v>20 October 2027 - 19 November 2027</v>
      </c>
      <c r="J36" s="200">
        <f ca="1">'October 2027 - December 2027'!E136</f>
        <v>21476.02</v>
      </c>
    </row>
    <row r="37" ht="24.75" customHeight="1" spans="1:10">
      <c r="A37" s="19"/>
      <c r="B37" s="22"/>
      <c r="C37" s="23"/>
      <c r="D37" s="74"/>
      <c r="E37" s="74"/>
      <c r="F37" s="43">
        <v>0</v>
      </c>
      <c r="G37" s="44"/>
      <c r="I37" s="201" t="str">
        <f>IF(Main!B2,TEXT(EDATE(Main!B3,34),"dd mmmm yyyy"),TEXT(Main!B3+((Main!B5-Main!B3)*34)+34,"dd mmmm yyyy"))&amp;" - "&amp;IF(Main!B2,TEXT(EDATE(Main!B3,35)-1,"dd mmmm yyyy"),TEXT(Main!B3+((Main!B5-Main!B3)*35+34),"dd mmmm yyyy"))</f>
        <v>20 November 2027 - 19 December 2027</v>
      </c>
      <c r="J37" s="200">
        <f ca="1">'October 2027 - December 2027'!E163</f>
        <v>22061.02</v>
      </c>
    </row>
    <row r="38" ht="20.25" customHeight="1" spans="1:10">
      <c r="A38" s="19"/>
      <c r="B38" s="172"/>
      <c r="C38" s="23"/>
      <c r="D38" s="22"/>
      <c r="E38" s="23"/>
      <c r="F38" s="43">
        <v>0</v>
      </c>
      <c r="G38" s="44"/>
      <c r="I38" s="201" t="str">
        <f>IF(Main!B2,TEXT(EDATE(Main!B3,35),"dd mmmm yyyy"),TEXT(Main!B3+((Main!B5-Main!B3)*35)+35,"dd mmmm yyyy"))&amp;" - "&amp;IF(Main!B2,TEXT(EDATE(Main!B3,36)-1,"dd mmmm yyyy"),TEXT(Main!B3+((Main!B5-Main!B3)*36+35),"dd mmmm yyyy"))</f>
        <v>20 December 2027 - 19 January 2028</v>
      </c>
      <c r="J38" s="200">
        <f ca="1">'October 2027 - December 2027'!E190</f>
        <v>23077.02</v>
      </c>
    </row>
    <row r="39" ht="24.75" customHeight="1" spans="1:10">
      <c r="A39" s="19"/>
      <c r="B39" s="22"/>
      <c r="C39" s="23"/>
      <c r="D39" s="24"/>
      <c r="E39" s="42"/>
      <c r="F39" s="43">
        <v>0</v>
      </c>
      <c r="G39" s="44"/>
      <c r="I39" s="201" t="str">
        <f>IF(Main!B2,TEXT(EDATE(Main!B3,36),"dd mmmm yyyy"),TEXT(Main!B3+((Main!B5-Main!B3)*36)+36,"dd mmmm yyyy"))&amp;" - "&amp;IF(Main!B2,TEXT(EDATE(Main!B3,37)-1,"dd mmmm yyyy"),TEXT(Main!B3+((Main!B5-Main!B3)*37+36),"dd mmmm yyyy"))</f>
        <v>20 January 2028 - 19 February 2028</v>
      </c>
      <c r="J39" s="200">
        <f ca="1">'January 2028 - March 2028'!E136</f>
        <v>23872.02</v>
      </c>
    </row>
    <row r="40" ht="24.75" customHeight="1" spans="1:10">
      <c r="A40" s="19"/>
      <c r="B40" s="22"/>
      <c r="C40" s="23"/>
      <c r="D40" s="24"/>
      <c r="E40" s="42"/>
      <c r="F40" s="43">
        <v>0</v>
      </c>
      <c r="G40" s="44"/>
      <c r="I40" s="201" t="str">
        <f>IF(Main!B2,TEXT(EDATE(Main!B3,37),"dd mmmm yyyy"),TEXT(Main!B3+((Main!B5-Main!B3)*37)+37,"dd mmmm yyyy"))&amp;" - "&amp;IF(Main!B2,TEXT(EDATE(Main!B3,38)-1,"dd mmmm yyyy"),TEXT(Main!B3+((Main!B5-Main!B3)*38+37),"dd mmmm yyyy"))</f>
        <v>20 February 2028 - 19 March 2028</v>
      </c>
      <c r="J40" s="200">
        <f ca="1">'January 2028 - March 2028'!E163</f>
        <v>24728.02</v>
      </c>
    </row>
    <row r="41" ht="24.75" customHeight="1" spans="1:10">
      <c r="A41" s="19"/>
      <c r="B41" s="22"/>
      <c r="C41" s="23"/>
      <c r="D41" s="24"/>
      <c r="E41" s="42"/>
      <c r="F41" s="43">
        <v>0</v>
      </c>
      <c r="G41" s="44"/>
      <c r="I41" s="197" t="str">
        <f>IF(Main!B2,TEXT(EDATE(Main!B3,38),"dd mmmm yyyy"),TEXT(Main!B3+((Main!B5-Main!B3)*38)+38,"dd mmmm yyyy"))&amp;" - "&amp;IF(Main!B2,TEXT(EDATE(Main!B3,39)-1,"dd mmmm yyyy"),TEXT(Main!B3+((Main!B5-Main!B3)*39+38),"dd mmmm yyyy"))</f>
        <v>20 March 2028 - 19 April 2028</v>
      </c>
      <c r="J41" s="200">
        <f ca="1">'January 2028 - March 2028'!E190</f>
        <v>25363.02</v>
      </c>
    </row>
    <row r="42" ht="24.75" customHeight="1" spans="1:10">
      <c r="A42" s="169"/>
      <c r="B42" s="170"/>
      <c r="C42" s="171"/>
      <c r="D42" s="28" t="s">
        <v>52</v>
      </c>
      <c r="E42" s="45"/>
      <c r="F42" s="46">
        <f>SUM(F36:G41)</f>
        <v>400</v>
      </c>
      <c r="G42" s="47"/>
      <c r="I42" s="197" t="str">
        <f>IF(Main!B2,TEXT(EDATE(Main!B3,39),"dd mmmm yyyy"),TEXT(Main!B3+((Main!B5-Main!B3)*39)+39,"dd mmmm yyyy"))&amp;" - "&amp;IF(Main!B2,TEXT(EDATE(Main!B3,40)-1,"dd mmmm yyyy"),TEXT(Main!B3+((Main!B5-Main!B3)*40+39),"dd mmmm yyyy"))</f>
        <v>20 April 2028 - 19 May 2028</v>
      </c>
      <c r="J42" s="200">
        <f ca="1">'April 2028 - June 2028'!E136</f>
        <v>26379.02</v>
      </c>
    </row>
    <row r="43" ht="24.75" customHeight="1" spans="9:10">
      <c r="I43" s="197" t="str">
        <f>IF(Main!B2,TEXT(EDATE(Main!B3,40),"dd mmmm yyyy"),TEXT(Main!B3+((Main!B5-Main!B3)*40)+40,"dd mmmm yyyy"))&amp;" - "&amp;IF(Main!B2,TEXT(EDATE(Main!B3,41)-1,"dd mmmm yyyy"),TEXT(Main!B3+((Main!B5-Main!B3)*41+40),"dd mmmm yyyy"))</f>
        <v>20 May 2028 - 19 June 2028</v>
      </c>
      <c r="J43" s="200">
        <f ca="1">'April 2028 - June 2028'!E163</f>
        <v>28047.02</v>
      </c>
    </row>
    <row r="44" ht="24.75" customHeight="1" spans="9:10">
      <c r="I44" s="197" t="str">
        <f>IF(Main!B2,TEXT(EDATE(Main!B3,41),"dd mmmm yyyy"),TEXT(Main!B3+((Main!B5-Main!B3)*41)+41,"dd mmmm yyyy"))&amp;" - "&amp;IF(Main!B2,TEXT(EDATE(Main!B3,42)-1,"dd mmmm yyyy"),TEXT(Main!B3+((Main!B5-Main!B3)*42+41),"dd mmmm yyyy"))</f>
        <v>20 June 2028 - 19 July 2028</v>
      </c>
      <c r="J44" s="200">
        <f ca="1">'April 2028 - June 2028'!E190</f>
        <v>29063.02</v>
      </c>
    </row>
    <row r="45" ht="24.75" customHeight="1" spans="9:10">
      <c r="I45" s="197" t="str">
        <f>IF(Main!B2,TEXT(EDATE(Main!B3,42),"dd mmmm yyyy"),TEXT(Main!B3+((Main!B5-Main!B3)*42)+42,"dd mmmm yyyy"))&amp;" - "&amp;IF(Main!B2,TEXT(EDATE(Main!B3,43)-1,"dd mmmm yyyy"),TEXT(Main!B3+((Main!B5-Main!B3)*43+42),"dd mmmm yyyy"))</f>
        <v>20 July 2028 - 19 August 2028</v>
      </c>
      <c r="J45" s="200">
        <f ca="1">'July 2028 - September 2028'!E136</f>
        <v>29858.02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March 2025 - 19 April 2025 (Revenue / Deferred Debts Or Expenses)</v>
      </c>
      <c r="B46" s="16"/>
      <c r="C46" s="16"/>
      <c r="D46" s="16"/>
      <c r="E46" s="16"/>
      <c r="F46" s="16"/>
      <c r="G46" s="16"/>
      <c r="I46" s="197" t="str">
        <f>IF(Main!B2,TEXT(EDATE(Main!B3,43),"dd mmmm yyyy"),TEXT(Main!B3+((Main!B5-Main!B3)*43)+43,"dd mmmm yyyy"))&amp;" - "&amp;IF(Main!B2,TEXT(EDATE(Main!B3,44)-1,"dd mmmm yyyy"),TEXT(Main!B3+((Main!B5-Main!B3)*44+43),"dd mmmm yyyy"))</f>
        <v>20 August 2028 - 19 September 2028</v>
      </c>
      <c r="J46" s="200">
        <f ca="1">'July 2028 - September 2028'!E163</f>
        <v>30714.02</v>
      </c>
    </row>
    <row r="47" ht="24.75" customHeight="1" spans="1:10">
      <c r="A47" s="17" t="s">
        <v>30</v>
      </c>
      <c r="B47" s="17" t="s">
        <v>49</v>
      </c>
      <c r="C47" s="17"/>
      <c r="D47" s="18" t="s">
        <v>50</v>
      </c>
      <c r="E47" s="18"/>
      <c r="F47" s="18" t="s">
        <v>51</v>
      </c>
      <c r="G47" s="18"/>
      <c r="I47" s="197" t="str">
        <f>IF(Main!B2,TEXT(EDATE(Main!B3,44),"dd mmmm yyyy"),TEXT(Main!B3+((Main!B5-Main!B3)*44)+44,"dd mmmm yyyy"))&amp;" - "&amp;IF(Main!B2,TEXT(EDATE(Main!B3,45)-1,"dd mmmm yyyy"),TEXT(Main!B3+((Main!B5-Main!B3)*45+44),"dd mmmm yyyy"))</f>
        <v>20 September 2028 - 19 October 2028</v>
      </c>
      <c r="J47" s="200">
        <f ca="1">'July 2028 - September 2028'!E190</f>
        <v>31459.02</v>
      </c>
    </row>
    <row r="48" ht="24.75" customHeight="1" spans="1:10">
      <c r="A48" s="101"/>
      <c r="B48" s="22" t="s">
        <v>53</v>
      </c>
      <c r="C48" s="23"/>
      <c r="D48" s="74" t="s">
        <v>54</v>
      </c>
      <c r="E48" s="74"/>
      <c r="F48" s="191">
        <v>400</v>
      </c>
      <c r="G48" s="44"/>
      <c r="I48" s="197" t="str">
        <f>IF(Main!B2,TEXT(EDATE(Main!B3,45),"dd mmmm yyyy"),TEXT(Main!B3+((Main!B5-Main!B3)*45)+45,"dd mmmm yyyy"))&amp;" - "&amp;IF(Main!B2,TEXT(EDATE(Main!B3,46)-1,"dd mmmm yyyy"),TEXT(Main!B3+((Main!B5-Main!B3)*46+45),"dd mmmm yyyy"))</f>
        <v>20 October 2028 - 19 November 2028</v>
      </c>
      <c r="J48" s="200">
        <f ca="1">'October 2028 - December 2028'!E136</f>
        <v>32475.02</v>
      </c>
    </row>
    <row r="49" ht="24.75" customHeight="1" spans="1:10">
      <c r="A49" s="101"/>
      <c r="B49" s="20"/>
      <c r="C49" s="20"/>
      <c r="D49" s="21"/>
      <c r="E49" s="21"/>
      <c r="F49" s="191">
        <v>0</v>
      </c>
      <c r="G49" s="44"/>
      <c r="I49" s="197" t="str">
        <f>IF(Main!B2,TEXT(EDATE(Main!B3,46),"dd mmmm yyyy"),TEXT(Main!B3+((Main!B5-Main!B3)*46)+46,"dd mmmm yyyy"))&amp;" - "&amp;IF(Main!B2,TEXT(EDATE(Main!B3,47)-1,"dd mmmm yyyy"),TEXT(Main!B3+((Main!B5-Main!B3)*47+46),"dd mmmm yyyy"))</f>
        <v>20 November 2028 - 19 December 2028</v>
      </c>
      <c r="J49" s="200">
        <f ca="1">'October 2028 - December 2028'!E163</f>
        <v>33060.02</v>
      </c>
    </row>
    <row r="50" ht="24.75" customHeight="1" spans="1:10">
      <c r="A50" s="101"/>
      <c r="B50" s="20"/>
      <c r="C50" s="20"/>
      <c r="D50" s="20"/>
      <c r="E50" s="20"/>
      <c r="F50" s="191">
        <v>0</v>
      </c>
      <c r="G50" s="44"/>
      <c r="I50" s="197" t="str">
        <f>IF(Main!B2,TEXT(EDATE(Main!B3,47),"dd mmmm yyyy"),TEXT(Main!B3+((Main!B5-Main!B3)*47)+47,"dd mmmm yyyy"))&amp;" - "&amp;IF(Main!B2,TEXT(EDATE(Main!B3,48)-1,"dd mmmm yyyy"),TEXT(Main!B3+((Main!B5-Main!B3)*48+47),"dd mmmm yyyy"))</f>
        <v>20 December 2028 - 19 January 2029</v>
      </c>
      <c r="J50" s="196">
        <f ca="1">'October 2028 - December 2028'!E190</f>
        <v>34076.02</v>
      </c>
    </row>
    <row r="51" ht="41.1" customHeight="1" spans="1:7">
      <c r="A51" s="173"/>
      <c r="B51" s="174"/>
      <c r="C51" s="174"/>
      <c r="D51" s="21"/>
      <c r="E51" s="21"/>
      <c r="F51" s="191">
        <v>0</v>
      </c>
      <c r="G51" s="44"/>
    </row>
    <row r="52" ht="24.75" customHeight="1" spans="1:7">
      <c r="A52" s="175"/>
      <c r="B52" s="20"/>
      <c r="C52" s="20"/>
      <c r="D52" s="20"/>
      <c r="E52" s="20"/>
      <c r="F52" s="191">
        <v>0</v>
      </c>
      <c r="G52" s="44"/>
    </row>
    <row r="53" ht="24.75" customHeight="1" spans="1:7">
      <c r="A53" s="19"/>
      <c r="B53" s="22"/>
      <c r="C53" s="23"/>
      <c r="D53" s="24"/>
      <c r="E53" s="42"/>
      <c r="F53" s="43">
        <v>0</v>
      </c>
      <c r="G53" s="44"/>
    </row>
    <row r="54" ht="24.75" customHeight="1" spans="1:7">
      <c r="A54" s="169"/>
      <c r="B54" s="170"/>
      <c r="C54" s="171"/>
      <c r="D54" s="28" t="s">
        <v>52</v>
      </c>
      <c r="E54" s="45"/>
      <c r="F54" s="46">
        <f>SUM(F48:G53)</f>
        <v>400</v>
      </c>
      <c r="G54" s="47"/>
    </row>
    <row r="55" ht="24.75" customHeight="1"/>
    <row r="58" ht="20.4" spans="1:3">
      <c r="A58" s="176" t="str">
        <f>"Fixed Expense For the Year "&amp;TEXT(Main!B3,"mmmm yyyy")&amp;" - "&amp;IF(Main!B2,TEXT(EDATE(Main!B3,3)-1,"mmmm yyyy"),TEXT(Main!B3+((Main!B5-Main!B3)*3+2),"mmmm yyyy"))</f>
        <v>Fixed Expense For the Year January 2025 - April 2025</v>
      </c>
      <c r="B58" s="177"/>
      <c r="C58" s="178"/>
    </row>
    <row r="59" ht="21" spans="1:3">
      <c r="A59" s="179" t="s">
        <v>49</v>
      </c>
      <c r="B59" s="179" t="s">
        <v>50</v>
      </c>
      <c r="C59" s="180" t="s">
        <v>51</v>
      </c>
    </row>
    <row r="60" spans="1:3">
      <c r="A60" s="181" t="s">
        <v>55</v>
      </c>
      <c r="B60" s="182"/>
      <c r="C60" s="183"/>
    </row>
    <row r="61" spans="1:3">
      <c r="A61" s="51" t="s">
        <v>56</v>
      </c>
      <c r="B61" s="184"/>
      <c r="C61" s="140">
        <v>78</v>
      </c>
    </row>
    <row r="62" spans="1:3">
      <c r="A62" s="51" t="s">
        <v>57</v>
      </c>
      <c r="B62" s="184"/>
      <c r="C62" s="140">
        <v>149</v>
      </c>
    </row>
    <row r="63" ht="21" customHeight="1" spans="1:3">
      <c r="A63" s="185" t="s">
        <v>58</v>
      </c>
      <c r="B63" s="184"/>
      <c r="C63" s="140">
        <v>0</v>
      </c>
    </row>
    <row r="64" spans="1:3">
      <c r="A64" s="51" t="s">
        <v>59</v>
      </c>
      <c r="B64" s="186"/>
      <c r="C64" s="140">
        <v>0</v>
      </c>
    </row>
    <row r="65" ht="22" customHeight="1" spans="1:3">
      <c r="A65" s="51" t="s">
        <v>60</v>
      </c>
      <c r="B65" s="184"/>
      <c r="C65" s="207">
        <v>50</v>
      </c>
    </row>
    <row r="66" ht="13" customHeight="1" spans="1:3">
      <c r="A66" s="51"/>
      <c r="B66" s="184"/>
      <c r="C66" s="207">
        <v>0</v>
      </c>
    </row>
    <row r="67" spans="1:3">
      <c r="A67" s="51"/>
      <c r="B67" s="184"/>
      <c r="C67" s="207">
        <v>0</v>
      </c>
    </row>
    <row r="68" spans="1:3">
      <c r="A68" s="51"/>
      <c r="B68" s="184"/>
      <c r="C68" s="207">
        <v>0</v>
      </c>
    </row>
    <row r="69" spans="1:3">
      <c r="A69" s="39"/>
      <c r="B69" s="40" t="s">
        <v>61</v>
      </c>
      <c r="C69" s="207">
        <f>SUM(C61:C68)</f>
        <v>277</v>
      </c>
    </row>
    <row r="70" spans="1:3">
      <c r="A70" s="181" t="s">
        <v>62</v>
      </c>
      <c r="B70" s="182"/>
      <c r="C70" s="183"/>
    </row>
    <row r="71" spans="1:3">
      <c r="A71" s="51"/>
      <c r="B71" s="184"/>
      <c r="C71" s="207">
        <v>0</v>
      </c>
    </row>
    <row r="72" spans="1:3">
      <c r="A72" s="51"/>
      <c r="B72" s="184"/>
      <c r="C72" s="207">
        <v>0</v>
      </c>
    </row>
    <row r="73" spans="1:3">
      <c r="A73" s="51"/>
      <c r="B73" s="184"/>
      <c r="C73" s="207">
        <v>0</v>
      </c>
    </row>
    <row r="74" spans="1:3">
      <c r="A74" s="51"/>
      <c r="B74" s="184"/>
      <c r="C74" s="207">
        <v>0</v>
      </c>
    </row>
    <row r="75" spans="1:3">
      <c r="A75" s="51"/>
      <c r="B75" s="184"/>
      <c r="C75" s="207">
        <v>0</v>
      </c>
    </row>
    <row r="76" spans="1:3">
      <c r="A76" s="51"/>
      <c r="B76" s="184"/>
      <c r="C76" s="207">
        <v>0</v>
      </c>
    </row>
    <row r="77" spans="1:3">
      <c r="A77" s="51"/>
      <c r="B77" s="184"/>
      <c r="C77" s="207">
        <v>0</v>
      </c>
    </row>
    <row r="78" spans="1:3">
      <c r="A78" s="51"/>
      <c r="B78" s="184"/>
      <c r="C78" s="207">
        <v>0</v>
      </c>
    </row>
    <row r="79" spans="1:3">
      <c r="A79" s="51"/>
      <c r="B79" s="184"/>
      <c r="C79" s="207">
        <v>0</v>
      </c>
    </row>
    <row r="80" spans="1:3">
      <c r="A80" s="208"/>
      <c r="B80" s="209" t="s">
        <v>61</v>
      </c>
      <c r="C80" s="207">
        <f>SUM(C71:C79)</f>
        <v>0</v>
      </c>
    </row>
    <row r="81" spans="1:3">
      <c r="A81" s="181" t="s">
        <v>63</v>
      </c>
      <c r="B81" s="182"/>
      <c r="C81" s="183"/>
    </row>
    <row r="82" spans="1:3">
      <c r="A82" s="51" t="s">
        <v>64</v>
      </c>
      <c r="B82" s="186" t="s">
        <v>65</v>
      </c>
      <c r="C82" s="37">
        <v>0</v>
      </c>
    </row>
    <row r="83" spans="1:3">
      <c r="A83" s="210" t="s">
        <v>66</v>
      </c>
      <c r="B83" s="184" t="s">
        <v>67</v>
      </c>
      <c r="C83" s="37">
        <v>0</v>
      </c>
    </row>
    <row r="84" spans="1:3">
      <c r="A84" s="52"/>
      <c r="B84" s="184"/>
      <c r="C84" s="37">
        <v>0</v>
      </c>
    </row>
    <row r="85" spans="1:3">
      <c r="A85" s="51"/>
      <c r="B85" s="184"/>
      <c r="C85" s="37">
        <v>0</v>
      </c>
    </row>
    <row r="86" spans="1:3">
      <c r="A86" s="51"/>
      <c r="B86" s="184"/>
      <c r="C86" s="37">
        <v>0</v>
      </c>
    </row>
    <row r="87" spans="1:3">
      <c r="A87" s="51"/>
      <c r="B87" s="184"/>
      <c r="C87" s="37">
        <v>0</v>
      </c>
    </row>
    <row r="88" spans="1:3">
      <c r="A88" s="51"/>
      <c r="B88" s="184"/>
      <c r="C88" s="37">
        <v>0</v>
      </c>
    </row>
    <row r="89" spans="1:3">
      <c r="A89" s="208"/>
      <c r="B89" s="209" t="s">
        <v>61</v>
      </c>
      <c r="C89" s="37">
        <f>SUM(C82:C88)</f>
        <v>0</v>
      </c>
    </row>
    <row r="90" spans="1:3">
      <c r="A90" s="181" t="s">
        <v>68</v>
      </c>
      <c r="B90" s="182"/>
      <c r="C90" s="183"/>
    </row>
    <row r="91" spans="1:3">
      <c r="A91" s="211" t="s">
        <v>69</v>
      </c>
      <c r="B91" s="212"/>
      <c r="C91" s="207">
        <v>0</v>
      </c>
    </row>
    <row r="92" spans="1:3">
      <c r="A92" s="52"/>
      <c r="B92" s="184"/>
      <c r="C92" s="207">
        <v>0</v>
      </c>
    </row>
    <row r="93" ht="20.25" customHeight="1" spans="1:3">
      <c r="A93" s="52"/>
      <c r="B93" s="184"/>
      <c r="C93" s="207">
        <v>0</v>
      </c>
    </row>
    <row r="94" ht="15.75" customHeight="1" spans="1:3">
      <c r="A94" s="51"/>
      <c r="B94" s="184"/>
      <c r="C94" s="207">
        <v>0</v>
      </c>
    </row>
    <row r="95" spans="1:3">
      <c r="A95" s="51"/>
      <c r="B95" s="184"/>
      <c r="C95" s="207">
        <v>0</v>
      </c>
    </row>
    <row r="96" spans="1:3">
      <c r="A96" s="51"/>
      <c r="B96" s="184"/>
      <c r="C96" s="207">
        <v>0</v>
      </c>
    </row>
    <row r="97" spans="1:3">
      <c r="A97" s="51"/>
      <c r="B97" s="184"/>
      <c r="C97" s="207">
        <v>0</v>
      </c>
    </row>
    <row r="98" spans="1:3">
      <c r="A98" s="51"/>
      <c r="B98" s="184"/>
      <c r="C98" s="207">
        <v>0</v>
      </c>
    </row>
    <row r="99" spans="1:3">
      <c r="A99" s="50"/>
      <c r="B99" s="40" t="s">
        <v>61</v>
      </c>
      <c r="C99" s="37">
        <f>SUM(C91:C98)</f>
        <v>0</v>
      </c>
    </row>
    <row r="100" spans="1:3">
      <c r="A100" s="181" t="s">
        <v>70</v>
      </c>
      <c r="B100" s="182"/>
      <c r="C100" s="183"/>
    </row>
    <row r="101" spans="1:3">
      <c r="A101" s="51" t="s">
        <v>71</v>
      </c>
      <c r="B101" s="213" t="s">
        <v>72</v>
      </c>
      <c r="C101" s="87">
        <v>0</v>
      </c>
    </row>
    <row r="102" ht="66" customHeight="1" spans="1:3">
      <c r="A102" s="52" t="s">
        <v>73</v>
      </c>
      <c r="B102" s="73" t="s">
        <v>74</v>
      </c>
      <c r="C102" s="87">
        <v>68</v>
      </c>
    </row>
    <row r="103" spans="1:3">
      <c r="A103" s="51" t="s">
        <v>75</v>
      </c>
      <c r="B103" s="73"/>
      <c r="C103" s="87">
        <v>55</v>
      </c>
    </row>
    <row r="104" spans="1:3">
      <c r="A104" s="51" t="s">
        <v>76</v>
      </c>
      <c r="B104" s="73"/>
      <c r="C104" s="87">
        <v>0</v>
      </c>
    </row>
    <row r="105" ht="45" customHeight="1" spans="1:3">
      <c r="A105" s="51" t="s">
        <v>77</v>
      </c>
      <c r="B105" s="184" t="s">
        <v>78</v>
      </c>
      <c r="C105" s="207">
        <v>0</v>
      </c>
    </row>
    <row r="106" spans="1:3">
      <c r="A106" s="51"/>
      <c r="B106" s="184"/>
      <c r="C106" s="207">
        <v>0</v>
      </c>
    </row>
    <row r="107" spans="1:3">
      <c r="A107" s="51"/>
      <c r="B107" s="184"/>
      <c r="C107" s="207">
        <v>0</v>
      </c>
    </row>
    <row r="108" spans="1:3">
      <c r="A108" s="51"/>
      <c r="B108" s="184"/>
      <c r="C108" s="207">
        <v>0</v>
      </c>
    </row>
    <row r="109" spans="1:3">
      <c r="A109" s="52"/>
      <c r="B109" s="40" t="s">
        <v>61</v>
      </c>
      <c r="C109" s="207">
        <f>SUM(C101:C108)</f>
        <v>123</v>
      </c>
    </row>
    <row r="110" spans="1:3">
      <c r="A110" s="50"/>
      <c r="B110" s="40" t="s">
        <v>79</v>
      </c>
      <c r="C110" s="207">
        <f>C69+C80+C89+C99+C109</f>
        <v>400</v>
      </c>
    </row>
    <row r="111" spans="1:3">
      <c r="A111" s="181" t="s">
        <v>80</v>
      </c>
      <c r="B111" s="182"/>
      <c r="C111" s="183"/>
    </row>
    <row r="112" spans="1:8">
      <c r="A112" s="214" t="s">
        <v>81</v>
      </c>
      <c r="B112" s="215"/>
      <c r="C112" s="216">
        <v>6540</v>
      </c>
      <c r="D112" s="14"/>
      <c r="E112" s="96"/>
      <c r="F112" s="14"/>
      <c r="G112" s="14"/>
      <c r="H112" s="14"/>
    </row>
    <row r="113" spans="1:8">
      <c r="A113" s="214" t="s">
        <v>82</v>
      </c>
      <c r="B113" s="184"/>
      <c r="C113" s="217">
        <v>0</v>
      </c>
      <c r="D113" s="14"/>
      <c r="E113" s="14"/>
      <c r="F113" s="14"/>
      <c r="G113" s="14"/>
      <c r="H113" s="14"/>
    </row>
    <row r="114" spans="1:8">
      <c r="A114" s="214" t="s">
        <v>83</v>
      </c>
      <c r="B114" s="184"/>
      <c r="C114" s="218">
        <v>0</v>
      </c>
      <c r="D114" s="14"/>
      <c r="E114" s="14"/>
      <c r="F114" s="14"/>
      <c r="G114" s="14"/>
      <c r="H114" s="14"/>
    </row>
    <row r="115" ht="39.75" customHeight="1" spans="1:8">
      <c r="A115" s="219" t="s">
        <v>84</v>
      </c>
      <c r="B115" s="184"/>
      <c r="C115" s="218">
        <v>0</v>
      </c>
      <c r="D115" s="14"/>
      <c r="E115" s="14"/>
      <c r="F115" s="14"/>
      <c r="G115" s="14"/>
      <c r="H115" s="14"/>
    </row>
    <row r="116" ht="34" spans="1:8">
      <c r="A116" s="219" t="s">
        <v>85</v>
      </c>
      <c r="B116" s="184"/>
      <c r="C116" s="220">
        <v>0</v>
      </c>
      <c r="D116" s="14"/>
      <c r="E116" s="14"/>
      <c r="F116" s="14"/>
      <c r="G116" s="14"/>
      <c r="H116" s="14"/>
    </row>
    <row r="117" spans="1:8">
      <c r="A117" s="51" t="s">
        <v>86</v>
      </c>
      <c r="B117" s="184"/>
      <c r="C117" s="37">
        <v>1083</v>
      </c>
      <c r="D117" s="14"/>
      <c r="E117" s="14"/>
      <c r="F117" s="14"/>
      <c r="G117" s="14"/>
      <c r="H117" s="14"/>
    </row>
    <row r="118" spans="1:8">
      <c r="A118" s="51" t="s">
        <v>87</v>
      </c>
      <c r="B118" s="184"/>
      <c r="C118" s="37">
        <v>150.9</v>
      </c>
      <c r="D118" s="14"/>
      <c r="E118" s="14"/>
      <c r="F118" s="14"/>
      <c r="G118" s="14"/>
      <c r="H118" s="14"/>
    </row>
    <row r="119" spans="1:8">
      <c r="A119" s="51"/>
      <c r="B119" s="184"/>
      <c r="C119" s="37">
        <v>0</v>
      </c>
      <c r="D119" s="14"/>
      <c r="E119" s="14"/>
      <c r="F119" s="14"/>
      <c r="G119" s="14"/>
      <c r="H119" s="14"/>
    </row>
    <row r="120" spans="1:8">
      <c r="A120" s="51"/>
      <c r="B120" s="184"/>
      <c r="C120" s="37">
        <v>0</v>
      </c>
      <c r="D120" s="14"/>
      <c r="E120" s="14"/>
      <c r="F120" s="14"/>
      <c r="G120" s="14"/>
      <c r="H120" s="14"/>
    </row>
    <row r="121" spans="1:8">
      <c r="A121" s="51"/>
      <c r="B121" s="184"/>
      <c r="C121" s="37">
        <v>0</v>
      </c>
      <c r="D121" s="14"/>
      <c r="E121" s="14"/>
      <c r="F121" s="14"/>
      <c r="G121" s="14"/>
      <c r="H121" s="14"/>
    </row>
    <row r="122" spans="1:3">
      <c r="A122" s="208"/>
      <c r="B122" s="209" t="s">
        <v>88</v>
      </c>
      <c r="C122" s="207">
        <f>SUM(C112:C121)</f>
        <v>7773.9</v>
      </c>
    </row>
    <row r="123" spans="1:3">
      <c r="A123" s="208"/>
      <c r="B123" s="209" t="s">
        <v>89</v>
      </c>
      <c r="C123" s="37">
        <f>C122+C110</f>
        <v>8173.9</v>
      </c>
    </row>
    <row r="124" spans="5:5">
      <c r="E124" s="221"/>
    </row>
    <row r="125" spans="5:5">
      <c r="E125" s="221"/>
    </row>
    <row r="127" ht="45" customHeight="1"/>
    <row r="128" ht="45" customHeight="1" spans="1:5">
      <c r="A128" s="53" t="str">
        <f>"Debts Or Credits For the Comming "&amp;TEXT(Main!B3,"mmmm dd yyyy")&amp;" to "&amp;IF(Main!B2,TEXT(EDATE(Main!B3,1)-1,"mmmm dd yyyy"),TEXT(Main!B3+Main!B5-Main!B3,"dd mmmm yyyy"))</f>
        <v>Debts Or Credits For the Comming January 20 2025 to February 19 2025</v>
      </c>
      <c r="B128" s="54"/>
      <c r="C128" s="54"/>
      <c r="D128" s="54"/>
      <c r="E128" s="55"/>
    </row>
    <row r="129" ht="45" customHeight="1" spans="1:5">
      <c r="A129" s="53" t="s">
        <v>90</v>
      </c>
      <c r="B129" s="55"/>
      <c r="C129" s="53" t="s">
        <v>50</v>
      </c>
      <c r="D129" s="55"/>
      <c r="E129" s="70" t="s">
        <v>51</v>
      </c>
    </row>
    <row r="130" ht="24.75" customHeight="1" spans="1:5">
      <c r="A130" s="59" t="s">
        <v>70</v>
      </c>
      <c r="B130" s="60"/>
      <c r="C130" s="61" t="s">
        <v>91</v>
      </c>
      <c r="D130" s="62"/>
      <c r="E130" s="72"/>
    </row>
    <row r="131" ht="24.75" customHeight="1" spans="1:8">
      <c r="A131" s="63"/>
      <c r="B131" s="64"/>
      <c r="C131" s="65"/>
      <c r="D131" s="66"/>
      <c r="E131" s="37">
        <v>0</v>
      </c>
      <c r="F131" s="14"/>
      <c r="G131" s="14"/>
      <c r="H131" s="14"/>
    </row>
    <row r="132" ht="24.75" customHeight="1" spans="1:8">
      <c r="A132" s="63"/>
      <c r="B132" s="64"/>
      <c r="C132" s="65"/>
      <c r="D132" s="66"/>
      <c r="E132" s="37">
        <v>0</v>
      </c>
      <c r="F132" s="14"/>
      <c r="G132" s="14"/>
      <c r="H132" s="14"/>
    </row>
    <row r="133" ht="24.75" customHeight="1" spans="1:8">
      <c r="A133" s="63"/>
      <c r="B133" s="64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63"/>
      <c r="B134" s="64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63"/>
      <c r="B135" s="64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63"/>
      <c r="B136" s="64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63"/>
      <c r="B137" s="64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63"/>
      <c r="B138" s="64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63"/>
      <c r="B139" s="64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63"/>
      <c r="B140" s="64"/>
      <c r="C140" s="65"/>
      <c r="D140" s="66"/>
      <c r="E140" s="37">
        <v>0</v>
      </c>
      <c r="F140" s="14"/>
      <c r="G140" s="14"/>
      <c r="H140" s="14"/>
    </row>
    <row r="141" ht="24.75" customHeight="1" spans="1:5">
      <c r="A141" s="63"/>
      <c r="B141" s="64"/>
      <c r="C141" s="67" t="s">
        <v>92</v>
      </c>
      <c r="D141" s="62"/>
      <c r="E141" s="72"/>
    </row>
    <row r="142" ht="24.75" customHeight="1" spans="1:5">
      <c r="A142" s="63"/>
      <c r="B142" s="64"/>
      <c r="C142" s="114"/>
      <c r="D142" s="149"/>
      <c r="E142" s="88">
        <v>0</v>
      </c>
    </row>
    <row r="143" ht="24.75" customHeight="1" spans="1:5">
      <c r="A143" s="63"/>
      <c r="B143" s="64"/>
      <c r="C143" s="65"/>
      <c r="D143" s="66"/>
      <c r="E143" s="88">
        <v>0</v>
      </c>
    </row>
    <row r="144" ht="24.75" customHeight="1" spans="1:5">
      <c r="A144" s="63"/>
      <c r="B144" s="64"/>
      <c r="C144" s="65"/>
      <c r="D144" s="66"/>
      <c r="E144" s="88">
        <v>0</v>
      </c>
    </row>
    <row r="145" ht="24" customHeight="1" spans="1:5">
      <c r="A145" s="63"/>
      <c r="B145" s="64"/>
      <c r="C145" s="65"/>
      <c r="D145" s="66"/>
      <c r="E145" s="88">
        <v>0</v>
      </c>
    </row>
    <row r="146" ht="24.75" customHeight="1" spans="1:5">
      <c r="A146" s="63"/>
      <c r="B146" s="64"/>
      <c r="C146" s="65"/>
      <c r="D146" s="66"/>
      <c r="E146" s="88">
        <v>0</v>
      </c>
    </row>
    <row r="147" ht="24.75" customHeight="1" spans="1:5">
      <c r="A147" s="75"/>
      <c r="B147" s="76"/>
      <c r="C147" s="65"/>
      <c r="D147" s="66"/>
      <c r="E147" s="88">
        <v>0</v>
      </c>
    </row>
    <row r="148" ht="24.75" customHeight="1" spans="1:5">
      <c r="A148" s="56" t="s">
        <v>93</v>
      </c>
      <c r="B148" s="77"/>
      <c r="C148" s="78"/>
      <c r="D148" s="79"/>
      <c r="E148" s="88">
        <f>C110</f>
        <v>400</v>
      </c>
    </row>
    <row r="149" ht="45" customHeight="1" spans="1:5">
      <c r="A149" s="80"/>
      <c r="B149" s="81"/>
      <c r="C149" s="82" t="s">
        <v>94</v>
      </c>
      <c r="D149" s="82"/>
      <c r="E149" s="89">
        <v>941.71</v>
      </c>
    </row>
    <row r="150" ht="21.75" customHeight="1"/>
    <row r="154" ht="24.75" customHeight="1" spans="1:5">
      <c r="A154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February 20 2025 to 19 March 2025</v>
      </c>
      <c r="B154" s="54"/>
      <c r="C154" s="54"/>
      <c r="D154" s="54"/>
      <c r="E154" s="55"/>
    </row>
    <row r="155" ht="24.75" customHeight="1" spans="1:5">
      <c r="A155" s="53" t="s">
        <v>90</v>
      </c>
      <c r="B155" s="55"/>
      <c r="C155" s="83" t="s">
        <v>50</v>
      </c>
      <c r="D155" s="84"/>
      <c r="E155" s="90" t="s">
        <v>51</v>
      </c>
    </row>
    <row r="156" ht="24.75" customHeight="1" spans="1:5">
      <c r="A156" s="56" t="str">
        <f>"Balance Brought Forward From "&amp;IF(Main!B2,TEXT(EDATE(Main!B3,1)-1,"mmmm yyyy"),TEXT(Main!B3+Main!B5-Main!B3,"mmmm yyyy"))</f>
        <v>Balance Brought Forward From February 2025</v>
      </c>
      <c r="B156" s="57"/>
      <c r="C156" s="222"/>
      <c r="D156" s="222"/>
      <c r="E156" s="89">
        <f>E149</f>
        <v>941.71</v>
      </c>
    </row>
    <row r="157" ht="24.75" customHeight="1" spans="1:5">
      <c r="A157" s="59" t="s">
        <v>70</v>
      </c>
      <c r="B157" s="60"/>
      <c r="C157" s="85" t="s">
        <v>91</v>
      </c>
      <c r="D157" s="86"/>
      <c r="E157" s="91"/>
    </row>
    <row r="158" ht="24.75" customHeight="1" spans="1:8">
      <c r="A158" s="63"/>
      <c r="B158" s="64"/>
      <c r="C158" s="65"/>
      <c r="D158" s="66"/>
      <c r="E158" s="87">
        <v>0</v>
      </c>
      <c r="F158" s="14"/>
      <c r="G158" s="14"/>
      <c r="H158" s="14"/>
    </row>
    <row r="159" ht="24.75" customHeight="1" spans="1:8">
      <c r="A159" s="63"/>
      <c r="B159" s="64"/>
      <c r="C159" s="114"/>
      <c r="D159" s="149"/>
      <c r="E159" s="87">
        <v>0</v>
      </c>
      <c r="F159" s="14"/>
      <c r="G159" s="14"/>
      <c r="H159" s="14"/>
    </row>
    <row r="160" ht="24.75" customHeight="1" spans="1:8">
      <c r="A160" s="63"/>
      <c r="B160" s="64"/>
      <c r="C160" s="65"/>
      <c r="D160" s="66"/>
      <c r="E160" s="37">
        <v>0</v>
      </c>
      <c r="F160" s="14"/>
      <c r="G160" s="14"/>
      <c r="H160" s="14"/>
    </row>
    <row r="161" ht="24.75" customHeight="1" spans="1:8">
      <c r="A161" s="63"/>
      <c r="B161" s="64"/>
      <c r="C161" s="65"/>
      <c r="D161" s="66"/>
      <c r="E161" s="37">
        <v>0</v>
      </c>
      <c r="F161" s="14"/>
      <c r="G161" s="14"/>
      <c r="H161" s="14"/>
    </row>
    <row r="162" ht="24.75" customHeight="1" spans="1:8">
      <c r="A162" s="63"/>
      <c r="B162" s="64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63"/>
      <c r="B163" s="64"/>
      <c r="C163" s="65"/>
      <c r="D163" s="66"/>
      <c r="E163" s="37">
        <v>0</v>
      </c>
      <c r="F163" s="14"/>
      <c r="G163" s="14"/>
      <c r="H163" s="14"/>
    </row>
    <row r="164" ht="22.5" customHeight="1" spans="1:8">
      <c r="A164" s="63"/>
      <c r="B164" s="64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63"/>
      <c r="B165" s="64"/>
      <c r="C165" s="65"/>
      <c r="D165" s="66"/>
      <c r="E165" s="37">
        <v>0</v>
      </c>
      <c r="F165" s="14"/>
      <c r="G165" s="14"/>
      <c r="H165" s="14"/>
    </row>
    <row r="166" ht="24.75" customHeight="1" spans="1:8">
      <c r="A166" s="63"/>
      <c r="B166" s="64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63"/>
      <c r="B167" s="64"/>
      <c r="C167" s="65"/>
      <c r="D167" s="66"/>
      <c r="E167" s="37">
        <v>0</v>
      </c>
      <c r="F167" s="14"/>
      <c r="G167" s="14"/>
      <c r="H167" s="14"/>
    </row>
    <row r="168" ht="24.75" customHeight="1" spans="1:5">
      <c r="A168" s="63"/>
      <c r="B168" s="64"/>
      <c r="C168" s="67" t="s">
        <v>92</v>
      </c>
      <c r="D168" s="62"/>
      <c r="E168" s="72"/>
    </row>
    <row r="169" ht="24.75" customHeight="1" spans="1:5">
      <c r="A169" s="63"/>
      <c r="B169" s="64"/>
      <c r="C169" s="74"/>
      <c r="D169" s="74"/>
      <c r="E169" s="87">
        <v>0</v>
      </c>
    </row>
    <row r="170" ht="24.75" customHeight="1" spans="1:5">
      <c r="A170" s="63"/>
      <c r="B170" s="64"/>
      <c r="C170" s="74"/>
      <c r="D170" s="74"/>
      <c r="E170" s="87">
        <v>0</v>
      </c>
    </row>
    <row r="171" ht="24.75" customHeight="1" spans="1:5">
      <c r="A171" s="63"/>
      <c r="B171" s="64"/>
      <c r="C171" s="74"/>
      <c r="D171" s="74"/>
      <c r="E171" s="87">
        <v>0</v>
      </c>
    </row>
    <row r="172" ht="30" customHeight="1" spans="1:5">
      <c r="A172" s="63"/>
      <c r="B172" s="64"/>
      <c r="C172" s="73"/>
      <c r="D172" s="73"/>
      <c r="E172" s="87">
        <v>0</v>
      </c>
    </row>
    <row r="173" ht="24.75" customHeight="1" spans="1:5">
      <c r="A173" s="63"/>
      <c r="B173" s="64"/>
      <c r="C173" s="65"/>
      <c r="D173" s="66"/>
      <c r="E173" s="88">
        <v>0</v>
      </c>
    </row>
    <row r="174" ht="24.75" customHeight="1" spans="1:5">
      <c r="A174" s="75"/>
      <c r="B174" s="76"/>
      <c r="C174" s="65"/>
      <c r="D174" s="66"/>
      <c r="E174" s="88">
        <v>0</v>
      </c>
    </row>
    <row r="175" ht="24.75" customHeight="1" spans="1:5">
      <c r="A175" s="56" t="s">
        <v>93</v>
      </c>
      <c r="B175" s="77"/>
      <c r="C175" s="78"/>
      <c r="D175" s="79"/>
      <c r="E175" s="88">
        <f>C110</f>
        <v>400</v>
      </c>
    </row>
    <row r="176" ht="24.75" customHeight="1" spans="1:5">
      <c r="A176" s="80"/>
      <c r="B176" s="81"/>
      <c r="C176" s="82" t="s">
        <v>94</v>
      </c>
      <c r="D176" s="82"/>
      <c r="E176" s="92">
        <f>(F42+E156)-(SUM(E159:E167)+SUM(E169:E175))</f>
        <v>941.71</v>
      </c>
    </row>
    <row r="180" ht="24.75" customHeight="1"/>
    <row r="181" ht="24.75" customHeight="1" spans="1:5">
      <c r="A181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March 2025 to 19 April 2025</v>
      </c>
      <c r="B181" s="54"/>
      <c r="C181" s="54"/>
      <c r="D181" s="54"/>
      <c r="E181" s="55"/>
    </row>
    <row r="182" ht="24.75" customHeight="1" spans="1:5">
      <c r="A182" s="53" t="s">
        <v>90</v>
      </c>
      <c r="B182" s="55"/>
      <c r="C182" s="83" t="s">
        <v>50</v>
      </c>
      <c r="D182" s="84"/>
      <c r="E182" s="90" t="s">
        <v>51</v>
      </c>
    </row>
    <row r="183" ht="24.75" customHeight="1" spans="1:5">
      <c r="A183" s="56" t="str">
        <f>"Balance Brought Forward From "&amp;IF(Main!B2,TEXT(EDATE(Main!B3,2)-1,"mmmm yyyy"),TEXT(Main!B3+(Main!B5-Main!B3)*2+1,"mmmm yyyy"))</f>
        <v>Balance Brought Forward From March 2025</v>
      </c>
      <c r="B183" s="57"/>
      <c r="C183" s="222"/>
      <c r="D183" s="222"/>
      <c r="E183" s="92">
        <f>E176</f>
        <v>941.71</v>
      </c>
    </row>
    <row r="184" ht="24.75" customHeight="1" spans="1:5">
      <c r="A184" s="59" t="s">
        <v>70</v>
      </c>
      <c r="B184" s="60"/>
      <c r="C184" s="85" t="s">
        <v>91</v>
      </c>
      <c r="D184" s="86"/>
      <c r="E184" s="91"/>
    </row>
    <row r="185" ht="24.75" customHeight="1" spans="1:8">
      <c r="A185" s="63"/>
      <c r="B185" s="64"/>
      <c r="C185" s="74"/>
      <c r="D185" s="74"/>
      <c r="E185" s="37">
        <v>0</v>
      </c>
      <c r="F185" s="14"/>
      <c r="G185" s="14"/>
      <c r="H185" s="14"/>
    </row>
    <row r="186" ht="24.75" customHeight="1" spans="1:8">
      <c r="A186" s="63"/>
      <c r="B186" s="64"/>
      <c r="C186" s="65"/>
      <c r="D186" s="66"/>
      <c r="E186" s="37">
        <v>0</v>
      </c>
      <c r="F186" s="14"/>
      <c r="G186" s="14"/>
      <c r="H186" s="14"/>
    </row>
    <row r="187" ht="24.75" customHeight="1" spans="1:8">
      <c r="A187" s="63"/>
      <c r="B187" s="64"/>
      <c r="C187" s="65"/>
      <c r="D187" s="66"/>
      <c r="E187" s="37">
        <v>0</v>
      </c>
      <c r="F187" s="14"/>
      <c r="G187" s="14"/>
      <c r="H187" s="14"/>
    </row>
    <row r="188" ht="24.75" customHeight="1" spans="1:8">
      <c r="A188" s="63"/>
      <c r="B188" s="64"/>
      <c r="C188" s="65"/>
      <c r="D188" s="66"/>
      <c r="E188" s="37">
        <v>0</v>
      </c>
      <c r="F188" s="14"/>
      <c r="G188" s="14"/>
      <c r="H188" s="14"/>
    </row>
    <row r="189" ht="24.75" customHeight="1" spans="1:8">
      <c r="A189" s="63"/>
      <c r="B189" s="6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63"/>
      <c r="B190" s="6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63"/>
      <c r="B191" s="6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63"/>
      <c r="B192" s="6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63"/>
      <c r="B193" s="6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63"/>
      <c r="B194" s="64"/>
      <c r="C194" s="65"/>
      <c r="D194" s="66"/>
      <c r="E194" s="37">
        <v>0</v>
      </c>
      <c r="F194" s="14"/>
      <c r="G194" s="14"/>
      <c r="H194" s="14"/>
    </row>
    <row r="195" ht="24.75" customHeight="1" spans="1:5">
      <c r="A195" s="63"/>
      <c r="B195" s="64"/>
      <c r="C195" s="67" t="s">
        <v>92</v>
      </c>
      <c r="D195" s="62"/>
      <c r="E195" s="72"/>
    </row>
    <row r="196" ht="24.75" customHeight="1" spans="1:5">
      <c r="A196" s="63"/>
      <c r="B196" s="64"/>
      <c r="C196" s="74"/>
      <c r="D196" s="74"/>
      <c r="E196" s="87">
        <v>0</v>
      </c>
    </row>
    <row r="197" ht="24.75" customHeight="1" spans="1:5">
      <c r="A197" s="63"/>
      <c r="B197" s="64"/>
      <c r="C197" s="73"/>
      <c r="D197" s="73"/>
      <c r="E197" s="87">
        <v>0</v>
      </c>
    </row>
    <row r="198" ht="24.75" customHeight="1" spans="1:5">
      <c r="A198" s="63"/>
      <c r="B198" s="64"/>
      <c r="C198" s="74"/>
      <c r="D198" s="74"/>
      <c r="E198" s="87">
        <v>0</v>
      </c>
    </row>
    <row r="199" ht="30" customHeight="1" spans="1:5">
      <c r="A199" s="63"/>
      <c r="B199" s="64"/>
      <c r="C199" s="114"/>
      <c r="D199" s="66"/>
      <c r="E199" s="88">
        <v>0</v>
      </c>
    </row>
    <row r="200" ht="24.75" customHeight="1" spans="1:5">
      <c r="A200" s="63"/>
      <c r="B200" s="64"/>
      <c r="C200" s="65"/>
      <c r="D200" s="66"/>
      <c r="E200" s="88">
        <v>0</v>
      </c>
    </row>
    <row r="201" ht="24.75" customHeight="1" spans="1:5">
      <c r="A201" s="75"/>
      <c r="B201" s="76"/>
      <c r="C201" s="65"/>
      <c r="D201" s="66"/>
      <c r="E201" s="88">
        <v>0</v>
      </c>
    </row>
    <row r="202" ht="24.75" customHeight="1" spans="1:5">
      <c r="A202" s="56" t="s">
        <v>93</v>
      </c>
      <c r="B202" s="77"/>
      <c r="C202" s="78"/>
      <c r="D202" s="79"/>
      <c r="E202" s="88">
        <f>C110</f>
        <v>400</v>
      </c>
    </row>
    <row r="203" ht="24.75" customHeight="1" spans="1:5">
      <c r="A203" s="80"/>
      <c r="B203" s="81"/>
      <c r="C203" s="82" t="s">
        <v>94</v>
      </c>
      <c r="D203" s="82"/>
      <c r="E203" s="92">
        <f>(F54+E183)-(SUM(E185:E194)+SUM(E196:E202))</f>
        <v>941.71</v>
      </c>
    </row>
    <row r="204" ht="24.75" customHeight="1"/>
  </sheetData>
  <sheetProtection formatCells="0" formatColumns="0" formatRows="0"/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7" workbookViewId="0">
      <selection activeCell="F160" sqref="F160"/>
    </sheetView>
  </sheetViews>
  <sheetFormatPr defaultColWidth="9" defaultRowHeight="17.6"/>
  <cols>
    <col min="1" max="1" width="25" style="41" customWidth="1"/>
    <col min="2" max="2" width="29.5069444444444" style="41" customWidth="1"/>
    <col min="3" max="3" width="24.875" style="41" customWidth="1"/>
    <col min="4" max="4" width="20.625" style="41" customWidth="1"/>
    <col min="5" max="5" width="27.625" style="41" customWidth="1"/>
    <col min="6" max="6" width="20.625" style="41" customWidth="1"/>
    <col min="7" max="7" width="9" style="41"/>
    <col min="8" max="9" width="20.625" style="41" customWidth="1"/>
    <col min="10" max="16384" width="9" style="41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April 2025 to July 2025</v>
      </c>
      <c r="B1" s="1"/>
      <c r="C1" s="1"/>
      <c r="D1" s="1"/>
      <c r="E1" s="1"/>
      <c r="F1" s="1"/>
      <c r="G1" s="1"/>
    </row>
    <row r="2" ht="28.5" customHeight="1" spans="1:7">
      <c r="A2" s="2" t="s">
        <v>34</v>
      </c>
      <c r="B2" s="3" t="s">
        <v>95</v>
      </c>
      <c r="C2" s="4" cm="1">
        <f ca="1" t="array" ref="C2">INDIRECT("'"&amp;Main!B9&amp;"'!$C$16")</f>
        <v>673.02</v>
      </c>
      <c r="D2" s="4"/>
      <c r="E2" s="4"/>
      <c r="F2" s="4"/>
      <c r="G2" s="4"/>
    </row>
    <row r="3" ht="42" customHeight="1" spans="1:7">
      <c r="A3" s="5"/>
      <c r="B3" s="6" t="s">
        <v>96</v>
      </c>
      <c r="C3" s="7">
        <f ca="1">E190</f>
        <v>498.02</v>
      </c>
      <c r="D3" s="7"/>
      <c r="E3" s="7"/>
      <c r="F3" s="7"/>
      <c r="G3" s="7"/>
    </row>
    <row r="4" spans="1:9">
      <c r="A4" s="8" t="s">
        <v>48</v>
      </c>
      <c r="B4" s="9"/>
      <c r="C4" s="10">
        <f ca="1">SUM(C2:G3)</f>
        <v>1171.04</v>
      </c>
      <c r="D4" s="10"/>
      <c r="E4" s="10"/>
      <c r="F4" s="10"/>
      <c r="G4" s="10"/>
      <c r="H4" s="14"/>
      <c r="I4" s="48"/>
    </row>
    <row r="5" spans="1:9">
      <c r="A5" s="11" t="s">
        <v>97</v>
      </c>
      <c r="B5" s="11"/>
      <c r="C5" s="12">
        <f ca="1">C108</f>
        <v>-5953</v>
      </c>
      <c r="D5" s="13"/>
      <c r="E5" s="13"/>
      <c r="F5" s="13"/>
      <c r="G5" s="13"/>
      <c r="H5" s="14"/>
      <c r="I5" s="48"/>
    </row>
    <row r="6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32"/>
      <c r="B10" s="133" t="s">
        <v>98</v>
      </c>
      <c r="C10" s="134"/>
      <c r="D10" s="135" t="s">
        <v>99</v>
      </c>
      <c r="E10" s="141"/>
      <c r="F10" s="43">
        <v>0</v>
      </c>
      <c r="G10" s="44"/>
      <c r="H10" s="14"/>
      <c r="I10" s="48"/>
    </row>
    <row r="11" ht="24.75" customHeight="1" spans="1:9">
      <c r="A11" s="132"/>
      <c r="B11" s="22" t="s">
        <v>53</v>
      </c>
      <c r="C11" s="23"/>
      <c r="D11" s="74" t="s">
        <v>54</v>
      </c>
      <c r="E11" s="74"/>
      <c r="F11" s="43">
        <v>400</v>
      </c>
      <c r="G11" s="44"/>
      <c r="H11" s="14"/>
      <c r="I11" s="48"/>
    </row>
    <row r="12" ht="78" customHeight="1" spans="1:9">
      <c r="A12" s="132"/>
      <c r="B12" s="97" t="s">
        <v>81</v>
      </c>
      <c r="C12" s="98"/>
      <c r="D12" s="97" t="s">
        <v>100</v>
      </c>
      <c r="E12" s="142"/>
      <c r="F12" s="43">
        <v>820.9</v>
      </c>
      <c r="G12" s="44"/>
      <c r="H12" s="14"/>
      <c r="I12" s="48"/>
    </row>
    <row r="13" ht="24.75" customHeight="1" spans="1:9">
      <c r="A13" s="132"/>
      <c r="B13" s="97"/>
      <c r="C13" s="98"/>
      <c r="D13" s="97"/>
      <c r="E13" s="115"/>
      <c r="F13" s="1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1220.9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" customHeight="1" spans="1:9">
      <c r="A22" s="132"/>
      <c r="B22" s="136" t="s">
        <v>98</v>
      </c>
      <c r="C22" s="134"/>
      <c r="D22" s="133" t="s">
        <v>99</v>
      </c>
      <c r="E22" s="141"/>
      <c r="F22" s="144">
        <v>2435</v>
      </c>
      <c r="G22" s="145"/>
      <c r="H22" s="14"/>
      <c r="I22" s="48"/>
    </row>
    <row r="23" ht="26.25" customHeight="1" spans="1:9">
      <c r="A23" s="132"/>
      <c r="B23" s="97" t="s">
        <v>98</v>
      </c>
      <c r="C23" s="98"/>
      <c r="D23" s="99" t="s">
        <v>101</v>
      </c>
      <c r="E23" s="100"/>
      <c r="F23" s="7">
        <v>1048</v>
      </c>
      <c r="G23" s="7"/>
      <c r="H23" s="14"/>
      <c r="I23" s="48"/>
    </row>
    <row r="24" ht="24.75" customHeight="1" spans="1:9">
      <c r="A24" s="132"/>
      <c r="B24" s="97" t="s">
        <v>102</v>
      </c>
      <c r="C24" s="98"/>
      <c r="D24" s="123" t="s">
        <v>103</v>
      </c>
      <c r="E24" s="142"/>
      <c r="F24" s="104">
        <v>68</v>
      </c>
      <c r="G24" s="105"/>
      <c r="H24" s="14"/>
      <c r="I24" s="48"/>
    </row>
    <row r="25" ht="50" customHeight="1" spans="1:9">
      <c r="A25" s="132"/>
      <c r="B25" s="97" t="s">
        <v>104</v>
      </c>
      <c r="C25" s="98"/>
      <c r="D25" s="97" t="s">
        <v>105</v>
      </c>
      <c r="E25" s="142"/>
      <c r="F25" s="43">
        <v>69.99</v>
      </c>
      <c r="G25" s="44"/>
      <c r="H25" s="14"/>
      <c r="I25" s="48"/>
    </row>
    <row r="26" ht="48" customHeight="1" spans="1:9">
      <c r="A26" s="132"/>
      <c r="B26" s="97" t="s">
        <v>106</v>
      </c>
      <c r="C26" s="98"/>
      <c r="D26" s="97" t="s">
        <v>107</v>
      </c>
      <c r="E26" s="115"/>
      <c r="F26" s="143">
        <v>0</v>
      </c>
      <c r="G26" s="44"/>
      <c r="H26" s="14"/>
      <c r="I26" s="48"/>
    </row>
    <row r="27" ht="32.1" customHeight="1" spans="1:9">
      <c r="A27" s="132"/>
      <c r="B27" s="137" t="s">
        <v>108</v>
      </c>
      <c r="C27" s="138"/>
      <c r="D27" s="139" t="s">
        <v>109</v>
      </c>
      <c r="E27" s="146"/>
      <c r="F27" s="43">
        <v>2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3622.99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32"/>
      <c r="B34" s="133" t="s">
        <v>98</v>
      </c>
      <c r="C34" s="134"/>
      <c r="D34" s="135"/>
      <c r="E34" s="141"/>
      <c r="F34" s="144">
        <v>2435</v>
      </c>
      <c r="G34" s="145"/>
      <c r="H34" s="14"/>
      <c r="I34" s="48"/>
    </row>
    <row r="35" ht="24.75" customHeight="1" spans="1:9">
      <c r="A35" s="132"/>
      <c r="B35" s="97" t="s">
        <v>110</v>
      </c>
      <c r="C35" s="98"/>
      <c r="D35" s="123" t="s">
        <v>111</v>
      </c>
      <c r="E35" s="147"/>
      <c r="F35" s="7">
        <v>50</v>
      </c>
      <c r="G35" s="7"/>
      <c r="H35" s="14"/>
      <c r="I35" s="48"/>
    </row>
    <row r="36" ht="24.75" customHeight="1" spans="1:9">
      <c r="A36" s="132"/>
      <c r="B36" s="97" t="s">
        <v>77</v>
      </c>
      <c r="C36" s="98"/>
      <c r="D36" s="123" t="s">
        <v>112</v>
      </c>
      <c r="E36" s="147"/>
      <c r="F36" s="7">
        <v>19.99</v>
      </c>
      <c r="G36" s="7"/>
      <c r="H36" s="14"/>
      <c r="I36" s="49"/>
    </row>
    <row r="37" ht="24.75" customHeight="1" spans="1:9">
      <c r="A37" s="132"/>
      <c r="B37" s="97"/>
      <c r="C37" s="98"/>
      <c r="D37" s="123"/>
      <c r="E37" s="147"/>
      <c r="F37" s="7">
        <v>0</v>
      </c>
      <c r="G37" s="7"/>
      <c r="H37" s="14"/>
      <c r="I37" s="48"/>
    </row>
    <row r="38" ht="24.75" customHeight="1" spans="1:9">
      <c r="A38" s="132"/>
      <c r="B38" s="97"/>
      <c r="C38" s="98"/>
      <c r="D38" s="123"/>
      <c r="E38" s="142"/>
      <c r="F38" s="104">
        <v>0</v>
      </c>
      <c r="G38" s="105"/>
      <c r="H38" s="14"/>
      <c r="I38" s="48"/>
    </row>
    <row r="39" ht="84" customHeight="1" spans="1:9">
      <c r="A39" s="19"/>
      <c r="B39" s="22"/>
      <c r="C39" s="23"/>
      <c r="D39" s="22"/>
      <c r="E39" s="23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2504.99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spans="1:9">
      <c r="A42" s="14"/>
      <c r="B42" s="14"/>
      <c r="C42" s="14"/>
      <c r="D42" s="14"/>
      <c r="E42" s="14"/>
      <c r="F42" s="14"/>
      <c r="G42" s="14"/>
      <c r="H42" s="14"/>
      <c r="I42" s="48"/>
    </row>
    <row r="43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18" customHeight="1" spans="1:9">
      <c r="A44" s="29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April 2025 to July 2025</v>
      </c>
      <c r="B44" s="30"/>
      <c r="C44" s="31"/>
      <c r="D44" s="14"/>
      <c r="E44" s="14"/>
      <c r="F44" s="14"/>
      <c r="G44" s="14"/>
      <c r="H44" s="14"/>
      <c r="I44" s="48"/>
    </row>
    <row r="45" ht="2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4"/>
      <c r="E46" s="14"/>
      <c r="F46" s="14"/>
      <c r="G46" s="14"/>
      <c r="H46" s="14"/>
      <c r="I46" s="48"/>
    </row>
    <row r="47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140">
        <v>78</v>
      </c>
      <c r="D47" s="14"/>
      <c r="E47" s="14"/>
      <c r="F47" s="14"/>
      <c r="G47" s="14"/>
      <c r="H47" s="14"/>
      <c r="I47" s="48"/>
    </row>
    <row r="48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140">
        <v>149</v>
      </c>
      <c r="D48" s="14"/>
      <c r="E48" s="14"/>
      <c r="F48" s="14"/>
      <c r="G48" s="14"/>
      <c r="H48" s="14"/>
      <c r="I48" s="48"/>
    </row>
    <row r="49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140">
        <v>0</v>
      </c>
      <c r="D49" s="14"/>
      <c r="E49" s="14"/>
      <c r="F49" s="14"/>
      <c r="G49" s="14"/>
      <c r="H49" s="14"/>
      <c r="I49" s="48"/>
    </row>
    <row r="50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140">
        <v>0</v>
      </c>
      <c r="D50" s="14"/>
      <c r="E50" s="14"/>
      <c r="F50" s="14"/>
      <c r="G50" s="14"/>
      <c r="H50" s="14"/>
      <c r="I50" s="48"/>
    </row>
    <row r="5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50</v>
      </c>
      <c r="D51" s="14"/>
      <c r="E51" s="14"/>
      <c r="F51" s="14"/>
      <c r="G51" s="14"/>
      <c r="H51" s="14"/>
      <c r="I51" s="48"/>
    </row>
    <row r="52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spans="1:9">
      <c r="A55" s="39"/>
      <c r="B55" s="40" t="s">
        <v>61</v>
      </c>
      <c r="C55" s="37">
        <f>SUM(C47:C54)</f>
        <v>277</v>
      </c>
      <c r="D55" s="14"/>
      <c r="E55" s="14"/>
      <c r="F55" s="14"/>
      <c r="G55" s="14"/>
      <c r="H55" s="14"/>
      <c r="I55" s="48"/>
    </row>
    <row r="56" spans="1:9">
      <c r="A56" s="93" t="str" cm="1">
        <f ca="1" t="array" ref="A56">IF((INDIRECT("'"&amp;INDIRECT("Main!B9")&amp;"'!A70"))=0,"",(INDIRECT("'"&amp;INDIRECT("Main!B9")&amp;"'!A70")))</f>
        <v>Credit Card Installments/Government Installments</v>
      </c>
      <c r="B56" s="94"/>
      <c r="C56" s="95"/>
      <c r="D56" s="14"/>
      <c r="E56" s="14"/>
      <c r="F56" s="14"/>
      <c r="G56" s="14"/>
      <c r="H56" s="14"/>
      <c r="I56" s="48"/>
    </row>
    <row r="57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spans="1:9">
      <c r="A67" s="93" t="str" cm="1">
        <f ca="1" t="array" ref="A67">IF((INDIRECT("'"&amp;INDIRECT("Main!B9")&amp;"'!A81"))=0,"",(INDIRECT("'"&amp;INDIRECT("Main!B9")&amp;"'!A81")))</f>
        <v>Donation</v>
      </c>
      <c r="B67" s="94"/>
      <c r="C67" s="95"/>
      <c r="D67" s="14"/>
      <c r="E67" s="14"/>
      <c r="F67" s="14"/>
      <c r="G67" s="14"/>
      <c r="H67" s="14"/>
      <c r="I67" s="48"/>
    </row>
    <row r="68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spans="1:9">
      <c r="A76" s="93" t="str" cm="1">
        <f ca="1" t="array" ref="A76">IF((INDIRECT("'"&amp;INDIRECT("Main!B9")&amp;"'!A90"))=0,"",(INDIRECT("'"&amp;INDIRECT("Main!B9")&amp;"'!A90")))</f>
        <v>Insurance (Personal / Properties / Medical)</v>
      </c>
      <c r="B76" s="94"/>
      <c r="C76" s="95"/>
      <c r="D76" s="14"/>
      <c r="E76" s="14"/>
      <c r="F76" s="14"/>
      <c r="G76" s="14"/>
      <c r="H76" s="14"/>
      <c r="I76" s="48"/>
    </row>
    <row r="77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spans="1:9">
      <c r="A86" s="93" t="str" cm="1">
        <f ca="1" t="array" ref="A86">IF((INDIRECT("'"&amp;INDIRECT("Main!B9")&amp;"'!A100"))=0,"",(INDIRECT("'"&amp;INDIRECT("Main!B9")&amp;"'!A100")))</f>
        <v>Other Expenses</v>
      </c>
      <c r="B86" s="94"/>
      <c r="C86" s="95"/>
      <c r="D86" s="14"/>
      <c r="E86" s="14"/>
      <c r="F86" s="14"/>
      <c r="G86" s="14"/>
      <c r="H86" s="14"/>
      <c r="I86" s="48"/>
    </row>
    <row r="87" ht="20.2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50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0.2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40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19.99</v>
      </c>
      <c r="D91" s="14"/>
      <c r="E91" s="14"/>
      <c r="F91" s="14"/>
      <c r="G91" s="14"/>
      <c r="H91" s="14"/>
      <c r="I91" s="48"/>
    </row>
    <row r="92" ht="20.2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0.2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0.2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spans="1:9">
      <c r="A96" s="50"/>
      <c r="B96" s="40" t="s">
        <v>79</v>
      </c>
      <c r="C96" s="37">
        <f>C55+C66+C75+C85+C95</f>
        <v>419.99</v>
      </c>
      <c r="D96" s="14"/>
      <c r="E96" s="14"/>
      <c r="F96" s="14"/>
      <c r="G96" s="14"/>
      <c r="H96" s="14"/>
      <c r="I96" s="48"/>
    </row>
    <row r="97" spans="1:9">
      <c r="A97" s="93" t="str" cm="1">
        <f ca="1" t="array" ref="A97">IF((INDIRECT("'"&amp;INDIRECT("Main!B9")&amp;"'!A111"))=0,"",(INDIRECT("'"&amp;INDIRECT("Main!B9")&amp;"'!A111")))</f>
        <v>Debts</v>
      </c>
      <c r="B97" s="94"/>
      <c r="C97" s="95"/>
      <c r="D97" s="14"/>
      <c r="E97" s="14"/>
      <c r="F97" s="14"/>
      <c r="G97" s="14"/>
      <c r="H97" s="14"/>
      <c r="I97" s="48"/>
    </row>
    <row r="98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-4870</v>
      </c>
      <c r="D98" s="14"/>
      <c r="E98" s="96"/>
      <c r="F98" s="14"/>
      <c r="G98" s="14"/>
      <c r="H98" s="14"/>
      <c r="I98" s="48"/>
    </row>
    <row r="99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8"/>
    </row>
    <row r="100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>
        <v>0</v>
      </c>
      <c r="D100" s="14"/>
      <c r="E100" s="14"/>
      <c r="F100" s="14"/>
      <c r="G100" s="14"/>
      <c r="H100" s="14"/>
      <c r="I100" s="48"/>
    </row>
    <row r="101" ht="21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8"/>
    </row>
    <row r="102" ht="21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48"/>
      <c r="F102" s="14"/>
      <c r="G102" s="14"/>
      <c r="H102" s="14"/>
      <c r="I102" s="48"/>
    </row>
    <row r="103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8"/>
    </row>
    <row r="104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8"/>
    </row>
    <row r="105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8"/>
    </row>
    <row r="106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8"/>
    </row>
    <row r="107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8"/>
    </row>
    <row r="108" spans="1:9">
      <c r="A108" s="50"/>
      <c r="B108" s="40" t="s">
        <v>88</v>
      </c>
      <c r="C108" s="106">
        <f ca="1">SUM(C98:C107)</f>
        <v>-5953</v>
      </c>
      <c r="D108" s="14"/>
      <c r="E108" s="14"/>
      <c r="F108" s="14"/>
      <c r="G108" s="14"/>
      <c r="H108" s="14"/>
      <c r="I108" s="48"/>
    </row>
    <row r="109" spans="1:9">
      <c r="A109" s="50"/>
      <c r="B109" s="40" t="s">
        <v>89</v>
      </c>
      <c r="C109" s="106">
        <f ca="1">C108-C96</f>
        <v>-6372.99</v>
      </c>
      <c r="D109" s="14"/>
      <c r="E109" s="14"/>
      <c r="F109" s="14"/>
      <c r="G109" s="14"/>
      <c r="H109" s="14"/>
      <c r="I109" s="48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"&amp;IF(Main!B2,TEXT(EDATE(Main!B3,3)-1,"mmmm yyyy"),TEXT(Main!B3+((Main!B5-Main!B3)*3+3),"mmmm yyyy"))</f>
        <v>Balance Brought Forward From April 2025</v>
      </c>
      <c r="B116" s="57"/>
      <c r="C116" s="58"/>
      <c r="D116" s="58"/>
      <c r="E116" s="89" cm="1">
        <f ca="1" t="array" ref="E116">INDIRECT("'"&amp;INDIRECT("Main!B9")&amp;"'!E203")</f>
        <v>941.71</v>
      </c>
      <c r="F116" s="14"/>
      <c r="G116" s="14"/>
      <c r="H116" s="68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9.2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9.2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9.2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9.2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9" customHeight="1" spans="1:9">
      <c r="A129" s="63"/>
      <c r="B129" s="64"/>
      <c r="C129" s="73" t="s">
        <v>113</v>
      </c>
      <c r="D129" s="74"/>
      <c r="E129" s="87">
        <v>910</v>
      </c>
      <c r="F129" s="14"/>
      <c r="G129" s="14"/>
      <c r="H129" s="14"/>
      <c r="I129" s="48"/>
    </row>
    <row r="130" ht="227" customHeight="1" spans="1:9">
      <c r="A130" s="63"/>
      <c r="B130" s="64"/>
      <c r="C130" s="73" t="s">
        <v>114</v>
      </c>
      <c r="D130" s="74"/>
      <c r="E130" s="87">
        <v>635.7</v>
      </c>
      <c r="F130" s="14"/>
      <c r="G130" s="14"/>
      <c r="H130" s="14"/>
      <c r="I130" s="48"/>
    </row>
    <row r="131" ht="24.75" customHeight="1" spans="1:9">
      <c r="A131" s="63"/>
      <c r="B131" s="64"/>
      <c r="C131" s="74" t="s">
        <v>115</v>
      </c>
      <c r="D131" s="74"/>
      <c r="E131" s="87">
        <v>150.9</v>
      </c>
      <c r="F131" s="14"/>
      <c r="G131" s="14"/>
      <c r="H131" s="14"/>
      <c r="I131" s="48"/>
    </row>
    <row r="132" ht="24.75" customHeight="1" spans="1:9">
      <c r="A132" s="63"/>
      <c r="B132" s="64"/>
      <c r="C132" s="74"/>
      <c r="D132" s="74"/>
      <c r="E132" s="87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125"/>
      <c r="D133" s="125"/>
      <c r="E133" s="87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419.99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46.02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"&amp;IF(Main!B2,TEXT(EDATE(Main!B3,4)-1,"mmmm yyyy"),TEXT(Main!B3+((Main!B5-Main!B3)*4+3),"mmmm yyyy"))</f>
        <v>Balance Brought Forward From May 2025</v>
      </c>
      <c r="B143" s="57"/>
      <c r="C143" s="58"/>
      <c r="D143" s="58"/>
      <c r="E143" s="89">
        <f ca="1">E136</f>
        <v>46.02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 t="s">
        <v>116</v>
      </c>
      <c r="D145" s="66"/>
      <c r="E145" s="37">
        <v>570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7" customHeight="1" spans="1:9">
      <c r="A151" s="63"/>
      <c r="B151" s="64"/>
      <c r="C151" s="114" t="s">
        <v>117</v>
      </c>
      <c r="D151" s="149"/>
      <c r="E151" s="37">
        <v>150.9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3" customHeight="1" spans="1:9">
      <c r="A156" s="63"/>
      <c r="B156" s="64"/>
      <c r="C156" s="73" t="s">
        <v>118</v>
      </c>
      <c r="D156" s="74"/>
      <c r="E156" s="87">
        <v>164</v>
      </c>
      <c r="F156" s="14"/>
      <c r="G156" s="14"/>
      <c r="H156" s="14"/>
      <c r="I156" s="48"/>
    </row>
    <row r="157" ht="43" customHeight="1" spans="1:9">
      <c r="A157" s="63"/>
      <c r="B157" s="64"/>
      <c r="C157" s="73" t="s">
        <v>119</v>
      </c>
      <c r="D157" s="74"/>
      <c r="E157" s="87">
        <v>850</v>
      </c>
      <c r="F157" s="14"/>
      <c r="G157" s="14"/>
      <c r="H157" s="14"/>
      <c r="I157" s="48"/>
    </row>
    <row r="158" ht="118" customHeight="1" spans="1:9">
      <c r="A158" s="63"/>
      <c r="B158" s="64"/>
      <c r="C158" s="73" t="s">
        <v>120</v>
      </c>
      <c r="D158" s="74"/>
      <c r="E158" s="87">
        <v>68.6</v>
      </c>
      <c r="F158" s="14"/>
      <c r="G158" s="14"/>
      <c r="H158" s="14"/>
      <c r="I158" s="48"/>
    </row>
    <row r="159" ht="295" customHeight="1" spans="1:9">
      <c r="A159" s="63"/>
      <c r="B159" s="64"/>
      <c r="C159" s="73" t="s">
        <v>121</v>
      </c>
      <c r="D159" s="74"/>
      <c r="E159" s="87">
        <v>428.5</v>
      </c>
      <c r="F159" s="14"/>
      <c r="G159" s="14"/>
      <c r="H159" s="14"/>
      <c r="I159" s="48"/>
    </row>
    <row r="160" ht="274" customHeight="1" spans="1:9">
      <c r="A160" s="63"/>
      <c r="B160" s="64"/>
      <c r="C160" s="73" t="s">
        <v>122</v>
      </c>
      <c r="D160" s="125"/>
      <c r="E160" s="87">
        <v>344</v>
      </c>
      <c r="F160" s="14"/>
      <c r="G160" s="14"/>
      <c r="H160" s="14"/>
      <c r="I160" s="48"/>
    </row>
    <row r="161" ht="24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419.99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673.02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">
        <v>123</v>
      </c>
      <c r="B170" s="57"/>
      <c r="C170" s="58"/>
      <c r="D170" s="58"/>
      <c r="E170" s="92">
        <f ca="1">E163</f>
        <v>673.02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 t="s">
        <v>124</v>
      </c>
      <c r="D172" s="74"/>
      <c r="E172" s="37">
        <v>1100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74"/>
      <c r="D174" s="74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33" customHeight="1" spans="1:9">
      <c r="A177" s="63"/>
      <c r="B177" s="64"/>
      <c r="C177" s="114"/>
      <c r="D177" s="149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114"/>
      <c r="D178" s="149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71" customHeight="1" spans="1:9">
      <c r="A183" s="63"/>
      <c r="B183" s="64"/>
      <c r="C183" s="73" t="s">
        <v>125</v>
      </c>
      <c r="D183" s="74"/>
      <c r="E183" s="87">
        <v>760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126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74"/>
      <c r="D185" s="74"/>
      <c r="E185" s="87">
        <v>0</v>
      </c>
      <c r="F185" s="14"/>
      <c r="G185" s="14"/>
      <c r="H185" s="14"/>
      <c r="I185" s="48"/>
    </row>
    <row r="186" ht="26" customHeight="1" spans="1:9">
      <c r="A186" s="63"/>
      <c r="B186" s="64"/>
      <c r="C186" s="73"/>
      <c r="D186" s="73"/>
      <c r="E186" s="87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73"/>
      <c r="D187" s="73"/>
      <c r="E187" s="87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150"/>
      <c r="D188" s="151"/>
      <c r="E188" s="87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419.99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498.02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3" s="41" customFormat="1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7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9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108">
    <cfRule type="cellIs" dxfId="0" priority="58" operator="greaterThanOrEqual">
      <formula>0</formula>
    </cfRule>
    <cfRule type="cellIs" dxfId="1" priority="57" operator="lessThan">
      <formula>0</formula>
    </cfRule>
  </conditionalFormatting>
  <conditionalFormatting sqref="C109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18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29">
    <cfRule type="cellIs" dxfId="5" priority="23" operator="equal">
      <formula>0</formula>
    </cfRule>
  </conditionalFormatting>
  <conditionalFormatting sqref="E130">
    <cfRule type="cellIs" dxfId="5" priority="22" operator="equal">
      <formula>0</formula>
    </cfRule>
  </conditionalFormatting>
  <conditionalFormatting sqref="E136">
    <cfRule type="cellIs" dxfId="3" priority="66" operator="greaterThanOrEqual">
      <formula>0</formula>
    </cfRule>
    <cfRule type="cellIs" dxfId="4" priority="65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4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72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4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47:C50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57:C66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68:C69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0:C7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0:C8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7:C90">
    <cfRule type="cellIs" dxfId="5" priority="12" operator="equal">
      <formula>0</formula>
    </cfRule>
  </conditionalFormatting>
  <conditionalFormatting sqref="C92:C9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9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31:E133">
    <cfRule type="cellIs" dxfId="5" priority="21" operator="equal">
      <formula>0</formula>
    </cfRule>
  </conditionalFormatting>
  <conditionalFormatting sqref="E156:E157">
    <cfRule type="cellIs" dxfId="5" priority="9" operator="equal">
      <formula>0</formula>
    </cfRule>
  </conditionalFormatting>
  <conditionalFormatting sqref="E158:E160">
    <cfRule type="cellIs" dxfId="5" priority="8" operator="equal">
      <formula>0</formula>
    </cfRule>
  </conditionalFormatting>
  <conditionalFormatting sqref="E183:E188">
    <cfRule type="cellIs" dxfId="5" priority="3" operator="equal">
      <formula>0</formula>
    </cfRule>
  </conditionalFormatting>
  <conditionalFormatting sqref="C51:C55 C85 C78:C79 C95:C96">
    <cfRule type="cellIs" dxfId="0" priority="80" operator="equal">
      <formula>0</formula>
    </cfRule>
  </conditionalFormatting>
  <conditionalFormatting sqref="C51:C55 C85 C78:C79 C95:C96 E144 E155 E161:E162">
    <cfRule type="cellIs" dxfId="1" priority="79" operator="greaterThan">
      <formula>0</formula>
    </cfRule>
  </conditionalFormatting>
  <conditionalFormatting sqref="E117 E128 E134:E13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44 E155 E161:E162">
    <cfRule type="cellIs" dxfId="2" priority="54" operator="equal">
      <formula>0</formula>
    </cfRule>
  </conditionalFormatting>
  <conditionalFormatting sqref="E145:E146 E148:E150 E152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71 E182 E189">
    <cfRule type="cellIs" dxfId="2" priority="48" operator="equal">
      <formula>0</formula>
    </cfRule>
    <cfRule type="cellIs" dxfId="1" priority="47" operator="greaterThan">
      <formula>0</formula>
    </cfRule>
  </conditionalFormatting>
  <conditionalFormatting sqref="E173 E175:E181">
    <cfRule type="cellIs" dxfId="0" priority="34" operator="equal">
      <formula>0</formula>
    </cfRule>
    <cfRule type="cellIs" dxfId="1" priority="33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164" workbookViewId="0">
      <selection activeCell="F177" sqref="F177"/>
    </sheetView>
  </sheetViews>
  <sheetFormatPr defaultColWidth="9" defaultRowHeight="17.6"/>
  <cols>
    <col min="1" max="1" width="20.625" style="41" customWidth="1"/>
    <col min="2" max="2" width="26.9583333333333" style="41" customWidth="1"/>
    <col min="3" max="3" width="24.125" style="41" customWidth="1"/>
    <col min="4" max="7" width="20.625" style="41" customWidth="1"/>
    <col min="8" max="8" width="15.625" style="41" customWidth="1"/>
    <col min="9" max="16384" width="9" style="41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July 2025 to October 2025</v>
      </c>
      <c r="B1" s="1"/>
      <c r="C1" s="1"/>
      <c r="D1" s="1"/>
      <c r="E1" s="1"/>
      <c r="F1" s="1"/>
      <c r="G1" s="1"/>
    </row>
    <row r="2" ht="30" customHeight="1" spans="1:7">
      <c r="A2" s="2" t="s">
        <v>34</v>
      </c>
      <c r="B2" s="3" t="s">
        <v>95</v>
      </c>
      <c r="C2" s="4" cm="1">
        <f ca="1" t="array" ref="C2">INDIRECT("'"&amp;Main!B9&amp;"'!$C$16")</f>
        <v>673.02</v>
      </c>
      <c r="D2" s="4"/>
      <c r="E2" s="4"/>
      <c r="F2" s="4"/>
      <c r="G2" s="4"/>
    </row>
    <row r="3" ht="30" customHeight="1" spans="1:7">
      <c r="A3" s="5"/>
      <c r="B3" s="6" t="s">
        <v>96</v>
      </c>
      <c r="C3" s="7">
        <f ca="1">E190</f>
        <v>355.02</v>
      </c>
      <c r="D3" s="7"/>
      <c r="E3" s="7"/>
      <c r="F3" s="7"/>
      <c r="G3" s="7"/>
    </row>
    <row r="4" ht="30" customHeight="1" spans="1:9">
      <c r="A4" s="8" t="s">
        <v>48</v>
      </c>
      <c r="B4" s="9"/>
      <c r="C4" s="10">
        <f ca="1">SUM(C2:G3)</f>
        <v>1028.04</v>
      </c>
      <c r="D4" s="10"/>
      <c r="E4" s="10"/>
      <c r="F4" s="10"/>
      <c r="G4" s="10"/>
      <c r="H4" s="14"/>
      <c r="I4" s="48"/>
    </row>
    <row r="5" ht="30" customHeight="1" spans="1:9">
      <c r="A5" s="11" t="s">
        <v>97</v>
      </c>
      <c r="B5" s="11"/>
      <c r="C5" s="12">
        <f ca="1">C108</f>
        <v>-2903</v>
      </c>
      <c r="D5" s="13"/>
      <c r="E5" s="13"/>
      <c r="F5" s="13"/>
      <c r="G5" s="13"/>
      <c r="H5" s="14"/>
      <c r="I5" s="48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30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30" customHeight="1" spans="1:9">
      <c r="A10" s="101"/>
      <c r="B10" s="20" t="s">
        <v>98</v>
      </c>
      <c r="C10" s="20"/>
      <c r="D10" s="115" t="s">
        <v>99</v>
      </c>
      <c r="E10" s="123"/>
      <c r="F10" s="7">
        <v>2435</v>
      </c>
      <c r="G10" s="7"/>
      <c r="H10" s="14"/>
      <c r="I10" s="48"/>
    </row>
    <row r="11" ht="30" customHeight="1" spans="1:9">
      <c r="A11" s="101"/>
      <c r="B11" s="20"/>
      <c r="C11" s="20"/>
      <c r="D11" s="115"/>
      <c r="E11" s="123"/>
      <c r="F11" s="7">
        <v>0</v>
      </c>
      <c r="G11" s="7"/>
      <c r="H11" s="14"/>
      <c r="I11" s="48"/>
    </row>
    <row r="12" ht="30" customHeight="1" spans="1:9">
      <c r="A12" s="101"/>
      <c r="B12" s="20"/>
      <c r="C12" s="20"/>
      <c r="D12" s="115"/>
      <c r="E12" s="123"/>
      <c r="F12" s="7">
        <v>0</v>
      </c>
      <c r="G12" s="7"/>
      <c r="H12" s="14"/>
      <c r="I12" s="48"/>
    </row>
    <row r="13" ht="30" customHeight="1" spans="1:9">
      <c r="A13" s="101"/>
      <c r="B13" s="20"/>
      <c r="C13" s="20"/>
      <c r="D13" s="115"/>
      <c r="E13" s="123"/>
      <c r="F13" s="7">
        <v>0</v>
      </c>
      <c r="G13" s="7"/>
      <c r="H13" s="14"/>
      <c r="I13" s="48"/>
    </row>
    <row r="14" ht="30" customHeight="1" spans="1:9">
      <c r="A14" s="101"/>
      <c r="B14" s="20"/>
      <c r="C14" s="20"/>
      <c r="D14" s="115"/>
      <c r="E14" s="123"/>
      <c r="F14" s="7">
        <v>0</v>
      </c>
      <c r="G14" s="7"/>
      <c r="H14" s="14"/>
      <c r="I14" s="48"/>
    </row>
    <row r="15" ht="30" customHeight="1" spans="1:9">
      <c r="A15" s="101"/>
      <c r="B15" s="20"/>
      <c r="C15" s="20"/>
      <c r="D15" s="115"/>
      <c r="E15" s="123"/>
      <c r="F15" s="7">
        <v>0</v>
      </c>
      <c r="G15" s="7"/>
      <c r="H15" s="14"/>
      <c r="I15" s="48"/>
    </row>
    <row r="16" ht="30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30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30" customHeight="1" spans="1:9">
      <c r="A22" s="101"/>
      <c r="B22" s="20" t="s">
        <v>98</v>
      </c>
      <c r="C22" s="20"/>
      <c r="D22" s="115" t="s">
        <v>99</v>
      </c>
      <c r="E22" s="123"/>
      <c r="F22" s="7">
        <v>2435</v>
      </c>
      <c r="G22" s="7"/>
      <c r="H22" s="14"/>
      <c r="I22" s="48"/>
    </row>
    <row r="23" ht="30" customHeight="1" spans="1:9">
      <c r="A23" s="101"/>
      <c r="B23" s="20"/>
      <c r="C23" s="110"/>
      <c r="D23" s="21"/>
      <c r="E23" s="111"/>
      <c r="F23" s="7">
        <v>0</v>
      </c>
      <c r="G23" s="7"/>
      <c r="H23" s="14"/>
      <c r="I23" s="48"/>
    </row>
    <row r="24" ht="27" customHeight="1" spans="1:9">
      <c r="A24" s="19"/>
      <c r="B24" s="22"/>
      <c r="C24" s="23"/>
      <c r="D24" s="22"/>
      <c r="E24" s="23"/>
      <c r="F24" s="43">
        <v>0</v>
      </c>
      <c r="G24" s="44"/>
      <c r="H24" s="14"/>
      <c r="I24" s="48"/>
    </row>
    <row r="25" ht="29.25" customHeight="1" spans="1:9">
      <c r="A25" s="101"/>
      <c r="B25" s="20"/>
      <c r="C25" s="110"/>
      <c r="D25" s="20"/>
      <c r="E25" s="110"/>
      <c r="F25" s="7">
        <v>0</v>
      </c>
      <c r="G25" s="7"/>
      <c r="H25" s="14"/>
      <c r="I25" s="48"/>
    </row>
    <row r="26" ht="30" customHeight="1" spans="1:9">
      <c r="A26" s="101"/>
      <c r="B26" s="20"/>
      <c r="C26" s="110"/>
      <c r="D26" s="21"/>
      <c r="E26" s="111"/>
      <c r="F26" s="7">
        <v>0</v>
      </c>
      <c r="G26" s="7"/>
      <c r="H26" s="14"/>
      <c r="I26" s="48"/>
    </row>
    <row r="27" ht="30" customHeight="1" spans="1:9">
      <c r="A27" s="101"/>
      <c r="B27" s="20"/>
      <c r="C27" s="110"/>
      <c r="D27" s="20"/>
      <c r="E27" s="110"/>
      <c r="F27" s="7">
        <v>0</v>
      </c>
      <c r="G27" s="7"/>
      <c r="H27" s="14"/>
      <c r="I27" s="48"/>
    </row>
    <row r="28" ht="30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30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30" customHeight="1" spans="1:9">
      <c r="A34" s="101"/>
      <c r="B34" s="20" t="s">
        <v>98</v>
      </c>
      <c r="C34" s="20"/>
      <c r="D34" s="115" t="s">
        <v>99</v>
      </c>
      <c r="E34" s="123"/>
      <c r="F34" s="7">
        <v>2435</v>
      </c>
      <c r="G34" s="7"/>
      <c r="H34" s="14"/>
      <c r="I34" s="48"/>
    </row>
    <row r="35" ht="30" customHeight="1" spans="1:9">
      <c r="A35" s="101"/>
      <c r="B35" s="116"/>
      <c r="C35" s="117"/>
      <c r="D35" s="21"/>
      <c r="E35" s="111"/>
      <c r="F35" s="7">
        <v>0</v>
      </c>
      <c r="G35" s="7"/>
      <c r="H35" s="14"/>
      <c r="I35" s="48"/>
    </row>
    <row r="36" ht="30" customHeight="1" spans="1:9">
      <c r="A36" s="101"/>
      <c r="B36" s="116"/>
      <c r="C36" s="117"/>
      <c r="D36" s="21"/>
      <c r="E36" s="111"/>
      <c r="F36" s="7">
        <v>0</v>
      </c>
      <c r="G36" s="7"/>
      <c r="H36" s="14"/>
      <c r="I36" s="49"/>
    </row>
    <row r="37" ht="24" customHeight="1" spans="1:9">
      <c r="A37" s="118"/>
      <c r="B37" s="119"/>
      <c r="C37" s="120"/>
      <c r="D37" s="119"/>
      <c r="E37" s="120"/>
      <c r="F37" s="43">
        <v>0</v>
      </c>
      <c r="G37" s="44"/>
      <c r="H37" s="14"/>
      <c r="I37" s="48"/>
    </row>
    <row r="38" ht="30" customHeight="1" spans="1:9">
      <c r="A38" s="101"/>
      <c r="B38" s="116"/>
      <c r="C38" s="117"/>
      <c r="D38" s="116"/>
      <c r="E38" s="117"/>
      <c r="F38" s="7">
        <v>0</v>
      </c>
      <c r="G38" s="7"/>
      <c r="H38" s="14"/>
      <c r="I38" s="48"/>
    </row>
    <row r="39" ht="30" customHeight="1" spans="1:9">
      <c r="A39" s="101"/>
      <c r="B39" s="121"/>
      <c r="C39" s="122"/>
      <c r="D39" s="121"/>
      <c r="E39" s="122"/>
      <c r="F39" s="7">
        <v>0</v>
      </c>
      <c r="G39" s="7"/>
      <c r="H39" s="14"/>
      <c r="I39" s="48"/>
    </row>
    <row r="40" ht="30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30" customHeight="1" spans="1:9">
      <c r="A44" s="29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July 2025 to October 2025</v>
      </c>
      <c r="B44" s="30"/>
      <c r="C44" s="31"/>
      <c r="D44" s="14"/>
      <c r="E44" s="14"/>
      <c r="F44" s="14"/>
      <c r="G44" s="14"/>
      <c r="H44" s="14"/>
      <c r="I44" s="48"/>
    </row>
    <row r="45" ht="30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30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30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30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30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30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4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30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30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30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30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30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30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30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30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30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30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30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30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30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30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30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30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50.2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30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30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30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30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30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30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30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30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30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30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30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30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30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30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30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30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30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30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30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47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30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30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44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30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30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30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30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30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30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30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INDIRECT("'"&amp;INDIRECT("Main!B12")&amp;"'!C98")+SUM(E118+E145+E172)</f>
        <v>-1820</v>
      </c>
      <c r="D98" s="14"/>
      <c r="E98" s="96"/>
      <c r="F98" s="14"/>
      <c r="G98" s="14"/>
      <c r="H98" s="14"/>
      <c r="I98" s="48"/>
    </row>
    <row r="99" ht="30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8"/>
    </row>
    <row r="100" ht="30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24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48"/>
    </row>
    <row r="101" ht="42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8"/>
    </row>
    <row r="102" ht="42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8"/>
    </row>
    <row r="103" ht="30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8"/>
    </row>
    <row r="104" ht="30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8"/>
    </row>
    <row r="105" ht="30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8"/>
    </row>
    <row r="106" ht="30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8"/>
    </row>
    <row r="107" ht="30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8"/>
    </row>
    <row r="108" ht="30" customHeight="1" spans="1:9">
      <c r="A108" s="50"/>
      <c r="B108" s="40" t="s">
        <v>88</v>
      </c>
      <c r="C108" s="37">
        <f ca="1">SUM(C98:C107)</f>
        <v>-2903</v>
      </c>
      <c r="D108" s="14"/>
      <c r="E108" s="14"/>
      <c r="F108" s="14"/>
      <c r="G108" s="14"/>
      <c r="H108" s="14"/>
      <c r="I108" s="48"/>
    </row>
    <row r="109" ht="30" customHeight="1" spans="1:9">
      <c r="A109" s="50"/>
      <c r="B109" s="40" t="s">
        <v>89</v>
      </c>
      <c r="C109" s="37">
        <f ca="1">C108-C96</f>
        <v>-3253</v>
      </c>
      <c r="D109" s="14"/>
      <c r="E109" s="14"/>
      <c r="F109" s="14"/>
      <c r="G109" s="14"/>
      <c r="H109" s="14"/>
      <c r="I109" s="48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30" customHeight="1" spans="1:9">
      <c r="A114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48"/>
    </row>
    <row r="115" ht="30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30" customHeight="1" spans="1:9">
      <c r="A116" s="56" t="str">
        <f>"Balance Brought Forward From "&amp;IF(Main!B2,TEXT(EDATE(Main!B3,6)-1,"mmmm yyyy"),TEXT(Main!B3+((Main!B5-Main!B3)*6+5),"mmmm yyyy"))</f>
        <v>Balance Brought Forward From July 2025</v>
      </c>
      <c r="B116" s="57"/>
      <c r="C116" s="58"/>
      <c r="D116" s="58"/>
      <c r="E116" s="89" cm="1">
        <f ca="1" t="array" ref="E116">INDIRECT("'"&amp;INDIRECT("Main!B12")&amp;"'!E190")</f>
        <v>498.02</v>
      </c>
      <c r="F116" s="14"/>
      <c r="G116" s="14"/>
      <c r="H116" s="14"/>
      <c r="I116" s="48"/>
    </row>
    <row r="117" ht="30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30" customHeight="1" spans="1:9">
      <c r="A118" s="63"/>
      <c r="B118" s="64"/>
      <c r="C118" s="74" t="s">
        <v>127</v>
      </c>
      <c r="D118" s="74"/>
      <c r="E118" s="37">
        <v>1050</v>
      </c>
      <c r="F118" s="14"/>
      <c r="G118" s="14"/>
      <c r="H118" s="14"/>
      <c r="I118" s="48"/>
    </row>
    <row r="119" ht="30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30" customHeight="1" spans="1:9">
      <c r="A120" s="63"/>
      <c r="B120" s="64"/>
      <c r="C120" s="74"/>
      <c r="D120" s="74"/>
      <c r="E120" s="87">
        <v>0</v>
      </c>
      <c r="F120" s="14"/>
      <c r="G120" s="14"/>
      <c r="H120" s="14"/>
      <c r="I120" s="48"/>
    </row>
    <row r="121" ht="30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30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30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30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30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30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30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30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3" customHeight="1" spans="1:9">
      <c r="A129" s="63"/>
      <c r="B129" s="64"/>
      <c r="C129" s="73" t="s">
        <v>128</v>
      </c>
      <c r="D129" s="74"/>
      <c r="E129" s="87">
        <v>419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129</v>
      </c>
      <c r="D130" s="74"/>
      <c r="E130" s="87">
        <v>650</v>
      </c>
      <c r="F130" s="14"/>
      <c r="G130" s="14"/>
      <c r="H130" s="14"/>
      <c r="I130" s="48"/>
    </row>
    <row r="131" ht="30" customHeight="1" spans="1:9">
      <c r="A131" s="63"/>
      <c r="B131" s="64"/>
      <c r="C131" s="74"/>
      <c r="D131" s="74"/>
      <c r="E131" s="87">
        <v>0</v>
      </c>
      <c r="F131" s="14"/>
      <c r="G131" s="14"/>
      <c r="H131" s="14"/>
      <c r="I131" s="48"/>
    </row>
    <row r="132" ht="30" customHeight="1" spans="1:9">
      <c r="A132" s="63"/>
      <c r="B132" s="64"/>
      <c r="C132" s="125"/>
      <c r="D132" s="125"/>
      <c r="E132" s="87">
        <v>0</v>
      </c>
      <c r="F132" s="14"/>
      <c r="G132" s="14"/>
      <c r="H132" s="14"/>
      <c r="I132" s="48"/>
    </row>
    <row r="133" ht="30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30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30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30" customHeight="1" spans="1:9">
      <c r="A136" s="80"/>
      <c r="B136" s="81"/>
      <c r="C136" s="82" t="s">
        <v>94</v>
      </c>
      <c r="D136" s="82"/>
      <c r="E136" s="89">
        <f ca="1">(F16+E116)-(SUM(E118:E127)+SUM(E129:E135))</f>
        <v>464.02</v>
      </c>
      <c r="F136" s="14"/>
      <c r="G136" s="14"/>
      <c r="H136" s="14"/>
      <c r="I136" s="48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30" customHeight="1" spans="1:9">
      <c r="A141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48"/>
    </row>
    <row r="142" ht="30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30" customHeight="1" spans="1:9">
      <c r="A143" s="56" t="str">
        <f>"Balance Brought Forward From "&amp;IF(Main!B2,TEXT(EDATE(Main!B3,7)-1,"mmmm yyyy"),TEXT(Main!B3+((Main!B5-Main!B3)*7+6),"mmmm yyyy"))</f>
        <v>Balance Brought Forward From August 2025</v>
      </c>
      <c r="B143" s="57"/>
      <c r="C143" s="58"/>
      <c r="D143" s="58"/>
      <c r="E143" s="89">
        <f ca="1">E136</f>
        <v>464.02</v>
      </c>
      <c r="F143" s="14"/>
      <c r="G143" s="14"/>
      <c r="H143" s="14"/>
      <c r="I143" s="48"/>
    </row>
    <row r="144" ht="30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30" customHeight="1" spans="1:9">
      <c r="A145" s="63"/>
      <c r="B145" s="64"/>
      <c r="C145" s="74" t="s">
        <v>130</v>
      </c>
      <c r="D145" s="74"/>
      <c r="E145" s="37">
        <v>1000</v>
      </c>
      <c r="F145" s="14"/>
      <c r="G145" s="14"/>
      <c r="H145" s="14"/>
      <c r="I145" s="48"/>
    </row>
    <row r="146" ht="30" customHeight="1" spans="1:9">
      <c r="A146" s="63"/>
      <c r="B146" s="64"/>
      <c r="C146" s="65"/>
      <c r="D146" s="66"/>
      <c r="E146" s="131">
        <v>0</v>
      </c>
      <c r="F146" s="14"/>
      <c r="G146" s="14"/>
      <c r="H146" s="14"/>
      <c r="I146" s="48"/>
    </row>
    <row r="147" ht="30" customHeight="1" spans="1:9">
      <c r="A147" s="63"/>
      <c r="B147" s="64"/>
      <c r="C147" s="74"/>
      <c r="D147" s="74"/>
      <c r="E147" s="87">
        <v>0</v>
      </c>
      <c r="F147" s="14"/>
      <c r="G147" s="14"/>
      <c r="H147" s="14"/>
      <c r="I147" s="48"/>
    </row>
    <row r="148" ht="30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30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30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30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30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30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30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30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2" customHeight="1" spans="1:9">
      <c r="A156" s="63"/>
      <c r="B156" s="64"/>
      <c r="C156" s="73" t="s">
        <v>131</v>
      </c>
      <c r="D156" s="74"/>
      <c r="E156" s="87">
        <v>810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126</v>
      </c>
      <c r="D157" s="74"/>
      <c r="E157" s="87">
        <v>400</v>
      </c>
      <c r="F157" s="14"/>
      <c r="G157" s="14"/>
      <c r="H157" s="14"/>
      <c r="I157" s="48"/>
    </row>
    <row r="158" ht="30" customHeight="1" spans="1:9">
      <c r="A158" s="63"/>
      <c r="B158" s="64"/>
      <c r="C158" s="126"/>
      <c r="D158" s="126"/>
      <c r="E158" s="87">
        <v>0</v>
      </c>
      <c r="F158" s="14"/>
      <c r="G158" s="14"/>
      <c r="H158" s="14"/>
      <c r="I158" s="48"/>
    </row>
    <row r="159" ht="30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30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30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30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30" customHeight="1" spans="1:9">
      <c r="A163" s="80"/>
      <c r="B163" s="81"/>
      <c r="C163" s="82" t="s">
        <v>94</v>
      </c>
      <c r="D163" s="82"/>
      <c r="E163" s="92">
        <f ca="1">(F28+E143)-(SUM(E145:E154)+SUM(E156:E162))</f>
        <v>339.02</v>
      </c>
      <c r="F163" s="14"/>
      <c r="G163" s="14"/>
      <c r="H163" s="14"/>
      <c r="I163" s="48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30" customHeight="1" spans="1:9">
      <c r="A168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48"/>
    </row>
    <row r="169" ht="30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30" customHeight="1" spans="1:9">
      <c r="A170" s="56" t="str">
        <f>"Balance Brought Forward From "&amp;IF(Main!B2,TEXT(EDATE(Main!B3,8)-1,"mmmm yyyy"),TEXT(Main!B3+((Main!B5-Main!B3)*8+7),"mmmm yyyy"))</f>
        <v>Balance Brought Forward From September 2025</v>
      </c>
      <c r="B170" s="57"/>
      <c r="C170" s="58"/>
      <c r="D170" s="58"/>
      <c r="E170" s="92">
        <f ca="1">E163</f>
        <v>339.02</v>
      </c>
      <c r="F170" s="14"/>
      <c r="G170" s="14"/>
      <c r="H170" s="14"/>
      <c r="I170" s="48"/>
    </row>
    <row r="171" ht="30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30" customHeight="1" spans="1:9">
      <c r="A172" s="63"/>
      <c r="B172" s="64"/>
      <c r="C172" s="74" t="s">
        <v>130</v>
      </c>
      <c r="D172" s="74"/>
      <c r="E172" s="37">
        <v>1000</v>
      </c>
      <c r="F172" s="14"/>
      <c r="G172" s="14"/>
      <c r="H172" s="14"/>
      <c r="I172" s="48"/>
    </row>
    <row r="173" ht="30" customHeight="1" spans="1:9">
      <c r="A173" s="63"/>
      <c r="B173" s="64"/>
      <c r="C173" s="127"/>
      <c r="D173" s="128"/>
      <c r="E173" s="131">
        <v>0</v>
      </c>
      <c r="F173" s="14"/>
      <c r="G173" s="14"/>
      <c r="H173" s="14"/>
      <c r="I173" s="48"/>
    </row>
    <row r="174" ht="30" customHeight="1" spans="1:9">
      <c r="A174" s="63"/>
      <c r="B174" s="64"/>
      <c r="C174" s="129"/>
      <c r="D174" s="129"/>
      <c r="E174" s="87">
        <v>0</v>
      </c>
      <c r="F174" s="14"/>
      <c r="G174" s="14"/>
      <c r="H174" s="14"/>
      <c r="I174" s="48"/>
    </row>
    <row r="175" ht="30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30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30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30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30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30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30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128</v>
      </c>
      <c r="D183" s="74"/>
      <c r="E183" s="87">
        <v>419</v>
      </c>
      <c r="F183" s="14"/>
      <c r="G183" s="14"/>
      <c r="H183" s="14"/>
      <c r="I183" s="48"/>
    </row>
    <row r="184" ht="30.75" customHeight="1" spans="1:9">
      <c r="A184" s="63"/>
      <c r="B184" s="64"/>
      <c r="C184" s="74" t="s">
        <v>129</v>
      </c>
      <c r="D184" s="74"/>
      <c r="E184" s="87">
        <v>650</v>
      </c>
      <c r="F184" s="14"/>
      <c r="G184" s="14"/>
      <c r="H184" s="14"/>
      <c r="I184" s="48"/>
    </row>
    <row r="185" ht="30.75" customHeight="1" spans="1:9">
      <c r="A185" s="63"/>
      <c r="B185" s="64"/>
      <c r="C185" s="129"/>
      <c r="D185" s="129"/>
      <c r="E185" s="87">
        <v>0</v>
      </c>
      <c r="F185" s="14"/>
      <c r="G185" s="14"/>
      <c r="H185" s="14"/>
      <c r="I185" s="48"/>
    </row>
    <row r="186" ht="30" customHeight="1" spans="1:9">
      <c r="A186" s="63"/>
      <c r="B186" s="64"/>
      <c r="C186" s="129"/>
      <c r="D186" s="129"/>
      <c r="E186" s="87">
        <v>0</v>
      </c>
      <c r="F186" s="14"/>
      <c r="G186" s="14"/>
      <c r="H186" s="14"/>
      <c r="I186" s="48"/>
    </row>
    <row r="187" ht="30" customHeight="1" spans="1:9">
      <c r="A187" s="63"/>
      <c r="B187" s="64"/>
      <c r="C187" s="130"/>
      <c r="D187" s="129"/>
      <c r="E187" s="87">
        <v>0</v>
      </c>
      <c r="F187" s="14"/>
      <c r="G187" s="14"/>
      <c r="H187" s="14"/>
      <c r="I187" s="48"/>
    </row>
    <row r="188" ht="30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30" customHeight="1" spans="1:9">
      <c r="A190" s="80"/>
      <c r="B190" s="81"/>
      <c r="C190" s="82" t="s">
        <v>94</v>
      </c>
      <c r="D190" s="82"/>
      <c r="E190" s="92">
        <f ca="1">(F40+E170)-(SUM(E172:E181)+SUM(E183:E189))</f>
        <v>355.02</v>
      </c>
      <c r="F190" s="14"/>
      <c r="G190" s="14"/>
      <c r="H190" s="14"/>
      <c r="I190" s="48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30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52" operator="greaterThanOrEqual">
      <formula>0</formula>
    </cfRule>
    <cfRule type="cellIs" dxfId="1" priority="51" operator="lessThan">
      <formula>0</formula>
    </cfRule>
  </conditionalFormatting>
  <conditionalFormatting sqref="C75">
    <cfRule type="cellIs" dxfId="0" priority="95" operator="equal">
      <formula>0</formula>
    </cfRule>
    <cfRule type="cellIs" dxfId="1" priority="94" operator="greaterThan">
      <formula>0</formula>
    </cfRule>
  </conditionalFormatting>
  <conditionalFormatting sqref="C77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C108">
    <cfRule type="cellIs" dxfId="0" priority="54" operator="greaterThanOrEqual">
      <formula>0</formula>
    </cfRule>
    <cfRule type="cellIs" dxfId="1" priority="53" operator="lessThan">
      <formula>0</formula>
    </cfRule>
  </conditionalFormatting>
  <conditionalFormatting sqref="C109">
    <cfRule type="cellIs" dxfId="0" priority="50" operator="greaterThanOrEqual">
      <formula>0</formula>
    </cfRule>
    <cfRule type="cellIs" dxfId="1" priority="49" operator="lessThan">
      <formula>0</formula>
    </cfRule>
  </conditionalFormatting>
  <conditionalFormatting sqref="E116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18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20">
    <cfRule type="cellIs" dxfId="6" priority="44" operator="equal">
      <formula>0</formula>
    </cfRule>
    <cfRule type="cellIs" dxfId="5" priority="43" operator="equal">
      <formula>0</formula>
    </cfRule>
  </conditionalFormatting>
  <conditionalFormatting sqref="E136">
    <cfRule type="cellIs" dxfId="3" priority="87" operator="greaterThanOrEqual">
      <formula>0</formula>
    </cfRule>
    <cfRule type="cellIs" dxfId="4" priority="86" operator="lessThan">
      <formula>0</formula>
    </cfRule>
  </conditionalFormatting>
  <conditionalFormatting sqref="E143">
    <cfRule type="cellIs" dxfId="3" priority="74" operator="greaterThanOrEqual">
      <formula>0</formula>
    </cfRule>
    <cfRule type="cellIs" dxfId="4" priority="73" operator="lessThan">
      <formula>0</formula>
    </cfRule>
  </conditionalFormatting>
  <conditionalFormatting sqref="E14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46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7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56">
    <cfRule type="cellIs" dxfId="5" priority="4" operator="equal">
      <formula>0</formula>
    </cfRule>
  </conditionalFormatting>
  <conditionalFormatting sqref="E157">
    <cfRule type="cellIs" dxfId="5" priority="5" operator="equal">
      <formula>0</formula>
    </cfRule>
  </conditionalFormatting>
  <conditionalFormatting sqref="E158">
    <cfRule type="cellIs" dxfId="6" priority="28" operator="equal">
      <formula>0</formula>
    </cfRule>
    <cfRule type="cellIs" dxfId="5" priority="27" operator="equal">
      <formula>0</formula>
    </cfRule>
  </conditionalFormatting>
  <conditionalFormatting sqref="E163">
    <cfRule type="cellIs" dxfId="3" priority="76" operator="greaterThanOrEqual">
      <formula>0</formula>
    </cfRule>
    <cfRule type="cellIs" dxfId="4" priority="75" operator="lessThan">
      <formula>0</formula>
    </cfRule>
  </conditionalFormatting>
  <conditionalFormatting sqref="E170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72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73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4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85">
    <cfRule type="cellIs" dxfId="6" priority="16" operator="equal">
      <formula>0</formula>
    </cfRule>
    <cfRule type="cellIs" dxfId="5" priority="15" operator="equal">
      <formula>0</formula>
    </cfRule>
  </conditionalFormatting>
  <conditionalFormatting sqref="E186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87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90">
    <cfRule type="cellIs" dxfId="3" priority="70" operator="greaterThanOrEqual">
      <formula>0</formula>
    </cfRule>
    <cfRule type="cellIs" dxfId="4" priority="69" operator="lessThan">
      <formula>0</formula>
    </cfRule>
  </conditionalFormatting>
  <conditionalFormatting sqref="C57:C66">
    <cfRule type="cellIs" dxfId="0" priority="99" operator="equal">
      <formula>0</formula>
    </cfRule>
    <cfRule type="cellIs" dxfId="1" priority="98" operator="greaterThan">
      <formula>0</formula>
    </cfRule>
  </conditionalFormatting>
  <conditionalFormatting sqref="C68:C69">
    <cfRule type="cellIs" dxfId="0" priority="97" operator="equal">
      <formula>0</formula>
    </cfRule>
    <cfRule type="cellIs" dxfId="1" priority="96" operator="greaterThan">
      <formula>0</formula>
    </cfRule>
  </conditionalFormatting>
  <conditionalFormatting sqref="C70:C74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80:C84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87:C90">
    <cfRule type="cellIs" dxfId="5" priority="48" operator="equal">
      <formula>0</formula>
    </cfRule>
    <cfRule type="cellIs" dxfId="6" priority="47" operator="equal">
      <formula>0</formula>
    </cfRule>
  </conditionalFormatting>
  <conditionalFormatting sqref="C91:C94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98:C107">
    <cfRule type="cellIs" dxfId="1" priority="64" operator="lessThan">
      <formula>0</formula>
    </cfRule>
    <cfRule type="cellIs" dxfId="2" priority="63" operator="greaterThanOrEqual">
      <formula>0</formula>
    </cfRule>
  </conditionalFormatting>
  <conditionalFormatting sqref="E129:E130">
    <cfRule type="cellIs" dxfId="5" priority="8" operator="equal">
      <formula>0</formula>
    </cfRule>
  </conditionalFormatting>
  <conditionalFormatting sqref="E131:E132">
    <cfRule type="cellIs" dxfId="6" priority="40" operator="equal">
      <formula>0</formula>
    </cfRule>
    <cfRule type="cellIs" dxfId="5" priority="39" operator="equal">
      <formula>0</formula>
    </cfRule>
  </conditionalFormatting>
  <conditionalFormatting sqref="E148:E15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75:E181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78:C79 C95:C96">
    <cfRule type="cellIs" dxfId="0" priority="101" operator="equal">
      <formula>0</formula>
    </cfRule>
  </conditionalFormatting>
  <conditionalFormatting sqref="C47:C55 C85 C78:C79 C95:C96 E144 E155 E159:E162">
    <cfRule type="cellIs" dxfId="1" priority="100" operator="greaterThan">
      <formula>0</formula>
    </cfRule>
  </conditionalFormatting>
  <conditionalFormatting sqref="E117 E128 E133:E135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E119 E121:E127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9:E162">
    <cfRule type="cellIs" dxfId="2" priority="77" operator="equal">
      <formula>0</formula>
    </cfRule>
  </conditionalFormatting>
  <conditionalFormatting sqref="E171 E182 E188:E189">
    <cfRule type="cellIs" dxfId="2" priority="72" operator="equal">
      <formula>0</formula>
    </cfRule>
    <cfRule type="cellIs" dxfId="1" priority="7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2" workbookViewId="0">
      <selection activeCell="E183" sqref="E183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October 2025 to January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673.02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621.02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1294.04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-483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110"/>
      <c r="D10" s="21" t="s">
        <v>99</v>
      </c>
      <c r="E10" s="111"/>
      <c r="F10" s="7">
        <v>2435</v>
      </c>
      <c r="G10" s="7"/>
      <c r="H10" s="14"/>
      <c r="I10" s="48"/>
    </row>
    <row r="11" ht="24.75" customHeight="1" spans="1:9">
      <c r="A11" s="101"/>
      <c r="B11" s="20"/>
      <c r="C11" s="110"/>
      <c r="D11" s="21"/>
      <c r="E11" s="111"/>
      <c r="F11" s="7">
        <v>0</v>
      </c>
      <c r="G11" s="7"/>
      <c r="H11" s="14"/>
      <c r="I11" s="48"/>
    </row>
    <row r="12" ht="24" customHeight="1" spans="1:9">
      <c r="A12" s="19"/>
      <c r="B12" s="22"/>
      <c r="C12" s="23"/>
      <c r="D12" s="22"/>
      <c r="E12" s="23"/>
      <c r="F12" s="43">
        <v>0</v>
      </c>
      <c r="G12" s="44"/>
      <c r="H12" s="14"/>
      <c r="I12" s="48"/>
    </row>
    <row r="13" ht="25.5" customHeight="1" spans="1:9">
      <c r="A13" s="19"/>
      <c r="B13" s="22"/>
      <c r="C13" s="23"/>
      <c r="D13" s="22"/>
      <c r="E13" s="23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01"/>
      <c r="B25" s="20"/>
      <c r="C25" s="20"/>
      <c r="D25" s="21"/>
      <c r="E25" s="21"/>
      <c r="F25" s="7">
        <v>0</v>
      </c>
      <c r="G25" s="7"/>
      <c r="H25" s="14"/>
      <c r="I25" s="48"/>
    </row>
    <row r="26" ht="24.75" customHeight="1" spans="1:9">
      <c r="A26" s="19"/>
      <c r="B26" s="102"/>
      <c r="C26" s="103"/>
      <c r="D26" s="102"/>
      <c r="E26" s="103"/>
      <c r="F26" s="104">
        <v>0</v>
      </c>
      <c r="G26" s="105"/>
      <c r="H26" s="14"/>
      <c r="I26" s="48"/>
    </row>
    <row r="27" ht="24.75" customHeight="1" spans="1:9">
      <c r="A27" s="19"/>
      <c r="B27" s="22"/>
      <c r="C27" s="23"/>
      <c r="D27" s="22"/>
      <c r="E27" s="23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111" t="s">
        <v>99</v>
      </c>
      <c r="E34" s="112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111"/>
      <c r="E35" s="112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111"/>
      <c r="E36" s="112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2"/>
      <c r="E37" s="23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October 2025 to January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INDIRECT("'"&amp;INDIRECT("Main!B15")&amp;"'!C98")+SUM(E118+E145+E172)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8"/>
    </row>
    <row r="102" ht="46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INDIRECT("'"&amp;INDIRECT("Main!B15")&amp;"'!C103")+SUM(E123+E150+E177)</f>
        <v>-483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-483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-833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"&amp;IF(Main!B2,TEXT(EDATE(Main!B3,9)-1,"mmmm yyyy"),TEXT(Main!B3+((Main!B5-Main!B3)*9+8),"mmmm yyyy"))</f>
        <v>Balance Brought Forward From October 2025</v>
      </c>
      <c r="B116" s="57"/>
      <c r="C116" s="58"/>
      <c r="D116" s="58"/>
      <c r="E116" s="71" cm="1">
        <f ca="1" t="array" ref="E116">INDIRECT("'"&amp;INDIRECT("Main!B15")&amp;"'!E190")</f>
        <v>355.02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 t="s">
        <v>132</v>
      </c>
      <c r="D118" s="74"/>
      <c r="E118" s="37">
        <v>800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73"/>
      <c r="D120" s="73"/>
      <c r="E120" s="113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47" customHeight="1" spans="1:9">
      <c r="A129" s="63"/>
      <c r="B129" s="64"/>
      <c r="C129" s="73" t="s">
        <v>125</v>
      </c>
      <c r="D129" s="74"/>
      <c r="E129" s="87">
        <v>760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126</v>
      </c>
      <c r="D130" s="74"/>
      <c r="E130" s="87">
        <v>400</v>
      </c>
      <c r="F130" s="14"/>
      <c r="G130" s="14"/>
      <c r="H130" s="14"/>
      <c r="I130" s="48"/>
    </row>
    <row r="131" ht="25.5" customHeight="1" spans="1:9">
      <c r="A131" s="63"/>
      <c r="B131" s="64"/>
      <c r="C131" s="97"/>
      <c r="D131" s="98"/>
      <c r="E131" s="113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480.02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"&amp;IF(Main!B2,TEXT(EDATE(Main!B3,10)-1,"mmmm yyyy"),TEXT(Main!B3+((Main!B5-Main!B3)*10+9),"mmmm yyyy"))</f>
        <v>Balance Brought Forward From November 2025</v>
      </c>
      <c r="B143" s="57"/>
      <c r="C143" s="58"/>
      <c r="D143" s="58"/>
      <c r="E143" s="89">
        <f ca="1">E136</f>
        <v>480.02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 t="s">
        <v>133</v>
      </c>
      <c r="D145" s="74"/>
      <c r="E145" s="37">
        <v>770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 t="s">
        <v>134</v>
      </c>
      <c r="D150" s="66"/>
      <c r="E150" s="37">
        <v>200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7" customHeight="1" spans="1:9">
      <c r="A156" s="63"/>
      <c r="B156" s="64"/>
      <c r="C156" s="73" t="s">
        <v>135</v>
      </c>
      <c r="D156" s="74"/>
      <c r="E156" s="87">
        <v>469</v>
      </c>
      <c r="F156" s="14"/>
      <c r="G156" s="14"/>
      <c r="H156" s="14"/>
      <c r="I156" s="48"/>
    </row>
    <row r="157" ht="27.75" customHeight="1" spans="1:9">
      <c r="A157" s="63"/>
      <c r="B157" s="64"/>
      <c r="C157" s="74" t="s">
        <v>129</v>
      </c>
      <c r="D157" s="74"/>
      <c r="E157" s="87">
        <v>650</v>
      </c>
      <c r="F157" s="14"/>
      <c r="G157" s="14"/>
      <c r="H157" s="14"/>
      <c r="I157" s="48"/>
    </row>
    <row r="158" ht="31.5" customHeight="1" spans="1:9">
      <c r="A158" s="63"/>
      <c r="B158" s="64"/>
      <c r="C158" s="114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476.02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"&amp;IF(Main!B2,TEXT(EDATE(Main!B3,11)-1,"mmmm yyyy"),TEXT(Main!B3+((Main!B5-Main!B3)*11+10),"mmmm yyyy"))</f>
        <v>Balance Brought Forward From December 2025</v>
      </c>
      <c r="B170" s="57"/>
      <c r="C170" s="58"/>
      <c r="D170" s="58"/>
      <c r="E170" s="92">
        <f ca="1">E163</f>
        <v>476.02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 t="s">
        <v>136</v>
      </c>
      <c r="D172" s="74"/>
      <c r="E172" s="37">
        <v>250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 t="s">
        <v>137</v>
      </c>
      <c r="D177" s="66"/>
      <c r="E177" s="37">
        <v>400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138</v>
      </c>
      <c r="D183" s="74"/>
      <c r="E183" s="87">
        <v>890</v>
      </c>
      <c r="F183" s="14"/>
      <c r="G183" s="14"/>
      <c r="H183" s="14"/>
      <c r="I183" s="48"/>
    </row>
    <row r="184" ht="28.5" customHeight="1" spans="1:9">
      <c r="A184" s="63"/>
      <c r="B184" s="64"/>
      <c r="C184" s="74" t="s">
        <v>126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621.02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C75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77">
    <cfRule type="cellIs" dxfId="0" priority="86" operator="equal">
      <formula>0</formula>
    </cfRule>
    <cfRule type="cellIs" dxfId="1" priority="85" operator="greaterThan">
      <formula>0</formula>
    </cfRule>
  </conditionalFormatting>
  <conditionalFormatting sqref="C90">
    <cfRule type="cellIs" dxfId="6" priority="39" operator="equal">
      <formula>0</formula>
    </cfRule>
  </conditionalFormatting>
  <conditionalFormatting sqref="C91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41" operator="greaterThanOrEqual">
      <formula>0</formula>
    </cfRule>
    <cfRule type="cellIs" dxfId="1" priority="40" operator="lessThan">
      <formula>0</formula>
    </cfRule>
  </conditionalFormatting>
  <conditionalFormatting sqref="C109">
    <cfRule type="cellIs" dxfId="0" priority="72" operator="greaterThanOrEqual">
      <formula>0</formula>
    </cfRule>
    <cfRule type="cellIs" dxfId="1" priority="71" operator="lessThan">
      <formula>0</formula>
    </cfRule>
  </conditionalFormatting>
  <conditionalFormatting sqref="E116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18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1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0">
    <cfRule type="cellIs" dxfId="5" priority="34" operator="equal">
      <formula>0</formula>
    </cfRule>
  </conditionalFormatting>
  <conditionalFormatting sqref="E129">
    <cfRule type="cellIs" dxfId="5" priority="12" operator="equal">
      <formula>0</formula>
    </cfRule>
  </conditionalFormatting>
  <conditionalFormatting sqref="E130">
    <cfRule type="cellIs" dxfId="5" priority="13" operator="equal">
      <formula>0</formula>
    </cfRule>
  </conditionalFormatting>
  <conditionalFormatting sqref="E131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36">
    <cfRule type="cellIs" dxfId="3" priority="80" operator="greaterThanOrEqual">
      <formula>0</formula>
    </cfRule>
    <cfRule type="cellIs" dxfId="4" priority="79" operator="lessThan">
      <formula>0</formula>
    </cfRule>
  </conditionalFormatting>
  <conditionalFormatting sqref="E143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8">
    <cfRule type="cellIs" dxfId="1" priority="27" operator="greaterThan">
      <formula>0</formula>
    </cfRule>
    <cfRule type="cellIs" dxfId="2" priority="26" operator="equal">
      <formula>0</formula>
    </cfRule>
  </conditionalFormatting>
  <conditionalFormatting sqref="E163">
    <cfRule type="cellIs" dxfId="3" priority="69" operator="greaterThanOrEqual">
      <formula>0</formula>
    </cfRule>
    <cfRule type="cellIs" dxfId="4" priority="68" operator="lessThan">
      <formula>0</formula>
    </cfRule>
  </conditionalFormatting>
  <conditionalFormatting sqref="E170">
    <cfRule type="cellIs" dxfId="3" priority="61" operator="greaterThanOrEqual">
      <formula>0</formula>
    </cfRule>
    <cfRule type="cellIs" dxfId="4" priority="60" operator="lessThan">
      <formula>0</formula>
    </cfRule>
  </conditionalFormatting>
  <conditionalFormatting sqref="E172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77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3">
    <cfRule type="cellIs" dxfId="5" priority="5" operator="equal">
      <formula>0</formula>
    </cfRule>
  </conditionalFormatting>
  <conditionalFormatting sqref="E184">
    <cfRule type="cellIs" dxfId="5" priority="6" operator="equal">
      <formula>0</formula>
    </cfRule>
  </conditionalFormatting>
  <conditionalFormatting sqref="E190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C57:C66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68:C69">
    <cfRule type="cellIs" dxfId="0" priority="90" operator="equal">
      <formula>0</formula>
    </cfRule>
    <cfRule type="cellIs" dxfId="1" priority="89" operator="greaterThan">
      <formula>0</formula>
    </cfRule>
  </conditionalFormatting>
  <conditionalFormatting sqref="C70:C74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8:C7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0:C84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87:C90">
    <cfRule type="cellIs" dxfId="5" priority="38" operator="equal">
      <formula>0</formula>
    </cfRule>
  </conditionalFormatting>
  <conditionalFormatting sqref="C92:C94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98:C107">
    <cfRule type="cellIs" dxfId="1" priority="57" operator="lessThan">
      <formula>0</formula>
    </cfRule>
    <cfRule type="cellIs" dxfId="2" priority="56" operator="greaterThanOrEqual">
      <formula>0</formula>
    </cfRule>
  </conditionalFormatting>
  <conditionalFormatting sqref="E121:E127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46:E154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56:E157">
    <cfRule type="cellIs" dxfId="5" priority="9" operator="equal">
      <formula>0</formula>
    </cfRule>
  </conditionalFormatting>
  <conditionalFormatting sqref="E173:E174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:C55 C85 C95:C96">
    <cfRule type="cellIs" dxfId="0" priority="94" operator="equal">
      <formula>0</formula>
    </cfRule>
  </conditionalFormatting>
  <conditionalFormatting sqref="C47:C55 C85 C95:C96 E144 E155 E159:E162">
    <cfRule type="cellIs" dxfId="1" priority="93" operator="greaterThan">
      <formula>0</formula>
    </cfRule>
  </conditionalFormatting>
  <conditionalFormatting sqref="E117 E128 E132:E135">
    <cfRule type="cellIs" dxfId="0" priority="82" operator="equal">
      <formula>0</formula>
    </cfRule>
    <cfRule type="cellIs" dxfId="1" priority="81" operator="greaterThan">
      <formula>0</formula>
    </cfRule>
  </conditionalFormatting>
  <conditionalFormatting sqref="E144 E155 E159:E162">
    <cfRule type="cellIs" dxfId="2" priority="70" operator="equal">
      <formula>0</formula>
    </cfRule>
  </conditionalFormatting>
  <conditionalFormatting sqref="E171 E182 E185:E189">
    <cfRule type="cellIs" dxfId="2" priority="65" operator="equal">
      <formula>0</formula>
    </cfRule>
    <cfRule type="cellIs" dxfId="1" priority="64" operator="greaterThan">
      <formula>0</formula>
    </cfRule>
  </conditionalFormatting>
  <conditionalFormatting sqref="E175:E176 E178:E181">
    <cfRule type="cellIs" dxfId="0" priority="51" operator="equal">
      <formula>0</formula>
    </cfRule>
    <cfRule type="cellIs" dxfId="1" priority="50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7" workbookViewId="0">
      <selection activeCell="C157" sqref="C157:D157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January 2026 to April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673.02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2755.02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3428.04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01"/>
      <c r="B13" s="20"/>
      <c r="C13" s="20"/>
      <c r="D13" s="21"/>
      <c r="E13" s="21"/>
      <c r="F13" s="7">
        <v>0</v>
      </c>
      <c r="G13" s="7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107"/>
      <c r="C24" s="107"/>
      <c r="D24" s="108"/>
      <c r="E24" s="108"/>
      <c r="F24" s="109">
        <v>0</v>
      </c>
      <c r="G24" s="109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January 2026 to April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INDIRECT("'"&amp;INDIRECT("Main!B18")&amp;"'!C98")+SUM(E118+E145+E172)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8"/>
    </row>
    <row r="102" ht="4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INDIRECT("'"&amp;INDIRECT("Main!B18")&amp;"'!C103")+SUM(E123+E150+E177)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January 2026</v>
      </c>
      <c r="B116" s="57"/>
      <c r="C116" s="58"/>
      <c r="D116" s="58"/>
      <c r="E116" s="71" cm="1">
        <f ca="1" t="array" ref="E116">INDIRECT("'"&amp;INDIRECT("Main!B18")&amp;"'!E190")</f>
        <v>621.02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/>
      <c r="D118" s="74"/>
      <c r="E118" s="8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 t="s">
        <v>139</v>
      </c>
      <c r="D123" s="66"/>
      <c r="E123" s="37">
        <v>483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49" customHeight="1" spans="1:9">
      <c r="A129" s="63"/>
      <c r="B129" s="64"/>
      <c r="C129" s="73" t="s">
        <v>128</v>
      </c>
      <c r="D129" s="74"/>
      <c r="E129" s="87">
        <v>419</v>
      </c>
      <c r="F129" s="14"/>
      <c r="G129" s="14"/>
      <c r="H129" s="14"/>
      <c r="I129" s="48"/>
    </row>
    <row r="130" ht="30.75" customHeight="1" spans="1:9">
      <c r="A130" s="63"/>
      <c r="B130" s="64"/>
      <c r="C130" s="74" t="s">
        <v>129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1154.02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February 2026</v>
      </c>
      <c r="B143" s="57"/>
      <c r="C143" s="58"/>
      <c r="D143" s="58"/>
      <c r="E143" s="89">
        <f ca="1">E136</f>
        <v>1154.02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2" customHeight="1" spans="1:9">
      <c r="A156" s="63"/>
      <c r="B156" s="64"/>
      <c r="C156" s="73" t="s">
        <v>140</v>
      </c>
      <c r="D156" s="74"/>
      <c r="E156" s="87">
        <v>1100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126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1739.02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March 2026</v>
      </c>
      <c r="B170" s="57"/>
      <c r="C170" s="58"/>
      <c r="D170" s="58"/>
      <c r="E170" s="92">
        <f ca="1">E163</f>
        <v>1739.02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8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62" customHeight="1" spans="1:9">
      <c r="A183" s="63"/>
      <c r="B183" s="64"/>
      <c r="C183" s="73" t="s">
        <v>128</v>
      </c>
      <c r="D183" s="74"/>
      <c r="E183" s="87">
        <v>419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129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2755.02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31" operator="greaterThanOrEqual">
      <formula>0</formula>
    </cfRule>
    <cfRule type="cellIs" dxfId="1" priority="30" operator="lessThan">
      <formula>0</formula>
    </cfRule>
  </conditionalFormatting>
  <conditionalFormatting sqref="C75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7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90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9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08">
    <cfRule type="cellIs" dxfId="0" priority="29" operator="greaterThanOrEqual">
      <formula>0</formula>
    </cfRule>
    <cfRule type="cellIs" dxfId="1" priority="28" operator="lessThan">
      <formula>0</formula>
    </cfRule>
  </conditionalFormatting>
  <conditionalFormatting sqref="C109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E116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18">
    <cfRule type="cellIs" dxfId="5" priority="19" operator="equal">
      <formula>0</formula>
    </cfRule>
  </conditionalFormatting>
  <conditionalFormatting sqref="E123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36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43">
    <cfRule type="cellIs" dxfId="3" priority="55" operator="greaterThanOrEqual">
      <formula>0</formula>
    </cfRule>
    <cfRule type="cellIs" dxfId="4" priority="54" operator="lessThan">
      <formula>0</formula>
    </cfRule>
  </conditionalFormatting>
  <conditionalFormatting sqref="E145">
    <cfRule type="cellIs" dxfId="5" priority="15" operator="equal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7" operator="greaterThanOrEqual">
      <formula>0</formula>
    </cfRule>
    <cfRule type="cellIs" dxfId="4" priority="56" operator="lessThan">
      <formula>0</formula>
    </cfRule>
  </conditionalFormatting>
  <conditionalFormatting sqref="E170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2">
    <cfRule type="cellIs" dxfId="5" priority="11" operator="equal">
      <formula>0</formula>
    </cfRule>
  </conditionalFormatting>
  <conditionalFormatting sqref="E190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C57:C66">
    <cfRule type="cellIs" dxfId="0" priority="80" operator="equal">
      <formula>0</formula>
    </cfRule>
    <cfRule type="cellIs" dxfId="1" priority="79" operator="greaterThan">
      <formula>0</formula>
    </cfRule>
  </conditionalFormatting>
  <conditionalFormatting sqref="C68:C69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0:C74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8:C79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0:C8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8:C89">
    <cfRule type="cellIs" dxfId="5" priority="24" operator="equal">
      <formula>0</formula>
    </cfRule>
  </conditionalFormatting>
  <conditionalFormatting sqref="C92:C9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8:C107">
    <cfRule type="cellIs" dxfId="1" priority="45" operator="lessThan">
      <formula>0</formula>
    </cfRule>
    <cfRule type="cellIs" dxfId="2" priority="44" operator="greaterThanOrEqual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6:E15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73:E181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82" operator="equal">
      <formula>0</formula>
    </cfRule>
  </conditionalFormatting>
  <conditionalFormatting sqref="C47:C55 C85 C95:C96 E144 E155 E158:E162">
    <cfRule type="cellIs" dxfId="1" priority="81" operator="greaterThan">
      <formula>0</formula>
    </cfRule>
  </conditionalFormatting>
  <conditionalFormatting sqref="E117 E128 E131:E13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E119:E122 E124:E127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 E158:E162">
    <cfRule type="cellIs" dxfId="2" priority="58" operator="equal">
      <formula>0</formula>
    </cfRule>
  </conditionalFormatting>
  <conditionalFormatting sqref="E171 E182 E185:E189">
    <cfRule type="cellIs" dxfId="2" priority="53" operator="equal">
      <formula>0</formula>
    </cfRule>
    <cfRule type="cellIs" dxfId="1" priority="5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4" workbookViewId="0">
      <selection activeCell="F158" sqref="F158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April 2026 to July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673.02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6084.02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6757.04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April 2026 to July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71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5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INDIRECT("'"&amp;INDIRECT("Main!B21")&amp;"'!C98")+SUM(E118+E145+E172)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8"/>
    </row>
    <row r="101" ht="50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8"/>
    </row>
    <row r="102" ht="43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106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106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April 2026</v>
      </c>
      <c r="B116" s="57"/>
      <c r="C116" s="58"/>
      <c r="D116" s="58"/>
      <c r="E116" s="71" cm="1">
        <f ca="1" t="array" ref="E116">INDIRECT("'"&amp;INDIRECT("Main!B21")&amp;"'!E190")</f>
        <v>2755.02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/>
      <c r="D118" s="74"/>
      <c r="E118" s="8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8" customHeight="1" spans="1:9">
      <c r="A129" s="63"/>
      <c r="B129" s="64"/>
      <c r="C129" s="73" t="s">
        <v>141</v>
      </c>
      <c r="D129" s="74"/>
      <c r="E129" s="87">
        <v>940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126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3500.02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May 2026</v>
      </c>
      <c r="B143" s="57"/>
      <c r="C143" s="58"/>
      <c r="D143" s="58"/>
      <c r="E143" s="89">
        <f ca="1">E136</f>
        <v>3500.02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84" customHeight="1" spans="1:9">
      <c r="A156" s="63"/>
      <c r="B156" s="64"/>
      <c r="C156" s="73" t="s">
        <v>142</v>
      </c>
      <c r="D156" s="74"/>
      <c r="E156" s="87">
        <v>579</v>
      </c>
      <c r="F156" s="14"/>
      <c r="G156" s="14"/>
      <c r="H156" s="14"/>
      <c r="I156" s="48"/>
    </row>
    <row r="157" ht="31.5" customHeight="1" spans="1:9">
      <c r="A157" s="63"/>
      <c r="B157" s="64"/>
      <c r="C157" s="74" t="s">
        <v>129</v>
      </c>
      <c r="D157" s="74"/>
      <c r="E157" s="87">
        <v>650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5439.02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June 2026</v>
      </c>
      <c r="B170" s="57"/>
      <c r="C170" s="58"/>
      <c r="D170" s="58"/>
      <c r="E170" s="92">
        <f ca="1">E163</f>
        <v>5439.02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5" customHeight="1" spans="1:9">
      <c r="A183" s="63"/>
      <c r="B183" s="64"/>
      <c r="C183" s="73" t="s">
        <v>143</v>
      </c>
      <c r="D183" s="74"/>
      <c r="E183" s="87">
        <v>1040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126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6084.02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2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4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1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19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0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51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77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78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8:E162">
    <cfRule type="cellIs" dxfId="1" priority="78" operator="greaterThan">
      <formula>0</formula>
    </cfRule>
  </conditionalFormatting>
  <conditionalFormatting sqref="E117 E128 E131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8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0" workbookViewId="0">
      <selection activeCell="F186" sqref="F186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July 2026 to October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673.02</v>
      </c>
      <c r="D2" s="4"/>
      <c r="E2" s="4"/>
      <c r="F2" s="4"/>
      <c r="G2" s="4"/>
      <c r="H2" s="41"/>
      <c r="I2" s="41"/>
    </row>
    <row r="3" spans="1:9">
      <c r="A3" s="5"/>
      <c r="B3" s="6" t="s">
        <v>96</v>
      </c>
      <c r="C3" s="7">
        <f ca="1">E190</f>
        <v>8701.02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9374.04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 t="s">
        <v>144</v>
      </c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102" t="s">
        <v>98</v>
      </c>
      <c r="C34" s="103"/>
      <c r="D34" s="102" t="s">
        <v>99</v>
      </c>
      <c r="E34" s="103"/>
      <c r="F34" s="104">
        <v>2435</v>
      </c>
      <c r="G34" s="105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July 2026 to October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48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INDIRECT("'"&amp;INDIRECT("Main!B24")&amp;"'!C98")+SUM(E118+E145+E172)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106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106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July 2026</v>
      </c>
      <c r="B116" s="57"/>
      <c r="C116" s="58"/>
      <c r="D116" s="58"/>
      <c r="E116" s="71" cm="1">
        <f ca="1" t="array" ref="E116">INDIRECT("'"&amp;INDIRECT("Main!B24")&amp;"'!E190")</f>
        <v>6084.02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5" customHeight="1" spans="1:9">
      <c r="A129" s="63"/>
      <c r="B129" s="64"/>
      <c r="C129" s="73" t="s">
        <v>128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129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7100.02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August 2026</v>
      </c>
      <c r="B143" s="57"/>
      <c r="C143" s="58"/>
      <c r="D143" s="58"/>
      <c r="E143" s="89">
        <f ca="1">E136</f>
        <v>7100.02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140</v>
      </c>
      <c r="D156" s="74"/>
      <c r="E156" s="87">
        <v>1100</v>
      </c>
      <c r="F156" s="14"/>
      <c r="G156" s="14"/>
      <c r="H156" s="14"/>
      <c r="I156" s="48"/>
    </row>
    <row r="157" ht="26.25" customHeight="1" spans="1:9">
      <c r="A157" s="63"/>
      <c r="B157" s="64"/>
      <c r="C157" s="74" t="s">
        <v>126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7685.02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September 2026</v>
      </c>
      <c r="B170" s="57"/>
      <c r="C170" s="58"/>
      <c r="D170" s="58"/>
      <c r="E170" s="92">
        <f ca="1">E163</f>
        <v>7685.02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128</v>
      </c>
      <c r="D183" s="74"/>
      <c r="E183" s="87">
        <v>419</v>
      </c>
      <c r="F183" s="14"/>
      <c r="G183" s="14"/>
      <c r="H183" s="14"/>
      <c r="I183" s="48"/>
    </row>
    <row r="184" ht="27" customHeight="1" spans="1:9">
      <c r="A184" s="63"/>
      <c r="B184" s="64"/>
      <c r="C184" s="74" t="s">
        <v>129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8701.02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2" workbookViewId="0">
      <selection activeCell="F158" sqref="F158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October 2026 to January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673.02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10897.02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11570.04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October 2026 to January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INDIRECT("'"&amp;INDIRECT("Main!B27")&amp;"'!C98")+SUM(E118+E145+E172)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October 2026</v>
      </c>
      <c r="B116" s="57"/>
      <c r="C116" s="58"/>
      <c r="D116" s="58"/>
      <c r="E116" s="71" cm="1">
        <f ca="1" t="array" ref="E116">INDIRECT("'"&amp;INDIRECT("Main!B27")&amp;"'!E190")</f>
        <v>8701.02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4" customHeight="1" spans="1:9">
      <c r="A129" s="63"/>
      <c r="B129" s="64"/>
      <c r="C129" s="73" t="s">
        <v>141</v>
      </c>
      <c r="D129" s="74"/>
      <c r="E129" s="87">
        <v>940</v>
      </c>
      <c r="F129" s="14"/>
      <c r="G129" s="14"/>
      <c r="H129" s="14"/>
      <c r="I129" s="48"/>
    </row>
    <row r="130" ht="41" customHeight="1" spans="1:9">
      <c r="A130" s="63"/>
      <c r="B130" s="64"/>
      <c r="C130" s="74" t="s">
        <v>126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9446.02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November 2026</v>
      </c>
      <c r="B143" s="57"/>
      <c r="C143" s="58"/>
      <c r="D143" s="58"/>
      <c r="E143" s="89">
        <f ca="1">E136</f>
        <v>9446.02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4.1" customHeight="1" spans="1:9">
      <c r="A156" s="63"/>
      <c r="B156" s="64"/>
      <c r="C156" s="73" t="s">
        <v>142</v>
      </c>
      <c r="D156" s="74"/>
      <c r="E156" s="87">
        <v>579</v>
      </c>
      <c r="F156" s="14"/>
      <c r="G156" s="14"/>
      <c r="H156" s="14"/>
      <c r="I156" s="48"/>
    </row>
    <row r="157" ht="36" customHeight="1" spans="1:9">
      <c r="A157" s="63"/>
      <c r="B157" s="64"/>
      <c r="C157" s="74" t="s">
        <v>129</v>
      </c>
      <c r="D157" s="74"/>
      <c r="E157" s="87">
        <v>650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10302.02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December 2026</v>
      </c>
      <c r="B170" s="57"/>
      <c r="C170" s="58"/>
      <c r="D170" s="58"/>
      <c r="E170" s="92">
        <f ca="1">E163</f>
        <v>10302.02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145</v>
      </c>
      <c r="D183" s="74"/>
      <c r="E183" s="87">
        <v>1090</v>
      </c>
      <c r="F183" s="14"/>
      <c r="G183" s="14"/>
      <c r="H183" s="14"/>
      <c r="I183" s="48"/>
    </row>
    <row r="184" ht="31" customHeight="1" spans="1:9">
      <c r="A184" s="63"/>
      <c r="B184" s="64"/>
      <c r="C184" s="74" t="s">
        <v>126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10897.02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7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63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7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C57:C66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68:C69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70:C74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8:C79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80:C8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98:C107">
    <cfRule type="cellIs" dxfId="1" priority="44" operator="lessThan">
      <formula>0</formula>
    </cfRule>
    <cfRule type="cellIs" dxfId="2" priority="43" operator="greaterThanOrEqual">
      <formula>0</formula>
    </cfRule>
  </conditionalFormatting>
  <conditionalFormatting sqref="E118:E127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45:E15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47:C55 C85 C95:C96">
    <cfRule type="cellIs" dxfId="0" priority="81" operator="equal">
      <formula>0</formula>
    </cfRule>
  </conditionalFormatting>
  <conditionalFormatting sqref="C47:C55 C85 C95:C96 E144 E155 E158:E162">
    <cfRule type="cellIs" dxfId="1" priority="80" operator="greaterThan">
      <formula>0</formula>
    </cfRule>
  </conditionalFormatting>
  <conditionalFormatting sqref="E117 E128 E131:E135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E144 E155 E158:E162">
    <cfRule type="cellIs" dxfId="2" priority="57" operator="equal">
      <formula>0</formula>
    </cfRule>
  </conditionalFormatting>
  <conditionalFormatting sqref="E171 E182 E185:E189">
    <cfRule type="cellIs" dxfId="2" priority="52" operator="equal">
      <formula>0</formula>
    </cfRule>
    <cfRule type="cellIs" dxfId="1" priority="5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F185" sqref="F185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January 2027 to April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673.02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13514.02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14187.04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January 2027 to April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INDIRECT("'"&amp;INDIRECT("Main!B30")&amp;"'!C98")+SUM(E118+E145+E172)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January 2027</v>
      </c>
      <c r="B116" s="57"/>
      <c r="C116" s="58"/>
      <c r="D116" s="58"/>
      <c r="E116" s="71" cm="1">
        <f ca="1" t="array" ref="E116">INDIRECT("'"&amp;INDIRECT("Main!B30")&amp;"'!E190")</f>
        <v>10897.02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7" customHeight="1" spans="1:9">
      <c r="A129" s="63"/>
      <c r="B129" s="64"/>
      <c r="C129" s="73" t="s">
        <v>128</v>
      </c>
      <c r="D129" s="74"/>
      <c r="E129" s="87">
        <v>419</v>
      </c>
      <c r="F129" s="14"/>
      <c r="G129" s="14"/>
      <c r="H129" s="14"/>
      <c r="I129" s="48"/>
    </row>
    <row r="130" ht="28" customHeight="1" spans="1:9">
      <c r="A130" s="63"/>
      <c r="B130" s="64"/>
      <c r="C130" s="74" t="s">
        <v>129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11913.02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February 2027</v>
      </c>
      <c r="B143" s="57"/>
      <c r="C143" s="58"/>
      <c r="D143" s="58"/>
      <c r="E143" s="89">
        <f ca="1">E136</f>
        <v>11913.02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0" customHeight="1" spans="1:9">
      <c r="A156" s="63"/>
      <c r="B156" s="64"/>
      <c r="C156" s="73" t="s">
        <v>140</v>
      </c>
      <c r="D156" s="74"/>
      <c r="E156" s="87">
        <v>1100</v>
      </c>
      <c r="F156" s="14"/>
      <c r="G156" s="14"/>
      <c r="H156" s="14"/>
      <c r="I156" s="48"/>
    </row>
    <row r="157" ht="28" customHeight="1" spans="1:9">
      <c r="A157" s="63"/>
      <c r="B157" s="64"/>
      <c r="C157" s="74" t="s">
        <v>126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12498.02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March 2027</v>
      </c>
      <c r="B170" s="57"/>
      <c r="C170" s="58"/>
      <c r="D170" s="58"/>
      <c r="E170" s="92">
        <f ca="1">E163</f>
        <v>12498.02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128</v>
      </c>
      <c r="D183" s="74"/>
      <c r="E183" s="87">
        <v>419</v>
      </c>
      <c r="F183" s="14"/>
      <c r="G183" s="14"/>
      <c r="H183" s="14"/>
      <c r="I183" s="48"/>
    </row>
    <row r="184" ht="29" customHeight="1" spans="1:9">
      <c r="A184" s="63"/>
      <c r="B184" s="64"/>
      <c r="C184" s="74" t="s">
        <v>129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13514.02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0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9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1" workbookViewId="0">
      <selection activeCell="F184" sqref="F184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April 2027 to July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673.02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18264.02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18937.04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April 2027 to July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0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0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0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0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INDIRECT("'"&amp;INDIRECT("Main!B33")&amp;"'!C98")+SUM(E118+E145+E172)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April 2027</v>
      </c>
      <c r="B116" s="57"/>
      <c r="C116" s="58"/>
      <c r="D116" s="58"/>
      <c r="E116" s="71" cm="1">
        <f ca="1" t="array" ref="E116">INDIRECT("'"&amp;INDIRECT("Main!B33")&amp;"'!E190")</f>
        <v>13514.02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3.95" customHeight="1" spans="1:9">
      <c r="A129" s="63"/>
      <c r="B129" s="64"/>
      <c r="C129" s="73" t="s">
        <v>128</v>
      </c>
      <c r="D129" s="74"/>
      <c r="E129" s="87">
        <v>419</v>
      </c>
      <c r="F129" s="14"/>
      <c r="G129" s="14"/>
      <c r="H129" s="14"/>
      <c r="I129" s="48"/>
    </row>
    <row r="130" ht="63.95" customHeight="1" spans="1:9">
      <c r="A130" s="63"/>
      <c r="B130" s="64"/>
      <c r="C130" s="74" t="s">
        <v>129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14880.02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May 2027</v>
      </c>
      <c r="B143" s="57"/>
      <c r="C143" s="58"/>
      <c r="D143" s="58"/>
      <c r="E143" s="89">
        <f ca="1">E136</f>
        <v>14880.02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3" customHeight="1" spans="1:9">
      <c r="A156" s="63"/>
      <c r="B156" s="64"/>
      <c r="C156" s="73" t="s">
        <v>140</v>
      </c>
      <c r="D156" s="74"/>
      <c r="E156" s="87">
        <v>1100</v>
      </c>
      <c r="F156" s="14"/>
      <c r="G156" s="14"/>
      <c r="H156" s="14"/>
      <c r="I156" s="48"/>
    </row>
    <row r="157" ht="32" customHeight="1" spans="1:9">
      <c r="A157" s="63"/>
      <c r="B157" s="64"/>
      <c r="C157" s="74" t="s">
        <v>126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16898.02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June 2027</v>
      </c>
      <c r="B170" s="57"/>
      <c r="C170" s="58"/>
      <c r="D170" s="58"/>
      <c r="E170" s="92">
        <f ca="1">E163</f>
        <v>16898.02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128</v>
      </c>
      <c r="D183" s="74"/>
      <c r="E183" s="87">
        <v>419</v>
      </c>
      <c r="F183" s="14"/>
      <c r="G183" s="14"/>
      <c r="H183" s="14"/>
      <c r="I183" s="48"/>
    </row>
    <row r="184" ht="78" customHeight="1" spans="1:9">
      <c r="A184" s="63"/>
      <c r="B184" s="64"/>
      <c r="C184" s="74" t="s">
        <v>129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18264.02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8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E116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3" operator="greaterThanOrEqual">
      <formula>0</formula>
    </cfRule>
    <cfRule type="cellIs" dxfId="4" priority="52" operator="lessThan">
      <formula>0</formula>
    </cfRule>
  </conditionalFormatting>
  <conditionalFormatting sqref="E17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90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8:C79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8:C89">
    <cfRule type="cellIs" dxfId="5" priority="2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41" operator="lessThan">
      <formula>0</formula>
    </cfRule>
    <cfRule type="cellIs" dxfId="2" priority="40" operator="greaterThanOrEqual">
      <formula>0</formula>
    </cfRule>
  </conditionalFormatting>
  <conditionalFormatting sqref="E118:E12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72:E181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8" operator="equal">
      <formula>0</formula>
    </cfRule>
  </conditionalFormatting>
  <conditionalFormatting sqref="C47:C55 C85 C95:C96 E144 E155 E158:E162">
    <cfRule type="cellIs" dxfId="1" priority="77" operator="greaterThan">
      <formula>0</formula>
    </cfRule>
  </conditionalFormatting>
  <conditionalFormatting sqref="E117 E128 E131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58:E162">
    <cfRule type="cellIs" dxfId="2" priority="54" operator="equal">
      <formula>0</formula>
    </cfRule>
  </conditionalFormatting>
  <conditionalFormatting sqref="E171 E182 E185:E189">
    <cfRule type="cellIs" dxfId="2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43" workbookViewId="0">
      <selection activeCell="F157" sqref="F157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July 2027 to October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673.02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20460.02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21133.04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July 2027 to October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55.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46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INDIRECT("'"&amp;INDIRECT("Main!B36")&amp;"'!C98")+SUM(E118+E145+E172)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8"/>
    </row>
    <row r="101" ht="46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8"/>
    </row>
    <row r="102" ht="49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July 2027</v>
      </c>
      <c r="B116" s="57"/>
      <c r="C116" s="58"/>
      <c r="D116" s="58"/>
      <c r="E116" s="71" cm="1">
        <f ca="1" t="array" ref="E116">INDIRECT("'"&amp;INDIRECT("Main!B36")&amp;"'!E190")</f>
        <v>18264.02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5.1" customHeight="1" spans="1:9">
      <c r="A129" s="63"/>
      <c r="B129" s="64"/>
      <c r="C129" s="73" t="s">
        <v>141</v>
      </c>
      <c r="D129" s="74"/>
      <c r="E129" s="87">
        <v>940</v>
      </c>
      <c r="F129" s="14"/>
      <c r="G129" s="14"/>
      <c r="H129" s="14"/>
      <c r="I129" s="48"/>
    </row>
    <row r="130" ht="65.1" customHeight="1" spans="1:9">
      <c r="A130" s="63"/>
      <c r="B130" s="64"/>
      <c r="C130" s="74" t="s">
        <v>126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19009.02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August 2027</v>
      </c>
      <c r="B143" s="57"/>
      <c r="C143" s="58"/>
      <c r="D143" s="58"/>
      <c r="E143" s="89">
        <f ca="1">E136</f>
        <v>19009.02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105.95" customHeight="1" spans="1:9">
      <c r="A156" s="63"/>
      <c r="B156" s="64"/>
      <c r="C156" s="73" t="s">
        <v>142</v>
      </c>
      <c r="D156" s="74"/>
      <c r="E156" s="87">
        <v>579</v>
      </c>
      <c r="F156" s="14"/>
      <c r="G156" s="14"/>
      <c r="H156" s="14"/>
      <c r="I156" s="48"/>
    </row>
    <row r="157" ht="105.95" customHeight="1" spans="1:9">
      <c r="A157" s="63"/>
      <c r="B157" s="64"/>
      <c r="C157" s="74" t="s">
        <v>129</v>
      </c>
      <c r="D157" s="74"/>
      <c r="E157" s="87">
        <v>650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19865.02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September 2027</v>
      </c>
      <c r="B170" s="57"/>
      <c r="C170" s="58"/>
      <c r="D170" s="58"/>
      <c r="E170" s="92">
        <f ca="1">E163</f>
        <v>19865.02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4" customHeight="1" spans="1:9">
      <c r="A183" s="63"/>
      <c r="B183" s="64"/>
      <c r="C183" s="73" t="s">
        <v>145</v>
      </c>
      <c r="D183" s="74"/>
      <c r="E183" s="87">
        <v>1090</v>
      </c>
      <c r="F183" s="14"/>
      <c r="G183" s="14"/>
      <c r="H183" s="14"/>
      <c r="I183" s="48"/>
    </row>
    <row r="184" ht="66" customHeight="1" spans="1:9">
      <c r="A184" s="63"/>
      <c r="B184" s="64"/>
      <c r="C184" s="74" t="s">
        <v>126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20460.02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F184" sqref="F184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October 2027 to January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673.02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23077.02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23750.04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October 2027 to January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INDIRECT("'"&amp;INDIRECT("Main!B39")&amp;"'!C98")+SUM(E118+E145+E172)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October 2027</v>
      </c>
      <c r="B116" s="57"/>
      <c r="C116" s="58"/>
      <c r="D116" s="58"/>
      <c r="E116" s="71" cm="1">
        <f ca="1" t="array" ref="E116">INDIRECT("'"&amp;INDIRECT("Main!B39")&amp;"'!E190")</f>
        <v>20460.02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0" customHeight="1" spans="1:9">
      <c r="A129" s="63"/>
      <c r="B129" s="64"/>
      <c r="C129" s="73" t="s">
        <v>128</v>
      </c>
      <c r="D129" s="74"/>
      <c r="E129" s="87">
        <v>419</v>
      </c>
      <c r="F129" s="14"/>
      <c r="G129" s="14"/>
      <c r="H129" s="14"/>
      <c r="I129" s="48"/>
    </row>
    <row r="130" ht="83.1" customHeight="1" spans="1:9">
      <c r="A130" s="63"/>
      <c r="B130" s="64"/>
      <c r="C130" s="74" t="s">
        <v>129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21476.02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November 2027</v>
      </c>
      <c r="B143" s="57"/>
      <c r="C143" s="58"/>
      <c r="D143" s="58"/>
      <c r="E143" s="89">
        <f ca="1">E136</f>
        <v>21476.02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114.95" customHeight="1" spans="1:9">
      <c r="A156" s="63"/>
      <c r="B156" s="64"/>
      <c r="C156" s="73" t="s">
        <v>140</v>
      </c>
      <c r="D156" s="74"/>
      <c r="E156" s="87">
        <v>1100</v>
      </c>
      <c r="F156" s="14"/>
      <c r="G156" s="14"/>
      <c r="H156" s="14"/>
      <c r="I156" s="48"/>
    </row>
    <row r="157" ht="114.95" customHeight="1" spans="1:9">
      <c r="A157" s="63"/>
      <c r="B157" s="64"/>
      <c r="C157" s="74" t="s">
        <v>126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22061.02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December 2027</v>
      </c>
      <c r="B170" s="57"/>
      <c r="C170" s="58"/>
      <c r="D170" s="58"/>
      <c r="E170" s="92">
        <f ca="1">E163</f>
        <v>22061.02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84.95" customHeight="1" spans="1:9">
      <c r="A183" s="63"/>
      <c r="B183" s="64"/>
      <c r="C183" s="73" t="s">
        <v>128</v>
      </c>
      <c r="D183" s="74"/>
      <c r="E183" s="87">
        <v>419</v>
      </c>
      <c r="F183" s="14"/>
      <c r="G183" s="14"/>
      <c r="H183" s="14"/>
      <c r="I183" s="48"/>
    </row>
    <row r="184" ht="46" customHeight="1" spans="1:9">
      <c r="A184" s="63"/>
      <c r="B184" s="64"/>
      <c r="C184" s="74" t="s">
        <v>129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23077.02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34" workbookViewId="0">
      <selection activeCell="F157" sqref="F157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January 2028 to April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673.02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25363.02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26036.04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January 2028 to April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INDIRECT("'"&amp;INDIRECT("Main!B42")&amp;"'!C98")+SUM(E118+E145+E172)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February 2028</v>
      </c>
      <c r="B116" s="57"/>
      <c r="C116" s="58"/>
      <c r="D116" s="58"/>
      <c r="E116" s="71" cm="1">
        <f ca="1" t="array" ref="E116">INDIRECT("'"&amp;INDIRECT("Main!B42")&amp;"'!E190")</f>
        <v>23077.02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7" customHeight="1" spans="1:9">
      <c r="A129" s="63"/>
      <c r="B129" s="64"/>
      <c r="C129" s="73" t="s">
        <v>138</v>
      </c>
      <c r="D129" s="74"/>
      <c r="E129" s="87">
        <v>890</v>
      </c>
      <c r="F129" s="14"/>
      <c r="G129" s="14"/>
      <c r="H129" s="14"/>
      <c r="I129" s="48"/>
    </row>
    <row r="130" ht="32" customHeight="1" spans="1:9">
      <c r="A130" s="63"/>
      <c r="B130" s="64"/>
      <c r="C130" s="74" t="s">
        <v>126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23872.02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February 2028</v>
      </c>
      <c r="B143" s="57"/>
      <c r="C143" s="58"/>
      <c r="D143" s="58"/>
      <c r="E143" s="89">
        <f ca="1">E136</f>
        <v>23872.02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8" customHeight="1" spans="1:9">
      <c r="A156" s="63"/>
      <c r="B156" s="64"/>
      <c r="C156" s="73" t="s">
        <v>142</v>
      </c>
      <c r="D156" s="74"/>
      <c r="E156" s="87">
        <v>579</v>
      </c>
      <c r="F156" s="14"/>
      <c r="G156" s="14"/>
      <c r="H156" s="14"/>
      <c r="I156" s="48"/>
    </row>
    <row r="157" ht="78" customHeight="1" spans="1:9">
      <c r="A157" s="63"/>
      <c r="B157" s="64"/>
      <c r="C157" s="74" t="s">
        <v>129</v>
      </c>
      <c r="D157" s="74"/>
      <c r="E157" s="87">
        <v>650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24728.02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March 2028</v>
      </c>
      <c r="B170" s="57"/>
      <c r="C170" s="58"/>
      <c r="D170" s="58"/>
      <c r="E170" s="92">
        <f ca="1">E163</f>
        <v>24728.02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84" customHeight="1" spans="1:9">
      <c r="A183" s="63"/>
      <c r="B183" s="64"/>
      <c r="C183" s="73" t="s">
        <v>145</v>
      </c>
      <c r="D183" s="74"/>
      <c r="E183" s="87">
        <v>1050</v>
      </c>
      <c r="F183" s="14"/>
      <c r="G183" s="14"/>
      <c r="H183" s="14"/>
      <c r="I183" s="48"/>
    </row>
    <row r="184" ht="84" customHeight="1" spans="1:9">
      <c r="A184" s="63"/>
      <c r="B184" s="64"/>
      <c r="C184" s="74" t="s">
        <v>126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25363.02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  <row r="194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0" workbookViewId="0">
      <selection activeCell="F185" sqref="F185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April 2028 to July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673.02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29063.02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29736.04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April 2028 - 19 May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May 2028 - 19 June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June 2028 - 19 July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April 2028 to July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INDIRECT("'"&amp;INDIRECT("Main!B45")&amp;"'!C98")+SUM(E118+E145+E172)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April 20 2028 to May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April 2028</v>
      </c>
      <c r="B116" s="57"/>
      <c r="C116" s="58"/>
      <c r="D116" s="58"/>
      <c r="E116" s="71" cm="1">
        <f ca="1" t="array" ref="E116">INDIRECT("'"&amp;INDIRECT("Main!B45")&amp;"'!E190")</f>
        <v>25363.02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77" customHeight="1" spans="1:9">
      <c r="A129" s="63"/>
      <c r="B129" s="64"/>
      <c r="C129" s="73" t="s">
        <v>128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129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26379.02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May 20 2028 to June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May 2028</v>
      </c>
      <c r="B143" s="57"/>
      <c r="C143" s="58"/>
      <c r="D143" s="58"/>
      <c r="E143" s="89">
        <f ca="1">E136</f>
        <v>26379.02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1" customHeight="1" spans="1:9">
      <c r="A156" s="63"/>
      <c r="B156" s="64"/>
      <c r="C156" s="73" t="s">
        <v>140</v>
      </c>
      <c r="D156" s="74"/>
      <c r="E156" s="87">
        <v>1100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126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28047.02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June 20 2028 to July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June 2028</v>
      </c>
      <c r="B170" s="57"/>
      <c r="C170" s="58"/>
      <c r="D170" s="58"/>
      <c r="E170" s="92">
        <f ca="1">E163</f>
        <v>28047.02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67" customHeight="1" spans="1:9">
      <c r="A183" s="63"/>
      <c r="B183" s="64"/>
      <c r="C183" s="73" t="s">
        <v>128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129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29063.02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8" operator="greaterThanOrEqual">
      <formula>0</formula>
    </cfRule>
    <cfRule type="cellIs" dxfId="1" priority="7" operator="lessThan">
      <formula>0</formula>
    </cfRule>
  </conditionalFormatting>
  <conditionalFormatting sqref="C109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 E158:E162">
    <cfRule type="cellIs" dxfId="1" priority="60" operator="greaterThan">
      <formula>0</formula>
    </cfRule>
  </conditionalFormatting>
  <conditionalFormatting sqref="E117 E128 E131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 E158:E162">
    <cfRule type="cellIs" dxfId="2" priority="37" operator="equal">
      <formula>0</formula>
    </cfRule>
  </conditionalFormatting>
  <conditionalFormatting sqref="E171 E182 E185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2" workbookViewId="0">
      <selection activeCell="F184" sqref="F18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July 2028 to October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673.02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31459.02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32132.04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July 2028 - 19 August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August 2028 - 19 September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September 2028 - 19 October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July 2028 to October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INDIRECT("'"&amp;INDIRECT("Main!B48")&amp;"'!C98")+SUM(E118+E145+E172)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">
        <v>146</v>
      </c>
      <c r="C102" s="37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July 20 2028 to August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July 2028</v>
      </c>
      <c r="B116" s="57"/>
      <c r="C116" s="58"/>
      <c r="D116" s="58"/>
      <c r="E116" s="71" cm="1">
        <f ca="1" t="array" ref="E116">INDIRECT("'"&amp;INDIRECT("Main!B48")&amp;"'!E190")</f>
        <v>29063.02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80" customHeight="1" spans="1:9">
      <c r="A129" s="63"/>
      <c r="B129" s="64"/>
      <c r="C129" s="73" t="s">
        <v>138</v>
      </c>
      <c r="D129" s="74"/>
      <c r="E129" s="87">
        <v>890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126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29858.02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August 20 2028 to September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August 2028</v>
      </c>
      <c r="B143" s="57"/>
      <c r="C143" s="58"/>
      <c r="D143" s="58"/>
      <c r="E143" s="89">
        <f ca="1">E136</f>
        <v>29858.02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8" customHeight="1" spans="1:9">
      <c r="A156" s="63"/>
      <c r="B156" s="64"/>
      <c r="C156" s="73" t="s">
        <v>142</v>
      </c>
      <c r="D156" s="74"/>
      <c r="E156" s="87">
        <v>579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129</v>
      </c>
      <c r="D157" s="74"/>
      <c r="E157" s="87">
        <v>650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30714.02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September 20 2028 to October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September 2028</v>
      </c>
      <c r="B170" s="57"/>
      <c r="C170" s="58"/>
      <c r="D170" s="58"/>
      <c r="E170" s="92">
        <f ca="1">E163</f>
        <v>30714.02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3" customHeight="1" spans="1:9">
      <c r="A183" s="63"/>
      <c r="B183" s="64"/>
      <c r="C183" s="73" t="s">
        <v>141</v>
      </c>
      <c r="D183" s="74"/>
      <c r="E183" s="87">
        <v>940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126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31459.02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0" workbookViewId="0">
      <selection activeCell="F192" sqref="F192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October 2028 to January 2029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673.02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34076.02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34749.04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October 2028 - 19 November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November 2028 - 19 December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December 2028 - 19 January 2029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October 2028 to January 2029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33" t="s">
        <v>62</v>
      </c>
      <c r="B56" s="34"/>
      <c r="C56" s="3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33" t="s">
        <v>63</v>
      </c>
      <c r="B67" s="34"/>
      <c r="C67" s="3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33" t="s">
        <v>68</v>
      </c>
      <c r="B76" s="34"/>
      <c r="C76" s="3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33" t="s">
        <v>70</v>
      </c>
      <c r="B86" s="34"/>
      <c r="C86" s="3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40.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.2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33" t="s">
        <v>80</v>
      </c>
      <c r="B97" s="34"/>
      <c r="C97" s="3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INDIRECT("'"&amp;INDIRECT("Main!B51")&amp;"'!C98")+SUM(E118+E145+E172)</f>
        <v>0</v>
      </c>
      <c r="D98" s="14"/>
      <c r="E98" s="69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October 20 2028 to November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October 2028</v>
      </c>
      <c r="B116" s="57"/>
      <c r="C116" s="58"/>
      <c r="D116" s="58"/>
      <c r="E116" s="71" cm="1">
        <f ca="1" t="array" ref="E116">INDIRECT("'"&amp;INDIRECT("Main!B51")&amp;"'!E190")</f>
        <v>31459.02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3" customHeight="1" spans="1:9">
      <c r="A129" s="63"/>
      <c r="B129" s="64"/>
      <c r="C129" s="73" t="s">
        <v>128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129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32475.02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November 20 2028 to December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November 2028</v>
      </c>
      <c r="B143" s="57"/>
      <c r="C143" s="58"/>
      <c r="D143" s="58"/>
      <c r="E143" s="89">
        <f ca="1">E136</f>
        <v>32475.02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140</v>
      </c>
      <c r="D156" s="74"/>
      <c r="E156" s="87">
        <v>1100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126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33060.02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December 20 2028 to January 19 2029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December 2028</v>
      </c>
      <c r="B170" s="57"/>
      <c r="C170" s="58"/>
      <c r="D170" s="58"/>
      <c r="E170" s="92">
        <f ca="1">E163</f>
        <v>33060.02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2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6" customHeight="1" spans="1:9">
      <c r="A183" s="63"/>
      <c r="B183" s="64"/>
      <c r="C183" s="73" t="s">
        <v>128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129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34076.02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July 2027 - September 2027</vt:lpstr>
      <vt:lpstr>October 2027 - December 2027</vt:lpstr>
      <vt:lpstr>January 2028 - March 2028</vt:lpstr>
      <vt:lpstr>April 2028 - June 2028</vt:lpstr>
      <vt:lpstr>July 2028 - September 2028</vt:lpstr>
      <vt:lpstr>October 2028 - December 2028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2025-03-22T13:27:00Z</dcterms:created>
  <dcterms:modified xsi:type="dcterms:W3CDTF">2025-06-11T16:45:43Z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