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480" activeTab="3"/>
  </bookViews>
  <sheets>
    <sheet name="Cover Page" sheetId="18" r:id="rId1"/>
    <sheet name="Main" sheetId="3" r:id="rId2"/>
    <sheet name="January 2025 - March 2025" sheetId="1" r:id="rId3"/>
    <sheet name="April 2025 - June 2025" sheetId="2" r:id="rId4"/>
    <sheet name="July 2025 - September 2025" sheetId="4" r:id="rId5"/>
    <sheet name="October 2025 - December 2025" sheetId="5" r:id="rId6"/>
    <sheet name="January 2026 - March 2026" sheetId="6" r:id="rId7"/>
    <sheet name="April 2026 - June 2026" sheetId="7" r:id="rId8"/>
    <sheet name="July 2026 - September 2026" sheetId="8" r:id="rId9"/>
    <sheet name="October 2026 - December 2026" sheetId="9" r:id="rId10"/>
    <sheet name="January 2027 - March 2027" sheetId="10" r:id="rId11"/>
    <sheet name="April 2027 - June 2027" sheetId="11" r:id="rId12"/>
    <sheet name="July 2027 - September 2027" sheetId="12" r:id="rId13"/>
    <sheet name="October 2027 - December 2027" sheetId="13" r:id="rId14"/>
    <sheet name="January 2028 - March 2028" sheetId="14" r:id="rId15"/>
    <sheet name="April 2028 - June 2028" sheetId="15" r:id="rId16"/>
    <sheet name="July 2028 - September 2028" sheetId="16" r:id="rId17"/>
    <sheet name="October 2028 - December 2028" sheetId="17"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<sst xmlns="http://schemas.openxmlformats.org/spreadsheetml/2006/main" count="1280" uniqueCount="149">
  <si>
    <t>Income Forecast</t>
  </si>
  <si>
    <t>Your Personal Finance Organizer</t>
  </si>
  <si>
    <t>Money In Terms Of
(tens, hundred, thousands, millions)</t>
  </si>
  <si>
    <t>tens</t>
  </si>
  <si>
    <t>A Month
(TRUE or FALSE)</t>
  </si>
  <si>
    <t>Date Range Start From
(dd/mm/yyyy)</t>
  </si>
  <si>
    <t>Date Range End To
(A month dd/mm/yyyy)</t>
  </si>
  <si>
    <t>Specify Date Range End To
(dd/mm/yyyy)
(If a month is not checked)</t>
  </si>
  <si>
    <t>Work Sheet Name</t>
  </si>
  <si>
    <t>January 2025 - March 2025</t>
  </si>
  <si>
    <t>April 2025 - June 2025</t>
  </si>
  <si>
    <t>July 2025 - September 2025</t>
  </si>
  <si>
    <t>October 2025 - December 2025</t>
  </si>
  <si>
    <t>January 2026 - March 2026</t>
  </si>
  <si>
    <t>April 2026 - June 2026</t>
  </si>
  <si>
    <t>July 2026 - September 2026</t>
  </si>
  <si>
    <t>October 2026 - December 2026</t>
  </si>
  <si>
    <t>January 2027 - March 2027</t>
  </si>
  <si>
    <t>April 2027 - June 2027</t>
  </si>
  <si>
    <t>July 2027 - September 2027</t>
  </si>
  <si>
    <t>October 2027 - December 2027</t>
  </si>
  <si>
    <t>January 2028 - March 2028</t>
  </si>
  <si>
    <t>April 2028 - June 2028</t>
  </si>
  <si>
    <t>July 2028 - September 2028</t>
  </si>
  <si>
    <t>October 2028 - December 2028</t>
  </si>
  <si>
    <t>Monthly Balance</t>
  </si>
  <si>
    <t>Quarterly Debts</t>
  </si>
  <si>
    <t xml:space="preserve">Current </t>
  </si>
  <si>
    <t>Previous</t>
  </si>
  <si>
    <t>Date</t>
  </si>
  <si>
    <t>Last Balance</t>
  </si>
  <si>
    <t>Quarter</t>
  </si>
  <si>
    <t>Debts Amount</t>
  </si>
  <si>
    <t>Assets</t>
  </si>
  <si>
    <t>HSBC Bank Account</t>
  </si>
  <si>
    <t>cash</t>
  </si>
  <si>
    <t>Unit Trusts / Charity Trusts</t>
  </si>
  <si>
    <t>Bank Cheque From Tax</t>
  </si>
  <si>
    <t>Payment System (Alipay)</t>
  </si>
  <si>
    <t>Payment System (internet)</t>
  </si>
  <si>
    <t>Fixed Assest 
Properties / Data Centers</t>
  </si>
  <si>
    <t>Removable Assets</t>
  </si>
  <si>
    <t>Coins</t>
  </si>
  <si>
    <t>Google Play 
(play.google.com/redeem)</t>
  </si>
  <si>
    <t>yuu / MoneyBack / Bestmart 360</t>
  </si>
  <si>
    <t>Octopus Remain Value</t>
  </si>
  <si>
    <t>Other 5</t>
  </si>
  <si>
    <t>Total</t>
  </si>
  <si>
    <t>Name</t>
  </si>
  <si>
    <t>Description</t>
  </si>
  <si>
    <t>Amount</t>
  </si>
  <si>
    <t>Total Revenue</t>
  </si>
  <si>
    <t>Fix Expenses</t>
  </si>
  <si>
    <t>Fix Expenses Already Paid</t>
  </si>
  <si>
    <t>Mobile And Communications/ Housing Expenses</t>
  </si>
  <si>
    <t>Broadband</t>
  </si>
  <si>
    <t>China Mobile</t>
  </si>
  <si>
    <t>Telephone (Fixed Line)</t>
  </si>
  <si>
    <t>Sosim</t>
  </si>
  <si>
    <t>Birdie Sim Card</t>
  </si>
  <si>
    <t>Total Expenses</t>
  </si>
  <si>
    <t>Credit Card Installments/Government Installments</t>
  </si>
  <si>
    <t>Donation</t>
  </si>
  <si>
    <t>Traversy</t>
  </si>
  <si>
    <t>Traversy Media</t>
  </si>
  <si>
    <t>Orbis</t>
  </si>
  <si>
    <t>Orbis Eye Flight</t>
  </si>
  <si>
    <t>Insurance (Personal / Properties / Medical)</t>
  </si>
  <si>
    <t>AIA</t>
  </si>
  <si>
    <t>Other Expenses</t>
  </si>
  <si>
    <t>Other Stuff</t>
  </si>
  <si>
    <t>Food, Transport….</t>
  </si>
  <si>
    <t>Entertainment</t>
  </si>
  <si>
    <t>Sportify Music Paid For 7th of Each Month.</t>
  </si>
  <si>
    <t>Hair Cutting</t>
  </si>
  <si>
    <t>Cigarettes</t>
  </si>
  <si>
    <t>Oxford Dictionary</t>
  </si>
  <si>
    <t>Paid For 19th of Each Month End Subscription on 19th Of June.</t>
  </si>
  <si>
    <t>Grand Expenses Total</t>
  </si>
  <si>
    <t>Debts</t>
  </si>
  <si>
    <t>Mother</t>
  </si>
  <si>
    <t>Ng Wing Lam</t>
  </si>
  <si>
    <t>Lawrence</t>
  </si>
  <si>
    <t>Hong Kong Government Hospital Authority</t>
  </si>
  <si>
    <t>Bankruptcy Department / Government</t>
  </si>
  <si>
    <t>Mother Air Ticket</t>
  </si>
  <si>
    <t>Mother Borrowed Credit Card</t>
  </si>
  <si>
    <t>Total Debts</t>
  </si>
  <si>
    <t>Grand Total</t>
  </si>
  <si>
    <t>Principal</t>
  </si>
  <si>
    <t>1. Direct Payback</t>
  </si>
  <si>
    <t>2. Additional Expenses</t>
  </si>
  <si>
    <t>Fixed Expense</t>
  </si>
  <si>
    <r>
      <rPr>
        <b/>
        <sz val="11"/>
        <color rgb="FFFF0000"/>
        <rFont val="Arial"/>
        <charset val="134"/>
      </rPr>
      <t>Total Debts / </t>
    </r>
    <r>
      <rPr>
        <b/>
        <sz val="11"/>
        <color rgb="FF4A86E8"/>
        <rFont val="Arial"/>
        <charset val="134"/>
      </rPr>
      <t>Credits</t>
    </r>
  </si>
  <si>
    <t>Overall</t>
  </si>
  <si>
    <t>Forecasts</t>
  </si>
  <si>
    <t>Net Debts:</t>
  </si>
  <si>
    <t>Social Welfare</t>
  </si>
  <si>
    <t>N/A</t>
  </si>
  <si>
    <t>1. Mother borrowed $570 For Buying Cigarette Buds.
2. Mother give $100 For Lunch (Without Paying Back).
3. Provide Credit Card For purchasing books From Amazon. (Don't need to Include because it is included in the Debts) ~ $150.9</t>
  </si>
  <si>
    <t>1. N/A ~ $2435
2. Additional Half Month Allowance ~ $1048</t>
  </si>
  <si>
    <t>1. Provide Credit Card For puchasing Bayer Aspirin From SpringSunday  (Don't need to Include because it is included in the Debts). ~ $276.04
2. Give $50 For seeing Doctor at Wu York Yu
3. Provide Credit Card For purchasing Body Lotion and Hair Dyeing Products From Amazon. (Don't need to Include because it is included in the Debts). ~ $537.79</t>
  </si>
  <si>
    <t>1. Sportify
2. Apple Music</t>
  </si>
  <si>
    <t>1. Sportify $68 for 2 months
2. Apple Music Refund 2 months ~ $136</t>
  </si>
  <si>
    <t>1. Birdie Mobile
2. Oxford Dictionary</t>
  </si>
  <si>
    <t>1. Stop Services ~ $50
2. Stop Services ~ 19.99</t>
  </si>
  <si>
    <t>1. Octopus
2. Octopus
3. Google PlayStore</t>
  </si>
  <si>
    <t>1. 20th May 2025 -  Top Up For Octopus $50 (Don't need to Include)
2. 23rd May 2025 -  Top Up For Octopus $100 (Don't need to Include)
3. 19th June 2025 -  Top Up For PlayStore $150 (Don't need to Include)</t>
  </si>
  <si>
    <t>yuu</t>
  </si>
  <si>
    <t>1. yuu topup ~ $2
2. yuu topup ~ $1</t>
  </si>
  <si>
    <t>Birdie Mobile</t>
  </si>
  <si>
    <t>Stop Services</t>
  </si>
  <si>
    <t>Cancel Oxford Dictionary Subscription</t>
  </si>
  <si>
    <t>- See the Doctor ~ $110
- Buy Cigarette Buds ~ $800</t>
  </si>
  <si>
    <t>-Visit prostitute $390
-Return Trip To Mong Kok ~ $6
~Brought a coke from a Machine ~ $6.5
~Sportify Subscription For 2 months (till 7th July)~ $68
~Oxford Dictionary $19.99 (Don't Need To Include)
~Round Trip to the East Kowloon hospital ~ $4
~KFC ~ $31
~Shu Shi (Chuk Yuen Plaza) ~ $98
~ Coin Machine Transaction Fees ~ $2.7
~ Best Mart 360 ~ $18
~ Minibus to Fung Tak ~ $2
~ Lunch Box ~ $3
~ Coke From Machine ~ $6.5</t>
  </si>
  <si>
    <t xml:space="preserve">~ Payback $570 to Mom </t>
  </si>
  <si>
    <t>1.  Payback $276.04 to Mom For paying Bayer Aspirin Brought From SpringSunday.com 
2. Payback $150.9 to Mom For paying Amazon Books. 
3. Payback the remaining $10.46 after spending from Amazon Gift card (due to refund). For purchasing Body Lotion and Hair Dyeing Products From Amazon.</t>
  </si>
  <si>
    <t>~ See the Doctor (Injection) ~ $19
~ See the Doctor For Blood Pressure ~ $50
~ See the Doctor at Wu York Yu ~ $50
~ Brought Lasix 40mg ~ $75
~ Brought Bandage 4 inches X 2 ~ $20</t>
  </si>
  <si>
    <t>~ Buy Cigarette Buds ~ $800
~ Transport for Cigarette Buds ~ $50</t>
  </si>
  <si>
    <t>~ Apple Music 2 month
~ Top Up For Mobile And Comunication ~ $0.6
~ 20th May 2025 - Top Up For Octopus $50 (Don't need to Include)
~ 23rd May 2025 - Top Up For Octopus $100 (Don't need to Include)
~  Top Up For PlayStore $150 (Don't need to Include)</t>
  </si>
  <si>
    <t>~ Food And Transport
   - Devondale Milk X 2 ~ $35.8
   - Chicken Chops X 2 ~ $21
   - Vegetables 1 kg ~ $12
   - Best Mart 360 ~ Coffee Beans $98
  - OK Store ~ Soft drinks $15
  - U Store ~ $16.5
  - Best Mart 360 5kg Rice ~ $49
  - St Honour ~ $10
  - Best Mart 360 Peppsi ~ $14
  - OK Store ~ soft drinks $44
  - Best Mart ~ soft drinks $18
  - Best Mart ~ soft drinks $18
  - Best Mart ~ Starbucks Coffee Beans ~ $49.9
  - Wellcome ~ Sugar ~ $6.5
  - U Mart ~ Nisan Noddle and Curd Beans ~ $20.8
  - Best Mart 360 ~ Coffee Beans $49
  - CY Market Bakery ~ $28</t>
  </si>
  <si>
    <t>~ Nivea body lotion 380ml ~ $32
~ Longevity Sweetened Milk 374GM ~ $11
~ Market Slippers ~ $69
~ Round Trip to Mong Kok ~ $6
~ Round Trip to Robert Black Hospital ~ $4
~ Medimart 3M TEGADERM 5 pieces ~ $50
~ Pharmacy (Gauze Pad, cotton buds, Na Solutions) ~ $34
~ Mannings Pad ~ $10
~ Round Trip to East Kowloon Hospital ~ $4
~ Medimart 3M TEGADERM 10 pieces ~ $50
~ Pharmacy Sentalize Solutions ~ $20
~ Round Trip to East Kowloon Hospital ~ $4
~ Watsons ~ Asprin Like medicine ~ $49
~ Wellcome ~ Plastic bag ~ $1
~ Chuk Yuen North Post Office ~ stamp $2.2
~ Medimart 3M TEGADERM 10 pieces ~ $60
~ CY Plaza 2nd Pharmacy ~ Cotten buds ~ $10</t>
  </si>
  <si>
    <t>Balance Brought Forward From July 2024</t>
  </si>
  <si>
    <t>~ Payback $700 to Mom</t>
  </si>
  <si>
    <t>~ Payback $527.51 to Mom For Purchasing Amazon Body Lotion and hair dying solutions.</t>
  </si>
  <si>
    <t>- See the Doctor ~ $110
- Buy Cigarette Buds ~ $650</t>
  </si>
  <si>
    <t>~ Food And Transport ~ $400</t>
  </si>
  <si>
    <t>~ Payback $1050 to Mom</t>
  </si>
  <si>
    <t>~ Food And Transport ~ $400
~ See the Doctor (Injection) ~ $19</t>
  </si>
  <si>
    <t>~ Buy Cigarette Buds ~ $650</t>
  </si>
  <si>
    <t>~ Payback $800 to Mom</t>
  </si>
  <si>
    <t>- See the Doctor ~ $110
- Buy Cigarette Buds ~ $650
~ See the Doctor For Blood Pressure ~ $50</t>
  </si>
  <si>
    <t>~ Payback $1000 to Mom</t>
  </si>
  <si>
    <t>~ Payback $770 to Mom</t>
  </si>
  <si>
    <t>~ Payback $200 for Mom Air Ticket</t>
  </si>
  <si>
    <t>~ Food And Transport ~ $400
~ See the Doctor (Injection) ~ $19
~ See the Doctor For Blood Pressure ~ $50</t>
  </si>
  <si>
    <t>~ Payback $350 to Mom</t>
  </si>
  <si>
    <t>~ Payback $400 for Mom Air Ticket</t>
  </si>
  <si>
    <t>- See the Doctor ~ $240
- Buy Cigarette Buds ~ $650</t>
  </si>
  <si>
    <t>~ Payback $500 to Mom</t>
  </si>
  <si>
    <t>~ Payback $483 for Mom Air Ticket</t>
  </si>
  <si>
    <t>- See the Doctor ~ $290
- Buy Cigarette Buds ~ $650
~ See the Doctor For Blood Pressure ~ $160</t>
  </si>
  <si>
    <t>Additional Half Month Allowance</t>
  </si>
  <si>
    <t>- See the Doctor ~ $290
- Buy Cigarette Buds ~ $650</t>
  </si>
  <si>
    <t>~ Food And Transport ~ $400
~ See the Doctor (Injection) ~ $19
~ See the Doctor For Blood Pressure ~ $160</t>
  </si>
  <si>
    <t>- See the Doctor ~ $240
- Buy Cigarette Buds ~ $800</t>
  </si>
  <si>
    <t>31st October 2025</t>
  </si>
  <si>
    <t>- See the Doctor ~ $290
- Buy Cigarette Buds ~ $800</t>
  </si>
  <si>
    <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</si>
</sst>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9">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409]#,##0.00;[Red]\-[$$-409]#,##0.00"/>
    <numFmt numFmtId="177" formatCode="&quot;$&quot;#,##0.00_);[Red]\(&quot;$&quot;#,##0.00\)"/>
    <numFmt numFmtId="178" formatCode="&quot;$&quot;#,##0.00"/>
    <numFmt numFmtId="179" formatCode="mmm\-yy"/>
    <numFmt numFmtId="180" formatCode="[$-409]d\-mmm\-yyyy;@"/>
  </numFmts>
  <fonts count="48">
    <font>
      <sz val="12"/>
      <color theme="1"/>
      <name val="Aptos Narrow"/>
      <charset val="134"/>
      <scheme val="minor"/>
    </font>
    <font>
      <b/>
      <sz val="14"/>
      <color rgb="FF000000"/>
      <name val="Arial"/>
      <charset val="134"/>
    </font>
    <font>
      <b/>
      <sz val="11"/>
      <color rgb="FF000000"/>
      <name val="Arial"/>
      <charset val="134"/>
    </font>
    <font>
      <b/>
      <sz val="11"/>
      <color rgb="FF4A86E8"/>
      <name val="Arial"/>
      <charset val="134"/>
    </font>
    <font>
      <b/>
      <sz val="11"/>
      <color rgb="FFFF0000"/>
      <name val="Calibri"/>
      <charset val="1"/>
    </font>
    <font>
      <b/>
      <sz val="11"/>
      <color rgb="FFFF0000"/>
      <name val="Arial"/>
      <charset val="134"/>
    </font>
    <font>
      <sz val="12"/>
      <color theme="1"/>
      <name val="Arial"/>
      <charset val="134"/>
    </font>
    <font>
      <b/>
      <sz val="11"/>
      <color theme="0"/>
      <name val="Arial"/>
      <charset val="134"/>
    </font>
    <font>
      <b/>
      <sz val="11"/>
      <color rgb="FFFFFFFF"/>
      <name val="Arial"/>
      <charset val="134"/>
    </font>
    <font>
      <sz val="11"/>
      <color rgb="FF000000"/>
      <name val="Arial"/>
      <charset val="134"/>
    </font>
    <font>
      <sz val="11"/>
      <color theme="1"/>
      <name val="Arial"/>
      <charset val="134"/>
    </font>
    <font>
      <b/>
      <sz val="12"/>
      <color rgb="FF000000"/>
      <name val="Arial"/>
      <charset val="134"/>
    </font>
    <font>
      <b/>
      <sz val="12"/>
      <color rgb="FFFFFFFF"/>
      <name val="Arial"/>
      <charset val="134"/>
    </font>
    <font>
      <sz val="11"/>
      <color rgb="FF000000"/>
      <name val="Calibri"/>
      <charset val="1"/>
    </font>
    <font>
      <sz val="11"/>
      <name val="Arial"/>
      <charset val="134"/>
    </font>
    <font>
      <sz val="11"/>
      <color rgb="FF242424"/>
      <name val="Aptos Narrow"/>
      <charset val="1"/>
    </font>
    <font>
      <b/>
      <sz val="18"/>
      <color theme="1"/>
      <name val="Arial"/>
      <charset val="134"/>
    </font>
    <font>
      <b/>
      <sz val="12"/>
      <color theme="1"/>
      <name val="Arial"/>
      <charset val="134"/>
    </font>
    <font>
      <sz val="11"/>
      <color rgb="FF000000"/>
      <name val="Arial"/>
      <charset val="1"/>
    </font>
    <font>
      <b/>
      <sz val="11"/>
      <color theme="1"/>
      <name val="Arial"/>
      <charset val="134"/>
    </font>
    <font>
      <b/>
      <sz val="10.5"/>
      <color rgb="FF27292E"/>
      <name val="Helvetica Neue"/>
      <charset val="134"/>
    </font>
    <font>
      <b/>
      <sz val="12"/>
      <color theme="0"/>
      <name val="Arial"/>
      <charset val="134"/>
    </font>
    <font>
      <sz val="72"/>
      <color theme="0"/>
      <name val="Arial Black"/>
      <charset val="134"/>
    </font>
    <font>
      <i/>
      <sz val="26"/>
      <color theme="0"/>
      <name val="Arial Black"/>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b/>
      <sz val="11"/>
      <color rgb="FF4A86E8"/>
      <name val="Calibri"/>
      <charset val="1"/>
    </font>
    <font>
      <b/>
      <sz val="11"/>
      <color rgb="FF000000"/>
      <name val="Calibri"/>
      <charset val="1"/>
    </font>
    <font>
      <b/>
      <sz val="14"/>
      <color rgb="FF000000"/>
      <name val="Calibri"/>
      <charset val="1"/>
    </font>
    <font>
      <sz val="12"/>
      <color rgb="FFFFFFFF"/>
      <name val="Calibri"/>
      <charset val="1"/>
    </font>
  </fonts>
  <fills count="42">
    <fill>
      <patternFill patternType="none"/>
    </fill>
    <fill>
      <patternFill patternType="gray125"/>
    </fill>
    <fill>
      <patternFill patternType="solid">
        <fgColor rgb="FFFFFF00"/>
        <bgColor indexed="64"/>
      </patternFill>
    </fill>
    <fill>
      <patternFill patternType="solid">
        <fgColor rgb="FFFFFFFF"/>
        <bgColor rgb="FFFFFFCC"/>
      </patternFill>
    </fill>
    <fill>
      <patternFill patternType="solid">
        <fgColor rgb="FF5B9BD5"/>
        <bgColor indexed="64"/>
      </patternFill>
    </fill>
    <fill>
      <patternFill patternType="solid">
        <fgColor rgb="FF5B9BD5"/>
        <bgColor rgb="FF4A86E8"/>
      </patternFill>
    </fill>
    <fill>
      <patternFill patternType="solid">
        <fgColor rgb="FF00FF00"/>
        <bgColor indexed="64"/>
      </patternFill>
    </fill>
    <fill>
      <patternFill patternType="solid">
        <fgColor rgb="FFFF0000"/>
        <bgColor indexed="64"/>
      </patternFill>
    </fill>
    <fill>
      <patternFill patternType="solid">
        <fgColor rgb="FFFFC000"/>
        <bgColor indexed="64"/>
      </patternFill>
    </fill>
    <fill>
      <patternFill patternType="solid">
        <fgColor rgb="FFFFFF00"/>
        <bgColor rgb="FFFFFF00"/>
      </patternFill>
    </fill>
    <fill>
      <patternFill patternType="solid">
        <fgColor theme="3"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auto="1"/>
      </bottom>
      <diagonal/>
    </border>
    <border>
      <left/>
      <right/>
      <top style="thin">
        <color auto="1"/>
      </top>
      <bottom style="thin">
        <color auto="1"/>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auto="1"/>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auto="1"/>
      </right>
      <top style="thin">
        <color rgb="FF000000"/>
      </top>
      <bottom style="thin">
        <color rgb="FF000000"/>
      </bottom>
      <diagonal/>
    </border>
    <border>
      <left style="thin">
        <color rgb="FF000000"/>
      </left>
      <right/>
      <top style="thin">
        <color rgb="FF000000"/>
      </top>
      <bottom style="thin">
        <color auto="1"/>
      </bottom>
      <diagonal/>
    </border>
    <border>
      <left/>
      <right style="thin">
        <color auto="1"/>
      </right>
      <top style="thin">
        <color rgb="FF000000"/>
      </top>
      <bottom style="thin">
        <color auto="1"/>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rgb="FF000000"/>
      </bottom>
      <diagonal/>
    </border>
    <border>
      <left style="thin">
        <color auto="1"/>
      </left>
      <right/>
      <top style="thin">
        <color rgb="FF000000"/>
      </top>
      <bottom style="thin">
        <color auto="1"/>
      </bottom>
      <diagonal/>
    </border>
    <border>
      <left style="thin">
        <color auto="1"/>
      </left>
      <right/>
      <top style="thin">
        <color auto="1"/>
      </top>
      <bottom style="thin">
        <color rgb="FF000000"/>
      </bottom>
      <diagonal/>
    </border>
    <border>
      <left/>
      <right style="thin">
        <color auto="1"/>
      </right>
      <top style="thin">
        <color auto="1"/>
      </top>
      <bottom style="thin">
        <color rgb="FF000000"/>
      </bottom>
      <diagonal/>
    </border>
    <border>
      <left/>
      <right style="thin">
        <color rgb="FF000000"/>
      </right>
      <top style="thin">
        <color rgb="FF000000"/>
      </top>
      <bottom style="thin">
        <color auto="1"/>
      </bottom>
      <diagonal/>
    </border>
    <border>
      <left/>
      <right style="thin">
        <color rgb="FF000000"/>
      </right>
      <top style="thin">
        <color auto="1"/>
      </top>
      <bottom style="thin">
        <color auto="1"/>
      </bottom>
      <diagonal/>
    </border>
    <border>
      <left style="thin">
        <color auto="1"/>
      </left>
      <right/>
      <top style="thin">
        <color rgb="FF000000"/>
      </top>
      <bottom style="thin">
        <color rgb="FF000000"/>
      </bottom>
      <diagonal/>
    </border>
    <border>
      <left/>
      <right style="thin">
        <color auto="1"/>
      </right>
      <top style="thin">
        <color rgb="FF000000"/>
      </top>
      <bottom/>
      <diagonal/>
    </border>
    <border>
      <left/>
      <right style="thin">
        <color rgb="FF000000"/>
      </right>
      <top style="thin">
        <color auto="1"/>
      </top>
      <bottom style="thin">
        <color rgb="FF000000"/>
      </bottom>
      <diagonal/>
    </border>
    <border>
      <left style="thin">
        <color rgb="FF000000"/>
      </left>
      <right/>
      <top style="thin">
        <color auto="1"/>
      </top>
      <bottom style="thin">
        <color rgb="FF000000"/>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style="thin">
        <color rgb="FF000000"/>
      </left>
      <right style="thin">
        <color rgb="FF000000"/>
      </right>
      <top/>
      <bottom/>
      <diagonal/>
    </border>
    <border>
      <left style="thin">
        <color auto="1"/>
      </left>
      <right style="thin">
        <color auto="1"/>
      </right>
      <top/>
      <bottom style="thin">
        <color auto="1"/>
      </bottom>
      <diagonal/>
    </border>
    <border>
      <left style="thin">
        <color rgb="FF000000"/>
      </left>
      <right style="thin">
        <color auto="1"/>
      </right>
      <top style="thin">
        <color auto="1"/>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s>
  <cellStyleXfs count="56">
    <xf numFmtId="0" fontId="0" fillId="0" borderId="0"/>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11" borderId="40"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1" applyNumberFormat="0" applyFill="0" applyAlignment="0" applyProtection="0">
      <alignment vertical="center"/>
    </xf>
    <xf numFmtId="0" fontId="31" fillId="0" borderId="41" applyNumberFormat="0" applyFill="0" applyAlignment="0" applyProtection="0">
      <alignment vertical="center"/>
    </xf>
    <xf numFmtId="0" fontId="32" fillId="0" borderId="42" applyNumberFormat="0" applyFill="0" applyAlignment="0" applyProtection="0">
      <alignment vertical="center"/>
    </xf>
    <xf numFmtId="0" fontId="32" fillId="0" borderId="0" applyNumberFormat="0" applyFill="0" applyBorder="0" applyAlignment="0" applyProtection="0">
      <alignment vertical="center"/>
    </xf>
    <xf numFmtId="0" fontId="33" fillId="12" borderId="43" applyNumberFormat="0" applyAlignment="0" applyProtection="0">
      <alignment vertical="center"/>
    </xf>
    <xf numFmtId="0" fontId="34" fillId="13" borderId="44" applyNumberFormat="0" applyAlignment="0" applyProtection="0">
      <alignment vertical="center"/>
    </xf>
    <xf numFmtId="0" fontId="35" fillId="13" borderId="43" applyNumberFormat="0" applyAlignment="0" applyProtection="0">
      <alignment vertical="center"/>
    </xf>
    <xf numFmtId="0" fontId="36" fillId="14" borderId="45" applyNumberFormat="0" applyAlignment="0" applyProtection="0">
      <alignment vertical="center"/>
    </xf>
    <xf numFmtId="0" fontId="37" fillId="0" borderId="46" applyNumberFormat="0" applyFill="0" applyAlignment="0" applyProtection="0">
      <alignment vertical="center"/>
    </xf>
    <xf numFmtId="0" fontId="38" fillId="0" borderId="47"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3" fillId="19" borderId="0" applyNumberFormat="0" applyBorder="0" applyAlignment="0" applyProtection="0">
      <alignment vertical="center"/>
    </xf>
    <xf numFmtId="0" fontId="43" fillId="20" borderId="0" applyNumberFormat="0" applyBorder="0" applyAlignment="0" applyProtection="0">
      <alignment vertical="center"/>
    </xf>
    <xf numFmtId="0" fontId="42" fillId="21" borderId="0" applyNumberFormat="0" applyBorder="0" applyAlignment="0" applyProtection="0">
      <alignment vertical="center"/>
    </xf>
    <xf numFmtId="0" fontId="42" fillId="22" borderId="0" applyNumberFormat="0" applyBorder="0" applyAlignment="0" applyProtection="0">
      <alignment vertical="center"/>
    </xf>
    <xf numFmtId="0" fontId="43" fillId="23" borderId="0" applyNumberFormat="0" applyBorder="0" applyAlignment="0" applyProtection="0">
      <alignment vertical="center"/>
    </xf>
    <xf numFmtId="0" fontId="43" fillId="24" borderId="0" applyNumberFormat="0" applyBorder="0" applyAlignment="0" applyProtection="0">
      <alignment vertical="center"/>
    </xf>
    <xf numFmtId="0" fontId="42" fillId="25" borderId="0" applyNumberFormat="0" applyBorder="0" applyAlignment="0" applyProtection="0">
      <alignment vertical="center"/>
    </xf>
    <xf numFmtId="0" fontId="42"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2" fillId="29" borderId="0" applyNumberFormat="0" applyBorder="0" applyAlignment="0" applyProtection="0">
      <alignment vertical="center"/>
    </xf>
    <xf numFmtId="0" fontId="42"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42" fillId="33" borderId="0" applyNumberFormat="0" applyBorder="0" applyAlignment="0" applyProtection="0">
      <alignment vertical="center"/>
    </xf>
    <xf numFmtId="0" fontId="42" fillId="34" borderId="0" applyNumberFormat="0" applyBorder="0" applyAlignment="0" applyProtection="0">
      <alignment vertical="center"/>
    </xf>
    <xf numFmtId="0" fontId="43" fillId="35" borderId="0" applyNumberFormat="0" applyBorder="0" applyAlignment="0" applyProtection="0">
      <alignment vertical="center"/>
    </xf>
    <xf numFmtId="0" fontId="43" fillId="36" borderId="0" applyNumberFormat="0" applyBorder="0" applyAlignment="0" applyProtection="0">
      <alignment vertical="center"/>
    </xf>
    <xf numFmtId="0" fontId="42" fillId="37" borderId="0" applyNumberFormat="0" applyBorder="0" applyAlignment="0" applyProtection="0">
      <alignment vertical="center"/>
    </xf>
    <xf numFmtId="0" fontId="42" fillId="38" borderId="0" applyNumberFormat="0" applyBorder="0" applyAlignment="0" applyProtection="0">
      <alignment vertical="center"/>
    </xf>
    <xf numFmtId="0" fontId="43" fillId="39" borderId="0" applyNumberFormat="0" applyBorder="0" applyAlignment="0" applyProtection="0">
      <alignment vertical="center"/>
    </xf>
    <xf numFmtId="0" fontId="43" fillId="40" borderId="0" applyNumberFormat="0" applyBorder="0" applyAlignment="0" applyProtection="0">
      <alignment vertical="center"/>
    </xf>
    <xf numFmtId="0" fontId="42" fillId="41" borderId="0" applyNumberFormat="0" applyBorder="0" applyAlignment="0" applyProtection="0">
      <alignment vertical="center"/>
    </xf>
    <xf numFmtId="176" fontId="44" fillId="3" borderId="48">
      <alignment horizontal="center" vertical="center"/>
    </xf>
    <xf numFmtId="176" fontId="4" fillId="0" borderId="0" applyBorder="0" applyProtection="0">
      <alignment horizontal="center" vertical="center"/>
    </xf>
    <xf numFmtId="49" fontId="45" fillId="0" borderId="0" applyProtection="0">
      <alignment horizontal="center" vertical="center"/>
    </xf>
    <xf numFmtId="49" fontId="13" fillId="0" borderId="0" applyProtection="0">
      <alignment horizontal="left" vertical="center"/>
    </xf>
    <xf numFmtId="49" fontId="46" fillId="9" borderId="0" applyProtection="0">
      <alignment horizontal="center" vertical="center"/>
    </xf>
    <xf numFmtId="49" fontId="47" fillId="5" borderId="0" applyBorder="0" applyProtection="0">
      <alignment horizontal="center" vertical="center"/>
    </xf>
    <xf numFmtId="49" fontId="4" fillId="0" borderId="0" applyProtection="0">
      <alignment horizontal="right" vertical="center"/>
    </xf>
  </cellStyleXfs>
  <cellXfs count="245">
    <xf numFmtId="0" fontId="0" fillId="0" borderId="0" xfId="0"/>
    <xf numFmtId="0" fontId="1" fillId="2" borderId="1" xfId="0" applyFont="1" applyFill="1" applyBorder="1" applyAlignment="1">
      <alignment horizontal="center" vertical="center"/>
    </xf>
    <xf numFmtId="49" fontId="2" fillId="3" borderId="2" xfId="51" applyFont="1" applyFill="1" applyBorder="1" applyAlignment="1" applyProtection="1">
      <alignment horizontal="center" vertical="center" wrapText="1"/>
    </xf>
    <xf numFmtId="49" fontId="2" fillId="3" borderId="3" xfId="51" applyFont="1" applyFill="1" applyBorder="1" applyAlignment="1" applyProtection="1">
      <alignment horizontal="center" vertical="center" wrapText="1"/>
    </xf>
    <xf numFmtId="176" fontId="3" fillId="3" borderId="2" xfId="49" applyNumberFormat="1" applyFont="1" applyBorder="1" applyAlignment="1">
      <alignment horizontal="center" vertical="center"/>
    </xf>
    <xf numFmtId="49" fontId="2" fillId="3" borderId="1" xfId="51" applyFont="1" applyFill="1" applyBorder="1" applyAlignment="1" applyProtection="1">
      <alignment horizontal="center" vertical="center" wrapText="1"/>
    </xf>
    <xf numFmtId="49" fontId="2" fillId="3" borderId="4" xfId="51" applyFont="1" applyFill="1" applyBorder="1" applyAlignment="1" applyProtection="1">
      <alignment horizontal="center" vertical="center" wrapText="1"/>
    </xf>
    <xf numFmtId="176" fontId="3" fillId="3" borderId="1" xfId="49" applyFont="1" applyBorder="1" applyAlignment="1">
      <alignment horizontal="center" vertical="center"/>
    </xf>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176" fontId="3" fillId="3" borderId="7" xfId="49" applyFont="1" applyBorder="1" applyAlignment="1">
      <alignment horizontal="center" vertical="center"/>
    </xf>
    <xf numFmtId="0" fontId="4" fillId="0" borderId="1" xfId="0" applyFont="1" applyBorder="1" applyAlignment="1">
      <alignment horizontal="right" vertical="center"/>
    </xf>
    <xf numFmtId="177" fontId="5" fillId="0" borderId="8" xfId="0" applyNumberFormat="1" applyFont="1" applyBorder="1" applyAlignment="1">
      <alignment horizontal="center" vertical="center"/>
    </xf>
    <xf numFmtId="177" fontId="5" fillId="0" borderId="1" xfId="0" applyNumberFormat="1" applyFont="1" applyBorder="1" applyAlignment="1">
      <alignment horizontal="center" vertical="center"/>
    </xf>
    <xf numFmtId="0" fontId="6" fillId="0" borderId="0" xfId="0" applyFont="1" applyAlignment="1">
      <alignment vertical="center"/>
    </xf>
    <xf numFmtId="176" fontId="7" fillId="4" borderId="9" xfId="49" applyFont="1" applyFill="1" applyBorder="1" applyAlignment="1">
      <alignment horizontal="center" vertical="center"/>
    </xf>
    <xf numFmtId="176" fontId="7" fillId="4" borderId="10" xfId="49" applyFont="1" applyFill="1" applyBorder="1" applyAlignment="1">
      <alignment horizontal="center" vertical="center"/>
    </xf>
    <xf numFmtId="49" fontId="8" fillId="5" borderId="1" xfId="54" applyFont="1" applyBorder="1" applyAlignment="1" applyProtection="1">
      <alignment horizontal="center" vertical="center" wrapText="1"/>
    </xf>
    <xf numFmtId="49" fontId="8" fillId="5" borderId="1" xfId="54" applyFont="1" applyBorder="1" applyAlignment="1" applyProtection="1">
      <alignment horizontal="center" vertical="center"/>
    </xf>
    <xf numFmtId="49" fontId="2" fillId="0" borderId="1" xfId="51" applyFont="1" applyBorder="1" applyAlignment="1" applyProtection="1">
      <alignment horizontal="center" vertical="center" wrapText="1"/>
    </xf>
    <xf numFmtId="49" fontId="9" fillId="0" borderId="1" xfId="52" applyFont="1" applyBorder="1" applyAlignment="1" applyProtection="1">
      <alignment horizontal="left" vertical="center" wrapText="1"/>
    </xf>
    <xf numFmtId="49" fontId="9" fillId="0" borderId="1" xfId="52" applyFont="1" applyBorder="1" applyAlignment="1" applyProtection="1">
      <alignment horizontal="left" vertical="center"/>
    </xf>
    <xf numFmtId="0" fontId="10" fillId="0" borderId="11" xfId="0" applyFont="1" applyBorder="1" applyAlignment="1">
      <alignment horizontal="left" vertical="center" wrapText="1"/>
    </xf>
    <xf numFmtId="0" fontId="10" fillId="0" borderId="8" xfId="0" applyFont="1" applyBorder="1" applyAlignment="1">
      <alignment horizontal="left" vertical="center" wrapText="1"/>
    </xf>
    <xf numFmtId="0" fontId="10" fillId="0" borderId="11" xfId="0" applyFont="1" applyBorder="1" applyAlignment="1">
      <alignment horizontal="center" vertical="center" wrapText="1"/>
    </xf>
    <xf numFmtId="0" fontId="6" fillId="0" borderId="1" xfId="0" applyFont="1" applyBorder="1" applyAlignment="1">
      <alignment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49" fontId="5" fillId="0" borderId="11" xfId="55" applyFont="1" applyBorder="1" applyAlignment="1" applyProtection="1">
      <alignment horizontal="right" vertical="center" wrapText="1"/>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 xfId="0" applyFont="1" applyFill="1" applyBorder="1" applyAlignment="1">
      <alignment horizontal="center" vertical="center" wrapText="1"/>
    </xf>
    <xf numFmtId="0" fontId="11" fillId="6" borderId="11" xfId="0" applyFont="1" applyFill="1" applyBorder="1" applyAlignment="1">
      <alignment vertical="center" wrapText="1"/>
    </xf>
    <xf numFmtId="0" fontId="11" fillId="6" borderId="12" xfId="0" applyFont="1" applyFill="1" applyBorder="1" applyAlignment="1">
      <alignment vertical="center" wrapText="1"/>
    </xf>
    <xf numFmtId="0" fontId="11" fillId="6" borderId="8" xfId="0" applyFont="1" applyFill="1" applyBorder="1" applyAlignment="1">
      <alignment vertical="center" wrapText="1"/>
    </xf>
    <xf numFmtId="0" fontId="2" fillId="0" borderId="1" xfId="0" applyFont="1" applyBorder="1" applyAlignment="1" applyProtection="1">
      <alignment vertical="center"/>
    </xf>
    <xf numFmtId="177" fontId="5" fillId="0" borderId="1" xfId="0" applyNumberFormat="1" applyFont="1" applyBorder="1" applyAlignment="1">
      <alignment vertical="center"/>
    </xf>
    <xf numFmtId="0" fontId="2" fillId="0" borderId="1" xfId="0" applyFont="1" applyBorder="1" applyAlignment="1" applyProtection="1">
      <alignment vertical="center" wrapText="1"/>
    </xf>
    <xf numFmtId="0" fontId="9" fillId="0" borderId="2" xfId="0" applyFont="1" applyBorder="1" applyAlignment="1">
      <alignment vertical="center"/>
    </xf>
    <xf numFmtId="0" fontId="5" fillId="0" borderId="1" xfId="0" applyFont="1" applyBorder="1" applyAlignment="1">
      <alignment horizontal="right" vertical="center" wrapText="1"/>
    </xf>
    <xf numFmtId="0" fontId="0" fillId="0" borderId="0" xfId="0" applyAlignment="1">
      <alignment vertical="center"/>
    </xf>
    <xf numFmtId="0" fontId="10" fillId="0" borderId="8" xfId="0" applyFont="1" applyBorder="1" applyAlignment="1">
      <alignment horizontal="center" vertical="center" wrapText="1"/>
    </xf>
    <xf numFmtId="176" fontId="3" fillId="3" borderId="11" xfId="49" applyFont="1" applyBorder="1" applyAlignment="1">
      <alignment horizontal="center" vertical="center"/>
    </xf>
    <xf numFmtId="176" fontId="3" fillId="3" borderId="13" xfId="49" applyFont="1" applyBorder="1" applyAlignment="1">
      <alignment horizontal="center" vertical="center"/>
    </xf>
    <xf numFmtId="49" fontId="5" fillId="0" borderId="8" xfId="55" applyFont="1" applyBorder="1" applyAlignment="1" applyProtection="1">
      <alignment horizontal="right" vertical="center" wrapText="1"/>
    </xf>
    <xf numFmtId="176" fontId="3" fillId="3" borderId="14" xfId="49" applyFont="1" applyBorder="1" applyAlignment="1">
      <alignment horizontal="center" vertical="center"/>
    </xf>
    <xf numFmtId="176" fontId="3" fillId="3" borderId="15" xfId="49"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9"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2" fillId="7" borderId="11" xfId="0" applyFont="1" applyFill="1" applyBorder="1" applyAlignment="1">
      <alignment horizontal="center" vertical="center"/>
    </xf>
    <xf numFmtId="0" fontId="12" fillId="7" borderId="12" xfId="0" applyFont="1" applyFill="1" applyBorder="1" applyAlignment="1">
      <alignment horizontal="center" vertical="center"/>
    </xf>
    <xf numFmtId="0" fontId="12" fillId="7" borderId="8" xfId="0" applyFont="1" applyFill="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3" fillId="0" borderId="1" xfId="0" applyFont="1" applyBorder="1" applyAlignment="1">
      <alignment vertical="center"/>
    </xf>
    <xf numFmtId="0" fontId="2" fillId="0" borderId="5" xfId="0" applyFont="1" applyBorder="1" applyAlignment="1">
      <alignment horizontal="center" vertical="center"/>
    </xf>
    <xf numFmtId="0" fontId="2" fillId="0" borderId="16" xfId="0" applyFont="1" applyBorder="1" applyAlignment="1">
      <alignment horizontal="center" vertical="center"/>
    </xf>
    <xf numFmtId="49" fontId="2" fillId="0" borderId="11" xfId="0" applyNumberFormat="1" applyFont="1" applyBorder="1" applyAlignment="1">
      <alignment horizontal="left" vertical="center"/>
    </xf>
    <xf numFmtId="49" fontId="2" fillId="0" borderId="8" xfId="0" applyNumberFormat="1" applyFont="1" applyBorder="1" applyAlignment="1">
      <alignment horizontal="left"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49" fontId="9" fillId="0" borderId="11" xfId="0" applyNumberFormat="1" applyFont="1" applyBorder="1" applyAlignment="1">
      <alignment horizontal="left" vertical="center"/>
    </xf>
    <xf numFmtId="49" fontId="9" fillId="0" borderId="8" xfId="0" applyNumberFormat="1" applyFont="1" applyBorder="1" applyAlignment="1">
      <alignment horizontal="left" vertical="center"/>
    </xf>
    <xf numFmtId="49" fontId="2" fillId="0" borderId="11" xfId="0" applyNumberFormat="1" applyFont="1" applyBorder="1" applyAlignment="1">
      <alignment horizontal="left" vertical="center" wrapText="1"/>
    </xf>
    <xf numFmtId="40" fontId="6" fillId="0" borderId="0" xfId="0" applyNumberFormat="1" applyFont="1" applyAlignment="1">
      <alignment vertical="center"/>
    </xf>
    <xf numFmtId="0" fontId="6" fillId="0" borderId="0" xfId="0" applyNumberFormat="1" applyFont="1" applyAlignment="1">
      <alignment vertical="center" wrapText="1"/>
    </xf>
    <xf numFmtId="0" fontId="12" fillId="7" borderId="1" xfId="0" applyFont="1" applyFill="1" applyBorder="1" applyAlignment="1">
      <alignment horizontal="center" vertical="center"/>
    </xf>
    <xf numFmtId="178" fontId="10" fillId="0" borderId="8" xfId="0" applyNumberFormat="1" applyFont="1" applyBorder="1" applyAlignment="1">
      <alignment vertical="center" wrapText="1"/>
    </xf>
    <xf numFmtId="0" fontId="5" fillId="0" borderId="1" xfId="0" applyNumberFormat="1" applyFont="1" applyBorder="1" applyAlignment="1">
      <alignment vertical="center"/>
    </xf>
    <xf numFmtId="49" fontId="9" fillId="0" borderId="19" xfId="52" applyFont="1" applyBorder="1" applyAlignment="1" applyProtection="1">
      <alignment horizontal="left" vertical="center" wrapText="1"/>
    </xf>
    <xf numFmtId="49" fontId="9" fillId="0" borderId="19" xfId="52" applyFont="1" applyBorder="1" applyAlignment="1" applyProtection="1">
      <alignment horizontal="left"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8" xfId="0" applyFont="1" applyBorder="1" applyAlignment="1">
      <alignment horizontal="center" vertical="center"/>
    </xf>
    <xf numFmtId="0" fontId="9" fillId="0" borderId="5" xfId="0" applyFont="1" applyBorder="1" applyAlignment="1">
      <alignment horizontal="left" vertical="center"/>
    </xf>
    <xf numFmtId="0" fontId="9" fillId="0" borderId="16" xfId="0" applyFont="1" applyBorder="1" applyAlignment="1">
      <alignment horizontal="left" vertical="center"/>
    </xf>
    <xf numFmtId="0" fontId="9" fillId="0" borderId="11" xfId="0" applyFont="1" applyBorder="1" applyAlignment="1">
      <alignment vertical="center"/>
    </xf>
    <xf numFmtId="0" fontId="9" fillId="0" borderId="12" xfId="0" applyFont="1" applyBorder="1" applyAlignment="1">
      <alignment vertical="center"/>
    </xf>
    <xf numFmtId="0" fontId="5" fillId="0" borderId="1" xfId="0" applyFont="1" applyBorder="1" applyAlignment="1">
      <alignment horizontal="right" vertical="center"/>
    </xf>
    <xf numFmtId="0" fontId="12" fillId="7" borderId="5" xfId="0" applyFont="1" applyFill="1" applyBorder="1" applyAlignment="1">
      <alignment horizontal="center" vertical="center"/>
    </xf>
    <xf numFmtId="0" fontId="12" fillId="7" borderId="16" xfId="0" applyFont="1" applyFill="1" applyBorder="1" applyAlignment="1">
      <alignment horizontal="center" vertical="center"/>
    </xf>
    <xf numFmtId="49" fontId="2" fillId="0" borderId="20" xfId="0" applyNumberFormat="1" applyFont="1" applyBorder="1" applyAlignment="1">
      <alignment horizontal="left" vertical="center"/>
    </xf>
    <xf numFmtId="49" fontId="2" fillId="0" borderId="21" xfId="0" applyNumberFormat="1" applyFont="1" applyBorder="1" applyAlignment="1">
      <alignment horizontal="left" vertical="center"/>
    </xf>
    <xf numFmtId="176" fontId="5" fillId="0" borderId="19" xfId="50" applyFont="1" applyBorder="1" applyAlignment="1" applyProtection="1">
      <alignment horizontal="right" vertical="center"/>
    </xf>
    <xf numFmtId="177" fontId="5" fillId="0" borderId="7" xfId="0" applyNumberFormat="1" applyFont="1" applyBorder="1" applyAlignment="1">
      <alignment vertical="center"/>
    </xf>
    <xf numFmtId="178" fontId="6" fillId="0" borderId="8" xfId="0" applyNumberFormat="1" applyFont="1" applyBorder="1" applyAlignment="1">
      <alignment vertical="center"/>
    </xf>
    <xf numFmtId="0" fontId="12" fillId="7" borderId="7" xfId="0" applyFont="1" applyFill="1" applyBorder="1" applyAlignment="1">
      <alignment horizontal="center" vertical="center"/>
    </xf>
    <xf numFmtId="0" fontId="5" fillId="0" borderId="2" xfId="0" applyNumberFormat="1" applyFont="1" applyBorder="1" applyAlignment="1">
      <alignment vertical="center"/>
    </xf>
    <xf numFmtId="178" fontId="10" fillId="0" borderId="8" xfId="0" applyNumberFormat="1" applyFont="1" applyBorder="1" applyAlignment="1">
      <alignment vertical="center"/>
    </xf>
    <xf numFmtId="0" fontId="11" fillId="6" borderId="11" xfId="0" applyFont="1" applyFill="1" applyBorder="1" applyAlignment="1">
      <alignment horizontal="left" vertical="center" wrapText="1"/>
    </xf>
    <xf numFmtId="0" fontId="11" fillId="6" borderId="12" xfId="0" applyFont="1" applyFill="1" applyBorder="1" applyAlignment="1">
      <alignment horizontal="left" vertical="center" wrapText="1"/>
    </xf>
    <xf numFmtId="0" fontId="11" fillId="6" borderId="8" xfId="0" applyFont="1" applyFill="1" applyBorder="1" applyAlignment="1">
      <alignment horizontal="left" vertical="center" wrapText="1"/>
    </xf>
    <xf numFmtId="0" fontId="6" fillId="0" borderId="0" xfId="0" applyFont="1" applyAlignment="1">
      <alignment vertical="center" wrapText="1"/>
    </xf>
    <xf numFmtId="49" fontId="9" fillId="0" borderId="22" xfId="52" applyFont="1" applyBorder="1" applyAlignment="1" applyProtection="1">
      <alignment horizontal="left" vertical="center" wrapText="1"/>
    </xf>
    <xf numFmtId="49" fontId="9" fillId="0" borderId="23" xfId="52" applyFont="1" applyBorder="1" applyAlignment="1" applyProtection="1">
      <alignment horizontal="left" vertical="center" wrapText="1"/>
    </xf>
    <xf numFmtId="49" fontId="14" fillId="0" borderId="22" xfId="52" applyFont="1" applyBorder="1" applyAlignment="1" applyProtection="1">
      <alignment horizontal="left" vertical="center"/>
    </xf>
    <xf numFmtId="49" fontId="14" fillId="0" borderId="4" xfId="52" applyFont="1" applyBorder="1" applyAlignment="1" applyProtection="1">
      <alignment horizontal="left" vertical="center"/>
    </xf>
    <xf numFmtId="49" fontId="2" fillId="0" borderId="22" xfId="51" applyFont="1" applyBorder="1" applyAlignment="1" applyProtection="1">
      <alignment horizontal="center" vertical="center" wrapText="1"/>
    </xf>
    <xf numFmtId="0" fontId="10" fillId="0" borderId="20" xfId="0" applyFont="1" applyBorder="1" applyAlignment="1">
      <alignment horizontal="left" vertical="center" wrapText="1"/>
    </xf>
    <xf numFmtId="0" fontId="10" fillId="0" borderId="21" xfId="0" applyFont="1" applyBorder="1" applyAlignment="1">
      <alignment horizontal="left" vertical="center" wrapText="1"/>
    </xf>
    <xf numFmtId="176" fontId="3" fillId="3" borderId="20" xfId="49" applyFont="1" applyBorder="1" applyAlignment="1">
      <alignment horizontal="center" vertical="center"/>
    </xf>
    <xf numFmtId="176" fontId="3" fillId="3" borderId="24" xfId="49" applyFont="1" applyBorder="1" applyAlignment="1">
      <alignment horizontal="center" vertical="center"/>
    </xf>
    <xf numFmtId="177" fontId="5" fillId="0" borderId="1" xfId="0" applyNumberFormat="1" applyFont="1" applyBorder="1" applyAlignment="1" applyProtection="1">
      <alignment vertical="center"/>
    </xf>
    <xf numFmtId="49" fontId="9" fillId="0" borderId="2" xfId="52" applyFont="1" applyBorder="1" applyAlignment="1" applyProtection="1">
      <alignment horizontal="left" vertical="center" wrapText="1"/>
    </xf>
    <xf numFmtId="49" fontId="9" fillId="0" borderId="2" xfId="52" applyFont="1" applyBorder="1" applyAlignment="1" applyProtection="1">
      <alignment horizontal="left" vertical="center"/>
    </xf>
    <xf numFmtId="176" fontId="3" fillId="3" borderId="2" xfId="49" applyFont="1" applyBorder="1" applyAlignment="1">
      <alignment horizontal="center" vertical="center"/>
    </xf>
    <xf numFmtId="49" fontId="9" fillId="0" borderId="11" xfId="52" applyFont="1" applyBorder="1" applyAlignment="1" applyProtection="1">
      <alignment horizontal="left" vertical="center" wrapText="1"/>
    </xf>
    <xf numFmtId="49" fontId="9" fillId="0" borderId="11" xfId="52" applyFont="1" applyBorder="1" applyAlignment="1" applyProtection="1">
      <alignment horizontal="left" vertical="center"/>
    </xf>
    <xf numFmtId="49" fontId="9" fillId="0" borderId="8" xfId="52" applyFont="1" applyBorder="1" applyAlignment="1" applyProtection="1">
      <alignment horizontal="left" vertical="center"/>
    </xf>
    <xf numFmtId="176" fontId="5" fillId="0" borderId="19" xfId="50" applyFont="1" applyBorder="1" applyAlignment="1" applyProtection="1">
      <alignment vertical="center"/>
    </xf>
    <xf numFmtId="49" fontId="9" fillId="0" borderId="11" xfId="0" applyNumberFormat="1" applyFont="1" applyBorder="1" applyAlignment="1">
      <alignment horizontal="left" vertical="center" wrapText="1"/>
    </xf>
    <xf numFmtId="49" fontId="9" fillId="0" borderId="23" xfId="52" applyFont="1" applyBorder="1" applyAlignment="1" applyProtection="1">
      <alignment horizontal="left" vertical="center"/>
    </xf>
    <xf numFmtId="49" fontId="9" fillId="0" borderId="1" xfId="52" applyFont="1" applyBorder="1" applyAlignment="1" applyProtection="1">
      <alignment horizontal="center" vertical="center" wrapText="1"/>
    </xf>
    <xf numFmtId="49" fontId="9" fillId="0" borderId="11" xfId="52" applyFont="1" applyBorder="1" applyAlignment="1" applyProtection="1">
      <alignment horizontal="center" vertical="center" wrapText="1"/>
    </xf>
    <xf numFmtId="49" fontId="2" fillId="0" borderId="1" xfId="51" applyFont="1" applyBorder="1" applyAlignment="1" applyProtection="1">
      <alignment horizontal="center" vertical="top" wrapText="1"/>
    </xf>
    <xf numFmtId="0" fontId="10" fillId="0" borderId="11" xfId="0" applyFont="1" applyBorder="1" applyAlignment="1">
      <alignment horizontal="left" vertical="top" wrapText="1"/>
    </xf>
    <xf numFmtId="0" fontId="10" fillId="0" borderId="8" xfId="0" applyFont="1" applyBorder="1" applyAlignment="1">
      <alignment horizontal="left" vertical="top" wrapText="1"/>
    </xf>
    <xf numFmtId="49" fontId="2" fillId="0" borderId="1" xfId="52" applyFont="1" applyBorder="1" applyAlignment="1" applyProtection="1">
      <alignment horizontal="center" vertical="center" wrapText="1"/>
    </xf>
    <xf numFmtId="49" fontId="2" fillId="0" borderId="11" xfId="52" applyFont="1" applyBorder="1" applyAlignment="1" applyProtection="1">
      <alignment horizontal="center" vertical="center" wrapText="1"/>
    </xf>
    <xf numFmtId="49" fontId="9" fillId="0" borderId="22" xfId="52" applyFont="1" applyBorder="1" applyAlignment="1" applyProtection="1">
      <alignment horizontal="left" vertical="center"/>
    </xf>
    <xf numFmtId="177" fontId="5" fillId="0" borderId="1" xfId="0" applyNumberFormat="1" applyFont="1" applyBorder="1" applyAlignment="1">
      <alignment vertical="center" wrapText="1"/>
    </xf>
    <xf numFmtId="49" fontId="2" fillId="0" borderId="19" xfId="52" applyFont="1" applyBorder="1" applyAlignment="1" applyProtection="1">
      <alignment horizontal="left" vertical="center"/>
    </xf>
    <xf numFmtId="49" fontId="2" fillId="0" borderId="19" xfId="52" applyFont="1" applyBorder="1" applyAlignment="1" applyProtection="1">
      <alignment horizontal="left" vertical="center" wrapText="1"/>
    </xf>
    <xf numFmtId="49" fontId="9" fillId="0" borderId="11" xfId="0" applyNumberFormat="1" applyFont="1" applyBorder="1" applyAlignment="1">
      <alignment vertical="center"/>
    </xf>
    <xf numFmtId="49" fontId="9" fillId="0" borderId="8" xfId="0" applyNumberFormat="1" applyFont="1" applyBorder="1" applyAlignment="1">
      <alignment vertical="center"/>
    </xf>
    <xf numFmtId="49" fontId="9" fillId="0" borderId="19" xfId="52" applyFont="1" applyBorder="1" applyAlignment="1" applyProtection="1">
      <alignment vertical="center" wrapText="1"/>
    </xf>
    <xf numFmtId="49" fontId="2" fillId="0" borderId="19" xfId="52" applyFont="1" applyBorder="1" applyAlignment="1" applyProtection="1">
      <alignment vertical="center" wrapText="1"/>
    </xf>
    <xf numFmtId="177" fontId="5" fillId="0" borderId="1" xfId="0" applyNumberFormat="1" applyFont="1" applyBorder="1" applyAlignment="1">
      <alignment horizontal="right" vertical="center"/>
    </xf>
    <xf numFmtId="49" fontId="2" fillId="0" borderId="19" xfId="51" applyFont="1" applyBorder="1" applyAlignment="1" applyProtection="1">
      <alignment horizontal="center" vertical="center" wrapText="1"/>
    </xf>
    <xf numFmtId="49" fontId="9" fillId="0" borderId="25" xfId="52" applyFont="1" applyBorder="1" applyAlignment="1" applyProtection="1">
      <alignment horizontal="left" vertical="center" wrapText="1"/>
    </xf>
    <xf numFmtId="49" fontId="9" fillId="0" borderId="15" xfId="52" applyFont="1" applyBorder="1" applyAlignment="1" applyProtection="1">
      <alignment horizontal="left" vertical="center" wrapText="1"/>
    </xf>
    <xf numFmtId="49" fontId="9" fillId="0" borderId="25" xfId="52" applyFont="1" applyBorder="1" applyAlignment="1" applyProtection="1">
      <alignment horizontal="left" vertical="center"/>
    </xf>
    <xf numFmtId="49" fontId="15" fillId="0" borderId="25" xfId="52" applyFont="1" applyBorder="1" applyAlignment="1" applyProtection="1">
      <alignment horizontal="left" vertical="center" wrapText="1"/>
    </xf>
    <xf numFmtId="49" fontId="14" fillId="0" borderId="22" xfId="52" applyFont="1" applyBorder="1" applyAlignment="1" applyProtection="1">
      <alignment horizontal="left" vertical="center" wrapText="1"/>
    </xf>
    <xf numFmtId="49" fontId="9" fillId="0" borderId="26" xfId="52" applyFont="1" applyBorder="1" applyAlignment="1" applyProtection="1">
      <alignment horizontal="left" vertical="center" wrapText="1"/>
    </xf>
    <xf numFmtId="49" fontId="9" fillId="0" borderId="27" xfId="52" applyFont="1" applyBorder="1" applyAlignment="1" applyProtection="1">
      <alignment horizontal="left" vertical="center" wrapText="1"/>
    </xf>
    <xf numFmtId="177" fontId="5" fillId="0" borderId="1" xfId="0" applyNumberFormat="1" applyFont="1" applyBorder="1"/>
    <xf numFmtId="49" fontId="9" fillId="0" borderId="28" xfId="52" applyFont="1" applyBorder="1" applyAlignment="1" applyProtection="1">
      <alignment horizontal="left" vertical="center"/>
    </xf>
    <xf numFmtId="49" fontId="9" fillId="0" borderId="29" xfId="52" applyFont="1" applyBorder="1" applyAlignment="1" applyProtection="1">
      <alignment horizontal="left" vertical="center"/>
    </xf>
    <xf numFmtId="176" fontId="3" fillId="3" borderId="30" xfId="49" applyFont="1" applyBorder="1" applyAlignment="1">
      <alignment horizontal="center" vertical="center"/>
    </xf>
    <xf numFmtId="176" fontId="3" fillId="3" borderId="5" xfId="49" applyFont="1" applyBorder="1" applyAlignment="1">
      <alignment horizontal="center" vertical="center"/>
    </xf>
    <xf numFmtId="176" fontId="3" fillId="3" borderId="31" xfId="49" applyFont="1" applyBorder="1" applyAlignment="1">
      <alignment horizontal="center" vertical="center"/>
    </xf>
    <xf numFmtId="49" fontId="9" fillId="0" borderId="32" xfId="52" applyFont="1" applyBorder="1" applyAlignment="1" applyProtection="1">
      <alignment horizontal="left" vertical="center"/>
    </xf>
    <xf numFmtId="49" fontId="9" fillId="0" borderId="4" xfId="52" applyFont="1" applyBorder="1" applyAlignment="1" applyProtection="1">
      <alignment horizontal="left" vertical="center"/>
    </xf>
    <xf numFmtId="40" fontId="6" fillId="0" borderId="0" xfId="0" applyNumberFormat="1" applyFont="1" applyAlignment="1">
      <alignment vertical="center" wrapText="1"/>
    </xf>
    <xf numFmtId="49" fontId="9" fillId="0" borderId="8" xfId="0" applyNumberFormat="1" applyFont="1" applyBorder="1" applyAlignment="1">
      <alignment horizontal="left" vertical="center" wrapText="1"/>
    </xf>
    <xf numFmtId="49" fontId="2" fillId="0" borderId="33" xfId="52" applyFont="1" applyBorder="1" applyAlignment="1" applyProtection="1">
      <alignment horizontal="left" vertical="center" wrapText="1"/>
    </xf>
    <xf numFmtId="49" fontId="2" fillId="0" borderId="32" xfId="52" applyFont="1" applyBorder="1" applyAlignment="1" applyProtection="1">
      <alignment horizontal="left" vertical="center" wrapText="1"/>
    </xf>
    <xf numFmtId="0" fontId="6" fillId="0" borderId="0" xfId="0" applyFont="1"/>
    <xf numFmtId="0" fontId="16" fillId="8" borderId="1" xfId="0" applyFont="1" applyFill="1" applyBorder="1" applyAlignment="1">
      <alignment horizontal="center" vertical="center"/>
    </xf>
    <xf numFmtId="49" fontId="1" fillId="9" borderId="34" xfId="53" applyFont="1" applyBorder="1" applyAlignment="1" applyProtection="1">
      <alignment horizontal="center" vertical="center" wrapText="1"/>
    </xf>
    <xf numFmtId="49" fontId="1" fillId="9" borderId="3" xfId="53" applyFont="1" applyBorder="1" applyAlignment="1" applyProtection="1">
      <alignment horizontal="center" vertical="center" wrapText="1"/>
    </xf>
    <xf numFmtId="49" fontId="1" fillId="9" borderId="2" xfId="53" applyFont="1" applyBorder="1" applyAlignment="1" applyProtection="1">
      <alignment horizontal="center" vertical="center"/>
    </xf>
    <xf numFmtId="0" fontId="17" fillId="0" borderId="1" xfId="0" applyFont="1" applyBorder="1" applyAlignment="1">
      <alignment horizontal="center" vertical="center" wrapText="1"/>
    </xf>
    <xf numFmtId="49" fontId="2" fillId="3" borderId="23" xfId="51" applyFont="1" applyFill="1" applyBorder="1" applyAlignment="1" applyProtection="1">
      <alignment horizontal="center" vertical="center" wrapText="1"/>
    </xf>
    <xf numFmtId="176" fontId="3" fillId="3" borderId="22" xfId="49" applyFont="1" applyBorder="1">
      <alignment horizontal="center" vertical="center"/>
    </xf>
    <xf numFmtId="49" fontId="2" fillId="3" borderId="5" xfId="51" applyFont="1" applyFill="1" applyBorder="1" applyAlignment="1" applyProtection="1">
      <alignment horizontal="center" vertical="center" wrapText="1"/>
    </xf>
    <xf numFmtId="49" fontId="2" fillId="3" borderId="17" xfId="51" applyFont="1" applyFill="1" applyBorder="1" applyAlignment="1" applyProtection="1">
      <alignment horizontal="center" vertical="center" wrapText="1"/>
    </xf>
    <xf numFmtId="49" fontId="2" fillId="3" borderId="35" xfId="51" applyFont="1" applyFill="1" applyBorder="1" applyAlignment="1" applyProtection="1">
      <alignment horizontal="center" vertical="center" wrapText="1"/>
    </xf>
    <xf numFmtId="0" fontId="17" fillId="0" borderId="11" xfId="0" applyFont="1" applyBorder="1" applyAlignment="1">
      <alignment horizontal="center" vertical="center" wrapText="1"/>
    </xf>
    <xf numFmtId="49" fontId="5" fillId="0" borderId="1" xfId="55" applyFont="1" applyBorder="1" applyAlignment="1" applyProtection="1">
      <alignment horizontal="right" vertical="center" wrapText="1"/>
    </xf>
    <xf numFmtId="176" fontId="3" fillId="3" borderId="4" xfId="49" applyNumberFormat="1" applyFont="1" applyBorder="1">
      <alignment horizontal="center" vertical="center"/>
    </xf>
    <xf numFmtId="49" fontId="2" fillId="3" borderId="20" xfId="51" applyFont="1" applyFill="1" applyBorder="1" applyAlignment="1" applyProtection="1">
      <alignment horizontal="center" vertical="center" wrapText="1"/>
    </xf>
    <xf numFmtId="0" fontId="18" fillId="0" borderId="1" xfId="0" applyFont="1"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xf numFmtId="0" fontId="6" fillId="0" borderId="11" xfId="0" applyFont="1" applyBorder="1" applyAlignment="1">
      <alignment horizontal="center"/>
    </xf>
    <xf numFmtId="0" fontId="6" fillId="0" borderId="8" xfId="0" applyFont="1" applyBorder="1" applyAlignment="1">
      <alignment horizontal="center"/>
    </xf>
    <xf numFmtId="0" fontId="18" fillId="0" borderId="11" xfId="0" applyFont="1" applyBorder="1" applyAlignment="1">
      <alignment horizontal="left" vertical="center" wrapText="1"/>
    </xf>
    <xf numFmtId="49" fontId="2" fillId="0" borderId="22" xfId="51" applyFont="1" applyBorder="1" applyAlignment="1" applyProtection="1">
      <alignment horizontal="center" vertical="top" wrapText="1"/>
    </xf>
    <xf numFmtId="49" fontId="9" fillId="0" borderId="1" xfId="52" applyFont="1" applyBorder="1" applyAlignment="1" applyProtection="1">
      <alignment horizontal="left" vertical="top" wrapText="1"/>
    </xf>
    <xf numFmtId="49" fontId="2" fillId="0" borderId="36" xfId="51" applyFont="1" applyBorder="1" applyAlignment="1" applyProtection="1">
      <alignment horizontal="center" vertic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1" fillId="2" borderId="8"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1" fillId="6" borderId="11" xfId="0" applyFont="1" applyFill="1" applyBorder="1" applyAlignment="1">
      <alignment wrapText="1"/>
    </xf>
    <xf numFmtId="0" fontId="11" fillId="6" borderId="12" xfId="0" applyFont="1" applyFill="1" applyBorder="1" applyAlignment="1">
      <alignment wrapText="1"/>
    </xf>
    <xf numFmtId="0" fontId="11" fillId="6" borderId="8" xfId="0" applyFont="1" applyFill="1" applyBorder="1" applyAlignment="1">
      <alignment wrapText="1"/>
    </xf>
    <xf numFmtId="0" fontId="9" fillId="0" borderId="1" xfId="0" applyFont="1" applyBorder="1" applyAlignment="1">
      <alignment vertical="center" wrapText="1"/>
    </xf>
    <xf numFmtId="0" fontId="2" fillId="0" borderId="7" xfId="0" applyFont="1" applyBorder="1" applyAlignment="1">
      <alignment vertical="center" wrapText="1"/>
    </xf>
    <xf numFmtId="0" fontId="9" fillId="0" borderId="8" xfId="0" applyFont="1" applyBorder="1" applyAlignment="1">
      <alignment vertical="center" wrapText="1"/>
    </xf>
    <xf numFmtId="176" fontId="3" fillId="3" borderId="1" xfId="49" applyFont="1" applyBorder="1">
      <alignment horizontal="center" vertical="center"/>
    </xf>
    <xf numFmtId="0" fontId="6" fillId="0" borderId="0" xfId="0" applyFont="1" applyAlignment="1">
      <alignment wrapText="1"/>
    </xf>
    <xf numFmtId="49" fontId="2" fillId="3" borderId="19" xfId="51" applyFont="1" applyFill="1" applyBorder="1" applyAlignment="1" applyProtection="1">
      <alignment horizontal="center" vertical="center" wrapText="1"/>
    </xf>
    <xf numFmtId="176" fontId="3" fillId="3" borderId="1" xfId="49" applyNumberFormat="1" applyFont="1" applyBorder="1">
      <alignment horizontal="center" vertical="center"/>
    </xf>
    <xf numFmtId="176" fontId="3" fillId="3" borderId="12" xfId="49" applyFont="1" applyBorder="1" applyAlignment="1">
      <alignment horizontal="center" vertical="center"/>
    </xf>
    <xf numFmtId="0" fontId="16" fillId="8" borderId="7" xfId="0" applyFont="1" applyFill="1" applyBorder="1" applyAlignment="1">
      <alignment horizontal="center" vertical="center"/>
    </xf>
    <xf numFmtId="49" fontId="1" fillId="9" borderId="11" xfId="53" applyFont="1" applyBorder="1" applyAlignment="1" applyProtection="1">
      <alignment horizontal="center" vertical="center" wrapText="1"/>
    </xf>
    <xf numFmtId="49" fontId="1" fillId="9" borderId="7" xfId="53" applyFont="1" applyBorder="1" applyAlignment="1" applyProtection="1">
      <alignment horizontal="center" vertical="center" wrapText="1"/>
    </xf>
    <xf numFmtId="179" fontId="19" fillId="0" borderId="20" xfId="0" applyNumberFormat="1" applyFont="1" applyBorder="1" applyAlignment="1">
      <alignment horizontal="center" vertical="center"/>
    </xf>
    <xf numFmtId="177" fontId="19" fillId="0" borderId="1" xfId="0" applyNumberFormat="1" applyFont="1" applyBorder="1" applyAlignment="1">
      <alignment horizontal="center" vertical="center"/>
    </xf>
    <xf numFmtId="0" fontId="19" fillId="0" borderId="11" xfId="0" applyFont="1" applyBorder="1" applyAlignment="1">
      <alignment horizontal="center" vertical="center"/>
    </xf>
    <xf numFmtId="0" fontId="19" fillId="0" borderId="11" xfId="0" applyFont="1" applyBorder="1" applyAlignment="1">
      <alignment horizontal="center" vertical="center" wrapText="1"/>
    </xf>
    <xf numFmtId="0" fontId="19" fillId="0" borderId="5" xfId="0" applyFont="1" applyBorder="1" applyAlignment="1">
      <alignment horizontal="center" vertical="center"/>
    </xf>
    <xf numFmtId="177" fontId="19" fillId="0" borderId="7" xfId="0" applyNumberFormat="1" applyFont="1" applyBorder="1" applyAlignment="1">
      <alignment horizontal="center" vertical="center"/>
    </xf>
    <xf numFmtId="0" fontId="19" fillId="0" borderId="1" xfId="0" applyFont="1" applyBorder="1" applyAlignment="1">
      <alignment horizontal="center" vertical="center"/>
    </xf>
    <xf numFmtId="177" fontId="19" fillId="0" borderId="37" xfId="0" applyNumberFormat="1" applyFont="1" applyBorder="1" applyAlignment="1">
      <alignment horizontal="center" vertical="center"/>
    </xf>
    <xf numFmtId="49" fontId="1" fillId="9" borderId="5" xfId="53" applyFont="1" applyBorder="1" applyAlignment="1" applyProtection="1">
      <alignment horizontal="center" vertical="center" wrapText="1"/>
    </xf>
    <xf numFmtId="0" fontId="19" fillId="0" borderId="7" xfId="0" applyFont="1" applyBorder="1" applyAlignment="1">
      <alignment horizontal="center" vertical="center"/>
    </xf>
    <xf numFmtId="177" fontId="19" fillId="0" borderId="8" xfId="0" applyNumberFormat="1" applyFont="1" applyBorder="1" applyAlignment="1">
      <alignment horizontal="center" vertical="center"/>
    </xf>
    <xf numFmtId="0" fontId="19" fillId="0" borderId="2" xfId="0" applyFont="1" applyBorder="1" applyAlignment="1">
      <alignment horizontal="center" vertical="center"/>
    </xf>
    <xf numFmtId="0" fontId="9" fillId="0" borderId="1" xfId="0" applyFont="1" applyBorder="1" applyAlignment="1"/>
    <xf numFmtId="0" fontId="5" fillId="0" borderId="1" xfId="0" applyFont="1" applyBorder="1" applyAlignment="1">
      <alignment horizontal="right" wrapText="1"/>
    </xf>
    <xf numFmtId="0" fontId="2" fillId="0" borderId="2" xfId="0" applyFont="1" applyBorder="1" applyAlignment="1">
      <alignment vertical="center" wrapText="1"/>
    </xf>
    <xf numFmtId="0" fontId="2" fillId="0" borderId="1" xfId="0" applyFont="1" applyBorder="1" applyAlignment="1">
      <alignment wrapText="1"/>
    </xf>
    <xf numFmtId="0" fontId="9" fillId="0" borderId="1" xfId="0" applyFont="1" applyBorder="1" applyAlignment="1">
      <alignment wrapText="1"/>
    </xf>
    <xf numFmtId="49" fontId="9" fillId="0" borderId="19" xfId="52" applyFont="1" applyBorder="1" applyProtection="1">
      <alignment horizontal="left" vertical="center"/>
    </xf>
    <xf numFmtId="177" fontId="5" fillId="0" borderId="1" xfId="0" applyNumberFormat="1" applyFont="1" applyBorder="1" applyAlignment="1"/>
    <xf numFmtId="49" fontId="2" fillId="0" borderId="19" xfId="51" applyFont="1" applyBorder="1" applyAlignment="1" applyProtection="1">
      <alignment horizontal="left" vertical="center"/>
    </xf>
    <xf numFmtId="0" fontId="9" fillId="0" borderId="11" xfId="0" applyFont="1" applyBorder="1" applyAlignment="1">
      <alignment vertical="center" wrapText="1"/>
    </xf>
    <xf numFmtId="176" fontId="3" fillId="3" borderId="1" xfId="49" applyFont="1" applyBorder="1" applyAlignment="1">
      <alignment horizontal="right" vertical="center"/>
    </xf>
    <xf numFmtId="176" fontId="3" fillId="3" borderId="38" xfId="49" applyFont="1" applyBorder="1" applyAlignment="1">
      <alignment horizontal="right" vertical="center"/>
    </xf>
    <xf numFmtId="176" fontId="3" fillId="3" borderId="19" xfId="49" applyFont="1" applyBorder="1" applyAlignment="1">
      <alignment horizontal="right" vertical="center"/>
    </xf>
    <xf numFmtId="49" fontId="2" fillId="0" borderId="19" xfId="51" applyFont="1" applyBorder="1" applyAlignment="1" applyProtection="1">
      <alignment horizontal="left" vertical="center" wrapText="1"/>
    </xf>
    <xf numFmtId="4" fontId="20" fillId="0" borderId="39" xfId="0" applyNumberFormat="1" applyFont="1" applyBorder="1" applyAlignment="1">
      <alignment vertical="center"/>
    </xf>
    <xf numFmtId="0" fontId="6" fillId="0" borderId="0" xfId="0" applyFont="1" applyAlignment="1"/>
    <xf numFmtId="0" fontId="13" fillId="0" borderId="1" xfId="0" applyFont="1" applyBorder="1" applyAlignment="1"/>
    <xf numFmtId="0" fontId="10" fillId="0" borderId="0" xfId="0" applyFont="1"/>
    <xf numFmtId="0" fontId="21" fillId="10" borderId="7" xfId="0" applyFont="1" applyFill="1" applyBorder="1" applyAlignment="1">
      <alignment horizontal="center" vertical="center" wrapText="1"/>
    </xf>
    <xf numFmtId="0" fontId="10" fillId="0" borderId="7" xfId="0" applyFont="1" applyBorder="1" applyAlignment="1">
      <alignment horizontal="center" vertical="center"/>
    </xf>
    <xf numFmtId="0" fontId="21" fillId="10" borderId="1" xfId="0" applyFont="1" applyFill="1" applyBorder="1" applyAlignment="1">
      <alignment horizontal="center" vertical="center" wrapText="1"/>
    </xf>
    <xf numFmtId="0" fontId="10" fillId="0" borderId="1" xfId="0" applyFont="1" applyBorder="1" applyAlignment="1">
      <alignment horizontal="center" vertical="center"/>
    </xf>
    <xf numFmtId="0" fontId="21" fillId="10" borderId="37" xfId="0" applyFont="1" applyFill="1" applyBorder="1" applyAlignment="1">
      <alignment horizontal="center" vertical="center" wrapText="1"/>
    </xf>
    <xf numFmtId="180" fontId="10" fillId="0" borderId="37" xfId="0" applyNumberFormat="1" applyFont="1" applyBorder="1" applyAlignment="1">
      <alignment horizontal="center" vertical="center" wrapText="1"/>
    </xf>
    <xf numFmtId="180" fontId="10" fillId="0" borderId="7" xfId="0" applyNumberFormat="1" applyFont="1" applyBorder="1" applyAlignment="1">
      <alignment horizontal="center" vertical="center" wrapText="1"/>
    </xf>
    <xf numFmtId="180" fontId="10" fillId="0" borderId="1" xfId="0" applyNumberFormat="1" applyFont="1" applyBorder="1" applyAlignment="1">
      <alignment horizontal="center" vertical="center" wrapText="1"/>
    </xf>
    <xf numFmtId="0" fontId="10" fillId="0" borderId="0" xfId="0" applyFont="1" applyAlignment="1">
      <alignment wrapText="1"/>
    </xf>
    <xf numFmtId="0" fontId="10" fillId="0" borderId="0" xfId="0" applyFont="1" applyAlignment="1">
      <alignment horizontal="center" vertical="center"/>
    </xf>
    <xf numFmtId="0" fontId="21" fillId="10" borderId="1" xfId="0" applyFont="1" applyFill="1" applyBorder="1" applyAlignment="1">
      <alignment horizontal="center" vertical="center"/>
    </xf>
    <xf numFmtId="179" fontId="10" fillId="0" borderId="2" xfId="0" applyNumberFormat="1" applyFont="1" applyBorder="1" applyAlignment="1">
      <alignment horizontal="center" vertical="center"/>
    </xf>
    <xf numFmtId="0" fontId="10" fillId="0" borderId="37"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37" xfId="0" applyFont="1" applyBorder="1" applyAlignment="1">
      <alignment horizontal="center" vertic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0" fillId="0" borderId="11" xfId="0" applyFont="1" applyBorder="1" applyAlignment="1">
      <alignment horizontal="center" vertical="center"/>
    </xf>
    <xf numFmtId="0" fontId="22" fillId="10" borderId="0" xfId="0" applyFont="1" applyFill="1" applyBorder="1" applyAlignment="1">
      <alignment horizontal="center"/>
    </xf>
    <xf numFmtId="0" fontId="23" fillId="10" borderId="0" xfId="0" applyFont="1" applyFill="1" applyBorder="1" applyAlignment="1">
      <alignment horizontal="center" vertical="top"/>
    </xf>
  </cellXfs>
  <cellStyles count="56">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Currency Value" xfId="49"/>
    <cellStyle name="Expense Value" xfId="50"/>
    <cellStyle name="Item Label" xfId="51"/>
    <cellStyle name="Item Text" xfId="52"/>
    <cellStyle name="Legend Sub Header" xfId="53"/>
    <cellStyle name="Revenue Header Font" xfId="54"/>
    <cellStyle name="Total Label" xfId="55"/>
  </cellStyles>
  <dxfs count="7">
    <dxf>
      <font>
        <color theme="3" tint="0.499984740745262"/>
      </font>
      <fill>
        <patternFill patternType="solid">
          <bgColor theme="0"/>
        </patternFill>
      </fill>
    </dxf>
    <dxf>
      <font>
        <color rgb="FFFF0000"/>
      </font>
      <fill>
        <patternFill patternType="solid">
          <bgColor theme="0"/>
        </patternFill>
      </fill>
    </dxf>
    <dxf>
      <font>
        <color rgb="FF5B9BD5"/>
      </font>
      <fill>
        <patternFill patternType="solid">
          <bgColor theme="0"/>
        </patternFill>
      </fill>
    </dxf>
    <dxf>
      <font>
        <b val="1"/>
        <i val="0"/>
        <color rgb="FF5B9BD5"/>
      </font>
      <fill>
        <patternFill patternType="solid">
          <bgColor theme="0"/>
        </patternFill>
      </fill>
    </dxf>
    <dxf>
      <font>
        <b val="1"/>
        <i val="0"/>
        <color rgb="FFFF0000"/>
      </font>
      <fill>
        <patternFill patternType="solid">
          <bgColor theme="0"/>
        </patternFill>
      </fill>
    </dxf>
    <dxf>
      <font>
        <name val="Calibri"/>
        <scheme val="none"/>
        <charset val="1"/>
        <b val="1"/>
        <sz val="11"/>
        <color rgb="FF2A6099"/>
      </font>
      <numFmt numFmtId="176" formatCode="[$$-409]#,##0.00;[Red]\-[$$-409]#,##0.00"/>
    </dxf>
    <dxf>
      <font>
        <name val="Calibri"/>
        <scheme val="none"/>
        <charset val="1"/>
        <b val="1"/>
        <i val="0"/>
        <strike val="0"/>
        <u val="none"/>
        <sz val="11"/>
        <color rgb="FF2A6099"/>
      </font>
      <numFmt numFmtId="176" formatCode="[$$-409]#,##0.00;[Red]\-[$$-409]#,##0.00"/>
    </dxf>
  </dxfs>
  <tableStyles count="0" defaultTableStyle="TableStyleMedium2" defaultPivotStyle="PivotStyleMedium9"/>
  <colors>
    <mruColors>
      <color rgb="005B9B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eetMetadata" Target="metadata.xml"/><Relationship Id="rId21" Type="http://schemas.openxmlformats.org/officeDocument/2006/relationships/sharedStrings" Target="sharedString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customXml" Target="../customXml/item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workbookViewId="0">
      <selection activeCell="AA2" sqref="AA2"/>
    </sheetView>
  </sheetViews>
  <sheetFormatPr defaultColWidth="8.875" defaultRowHeight="17.6"/>
  <sheetData>
    <row r="1" spans="1:26">
      <c r="A1" s="243" t="s">
        <v>0</v>
      </c>
      <c r="B1" s="243"/>
      <c r="C1" s="243"/>
      <c r="D1" s="243"/>
      <c r="E1" s="243"/>
      <c r="F1" s="243"/>
      <c r="G1" s="243"/>
      <c r="H1" s="243"/>
      <c r="I1" s="243"/>
      <c r="J1" s="243"/>
      <c r="K1" s="243"/>
      <c r="L1" s="243"/>
      <c r="M1" s="243"/>
      <c r="N1" s="243"/>
      <c r="O1" s="243"/>
      <c r="P1" s="243"/>
      <c r="Q1" s="243"/>
      <c r="R1" s="243"/>
      <c r="S1" s="243"/>
      <c r="T1" s="243"/>
      <c r="U1" s="243"/>
      <c r="V1" s="243"/>
      <c r="W1" s="243"/>
      <c r="X1" s="243"/>
      <c r="Y1" s="243"/>
      <c r="Z1" s="243"/>
    </row>
    <row r="2" spans="1:26">
      <c r="A2" s="243"/>
      <c r="B2" s="243"/>
      <c r="C2" s="243"/>
      <c r="D2" s="243"/>
      <c r="E2" s="243"/>
      <c r="F2" s="243"/>
      <c r="G2" s="243"/>
      <c r="H2" s="243"/>
      <c r="I2" s="243"/>
      <c r="J2" s="243"/>
      <c r="K2" s="243"/>
      <c r="L2" s="243"/>
      <c r="M2" s="243"/>
      <c r="N2" s="243"/>
      <c r="O2" s="243"/>
      <c r="P2" s="243"/>
      <c r="Q2" s="243"/>
      <c r="R2" s="243"/>
      <c r="S2" s="243"/>
      <c r="T2" s="243"/>
      <c r="U2" s="243"/>
      <c r="V2" s="243"/>
      <c r="W2" s="243"/>
      <c r="X2" s="243"/>
      <c r="Y2" s="243"/>
      <c r="Z2" s="243"/>
    </row>
    <row r="3" spans="1:26">
      <c r="A3" s="243"/>
      <c r="B3" s="243"/>
      <c r="C3" s="243"/>
      <c r="D3" s="243"/>
      <c r="E3" s="243"/>
      <c r="F3" s="243"/>
      <c r="G3" s="243"/>
      <c r="H3" s="243"/>
      <c r="I3" s="243"/>
      <c r="J3" s="243"/>
      <c r="K3" s="243"/>
      <c r="L3" s="243"/>
      <c r="M3" s="243"/>
      <c r="N3" s="243"/>
      <c r="O3" s="243"/>
      <c r="P3" s="243"/>
      <c r="Q3" s="243"/>
      <c r="R3" s="243"/>
      <c r="S3" s="243"/>
      <c r="T3" s="243"/>
      <c r="U3" s="243"/>
      <c r="V3" s="243"/>
      <c r="W3" s="243"/>
      <c r="X3" s="243"/>
      <c r="Y3" s="243"/>
      <c r="Z3" s="243"/>
    </row>
    <row r="4" spans="1:26">
      <c r="A4" s="243"/>
      <c r="B4" s="243"/>
      <c r="C4" s="243"/>
      <c r="D4" s="243"/>
      <c r="E4" s="243"/>
      <c r="F4" s="243"/>
      <c r="G4" s="243"/>
      <c r="H4" s="243"/>
      <c r="I4" s="243"/>
      <c r="J4" s="243"/>
      <c r="K4" s="243"/>
      <c r="L4" s="243"/>
      <c r="M4" s="243"/>
      <c r="N4" s="243"/>
      <c r="O4" s="243"/>
      <c r="P4" s="243"/>
      <c r="Q4" s="243"/>
      <c r="R4" s="243"/>
      <c r="S4" s="243"/>
      <c r="T4" s="243"/>
      <c r="U4" s="243"/>
      <c r="V4" s="243"/>
      <c r="W4" s="243"/>
      <c r="X4" s="243"/>
      <c r="Y4" s="243"/>
      <c r="Z4" s="243"/>
    </row>
    <row r="5" spans="1:26">
      <c r="A5" s="243"/>
      <c r="B5" s="243"/>
      <c r="C5" s="243"/>
      <c r="D5" s="243"/>
      <c r="E5" s="243"/>
      <c r="F5" s="243"/>
      <c r="G5" s="243"/>
      <c r="H5" s="243"/>
      <c r="I5" s="243"/>
      <c r="J5" s="243"/>
      <c r="K5" s="243"/>
      <c r="L5" s="243"/>
      <c r="M5" s="243"/>
      <c r="N5" s="243"/>
      <c r="O5" s="243"/>
      <c r="P5" s="243"/>
      <c r="Q5" s="243"/>
      <c r="R5" s="243"/>
      <c r="S5" s="243"/>
      <c r="T5" s="243"/>
      <c r="U5" s="243"/>
      <c r="V5" s="243"/>
      <c r="W5" s="243"/>
      <c r="X5" s="243"/>
      <c r="Y5" s="243"/>
      <c r="Z5" s="243"/>
    </row>
    <row r="6" spans="1:26">
      <c r="A6" s="243"/>
      <c r="B6" s="243"/>
      <c r="C6" s="243"/>
      <c r="D6" s="243"/>
      <c r="E6" s="243"/>
      <c r="F6" s="243"/>
      <c r="G6" s="243"/>
      <c r="H6" s="243"/>
      <c r="I6" s="243"/>
      <c r="J6" s="243"/>
      <c r="K6" s="243"/>
      <c r="L6" s="243"/>
      <c r="M6" s="243"/>
      <c r="N6" s="243"/>
      <c r="O6" s="243"/>
      <c r="P6" s="243"/>
      <c r="Q6" s="243"/>
      <c r="R6" s="243"/>
      <c r="S6" s="243"/>
      <c r="T6" s="243"/>
      <c r="U6" s="243"/>
      <c r="V6" s="243"/>
      <c r="W6" s="243"/>
      <c r="X6" s="243"/>
      <c r="Y6" s="243"/>
      <c r="Z6" s="243"/>
    </row>
    <row r="7" spans="1:26">
      <c r="A7" s="243"/>
      <c r="B7" s="243"/>
      <c r="C7" s="243"/>
      <c r="D7" s="243"/>
      <c r="E7" s="243"/>
      <c r="F7" s="243"/>
      <c r="G7" s="243"/>
      <c r="H7" s="243"/>
      <c r="I7" s="243"/>
      <c r="J7" s="243"/>
      <c r="K7" s="243"/>
      <c r="L7" s="243"/>
      <c r="M7" s="243"/>
      <c r="N7" s="243"/>
      <c r="O7" s="243"/>
      <c r="P7" s="243"/>
      <c r="Q7" s="243"/>
      <c r="R7" s="243"/>
      <c r="S7" s="243"/>
      <c r="T7" s="243"/>
      <c r="U7" s="243"/>
      <c r="V7" s="243"/>
      <c r="W7" s="243"/>
      <c r="X7" s="243"/>
      <c r="Y7" s="243"/>
      <c r="Z7" s="243"/>
    </row>
    <row r="8" spans="1:26">
      <c r="A8" s="243"/>
      <c r="B8" s="243"/>
      <c r="C8" s="243"/>
      <c r="D8" s="243"/>
      <c r="E8" s="243"/>
      <c r="F8" s="243"/>
      <c r="G8" s="243"/>
      <c r="H8" s="243"/>
      <c r="I8" s="243"/>
      <c r="J8" s="243"/>
      <c r="K8" s="243"/>
      <c r="L8" s="243"/>
      <c r="M8" s="243"/>
      <c r="N8" s="243"/>
      <c r="O8" s="243"/>
      <c r="P8" s="243"/>
      <c r="Q8" s="243"/>
      <c r="R8" s="243"/>
      <c r="S8" s="243"/>
      <c r="T8" s="243"/>
      <c r="U8" s="243"/>
      <c r="V8" s="243"/>
      <c r="W8" s="243"/>
      <c r="X8" s="243"/>
      <c r="Y8" s="243"/>
      <c r="Z8" s="243"/>
    </row>
    <row r="9" spans="1:26">
      <c r="A9" s="243"/>
      <c r="B9" s="243"/>
      <c r="C9" s="243"/>
      <c r="D9" s="243"/>
      <c r="E9" s="243"/>
      <c r="F9" s="243"/>
      <c r="G9" s="243"/>
      <c r="H9" s="243"/>
      <c r="I9" s="243"/>
      <c r="J9" s="243"/>
      <c r="K9" s="243"/>
      <c r="L9" s="243"/>
      <c r="M9" s="243"/>
      <c r="N9" s="243"/>
      <c r="O9" s="243"/>
      <c r="P9" s="243"/>
      <c r="Q9" s="243"/>
      <c r="R9" s="243"/>
      <c r="S9" s="243"/>
      <c r="T9" s="243"/>
      <c r="U9" s="243"/>
      <c r="V9" s="243"/>
      <c r="W9" s="243"/>
      <c r="X9" s="243"/>
      <c r="Y9" s="243"/>
      <c r="Z9" s="243"/>
    </row>
    <row r="10" spans="1:26">
      <c r="A10" s="243"/>
      <c r="B10" s="243"/>
      <c r="C10" s="243"/>
      <c r="D10" s="243"/>
      <c r="E10" s="243"/>
      <c r="F10" s="243"/>
      <c r="G10" s="243"/>
      <c r="H10" s="243"/>
      <c r="I10" s="243"/>
      <c r="J10" s="243"/>
      <c r="K10" s="243"/>
      <c r="L10" s="243"/>
      <c r="M10" s="243"/>
      <c r="N10" s="243"/>
      <c r="O10" s="243"/>
      <c r="P10" s="243"/>
      <c r="Q10" s="243"/>
      <c r="R10" s="243"/>
      <c r="S10" s="243"/>
      <c r="T10" s="243"/>
      <c r="U10" s="243"/>
      <c r="V10" s="243"/>
      <c r="W10" s="243"/>
      <c r="X10" s="243"/>
      <c r="Y10" s="243"/>
      <c r="Z10" s="243"/>
    </row>
    <row r="11" spans="1:26">
      <c r="A11" s="243"/>
      <c r="B11" s="243"/>
      <c r="C11" s="243"/>
      <c r="D11" s="243"/>
      <c r="E11" s="243"/>
      <c r="F11" s="243"/>
      <c r="G11" s="243"/>
      <c r="H11" s="243"/>
      <c r="I11" s="243"/>
      <c r="J11" s="243"/>
      <c r="K11" s="243"/>
      <c r="L11" s="243"/>
      <c r="M11" s="243"/>
      <c r="N11" s="243"/>
      <c r="O11" s="243"/>
      <c r="P11" s="243"/>
      <c r="Q11" s="243"/>
      <c r="R11" s="243"/>
      <c r="S11" s="243"/>
      <c r="T11" s="243"/>
      <c r="U11" s="243"/>
      <c r="V11" s="243"/>
      <c r="W11" s="243"/>
      <c r="X11" s="243"/>
      <c r="Y11" s="243"/>
      <c r="Z11" s="243"/>
    </row>
    <row r="12" spans="1:26">
      <c r="A12" s="243"/>
      <c r="B12" s="243"/>
      <c r="C12" s="243"/>
      <c r="D12" s="243"/>
      <c r="E12" s="243"/>
      <c r="F12" s="243"/>
      <c r="G12" s="243"/>
      <c r="H12" s="243"/>
      <c r="I12" s="243"/>
      <c r="J12" s="243"/>
      <c r="K12" s="243"/>
      <c r="L12" s="243"/>
      <c r="M12" s="243"/>
      <c r="N12" s="243"/>
      <c r="O12" s="243"/>
      <c r="P12" s="243"/>
      <c r="Q12" s="243"/>
      <c r="R12" s="243"/>
      <c r="S12" s="243"/>
      <c r="T12" s="243"/>
      <c r="U12" s="243"/>
      <c r="V12" s="243"/>
      <c r="W12" s="243"/>
      <c r="X12" s="243"/>
      <c r="Y12" s="243"/>
      <c r="Z12" s="243"/>
    </row>
    <row r="13" spans="1:26">
      <c r="A13" s="243"/>
      <c r="B13" s="243"/>
      <c r="C13" s="243"/>
      <c r="D13" s="243"/>
      <c r="E13" s="243"/>
      <c r="F13" s="243"/>
      <c r="G13" s="243"/>
      <c r="H13" s="243"/>
      <c r="I13" s="243"/>
      <c r="J13" s="243"/>
      <c r="K13" s="243"/>
      <c r="L13" s="243"/>
      <c r="M13" s="243"/>
      <c r="N13" s="243"/>
      <c r="O13" s="243"/>
      <c r="P13" s="243"/>
      <c r="Q13" s="243"/>
      <c r="R13" s="243"/>
      <c r="S13" s="243"/>
      <c r="T13" s="243"/>
      <c r="U13" s="243"/>
      <c r="V13" s="243"/>
      <c r="W13" s="243"/>
      <c r="X13" s="243"/>
      <c r="Y13" s="243"/>
      <c r="Z13" s="243"/>
    </row>
    <row r="14" spans="1:26">
      <c r="A14" s="243"/>
      <c r="B14" s="243"/>
      <c r="C14" s="243"/>
      <c r="D14" s="243"/>
      <c r="E14" s="243"/>
      <c r="F14" s="243"/>
      <c r="G14" s="243"/>
      <c r="H14" s="243"/>
      <c r="I14" s="243"/>
      <c r="J14" s="243"/>
      <c r="K14" s="243"/>
      <c r="L14" s="243"/>
      <c r="M14" s="243"/>
      <c r="N14" s="243"/>
      <c r="O14" s="243"/>
      <c r="P14" s="243"/>
      <c r="Q14" s="243"/>
      <c r="R14" s="243"/>
      <c r="S14" s="243"/>
      <c r="T14" s="243"/>
      <c r="U14" s="243"/>
      <c r="V14" s="243"/>
      <c r="W14" s="243"/>
      <c r="X14" s="243"/>
      <c r="Y14" s="243"/>
      <c r="Z14" s="243"/>
    </row>
    <row r="15" spans="1:26">
      <c r="A15" s="243"/>
      <c r="B15" s="243"/>
      <c r="C15" s="243"/>
      <c r="D15" s="243"/>
      <c r="E15" s="243"/>
      <c r="F15" s="243"/>
      <c r="G15" s="243"/>
      <c r="H15" s="243"/>
      <c r="I15" s="243"/>
      <c r="J15" s="243"/>
      <c r="K15" s="243"/>
      <c r="L15" s="243"/>
      <c r="M15" s="243"/>
      <c r="N15" s="243"/>
      <c r="O15" s="243"/>
      <c r="P15" s="243"/>
      <c r="Q15" s="243"/>
      <c r="R15" s="243"/>
      <c r="S15" s="243"/>
      <c r="T15" s="243"/>
      <c r="U15" s="243"/>
      <c r="V15" s="243"/>
      <c r="W15" s="243"/>
      <c r="X15" s="243"/>
      <c r="Y15" s="243"/>
      <c r="Z15" s="243"/>
    </row>
    <row r="16" spans="1:26">
      <c r="A16" s="243"/>
      <c r="B16" s="243"/>
      <c r="C16" s="243"/>
      <c r="D16" s="243"/>
      <c r="E16" s="243"/>
      <c r="F16" s="243"/>
      <c r="G16" s="243"/>
      <c r="H16" s="243"/>
      <c r="I16" s="243"/>
      <c r="J16" s="243"/>
      <c r="K16" s="243"/>
      <c r="L16" s="243"/>
      <c r="M16" s="243"/>
      <c r="N16" s="243"/>
      <c r="O16" s="243"/>
      <c r="P16" s="243"/>
      <c r="Q16" s="243"/>
      <c r="R16" s="243"/>
      <c r="S16" s="243"/>
      <c r="T16" s="243"/>
      <c r="U16" s="243"/>
      <c r="V16" s="243"/>
      <c r="W16" s="243"/>
      <c r="X16" s="243"/>
      <c r="Y16" s="243"/>
      <c r="Z16" s="243"/>
    </row>
    <row r="17" spans="1:26">
      <c r="A17" s="243"/>
      <c r="B17" s="243"/>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row>
    <row r="18" spans="1:26">
      <c r="A18" s="243"/>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row>
    <row r="19" spans="1:26">
      <c r="A19" s="243"/>
      <c r="B19" s="243"/>
      <c r="C19" s="243"/>
      <c r="D19" s="243"/>
      <c r="E19" s="243"/>
      <c r="F19" s="243"/>
      <c r="G19" s="243"/>
      <c r="H19" s="243"/>
      <c r="I19" s="243"/>
      <c r="J19" s="243"/>
      <c r="K19" s="243"/>
      <c r="L19" s="243"/>
      <c r="M19" s="243"/>
      <c r="N19" s="243"/>
      <c r="O19" s="243"/>
      <c r="P19" s="243"/>
      <c r="Q19" s="243"/>
      <c r="R19" s="243"/>
      <c r="S19" s="243"/>
      <c r="T19" s="243"/>
      <c r="U19" s="243"/>
      <c r="V19" s="243"/>
      <c r="W19" s="243"/>
      <c r="X19" s="243"/>
      <c r="Y19" s="243"/>
      <c r="Z19" s="243"/>
    </row>
    <row r="20" spans="1:26">
      <c r="A20" s="243"/>
      <c r="B20" s="243"/>
      <c r="C20" s="243"/>
      <c r="D20" s="243"/>
      <c r="E20" s="243"/>
      <c r="F20" s="243"/>
      <c r="G20" s="243"/>
      <c r="H20" s="243"/>
      <c r="I20" s="243"/>
      <c r="J20" s="243"/>
      <c r="K20" s="243"/>
      <c r="L20" s="243"/>
      <c r="M20" s="243"/>
      <c r="N20" s="243"/>
      <c r="O20" s="243"/>
      <c r="P20" s="243"/>
      <c r="Q20" s="243"/>
      <c r="R20" s="243"/>
      <c r="S20" s="243"/>
      <c r="T20" s="243"/>
      <c r="U20" s="243"/>
      <c r="V20" s="243"/>
      <c r="W20" s="243"/>
      <c r="X20" s="243"/>
      <c r="Y20" s="243"/>
      <c r="Z20" s="243"/>
    </row>
    <row r="21" spans="1:26">
      <c r="A21" s="243"/>
      <c r="B21" s="243"/>
      <c r="C21" s="243"/>
      <c r="D21" s="243"/>
      <c r="E21" s="243"/>
      <c r="F21" s="243"/>
      <c r="G21" s="243"/>
      <c r="H21" s="243"/>
      <c r="I21" s="243"/>
      <c r="J21" s="243"/>
      <c r="K21" s="243"/>
      <c r="L21" s="243"/>
      <c r="M21" s="243"/>
      <c r="N21" s="243"/>
      <c r="O21" s="243"/>
      <c r="P21" s="243"/>
      <c r="Q21" s="243"/>
      <c r="R21" s="243"/>
      <c r="S21" s="243"/>
      <c r="T21" s="243"/>
      <c r="U21" s="243"/>
      <c r="V21" s="243"/>
      <c r="W21" s="243"/>
      <c r="X21" s="243"/>
      <c r="Y21" s="243"/>
      <c r="Z21" s="243"/>
    </row>
    <row r="22" spans="1:26">
      <c r="A22" s="243"/>
      <c r="B22" s="243"/>
      <c r="C22" s="243"/>
      <c r="D22" s="243"/>
      <c r="E22" s="243"/>
      <c r="F22" s="243"/>
      <c r="G22" s="243"/>
      <c r="H22" s="243"/>
      <c r="I22" s="243"/>
      <c r="J22" s="243"/>
      <c r="K22" s="243"/>
      <c r="L22" s="243"/>
      <c r="M22" s="243"/>
      <c r="N22" s="243"/>
      <c r="O22" s="243"/>
      <c r="P22" s="243"/>
      <c r="Q22" s="243"/>
      <c r="R22" s="243"/>
      <c r="S22" s="243"/>
      <c r="T22" s="243"/>
      <c r="U22" s="243"/>
      <c r="V22" s="243"/>
      <c r="W22" s="243"/>
      <c r="X22" s="243"/>
      <c r="Y22" s="243"/>
      <c r="Z22" s="243"/>
    </row>
    <row r="23" spans="1:26">
      <c r="A23" s="243"/>
      <c r="B23" s="243"/>
      <c r="C23" s="243"/>
      <c r="D23" s="243"/>
      <c r="E23" s="243"/>
      <c r="F23" s="243"/>
      <c r="G23" s="243"/>
      <c r="H23" s="243"/>
      <c r="I23" s="243"/>
      <c r="J23" s="243"/>
      <c r="K23" s="243"/>
      <c r="L23" s="243"/>
      <c r="M23" s="243"/>
      <c r="N23" s="243"/>
      <c r="O23" s="243"/>
      <c r="P23" s="243"/>
      <c r="Q23" s="243"/>
      <c r="R23" s="243"/>
      <c r="S23" s="243"/>
      <c r="T23" s="243"/>
      <c r="U23" s="243"/>
      <c r="V23" s="243"/>
      <c r="W23" s="243"/>
      <c r="X23" s="243"/>
      <c r="Y23" s="243"/>
      <c r="Z23" s="243"/>
    </row>
    <row r="24" spans="1:26">
      <c r="A24" s="243"/>
      <c r="B24" s="243"/>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row>
    <row r="25" spans="1:26">
      <c r="A25" s="243"/>
      <c r="B25" s="243"/>
      <c r="C25" s="243"/>
      <c r="D25" s="243"/>
      <c r="E25" s="243"/>
      <c r="F25" s="243"/>
      <c r="G25" s="243"/>
      <c r="H25" s="243"/>
      <c r="I25" s="243"/>
      <c r="J25" s="243"/>
      <c r="K25" s="243"/>
      <c r="L25" s="243"/>
      <c r="M25" s="243"/>
      <c r="N25" s="243"/>
      <c r="O25" s="243"/>
      <c r="P25" s="243"/>
      <c r="Q25" s="243"/>
      <c r="R25" s="243"/>
      <c r="S25" s="243"/>
      <c r="T25" s="243"/>
      <c r="U25" s="243"/>
      <c r="V25" s="243"/>
      <c r="W25" s="243"/>
      <c r="X25" s="243"/>
      <c r="Y25" s="243"/>
      <c r="Z25" s="243"/>
    </row>
    <row r="26" spans="1:26">
      <c r="A26" s="243"/>
      <c r="B26" s="243"/>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row>
    <row r="27" spans="1:26">
      <c r="A27" s="243"/>
      <c r="B27" s="243"/>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row>
    <row r="28" spans="1:26">
      <c r="A28" s="243"/>
      <c r="B28" s="243"/>
      <c r="C28" s="243"/>
      <c r="D28" s="243"/>
      <c r="E28" s="243"/>
      <c r="F28" s="243"/>
      <c r="G28" s="243"/>
      <c r="H28" s="243"/>
      <c r="I28" s="243"/>
      <c r="J28" s="243"/>
      <c r="K28" s="243"/>
      <c r="L28" s="243"/>
      <c r="M28" s="243"/>
      <c r="N28" s="243"/>
      <c r="O28" s="243"/>
      <c r="P28" s="243"/>
      <c r="Q28" s="243"/>
      <c r="R28" s="243"/>
      <c r="S28" s="243"/>
      <c r="T28" s="243"/>
      <c r="U28" s="243"/>
      <c r="V28" s="243"/>
      <c r="W28" s="243"/>
      <c r="X28" s="243"/>
      <c r="Y28" s="243"/>
      <c r="Z28" s="243"/>
    </row>
    <row r="29" spans="1:26">
      <c r="A29" s="243"/>
      <c r="B29" s="243"/>
      <c r="C29" s="243"/>
      <c r="D29" s="243"/>
      <c r="E29" s="243"/>
      <c r="F29" s="243"/>
      <c r="G29" s="243"/>
      <c r="H29" s="243"/>
      <c r="I29" s="243"/>
      <c r="J29" s="243"/>
      <c r="K29" s="243"/>
      <c r="L29" s="243"/>
      <c r="M29" s="243"/>
      <c r="N29" s="243"/>
      <c r="O29" s="243"/>
      <c r="P29" s="243"/>
      <c r="Q29" s="243"/>
      <c r="R29" s="243"/>
      <c r="S29" s="243"/>
      <c r="T29" s="243"/>
      <c r="U29" s="243"/>
      <c r="V29" s="243"/>
      <c r="W29" s="243"/>
      <c r="X29" s="243"/>
      <c r="Y29" s="243"/>
      <c r="Z29" s="243"/>
    </row>
    <row r="30" spans="1:26">
      <c r="A30" s="243"/>
      <c r="B30" s="243"/>
      <c r="C30" s="243"/>
      <c r="D30" s="243"/>
      <c r="E30" s="243"/>
      <c r="F30" s="243"/>
      <c r="G30" s="243"/>
      <c r="H30" s="243"/>
      <c r="I30" s="243"/>
      <c r="J30" s="243"/>
      <c r="K30" s="243"/>
      <c r="L30" s="243"/>
      <c r="M30" s="243"/>
      <c r="N30" s="243"/>
      <c r="O30" s="243"/>
      <c r="P30" s="243"/>
      <c r="Q30" s="243"/>
      <c r="R30" s="243"/>
      <c r="S30" s="243"/>
      <c r="T30" s="243"/>
      <c r="U30" s="243"/>
      <c r="V30" s="243"/>
      <c r="W30" s="243"/>
      <c r="X30" s="243"/>
      <c r="Y30" s="243"/>
      <c r="Z30" s="243"/>
    </row>
    <row r="31" spans="1:26">
      <c r="A31" s="243"/>
      <c r="B31" s="243"/>
      <c r="C31" s="243"/>
      <c r="D31" s="243"/>
      <c r="E31" s="243"/>
      <c r="F31" s="243"/>
      <c r="G31" s="243"/>
      <c r="H31" s="243"/>
      <c r="I31" s="243"/>
      <c r="J31" s="243"/>
      <c r="K31" s="243"/>
      <c r="L31" s="243"/>
      <c r="M31" s="243"/>
      <c r="N31" s="243"/>
      <c r="O31" s="243"/>
      <c r="P31" s="243"/>
      <c r="Q31" s="243"/>
      <c r="R31" s="243"/>
      <c r="S31" s="243"/>
      <c r="T31" s="243"/>
      <c r="U31" s="243"/>
      <c r="V31" s="243"/>
      <c r="W31" s="243"/>
      <c r="X31" s="243"/>
      <c r="Y31" s="243"/>
      <c r="Z31" s="243"/>
    </row>
    <row r="32" spans="1:26">
      <c r="A32" s="244" t="s">
        <v>1</v>
      </c>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c r="Z32" s="244"/>
    </row>
    <row r="33" spans="1:26">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row>
    <row r="34" spans="1:26">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c r="Z34" s="244"/>
    </row>
    <row r="35" spans="1:26">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c r="Z35" s="244"/>
    </row>
    <row r="36" spans="1:26">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c r="Z36" s="244"/>
    </row>
    <row r="37" spans="1:26">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c r="Z37" s="244"/>
    </row>
    <row r="38" spans="1:26">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c r="Z38" s="244"/>
    </row>
    <row r="39" spans="1:26">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c r="Z39" s="244"/>
    </row>
    <row r="40" spans="1:26">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c r="Z40" s="244"/>
    </row>
    <row r="41" spans="1:26">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c r="Z41" s="244"/>
    </row>
    <row r="42" spans="1:26">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c r="Z42" s="244"/>
    </row>
    <row r="43" spans="1:26">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c r="Z43" s="244"/>
    </row>
    <row r="44" spans="1:26">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c r="Z44" s="244"/>
    </row>
    <row r="45" spans="1:26">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c r="Z45" s="244"/>
    </row>
    <row r="46" spans="1:26">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c r="Z46" s="244"/>
    </row>
    <row r="47" spans="1:26">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c r="Z47" s="244"/>
    </row>
    <row r="48" spans="1:26">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c r="Z48" s="244"/>
    </row>
    <row r="49" spans="1:26">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c r="Z49" s="244"/>
    </row>
    <row r="50" spans="1:26">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c r="Z50" s="244"/>
    </row>
    <row r="51" spans="1:26">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c r="Z51" s="244"/>
    </row>
    <row r="52" spans="1:26">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c r="Z52" s="244"/>
    </row>
    <row r="53" spans="1:26">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c r="Z53" s="244"/>
    </row>
    <row r="54" spans="1:26">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c r="Z54" s="244"/>
    </row>
    <row r="55" spans="1:26">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c r="Z55" s="244"/>
    </row>
    <row r="56" spans="1:26">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c r="Z56" s="244"/>
    </row>
    <row r="57" spans="1:26">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c r="Z57" s="244"/>
    </row>
    <row r="58" spans="1:26">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c r="Z58" s="244"/>
    </row>
    <row r="59" spans="1:26">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c r="Z59" s="244"/>
    </row>
    <row r="60" spans="1:26">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c r="Z60" s="244"/>
    </row>
    <row r="61" spans="1:26">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c r="Z61" s="244"/>
    </row>
    <row r="62" spans="1:26">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c r="Z62" s="244"/>
    </row>
  </sheetData>
  <sheetProtection sheet="1" objects="1"/>
  <mergeCells count="2">
    <mergeCell ref="A1:Z31"/>
    <mergeCell ref="A32:Z6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4"/>
  <sheetViews>
    <sheetView topLeftCell="A19" workbookViewId="0">
      <selection activeCell="B51" sqref="B51:B53"/>
    </sheetView>
  </sheetViews>
  <sheetFormatPr defaultColWidth="9" defaultRowHeight="16.8" outlineLevelCol="1"/>
  <cols>
    <col min="1" max="1" width="43.25" style="223" customWidth="1"/>
    <col min="2" max="2" width="34.125" style="223" customWidth="1"/>
    <col min="3" max="16384" width="9" style="223"/>
  </cols>
  <sheetData>
    <row r="1" ht="45" customHeight="1" spans="1:2">
      <c r="A1" s="224" t="s">
        <v>2</v>
      </c>
      <c r="B1" s="225" t="s">
        <v>3</v>
      </c>
    </row>
    <row r="2" ht="45" customHeight="1" spans="1:2">
      <c r="A2" s="226" t="s">
        <v>4</v>
      </c>
      <c r="B2" s="227" t="b">
        <v>1</v>
      </c>
    </row>
    <row r="3" ht="36" customHeight="1" spans="1:2">
      <c r="A3" s="228" t="s">
        <v>5</v>
      </c>
      <c r="B3" s="229">
        <v>45677</v>
      </c>
    </row>
    <row r="4" ht="45" customHeight="1" spans="1:2">
      <c r="A4" s="224" t="s">
        <v>6</v>
      </c>
      <c r="B4" s="230" t="str">
        <f>IF(B2,TEXT(EDATE(B3,1)-1,"dd-mmm-yyyy"),TEXT(EDATE(B3,1)-1,"dd-mmm-yyyy"))</f>
        <v>19-Feb-2025</v>
      </c>
    </row>
    <row r="5" ht="45" customHeight="1" spans="1:2">
      <c r="A5" s="226" t="s">
        <v>7</v>
      </c>
      <c r="B5" s="231">
        <v>45777</v>
      </c>
    </row>
    <row r="6" ht="45" customHeight="1" spans="1:2">
      <c r="A6" s="226"/>
      <c r="B6" s="231"/>
    </row>
    <row r="7" ht="24.75" customHeight="1" spans="1:2">
      <c r="A7" s="232"/>
      <c r="B7" s="233"/>
    </row>
    <row r="8" ht="39.95" customHeight="1" spans="1:2">
      <c r="A8" s="234" t="s">
        <v>8</v>
      </c>
      <c r="B8" s="234"/>
    </row>
    <row r="9" ht="20.25" customHeight="1" spans="1:2">
      <c r="A9" s="235" t="str">
        <f>TEXT(B3,"dd mmmm yyyy")&amp;" - "&amp;IF(B2,TEXT(EDATE(B3,1)-1,"dd mmmm yyyy"),TEXT(B3+B5-B3,"dd mmmm yyyy"))</f>
        <v>20 January 2025 - 19 February 2025</v>
      </c>
      <c r="B9" s="236" t="s">
        <v>9</v>
      </c>
    </row>
    <row r="10" ht="20.25" customHeight="1" spans="1:2">
      <c r="A10" s="227" t="str">
        <f>IF(B2,TEXT(EDATE(B3,1),"dd mmmm yyyy"),TEXT(B3+(B5-B3)+1,"dd mmmm yyyy"))&amp;" - "&amp;IF(B2,TEXT(EDATE(B3,2)-1,"dd mmmm yyyy"),TEXT(B3+(B5-B3)*2+1,"dd mmmm yyyy"))</f>
        <v>20 February 2025 - 19 March 2025</v>
      </c>
      <c r="B10" s="236"/>
    </row>
    <row r="11" ht="20.25" customHeight="1" spans="1:2">
      <c r="A11" s="227" t="str">
        <f>IF(B2,TEXT(EDATE(B3,2),"dd mmmm yyyy"),TEXT(B3+((B5-B3)*2)+2,"dd mmmm yyyy"))&amp;" - "&amp;IF(B2,TEXT(EDATE(B3,3)-1,"dd mmmm yyyy"),TEXT(B3+((B5-B3)*3+2),"dd mmmm yyyy"))</f>
        <v>20 March 2025 - 19 April 2025</v>
      </c>
      <c r="B11" s="237"/>
    </row>
    <row r="12" ht="20.25" customHeight="1" spans="1:2">
      <c r="A12" s="238" t="str">
        <f>IF(B2,TEXT(EDATE(B3,3),"dd mmmm yyyy"),TEXT(B3+((B5-B3)*3)+3,"dd mmmm yyyy"))&amp;" - "&amp;IF(B2,TEXT(EDATE(B3,4)-1,"dd mmmm yyyy"),TEXT(B3+(((B5-B3)*4)+3),"dd mmmm yyyy"))</f>
        <v>20 April 2025 - 19 May 2025</v>
      </c>
      <c r="B12" s="225" t="s">
        <v>10</v>
      </c>
    </row>
    <row r="13" ht="20.25" customHeight="1" spans="1:2">
      <c r="A13" s="238" t="str">
        <f>IF(B2,TEXT(EDATE(B3,4),"dd mmmm yyyy"),TEXT(B3+((B5-B3)*4)+4,"dd mmmm yyyy"))&amp;" - "&amp;IF(B2,TEXT(EDATE(B3,5)-1,"dd mmmm yyyy"),TEXT(B3+(((B5-B3)*5)+4),"dd mmmm yyyy"))</f>
        <v>20 May 2025 - 19 June 2025</v>
      </c>
      <c r="B13" s="239"/>
    </row>
    <row r="14" ht="20.25" customHeight="1" spans="1:2">
      <c r="A14" s="227" t="str">
        <f>IF(B2,TEXT(EDATE(B3,5),"dd mmmm yyyy"),TEXT(B3+((B5-B3)*5)+5,"dd mmmm yyyy"))&amp;" - "&amp;IF(B2,TEXT(EDATE(B3,6)-1,"dd mmmm yyyy"),TEXT(B3+(((B5-B3)*6)+5),"dd mmmm yyyy"))</f>
        <v>20 June 2025 - 19 July 2025</v>
      </c>
      <c r="B14" s="240"/>
    </row>
    <row r="15" ht="20.25" customHeight="1" spans="1:2">
      <c r="A15" s="227" t="str">
        <f>IF(B2,TEXT(EDATE(B3,6),"dd mmmm yyyy"),TEXT(B3+((B5-B3)*6)+6,"dd mmmm yyyy"))&amp;" - "&amp;IF(B2,TEXT(EDATE(B3,7)-1,"dd mmmm yyyy"),TEXT(B3+(((B5-B3)*7)+6),"dd mmmm yyyy"))</f>
        <v>20 July 2025 - 19 August 2025</v>
      </c>
      <c r="B15" s="225" t="s">
        <v>11</v>
      </c>
    </row>
    <row r="16" ht="20.25" customHeight="1" spans="1:2">
      <c r="A16" s="227" t="str">
        <f>IF(B2,TEXT(EDATE(B3,7),"dd mmmm yyyy"),TEXT(B3+((B5-B3)*7)+7,"dd mmmm yyyy"))&amp;" - "&amp;IF(B2,TEXT(EDATE(B3,8)-1,"dd mmmm yyyy"),TEXT(B3+(((B5-B3)*8)+7),"dd mmmm yyyy"))</f>
        <v>20 August 2025 - 19 September 2025</v>
      </c>
      <c r="B16" s="239"/>
    </row>
    <row r="17" ht="20.25" customHeight="1" spans="1:2">
      <c r="A17" s="227" t="str">
        <f>IF(B2,TEXT(EDATE(B3,8),"dd mmmm yyyy"),TEXT(B3+((B5-B3)*8)+8,"dd mmmm yyyy"))&amp;" - "&amp;IF(B2,TEXT(EDATE(B3,9)-1,"dd mmmm yyyy"),TEXT(B3+(((B5-B3)*9)+8),"dd mmmm yyyy"))</f>
        <v>20 September 2025 - 19 October 2025</v>
      </c>
      <c r="B17" s="240"/>
    </row>
    <row r="18" ht="20.25" customHeight="1" spans="1:2">
      <c r="A18" s="227" t="str">
        <f>IF(B2,TEXT(EDATE(B3,9),"dd mmmm yyyy"),TEXT(B3+((B5-B3)*9)+9,"dd mmmm yyyy"))&amp;" - "&amp;IF(B2,TEXT(EDATE(B3,10)-1,"dd mmmm yyyy"),TEXT(B3+(((B5-B3)*10)+9),"dd mmmm yyyy"))</f>
        <v>20 October 2025 - 19 November 2025</v>
      </c>
      <c r="B18" s="225" t="s">
        <v>12</v>
      </c>
    </row>
    <row r="19" ht="20.25" customHeight="1" spans="1:2">
      <c r="A19" s="227" t="str">
        <f>IF(B2,TEXT(EDATE(B3,10),"dd mmmm yyyy"),TEXT(B3+((B5-B3)*10)+10,"dd mmmm yyyy"))&amp;" - "&amp;IF(B2,TEXT(EDATE(B3,11)-1,"dd mmmm yyyy"),TEXT(B3+(((B5-B3)*11)+10),"dd mmmm yyyy"))</f>
        <v>20 November 2025 - 19 December 2025</v>
      </c>
      <c r="B19" s="239"/>
    </row>
    <row r="20" ht="20.25" customHeight="1" spans="1:2">
      <c r="A20" s="241" t="str">
        <f>IF(B2,TEXT(EDATE(B3,11),"dd mmmm yyyy"),TEXT(B3+((B5-B3)*11)+11,"dd mmmm yyyy"))&amp;" - "&amp;IF(B2,TEXT(EDATE(B3,12)-1,"dd mmmm yyyy"),TEXT(B3+(((B5-B3)*12)+11),"dd mmmm yyyy"))</f>
        <v>20 December 2025 - 19 January 2026</v>
      </c>
      <c r="B20" s="240"/>
    </row>
    <row r="21" ht="20.25" customHeight="1" spans="1:2">
      <c r="A21" s="242" t="str">
        <f>IF(B2,TEXT(EDATE(B3,12),"dd mmmm yyyy"),TEXT(B3+((B5-B3)*12)+12,"dd mmmm yyyy"))&amp;" - "&amp;IF(B2,TEXT(EDATE(B3,13)-1,"dd mmmm yyyy"),TEXT(B3+(((B5-B3)*13)+12),"dd mmmm yyyy"))</f>
        <v>20 January 2026 - 19 February 2026</v>
      </c>
      <c r="B21" s="227" t="s">
        <v>13</v>
      </c>
    </row>
    <row r="22" ht="20.25" customHeight="1" spans="1:2">
      <c r="A22" s="242" t="str">
        <f>IF(B2,TEXT(EDATE(B3,13),"dd mmmm yyyy"),TEXT(B3+((B5-B3)*13)+13,"dd mmmm yyyy"))&amp;" - "&amp;IF(B2,TEXT(EDATE(B3,14)-1,"dd mmmm yyyy"),TEXT(B3+(((B5-B3)*14)+13),"dd mmmm yyyy"))</f>
        <v>20 February 2026 - 19 March 2026</v>
      </c>
      <c r="B22" s="227"/>
    </row>
    <row r="23" ht="20.25" customHeight="1" spans="1:2">
      <c r="A23" s="241" t="str">
        <f>IF(B2,TEXT(EDATE(B3,14),"dd mmmm yyyy"),TEXT(B3+((B5-B3)*14)+14,"dd mmmm yyyy"))&amp;" - "&amp;IF(B2,TEXT(EDATE(B3,15)-1,"dd mmmm yyyy"),TEXT(B3+(((B5-B3)*15)+14),"dd mmmm yyyy"))</f>
        <v>20 March 2026 - 19 April 2026</v>
      </c>
      <c r="B23" s="225"/>
    </row>
    <row r="24" ht="20.25" customHeight="1" spans="1:2">
      <c r="A24" s="227" t="str">
        <f>IF(B2,TEXT(EDATE(B3,15),"dd mmmm yyyy"),TEXT(B3+((B5-B3)*15)+15,"dd mmmm yyyy"))&amp;" - "&amp;IF(B2,TEXT(EDATE(B3,16)-1,"dd mmmm yyyy"),TEXT(B3+(((B5-B3)*16)+15),"dd mmmm yyyy"))</f>
        <v>20 April 2026 - 19 May 2026</v>
      </c>
      <c r="B24" s="227" t="s">
        <v>14</v>
      </c>
    </row>
    <row r="25" ht="20.25" customHeight="1" spans="1:2">
      <c r="A25" s="227" t="str">
        <f>IF(B2,TEXT(EDATE(B3,16),"dd mmmm yyyy"),TEXT(B3+((B5-B3)*16)+16,"dd mmmm yyyy"))&amp;" - "&amp;IF(B2,TEXT(EDATE(B3,17)-1,"dd mmmm yyyy"),TEXT(B3+(((B5-B3)*17)+16),"dd mmmm yyyy"))</f>
        <v>20 May 2026 - 19 June 2026</v>
      </c>
      <c r="B25" s="227"/>
    </row>
    <row r="26" ht="20.25" customHeight="1" spans="1:2">
      <c r="A26" s="225" t="str">
        <f>IF(B2,TEXT(EDATE(B3,17),"dd mmmm yyyy"),TEXT(B3+((B5-B3)*17)+17,"dd mmmm yyyy"))&amp;" - "&amp;IF(B2,TEXT(EDATE(B3,18)-1,"dd mmmm yyyy"),TEXT(B3+(((B5-B3)*18)+17),"dd mmmm yyyy"))</f>
        <v>20 June 2026 - 19 July 2026</v>
      </c>
      <c r="B26" s="225"/>
    </row>
    <row r="27" ht="20.25" customHeight="1" spans="1:2">
      <c r="A27" s="227" t="str">
        <f>IF(B2,TEXT(EDATE(B3,18),"dd mmmm yyyy"),TEXT(B3+((B5-B3)*18)+18,"dd mmmm yyyy"))&amp;" - "&amp;IF(B2,TEXT(EDATE(B3,19)-1,"dd mmmm yyyy"),TEXT(B3+(((B5-B3)*19)+18),"dd mmmm yyyy"))</f>
        <v>20 July 2026 - 19 August 2026</v>
      </c>
      <c r="B27" s="227" t="s">
        <v>15</v>
      </c>
    </row>
    <row r="28" ht="20.25" customHeight="1" spans="1:2">
      <c r="A28" s="227" t="str">
        <f>IF(B2,TEXT(EDATE(B3,19),"dd mmmm yyyy"),TEXT(B3+((B5-B3)*19)+19,"dd mmmm yyyy"))&amp;" - "&amp;IF(B2,TEXT(EDATE(B3,20)-1,"dd mmmm yyyy"),TEXT(B3+(((B5-B3)*20)+19),"dd mmmm yyyy"))</f>
        <v>20 August 2026 - 19 September 2026</v>
      </c>
      <c r="B28" s="227"/>
    </row>
    <row r="29" ht="20.25" customHeight="1" spans="1:2">
      <c r="A29" s="225" t="str">
        <f>IF(B2,TEXT(EDATE(B3,20),"dd mmmm yyyy"),TEXT(B3+((B5-B3)*20)+20,"dd mmmm yyyy"))&amp;" - "&amp;IF(B2,TEXT(EDATE(B3,21)-1,"dd mmmm yyyy"),TEXT(B3+(((B5-B3)*21)+20),"dd mmmm yyyy"))</f>
        <v>20 September 2026 - 19 October 2026</v>
      </c>
      <c r="B29" s="225"/>
    </row>
    <row r="30" ht="20.25" customHeight="1" spans="1:2">
      <c r="A30" s="227" t="str">
        <f>IF(B2,TEXT(EDATE(B3,21),"dd mmmm yyyy"),TEXT(B3+((B5-B3)*21)+21,"dd mmmm yyyy"))&amp;" - "&amp;IF(B2,TEXT(EDATE(B3,22)-1,"dd mmmm yyyy"),TEXT(B3+(((B5-B3)*22)+21),"dd mmmm yyyy"))</f>
        <v>20 October 2026 - 19 November 2026</v>
      </c>
      <c r="B30" s="227" t="s">
        <v>16</v>
      </c>
    </row>
    <row r="31" ht="20.25" customHeight="1" spans="1:2">
      <c r="A31" s="227" t="str">
        <f>IF(B2,TEXT(EDATE(B3,22),"dd mmmm yyyy"),TEXT(B3+((B5-B3)*22)+22,"dd mmmm yyyy"))&amp;" - "&amp;IF(B2,TEXT(EDATE(B3,23)-1,"dd mmmm yyyy"),TEXT(B3+(((B5-B3)*23)+22),"dd mmmm yyyy"))</f>
        <v>20 November 2026 - 19 December 2026</v>
      </c>
      <c r="B31" s="227"/>
    </row>
    <row r="32" ht="20.25" customHeight="1" spans="1:2">
      <c r="A32" s="225" t="str">
        <f>IF(B2,TEXT(EDATE(B3,23),"dd mmmm yyyy"),TEXT(B3+((B5-B3)*23)+23,"dd mmmm yyyy"))&amp;" - "&amp;IF(B2,TEXT(EDATE(B3,24)-1,"dd mmmm yyyy"),TEXT(B3+(((B5-B3)*24)+23),"dd mmmm yyyy"))</f>
        <v>20 December 2026 - 19 January 2027</v>
      </c>
      <c r="B32" s="225"/>
    </row>
    <row r="33" ht="20.25" customHeight="1" spans="1:2">
      <c r="A33" s="227" t="str">
        <f>IF(B2,TEXT(EDATE(B3,24),"dd mmmm yyyy"),TEXT(B3+((B5-B3)*24)+24,"dd mmmm yyyy"))&amp;" - "&amp;IF(B2,TEXT(EDATE(B3,25)-1,"dd mmmm yyyy"),TEXT(B3+(((B5-B3)*25)+24),"dd mmmm yyyy"))</f>
        <v>20 January 2027 - 19 February 2027</v>
      </c>
      <c r="B33" s="227" t="s">
        <v>17</v>
      </c>
    </row>
    <row r="34" ht="20.25" customHeight="1" spans="1:2">
      <c r="A34" s="227" t="str">
        <f>IF(B2,TEXT(EDATE(B3,25),"dd mmmm yyyy"),TEXT(B3+((B5-B3)*25)+25,"dd mmmm yyyy"))&amp;" - "&amp;IF(B2,TEXT(EDATE(B3,26)-1,"dd mmmm yyyy"),TEXT(B3+(((B5-B3)*26)+25),"dd mmmm yyyy"))</f>
        <v>20 February 2027 - 19 March 2027</v>
      </c>
      <c r="B34" s="227"/>
    </row>
    <row r="35" ht="20.25" customHeight="1" spans="1:2">
      <c r="A35" s="225" t="str">
        <f>IF(B2,TEXT(EDATE(B3,26),"dd mmmm yyyy"),TEXT(B3+((B5-B3)*26)+26,"dd mmmm yyyy"))&amp;" - "&amp;IF(B2,TEXT(EDATE(B3,27)-1,"dd mmmm yyyy"),TEXT(B3+(((B5-B3)*27)+26),"dd mmmm yyyy"))</f>
        <v>20 March 2027 - 19 April 2027</v>
      </c>
      <c r="B35" s="225"/>
    </row>
    <row r="36" ht="20.25" customHeight="1" spans="1:2">
      <c r="A36" s="227" t="str">
        <f>IF(B2,TEXT(EDATE(B3,27),"dd mmmm yyyy"),TEXT(B3+((B5-B3)*27)+27,"dd mmmm yyyy"))&amp;" - "&amp;IF(B2,TEXT(EDATE(B3,28)-1,"dd mmmm yyyy"),TEXT(B3+(((B5-B3)*28)+27),"dd mmmm yyyy"))</f>
        <v>20 April 2027 - 19 May 2027</v>
      </c>
      <c r="B36" s="227" t="s">
        <v>18</v>
      </c>
    </row>
    <row r="37" ht="20.25" customHeight="1" spans="1:2">
      <c r="A37" s="227" t="str">
        <f>IF(B2,TEXT(EDATE(B3,28),"dd mmmm yyyy"),TEXT(B3+((B5-B3)*28)+28,"dd mmmm yyyy"))&amp;" - "&amp;IF(B2,TEXT(EDATE(B3,29)-1,"dd mmmm yyyy"),TEXT(B3+(((B5-B3)*29)+28),"dd mmmm yyyy"))</f>
        <v>20 May 2027 - 19 June 2027</v>
      </c>
      <c r="B37" s="227"/>
    </row>
    <row r="38" ht="20.25" customHeight="1" spans="1:2">
      <c r="A38" s="225" t="str">
        <f>IF(B2,TEXT(EDATE(B3,29),"dd mmmm yyyy"),TEXT(B3+((B5-B3)*29)+29,"dd mmmm yyyy"))&amp;" - "&amp;IF(B2,TEXT(EDATE(B3,30)-1,"dd mmmm yyyy"),TEXT(B3+(((B5-B3)*30)+29),"dd mmmm yyyy"))</f>
        <v>20 June 2027 - 19 July 2027</v>
      </c>
      <c r="B38" s="225"/>
    </row>
    <row r="39" ht="20.25" customHeight="1" spans="1:2">
      <c r="A39" s="227" t="str">
        <f>IF(B2,TEXT(EDATE(B3,30),"dd mmmm yyyy"),TEXT(B3+((B5-B3)*30)+30,"dd mmmm yyyy"))&amp;" - "&amp;IF(B2,TEXT(EDATE(B3,31)-1,"dd mmmm yyyy"),TEXT(B3+(((B5-B3)*31)+30),"dd mmmm yyyy"))</f>
        <v>20 July 2027 - 19 August 2027</v>
      </c>
      <c r="B39" s="227" t="s">
        <v>19</v>
      </c>
    </row>
    <row r="40" ht="20.25" customHeight="1" spans="1:2">
      <c r="A40" s="227" t="str">
        <f>IF(B2,TEXT(EDATE(B3,31),"dd mmmm yyyy"),TEXT(B3+((B5-B3)*31)+31,"dd mmmm yyyy"))&amp;" - "&amp;IF(B2,TEXT(EDATE(B3,32)-1,"dd mmmm yyyy"),TEXT(B3+(((B5-B3)*32)+31),"dd mmmm yyyy"))</f>
        <v>20 August 2027 - 19 September 2027</v>
      </c>
      <c r="B40" s="227"/>
    </row>
    <row r="41" ht="20.25" customHeight="1" spans="1:2">
      <c r="A41" s="225" t="str">
        <f>IF(B2,TEXT(EDATE(B3,32),"dd mmmm yyyy"),TEXT(B3+((B5-B3)*32)+32,"dd mmmm yyyy"))&amp;" - "&amp;IF(B2,TEXT(EDATE(B3,33)-1,"dd mmmm yyyy"),TEXT(B3+(((B5-B3)*33)+32),"dd mmmm yyyy"))</f>
        <v>20 September 2027 - 19 October 2027</v>
      </c>
      <c r="B41" s="225"/>
    </row>
    <row r="42" ht="20.25" customHeight="1" spans="1:2">
      <c r="A42" s="227" t="str">
        <f>IF(B2,TEXT(EDATE(B3,33),"dd mmmm yyyy"),TEXT(B3+((B5-B3)*33)+33,"dd mmmm yyyy"))&amp;" - "&amp;IF(B2,TEXT(EDATE(B3,34)-1,"dd mmmm yyyy"),TEXT(B3+(((B5-B3)*34)+33),"dd mmmm yyyy"))</f>
        <v>20 October 2027 - 19 November 2027</v>
      </c>
      <c r="B42" s="227" t="s">
        <v>20</v>
      </c>
    </row>
    <row r="43" ht="20.25" customHeight="1" spans="1:2">
      <c r="A43" s="227" t="str">
        <f>IF(B2,TEXT(EDATE(B3,34),"dd mmmm yyyy"),TEXT(B3+((B5-B3)*34)+34,"dd mmmm yyyy"))&amp;" - "&amp;IF(B2,TEXT(EDATE(B3,35)-1,"dd mmmm yyyy"),TEXT(B3+(((B5-B3)*35)+34),"dd mmmm yyyy"))</f>
        <v>20 November 2027 - 19 December 2027</v>
      </c>
      <c r="B43" s="227"/>
    </row>
    <row r="44" ht="20.25" customHeight="1" spans="1:2">
      <c r="A44" s="225" t="str">
        <f>IF(B2,TEXT(EDATE(B3,35),"dd mmmm yyyy"),TEXT(B3+((B5-B3)*35)+35,"dd mmmm yyyy"))&amp;" - "&amp;IF(B2,TEXT(EDATE(B3,36)-1,"dd mmmm yyyy"),TEXT(B3+(((B5-B3)*36)+35),"dd mmmm yyyy"))</f>
        <v>20 December 2027 - 19 January 2028</v>
      </c>
      <c r="B44" s="225"/>
    </row>
    <row r="45" ht="20.25" customHeight="1" spans="1:2">
      <c r="A45" s="227" t="str">
        <f>IF(B2,TEXT(EDATE(B3,36),"dd mmmm yyyy"),TEXT(B3+((B5-B3)*36)+36,"dd mmmm yyyy"))&amp;" - "&amp;IF(B2,TEXT(EDATE(B3,37)-1,"dd mmmm yyyy"),TEXT(B3+(((B5-B3)*37)+36),"dd mmmm yyyy"))</f>
        <v>20 January 2028 - 19 February 2028</v>
      </c>
      <c r="B45" s="227" t="s">
        <v>21</v>
      </c>
    </row>
    <row r="46" ht="20.25" customHeight="1" spans="1:2">
      <c r="A46" s="227" t="str">
        <f>IF(B2,TEXT(EDATE(B3,37),"dd mmmm yyyy"),TEXT(B3+((B5-B3)*37)+37,"dd mmmm yyyy"))&amp;" - "&amp;IF(B2,TEXT(EDATE(B3,38)-1,"dd mmmm yyyy"),TEXT(B3+(((B5-B3)*38)+37),"dd mmmm yyyy"))</f>
        <v>20 February 2028 - 19 March 2028</v>
      </c>
      <c r="B46" s="227"/>
    </row>
    <row r="47" ht="20.25" customHeight="1" spans="1:2">
      <c r="A47" s="225" t="str">
        <f>IF(B2,TEXT(EDATE(B3,38),"dd mmmm yyyy"),TEXT(B3+((B5-B3)*38)+38,"dd mmmm yyyy"))&amp;" - "&amp;IF(B2,TEXT(EDATE(B3,39)-1,"dd mmmm yyyy"),TEXT(B3+(((B5-B3)*39)+38),"dd mmmm yyyy"))</f>
        <v>20 March 2028 - 19 April 2028</v>
      </c>
      <c r="B47" s="225"/>
    </row>
    <row r="48" ht="20.25" customHeight="1" spans="1:2">
      <c r="A48" s="227" t="str">
        <f>IF(B2,TEXT(EDATE(B3,39),"dd mmmm yyyy"),TEXT(B3+((B5-B3)*39)+39,"dd mmmm yyyy"))&amp;" - "&amp;IF(B2,TEXT(EDATE(B3,40)-1,"dd mmmm yyyy"),TEXT(B3+(((B5-B3)*40)+39),"dd mmmm yyyy"))</f>
        <v>20 April 2028 - 19 May 2028</v>
      </c>
      <c r="B48" s="227" t="s">
        <v>22</v>
      </c>
    </row>
    <row r="49" ht="20.25" customHeight="1" spans="1:2">
      <c r="A49" s="227" t="str">
        <f>IF(B2,TEXT(EDATE(B3,40),"dd mmmm yyyy"),TEXT(B3+((B5-B3)*40)+40,"dd mmmm yyyy"))&amp;" - "&amp;IF(B2,TEXT(EDATE(B3,41)-1,"dd mmmm yyyy"),TEXT(B3+(((B5-B3)*41)+40),"dd mmmm yyyy"))</f>
        <v>20 May 2028 - 19 June 2028</v>
      </c>
      <c r="B49" s="227"/>
    </row>
    <row r="50" ht="20.25" customHeight="1" spans="1:2">
      <c r="A50" s="225" t="str">
        <f>IF(B2,TEXT(EDATE(B3,41),"dd mmmm yyyy"),TEXT(B3+((B5-B3)*41)+41,"dd mmmm yyyy"))&amp;" - "&amp;IF(B2,TEXT(EDATE(B3,42)-1,"dd mmmm yyyy"),TEXT(B3+(((B5-B3)*42)+41),"dd mmmm yyyy"))</f>
        <v>20 June 2028 - 19 July 2028</v>
      </c>
      <c r="B50" s="225"/>
    </row>
    <row r="51" ht="20.25" customHeight="1" spans="1:2">
      <c r="A51" s="227" t="str">
        <f>IF(B2,TEXT(EDATE(B3,42),"dd mmmm yyyy"),TEXT(B3+((B5-B3)*42)+42,"dd mmmm yyyy"))&amp;" - "&amp;IF(B2,TEXT(EDATE(B3,43)-1,"dd mmmm yyyy"),TEXT(B3+(((B5-B3)*43)+42),"dd mmmm yyyy"))</f>
        <v>20 July 2028 - 19 August 2028</v>
      </c>
      <c r="B51" s="227" t="s">
        <v>23</v>
      </c>
    </row>
    <row r="52" ht="20.25" customHeight="1" spans="1:2">
      <c r="A52" s="227" t="str">
        <f>IF(B2,TEXT(EDATE(B3,43),"dd mmmm yyyy"),TEXT(B3+((B5-B3)*43)+43,"dd mmmm yyyy"))&amp;" - "&amp;IF(B2,TEXT(EDATE(B3,44)-1,"dd mmmm yyyy"),TEXT(B3+(((B5-B3)*44)+43),"dd mmmm yyyy"))</f>
        <v>20 August 2028 - 19 September 2028</v>
      </c>
      <c r="B52" s="227"/>
    </row>
    <row r="53" ht="20.25" customHeight="1" spans="1:2">
      <c r="A53" s="225" t="str">
        <f>IF(B2,TEXT(EDATE(B3,44),"dd mmmm yyyy"),TEXT(B3+((B5-B3)*44)+44,"dd mmmm yyyy"))&amp;" - "&amp;IF(B2,TEXT(EDATE(B3,45)-1,"dd mmmm yyyy"),TEXT(B3+(((B5-B3)*45)+44),"dd mmmm yyyy"))</f>
        <v>20 September 2028 - 19 October 2028</v>
      </c>
      <c r="B53" s="225"/>
    </row>
    <row r="54" ht="20.25" customHeight="1" spans="1:2">
      <c r="A54" s="227" t="str">
        <f>IF(B2,TEXT(EDATE(B3,45),"dd mmmm yyyy"),TEXT(B3+((B5-B3)*45)+45,"dd mmmm yyyy"))&amp;" - "&amp;IF(B2,TEXT(EDATE(B3,46)-1,"dd mmmm yyyy"),TEXT(B3+(((B5-B3)*46)+45),"dd mmmm yyyy"))</f>
        <v>20 October 2028 - 19 November 2028</v>
      </c>
      <c r="B54" s="227" t="s">
        <v>24</v>
      </c>
    </row>
    <row r="55" ht="20.25" customHeight="1" spans="1:2">
      <c r="A55" s="227" t="str">
        <f>IF(B2,TEXT(EDATE(B3,46),"dd mmmm yyyy"),TEXT(B3+((B5-B3)*46)+46,"dd mmmm yyyy"))&amp;" - "&amp;IF(B2,TEXT(EDATE(B3,47)-1,"dd mmmm yyyy"),TEXT(B3+(((B5-B3)*47)+46),"dd mmmm yyyy"))</f>
        <v>20 November 2028 - 19 December 2028</v>
      </c>
      <c r="B55" s="227"/>
    </row>
    <row r="56" ht="20.25" customHeight="1" spans="1:2">
      <c r="A56" s="227" t="str">
        <f>IF(B2,TEXT(EDATE(B3,47),"dd mmmm yyyy"),TEXT(B3+((B5-B3)*47)+47,"dd mmmm yyyy"))&amp;" - "&amp;IF(B2,TEXT(EDATE(B3,48)-1,"dd mmmm yyyy"),TEXT(B3+(((B5-B3)*48)+47),"dd mmmm yyyy"))</f>
        <v>20 December 2028 - 19 January 2029</v>
      </c>
      <c r="B56" s="227"/>
    </row>
    <row r="57" ht="20.25" customHeight="1"/>
    <row r="58" ht="20.25" customHeight="1"/>
    <row r="59" ht="20.25" customHeight="1"/>
    <row r="60" ht="20.25" customHeight="1"/>
    <row r="61" ht="20.25" customHeight="1"/>
    <row r="62" ht="20.25" customHeight="1"/>
    <row r="63" ht="20.25" customHeight="1"/>
    <row r="64" ht="20.25" customHeight="1"/>
    <row r="65" s="223" customFormat="1" ht="20.25" customHeight="1"/>
    <row r="66" s="223" customFormat="1" ht="20.25" customHeight="1"/>
    <row r="67" s="223" customFormat="1" ht="20.25" customHeight="1"/>
    <row r="68" s="223" customFormat="1" ht="20.25" customHeight="1"/>
    <row r="69" s="223" customFormat="1" ht="20.25" customHeight="1"/>
    <row r="70" s="223" customFormat="1" ht="20.25" customHeight="1"/>
    <row r="71" s="223" customFormat="1" ht="20.25" customHeight="1"/>
    <row r="72" s="223" customFormat="1" ht="20.25" customHeight="1"/>
    <row r="73" s="223" customFormat="1" ht="20.25" customHeight="1"/>
    <row r="74" s="223" customFormat="1" ht="20.25" customHeight="1"/>
    <row r="75" s="223" customFormat="1" ht="20.25" customHeight="1"/>
    <row r="76" s="223" customFormat="1" ht="20.25" customHeight="1"/>
    <row r="77" s="223" customFormat="1" ht="20.25" customHeight="1"/>
    <row r="78" s="223" customFormat="1" ht="20.25" customHeight="1"/>
    <row r="79" s="223" customFormat="1" ht="20.25" customHeight="1"/>
    <row r="80" s="223" customFormat="1" ht="20.25" customHeight="1"/>
    <row r="81" s="223" customFormat="1" ht="20.25" customHeight="1"/>
    <row r="82" s="223" customFormat="1" ht="20.25" customHeight="1"/>
    <row r="83" s="223" customFormat="1" ht="20.25" customHeight="1"/>
    <row r="84" s="223" customFormat="1" ht="20.25" customHeight="1"/>
    <row r="85" s="223" customFormat="1" ht="20.25" customHeight="1"/>
    <row r="86" s="223" customFormat="1" ht="20.25" customHeight="1"/>
    <row r="87" s="223" customFormat="1" ht="20.25" customHeight="1"/>
    <row r="88" s="223" customFormat="1" ht="20.25" customHeight="1"/>
    <row r="89" s="223" customFormat="1" ht="20.25" customHeight="1"/>
    <row r="90" s="223" customFormat="1" ht="20.25" customHeight="1"/>
    <row r="91" s="223" customFormat="1" ht="20.25" customHeight="1"/>
    <row r="92" s="223" customFormat="1" ht="20.25" customHeight="1"/>
    <row r="93" s="223" customFormat="1" ht="20.25" customHeight="1"/>
    <row r="94" s="223" customFormat="1" ht="20.25" customHeight="1"/>
    <row r="95" s="223" customFormat="1" ht="20.25" customHeight="1"/>
    <row r="96" s="223" customFormat="1" ht="20.25" customHeight="1"/>
    <row r="97" s="223" customFormat="1" ht="20.25" customHeight="1"/>
    <row r="98" s="223" customFormat="1" ht="20.25" customHeight="1"/>
    <row r="99" s="223" customFormat="1" ht="20.25" customHeight="1"/>
    <row r="100" s="223" customFormat="1" ht="20.25" customHeight="1"/>
    <row r="101" s="223" customFormat="1" ht="20.25" customHeight="1"/>
    <row r="102" s="223" customFormat="1" ht="20.25" customHeight="1"/>
    <row r="103" s="223" customFormat="1" ht="20.25" customHeight="1"/>
    <row r="104" s="223" customFormat="1" ht="20.25" customHeight="1"/>
    <row r="105" s="223" customFormat="1" ht="20.25" customHeight="1"/>
    <row r="106" s="223" customFormat="1" ht="20.25" customHeight="1"/>
    <row r="107" s="223" customFormat="1" ht="20.25" customHeight="1"/>
    <row r="108" s="223" customFormat="1" ht="20.25" customHeight="1"/>
    <row r="109" s="223" customFormat="1" ht="20.25" customHeight="1"/>
    <row r="110" s="223" customFormat="1" ht="20.25" customHeight="1"/>
    <row r="111" s="223" customFormat="1" ht="20.25" customHeight="1"/>
    <row r="112" s="223" customFormat="1" ht="20.25" customHeight="1"/>
    <row r="113" s="223" customFormat="1" ht="20.25" customHeight="1"/>
    <row r="114" s="223" customFormat="1" ht="20.25" customHeight="1"/>
    <row r="115" s="223" customFormat="1" ht="20.25" customHeight="1"/>
    <row r="116" s="223" customFormat="1" ht="20.25" customHeight="1"/>
    <row r="117" s="223" customFormat="1" ht="20.25" customHeight="1"/>
    <row r="118" s="223" customFormat="1" ht="20.25" customHeight="1"/>
    <row r="119" s="223" customFormat="1" ht="20.25" customHeight="1"/>
    <row r="120" s="223" customFormat="1" ht="20.25" customHeight="1"/>
    <row r="121" s="223" customFormat="1" ht="20.25" customHeight="1"/>
    <row r="122" s="223" customFormat="1" ht="20.25" customHeight="1"/>
    <row r="123" s="223" customFormat="1" ht="20.25" customHeight="1"/>
    <row r="124" s="223" customFormat="1" ht="20.25" customHeight="1"/>
    <row r="125" s="223" customFormat="1" ht="20.25" customHeight="1"/>
    <row r="126" s="223" customFormat="1" ht="20.25" customHeight="1"/>
    <row r="127" s="223" customFormat="1" ht="20.25" customHeight="1"/>
    <row r="129" s="223" customFormat="1" ht="20.25" customHeight="1"/>
    <row r="130" s="223" customFormat="1" ht="20.25" customHeight="1"/>
    <row r="131" s="223" customFormat="1" ht="20.25" customHeight="1"/>
    <row r="132" s="223" customFormat="1" ht="20.25" customHeight="1"/>
    <row r="133" s="223" customFormat="1" ht="20.25" customHeight="1"/>
    <row r="134" s="223" customFormat="1" ht="20.25" customHeight="1"/>
  </sheetData>
  <sheetProtection formatCells="0"/>
  <mergeCells count="19">
    <mergeCell ref="A8:B8"/>
    <mergeCell ref="A5:A6"/>
    <mergeCell ref="B5:B6"/>
    <mergeCell ref="B9:B11"/>
    <mergeCell ref="B12:B14"/>
    <mergeCell ref="B15:B17"/>
    <mergeCell ref="B18:B20"/>
    <mergeCell ref="B21:B23"/>
    <mergeCell ref="B24:B26"/>
    <mergeCell ref="B27:B29"/>
    <mergeCell ref="B30:B32"/>
    <mergeCell ref="B33:B35"/>
    <mergeCell ref="B36:B38"/>
    <mergeCell ref="B39:B41"/>
    <mergeCell ref="B42:B44"/>
    <mergeCell ref="B45:B47"/>
    <mergeCell ref="B48:B50"/>
    <mergeCell ref="B51:B53"/>
    <mergeCell ref="B54:B5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4"/>
  <sheetViews>
    <sheetView topLeftCell="A208" workbookViewId="0">
      <selection activeCell="D118" sqref="D118"/>
    </sheetView>
  </sheetViews>
  <sheetFormatPr defaultColWidth="9" defaultRowHeight="17.6"/>
  <cols>
    <col min="1" max="1" width="18.875" style="152" customWidth="1"/>
    <col min="2" max="2" width="25.625" style="152" customWidth="1"/>
    <col min="3" max="4" width="20.625" style="152" customWidth="1"/>
    <col min="5" max="5" width="25.625" style="152" customWidth="1"/>
    <col min="6" max="6" width="20.625" style="152" customWidth="1"/>
    <col min="7" max="7" width="9" style="152"/>
    <col min="8" max="8" width="23" style="152" customWidth="1"/>
    <col min="9" max="9" width="40.75" style="48" customWidth="1"/>
    <col min="10" max="10" width="28.625" style="152" customWidth="1"/>
    <col min="11" max="12" width="9" style="152"/>
    <col min="13" max="13" width="36.625" style="152" customWidth="1"/>
    <col min="14" max="14" width="21.125" style="152" customWidth="1"/>
    <col min="15" max="16384" width="9" style="152"/>
  </cols>
  <sheetData>
    <row r="1" ht="36.75" customHeight="1" spans="1:14">
      <c r="A1" s="153" t="str">
        <f>"Forecasts For the Year "&amp;TEXT(Main!B3,"mmmm yyyy")&amp;" to "&amp;IF(Main!B2,TEXT(EDATE(Main!B3,3)-1,"mmmm yyyy"),TEXT(Main!B3+((Main!B5-Main!B3)*3+2),"mmmm yyyy"))</f>
        <v>Forecasts For the Year January 2025 to April 2025</v>
      </c>
      <c r="B1" s="153"/>
      <c r="C1" s="153"/>
      <c r="D1" s="153"/>
      <c r="E1" s="153"/>
      <c r="F1" s="153"/>
      <c r="I1" s="192" t="s">
        <v>25</v>
      </c>
      <c r="J1" s="192"/>
      <c r="M1" s="192" t="s">
        <v>26</v>
      </c>
      <c r="N1" s="192"/>
    </row>
    <row r="2" ht="36" customHeight="1" spans="1:14">
      <c r="A2" s="154" t="s">
        <v>27</v>
      </c>
      <c r="B2" s="155"/>
      <c r="C2" s="155"/>
      <c r="D2" s="156" t="s">
        <v>28</v>
      </c>
      <c r="E2" s="156"/>
      <c r="F2" s="156"/>
      <c r="I2" s="193" t="s">
        <v>29</v>
      </c>
      <c r="J2" s="194" t="s">
        <v>30</v>
      </c>
      <c r="M2" s="203" t="s">
        <v>31</v>
      </c>
      <c r="N2" s="194" t="s">
        <v>32</v>
      </c>
    </row>
    <row r="3" ht="35.25" customHeight="1" spans="1:14">
      <c r="A3" s="157" t="s">
        <v>33</v>
      </c>
      <c r="B3" s="158" t="s">
        <v>34</v>
      </c>
      <c r="C3" s="159">
        <v>118.5</v>
      </c>
      <c r="D3" s="160" t="s">
        <v>33</v>
      </c>
      <c r="E3" s="5" t="s">
        <v>34</v>
      </c>
      <c r="F3" s="187">
        <v>256</v>
      </c>
      <c r="I3" s="195" t="str">
        <f>TEXT(Main!B3,"dd mmmm yyyy")&amp;" - "&amp;IF(Main!B2,TEXT(EDATE(Main!B3,1)-1,"dd mmmm yyyy"),TEXT(Main!B3+(Main!B5-Main!B3)*1,"dd mmmm yyyy"))</f>
        <v>20 January 2025 - 19 February 2025</v>
      </c>
      <c r="J3" s="196">
        <f>E149</f>
        <v>941.71</v>
      </c>
      <c r="M3" s="201" t="str">
        <f>TEXT(Main!B3,"dd mmmm yyyy")&amp;" - "&amp;IF(Main!B2,TEXT(EDATE(Main!B3,3)-1,"dd mmmm yyyy"),TEXT(Main!B3+((Main!B5-Main!B3)*3+2),"dd mmmm yyyy"))</f>
        <v>20 January 2025 - 19 April 2025</v>
      </c>
      <c r="N3" s="196">
        <f>-C122</f>
        <v>-334737.42</v>
      </c>
    </row>
    <row r="4" ht="35.25" customHeight="1" spans="1:14">
      <c r="A4" s="157"/>
      <c r="B4" s="158" t="s">
        <v>35</v>
      </c>
      <c r="C4" s="159">
        <v>0</v>
      </c>
      <c r="D4" s="161"/>
      <c r="E4" s="5" t="s">
        <v>35</v>
      </c>
      <c r="F4" s="187">
        <v>0</v>
      </c>
      <c r="I4" s="197" t="str">
        <f>IF(Main!B2,TEXT(EDATE(Main!B3,1),"dd mmmm yyyy"),TEXT(Main!B3+(Main!B5-Main!B3)+1,"dd mmmm yyyy"))&amp;" - "&amp;IF(Main!B2,TEXT(EDATE(Main!B3,2)-1,"dd mmmm yyyy"),TEXT(Main!B3+(Main!B5-Main!B3)*2+1,"dd mmmm yyyy"))</f>
        <v>20 February 2025 - 19 March 2025</v>
      </c>
      <c r="J4" s="196">
        <f>E176</f>
        <v>941.71</v>
      </c>
      <c r="M4" s="201" t="str">
        <f>IF(Main!B2,TEXT(EDATE(Main!B3,3),"dd mmmm yyyy"),TEXT(Main!B3+((Main!B5-Main!B3)*3+3),"dd mmmm yyyy"))&amp;" - "&amp;IF(Main!B2,TEXT(EDATE(Main!B3,6)-1,"dd mmmm yyyy"),TEXT(Main!B3+((Main!B5-Main!B3)*6+5),"dd mmmm yyyy"))</f>
        <v>20 April 2025 - 19 July 2025</v>
      </c>
      <c r="N4" s="196">
        <f ca="1">'April 2025 - June 2025'!C5</f>
        <v>-333730.02</v>
      </c>
    </row>
    <row r="5" ht="35.25" customHeight="1" spans="1:14">
      <c r="A5" s="157"/>
      <c r="B5" s="158" t="s">
        <v>36</v>
      </c>
      <c r="C5" s="159">
        <v>0</v>
      </c>
      <c r="D5" s="161"/>
      <c r="E5" s="5" t="s">
        <v>36</v>
      </c>
      <c r="F5" s="187">
        <v>0</v>
      </c>
      <c r="I5" s="197" t="str">
        <f>IF(Main!B2,TEXT(EDATE(Main!B3,2),"dd mmmm yyyy"),TEXT(Main!B3+((Main!B5-Main!B3)*2)+2,"dd mmmm yyyy"))&amp;" - "&amp;IF(Main!B2,TEXT(EDATE(Main!B3,3)-1,"dd mmmm yyyy"),TEXT(Main!B3+((Main!B5-Main!B3)*3+2),"dd mmmm yyyy"))</f>
        <v>20 March 2025 - 19 April 2025</v>
      </c>
      <c r="J5" s="196">
        <f>E203</f>
        <v>941.71</v>
      </c>
      <c r="M5" s="201" t="str">
        <f>IF(Main!B2,TEXT(EDATE(Main!B3,6),"dd mmmm yyyy"),TEXT(Main!B3+((Main!B5-Main!B3)*6+6),"dd mmmm yyyy"))&amp;" - "&amp;IF(Main!B2,TEXT(EDATE(Main!B3,9)-1,"dd mmmm yyyy"),TEXT(Main!B3+((Main!B5-Main!B3)*9+8),"dd mmmm yyyy"))</f>
        <v>20 July 2025 - 19 October 2025</v>
      </c>
      <c r="N5" s="196">
        <f ca="1">'July 2025 - September 2025'!C5</f>
        <v>-333730.02</v>
      </c>
    </row>
    <row r="6" ht="35.25" customHeight="1" spans="1:14">
      <c r="A6" s="157"/>
      <c r="B6" s="158" t="s">
        <v>37</v>
      </c>
      <c r="C6" s="159">
        <v>0</v>
      </c>
      <c r="D6" s="161"/>
      <c r="E6" s="5" t="s">
        <v>37</v>
      </c>
      <c r="F6" s="187">
        <v>0</v>
      </c>
      <c r="I6" s="198" t="str">
        <f>IF(Main!B2,TEXT(EDATE(Main!B3,3),"dd mmmm yyyy"),TEXT(Main!B3+((Main!B5-Main!B3)*3)+3,"dd mmmm yyyy"))&amp;" - "&amp;IF(Main!B2,TEXT(EDATE(Main!B3,4)-1,"dd mmmm yyyy"),TEXT(Main!B3+((Main!B5-Main!B3)*4+3),"dd mmmm yyyy"))</f>
        <v>20 April 2025 - 19 May 2025</v>
      </c>
      <c r="J6" s="196">
        <f ca="1">'April 2025 - June 2025'!E136</f>
        <v>46.02</v>
      </c>
      <c r="M6" s="201" t="str">
        <f>IF(Main!B2,TEXT(EDATE(Main!B3,9),"dd mmmm yyyy"),TEXT(Main!B3+((Main!B5-Main!B3)*9+9),"dd mmmm yyyy"))&amp;" - "&amp;IF(Main!B2,TEXT(EDATE(Main!B3,12)-1,"dd mmmm yyyy"),TEXT(Main!B3+((Main!B5-Main!B3)*12+11),"dd mmmm yyyy"))</f>
        <v>20 October 2025 - 19 January 2026</v>
      </c>
      <c r="N6" s="196">
        <f ca="1">'October 2025 - December 2025'!C5</f>
        <v>-333730.02</v>
      </c>
    </row>
    <row r="7" ht="35.25" customHeight="1" spans="1:14">
      <c r="A7" s="157"/>
      <c r="B7" s="158" t="s">
        <v>38</v>
      </c>
      <c r="C7" s="159">
        <v>0</v>
      </c>
      <c r="D7" s="161"/>
      <c r="E7" s="5" t="s">
        <v>38</v>
      </c>
      <c r="F7" s="187">
        <v>32.96</v>
      </c>
      <c r="I7" s="198" t="str">
        <f>IF(Main!B2,TEXT(EDATE(Main!B3,4),"dd mmmm yyyy"),TEXT(Main!B3+((Main!B5-Main!B3)*4)+4,"dd mmmm yyyy"))&amp;" - "&amp;IF(Main!B2,TEXT(EDATE(Main!B3,5)-1,"dd mmmm yyyy"),TEXT(Main!B3+((Main!B5-Main!B3)*5+4),"dd mmmm yyyy"))</f>
        <v>20 May 2025 - 19 June 2025</v>
      </c>
      <c r="J7" s="196">
        <f ca="1">'April 2025 - June 2025'!E163</f>
        <v>306.32</v>
      </c>
      <c r="M7" s="201" t="str">
        <f>IF(Main!B2,TEXT(EDATE(Main!B3,12),"dd mmmm yyyy"),TEXT(Main!B3+((Main!B5-Main!B3)*12+12),"dd mmmm yyyy"))&amp;" - "&amp;IF(Main!B2,TEXT(EDATE(Main!B3,15)-1,"dd mmmm yyyy"),TEXT(Main!B3+((Main!B5-Main!B3)*15+14),"dd mmmm yyyy"))</f>
        <v>20 January 2026 - 19 April 2026</v>
      </c>
      <c r="N7" s="196">
        <f ca="1">'January 2026 - March 2026'!C5</f>
        <v>-333730.02</v>
      </c>
    </row>
    <row r="8" ht="45" customHeight="1" spans="1:14">
      <c r="A8" s="157"/>
      <c r="B8" s="158" t="s">
        <v>39</v>
      </c>
      <c r="C8" s="159">
        <v>0</v>
      </c>
      <c r="D8" s="161"/>
      <c r="E8" s="5" t="s">
        <v>39</v>
      </c>
      <c r="F8" s="187">
        <v>0</v>
      </c>
      <c r="H8" s="188"/>
      <c r="I8" s="197" t="str">
        <f>IF(Main!B2,TEXT(EDATE(Main!B3,5),"dd mmmm yyyy"),TEXT(Main!B3+((Main!B5-Main!B3)*5)+5,"dd mmmm yyyy"))&amp;" - "&amp;IF(Main!B2,TEXT(EDATE(Main!B3,6)-1,"dd mmmm yyyy"),TEXT(Main!B3+((Main!B5-Main!B3)*6+5),"dd mmmm yyyy"))</f>
        <v>20 June 2025 - 19 July 2025</v>
      </c>
      <c r="J8" s="196">
        <f ca="1">'April 2025 - June 2025'!E190</f>
        <v>1231.32</v>
      </c>
      <c r="M8" s="204" t="str">
        <f>IF(Main!B2,TEXT(EDATE(Main!B3,15),"dd mmmm yyyy"),TEXT(Main!B3+((Main!B5-Main!B3)*15+15),"dd mmmm yyyy"))&amp;" - "&amp;IF(Main!B2,TEXT(EDATE(Main!B3,18)-1,"dd mmmm yyyy"),TEXT(Main!B3+((Main!B5-Main!B3)*18+17),"dd mmmm yyyy"))</f>
        <v>20 April 2026 - 19 July 2026</v>
      </c>
      <c r="N8" s="196">
        <f ca="1">'April 2026 - June 2026'!C5</f>
        <v>-333730.02</v>
      </c>
    </row>
    <row r="9" ht="39.75" customHeight="1" spans="1:14">
      <c r="A9" s="157"/>
      <c r="B9" s="158" t="s">
        <v>40</v>
      </c>
      <c r="C9" s="159">
        <v>0</v>
      </c>
      <c r="D9" s="161"/>
      <c r="E9" s="5" t="s">
        <v>40</v>
      </c>
      <c r="F9" s="187">
        <v>0</v>
      </c>
      <c r="I9" s="197" t="str">
        <f>IF(Main!B2,TEXT(EDATE(Main!B3,6),"dd mmmm yyyy"),TEXT(Main!B3+((Main!B5-Main!B3)*6)+6,"dd mmmm yyyy"))&amp;" - "&amp;IF(Main!B2,TEXT(EDATE(Main!B3,7)-1,"dd mmmm yyyy"),TEXT(Main!B3+((Main!B5-Main!B3)*7+6),"dd mmmm yyyy"))</f>
        <v>20 July 2025 - 19 August 2025</v>
      </c>
      <c r="J9" s="196">
        <f ca="1">'July 2025 - September 2025'!E136</f>
        <v>2258.32</v>
      </c>
      <c r="M9" s="201" t="str">
        <f>IF(Main!B2,TEXT(EDATE(Main!B3,18),"dd mmmm yyyy"),TEXT(Main!B3+((Main!B5-Main!B3)*18+18),"dd mmmm yyyy"))&amp;" - "&amp;IF(Main!B2,TEXT(EDATE(Main!B3,21)-1,"dd mmmm yyyy"),TEXT(Main!B3+((Main!B5-Main!B3)*21+20),"dd mmmm yyyy"))</f>
        <v>20 July 2026 - 19 October 2026</v>
      </c>
      <c r="N9" s="205">
        <f ca="1">'July 2026 - September 2026'!C5</f>
        <v>-333730.02</v>
      </c>
    </row>
    <row r="10" ht="35.25" customHeight="1" spans="1:14">
      <c r="A10" s="157"/>
      <c r="B10" s="158" t="s">
        <v>41</v>
      </c>
      <c r="C10" s="159">
        <v>0</v>
      </c>
      <c r="D10" s="161"/>
      <c r="E10" s="5" t="s">
        <v>41</v>
      </c>
      <c r="F10" s="187">
        <v>0</v>
      </c>
      <c r="I10" s="197" t="str">
        <f>IF(Main!B2,TEXT(EDATE(Main!B3,7),"dd mmmm yyyy"),TEXT(Main!B3+((Main!B5-Main!B3)*7)+7,"dd mmmm yyyy"))&amp;" - "&amp;IF(Main!B2,TEXT(EDATE(Main!B3,8)-1,"dd mmmm yyyy"),TEXT(Main!B3+((Main!B5-Main!B3)*8+7),"dd mmmm yyyy"))</f>
        <v>20 August 2025 - 19 September 2025</v>
      </c>
      <c r="J10" s="196">
        <f ca="1">'July 2025 - September 2025'!E163</f>
        <v>3144.32</v>
      </c>
      <c r="M10" s="206" t="str">
        <f>IF(Main!B2,TEXT(EDATE(Main!B3,21),"dd mmmm yyyy"),TEXT(Main!B3+((Main!B5-Main!B3)*21+21),"dd mmmm yyyy"))&amp;" - "&amp;IF(Main!B2,TEXT(EDATE(Main!B3,24)-1,"dd mmmm yyyy"),TEXT(Main!B3+((Main!B5-Main!B3)*24+23),"dd mmmm yyyy"))</f>
        <v>20 October 2026 - 19 January 2027</v>
      </c>
      <c r="N10" s="196">
        <f ca="1">'October 2026 - December 2026'!C5</f>
        <v>-333730.02</v>
      </c>
    </row>
    <row r="11" ht="35.25" customHeight="1" spans="1:14">
      <c r="A11" s="157"/>
      <c r="B11" s="158" t="s">
        <v>42</v>
      </c>
      <c r="C11" s="159">
        <v>0</v>
      </c>
      <c r="D11" s="161"/>
      <c r="E11" s="5" t="s">
        <v>42</v>
      </c>
      <c r="F11" s="187">
        <v>0</v>
      </c>
      <c r="H11" s="188"/>
      <c r="I11" s="197" t="str">
        <f>IF(Main!B2,TEXT(EDATE(Main!B3,8),"dd mmmm yyyy"),TEXT(Main!B3+((Main!B5-Main!B3)*8)+8,"dd mmmm yyyy"))&amp;" - "&amp;IF(Main!B2,TEXT(EDATE(Main!B3,9)-1,"dd mmmm yyyy"),TEXT(Main!B3+((Main!B5-Main!B3)*9+8),"dd mmmm yyyy"))</f>
        <v>20 September 2025 - 19 October 2025</v>
      </c>
      <c r="J11" s="196">
        <f ca="1">'July 2025 - September 2025'!E190</f>
        <v>4171.32</v>
      </c>
      <c r="M11" s="201" t="str">
        <f>IF(Main!B2,TEXT(EDATE(Main!B3,24),"dd mmmm yyyy"),TEXT(Main!B3+((Main!B5-Main!B3)*24+24),"dd mmmm yyyy"))&amp;" - "&amp;IF(Main!B2,TEXT(EDATE(Main!B3,27)-1,"dd mmmm yyyy"),TEXT(Main!B3+((Main!B5-Main!B3)*27+26),"dd mmmm yyyy"))</f>
        <v>20 January 2027 - 19 April 2027</v>
      </c>
      <c r="N11" s="200">
        <f ca="1">'January 2027 - March 2027'!C5</f>
        <v>-333730.02</v>
      </c>
    </row>
    <row r="12" ht="35.25" customHeight="1" spans="1:14">
      <c r="A12" s="157"/>
      <c r="B12" s="158" t="s">
        <v>43</v>
      </c>
      <c r="C12" s="159">
        <v>180.02</v>
      </c>
      <c r="D12" s="161"/>
      <c r="E12" s="189" t="s">
        <v>43</v>
      </c>
      <c r="F12" s="187">
        <v>30.02</v>
      </c>
      <c r="I12" s="197" t="str">
        <f>IF(Main!B2,TEXT(EDATE(Main!B3,9),"dd mmmm yyyy"),TEXT(Main!B3+((Main!B5-Main!B3)*9)+9,"dd mmmm yyyy"))&amp;" - "&amp;IF(Main!B2,TEXT(EDATE(Main!B3,10)-1,"dd mmmm yyyy"),TEXT(Main!B3+((Main!B5-Main!B3)*10+9),"dd mmmm yyyy"))</f>
        <v>20 October 2025 - 19 November 2025</v>
      </c>
      <c r="J12" s="196">
        <f ca="1">'October 2025 - December 2025'!E136</f>
        <v>5107.32</v>
      </c>
      <c r="M12" s="197" t="str">
        <f>IF(Main!B2,TEXT(EDATE(Main!B3,27),"dd mmmm yyyy"),TEXT(Main!B3+((Main!B5-Main!B3)*27+27),"dd mmmm yyyy"))&amp;" - "&amp;IF(Main!B2,TEXT(EDATE(Main!B3,30)-1,"dd mmmm yyyy"),TEXT(Main!B3+((Main!B5-Main!B3)*30+29),"dd mmmm yyyy"))</f>
        <v>20 April 2027 - 19 July 2027</v>
      </c>
      <c r="N12" s="200">
        <f ca="1">'April 2027 - June 2027'!C5</f>
        <v>-333730.02</v>
      </c>
    </row>
    <row r="13" ht="35.25" customHeight="1" spans="1:14">
      <c r="A13" s="157"/>
      <c r="B13" s="158" t="s">
        <v>44</v>
      </c>
      <c r="C13" s="159">
        <v>4</v>
      </c>
      <c r="D13" s="161"/>
      <c r="E13" s="189" t="s">
        <v>44</v>
      </c>
      <c r="F13" s="187">
        <v>4</v>
      </c>
      <c r="I13" s="199" t="str">
        <f>IF(Main!B2,TEXT(EDATE(Main!B3,10),"dd mmmm yyyy"),TEXT(Main!B3+((Main!B5-Main!B3)*10)+10,"dd mmmm yyyy"))&amp;" - "&amp;IF(Main!B2,TEXT(EDATE(Main!B3,11)-1,"dd mmmm yyyy"),TEXT(Main!B3+((Main!B5-Main!B3)*11+10),"dd mmmm yyyy"))</f>
        <v>20 November 2025 - 19 December 2025</v>
      </c>
      <c r="J13" s="196">
        <f ca="1">'October 2025 - December 2025'!E163</f>
        <v>6084.32</v>
      </c>
      <c r="M13" s="197" t="str">
        <f>IF(Main!B2,TEXT(EDATE(Main!B3,30),"dd mmmm yyyy"),TEXT(Main!B3+((Main!B5-Main!B3)*30+30),"dd mmmm yyyy"))&amp;" - "&amp;IF(Main!B2,TEXT(EDATE(Main!B3,33)-1,"dd mmmm yyyy"),TEXT(Main!B3+((Main!B5-Main!B3)*33+32),"dd mmmm yyyy"))</f>
        <v>20 July 2027 - 19 October 2027</v>
      </c>
      <c r="N13" s="200">
        <f ca="1">'July 2027 - September 2027'!C5</f>
        <v>-333730.02</v>
      </c>
    </row>
    <row r="14" ht="35.25" customHeight="1" spans="1:14">
      <c r="A14" s="157"/>
      <c r="B14" s="158" t="s">
        <v>45</v>
      </c>
      <c r="C14" s="159">
        <v>3.8</v>
      </c>
      <c r="D14" s="161"/>
      <c r="E14" s="189" t="s">
        <v>45</v>
      </c>
      <c r="F14" s="187">
        <v>3.8</v>
      </c>
      <c r="I14" s="199" t="str">
        <f>IF(Main!B2,TEXT(EDATE(Main!B3,11),"dd mmmm yyyy"),TEXT(Main!B3+((Main!B5-Main!B3)*11)+11,"dd mmmm yyyy"))&amp;" - "&amp;IF(Main!B2,TEXT(EDATE(Main!B3,12)-1,"dd mmmm yyyy"),TEXT(Main!B3+((Main!B5-Main!B3)*12+11),"dd mmmm yyyy"))</f>
        <v>20 December 2025 - 19 January 2026</v>
      </c>
      <c r="J14" s="200">
        <f ca="1">'October 2025 - December 2025'!E190</f>
        <v>6890.32</v>
      </c>
      <c r="M14" s="197" t="str">
        <f>IF(Main!B2,TEXT(EDATE(Main!B3,33),"dd mmmm yyyy"),TEXT(Main!B3+((Main!B5-Main!B3)*33+33),"dd mmmm yyyy"))&amp;" - "&amp;IF(Main!B2,TEXT(EDATE(Main!B3,36)-1,"dd mmmm yyyy"),TEXT(Main!B3+((Main!B5-Main!B3)*36+35),"dd mmmm yyyy"))</f>
        <v>20 October 2027 - 19 January 2028</v>
      </c>
      <c r="N14" s="200">
        <f ca="1">'October 2027 - December 2027'!C5</f>
        <v>-333730.02</v>
      </c>
    </row>
    <row r="15" ht="35.25" customHeight="1" spans="1:14">
      <c r="A15" s="157"/>
      <c r="B15" s="162" t="s">
        <v>46</v>
      </c>
      <c r="C15" s="159">
        <v>0</v>
      </c>
      <c r="D15" s="161"/>
      <c r="E15" s="189" t="s">
        <v>46</v>
      </c>
      <c r="F15" s="187">
        <v>0</v>
      </c>
      <c r="I15" s="201" t="str">
        <f>IF(Main!B2,TEXT(EDATE(Main!B3,12),"dd mmmm yyyy"),TEXT(Main!B3+((Main!B5-Main!B3)*12)+12,"dd mmmm yyyy"))&amp;" - "&amp;IF(Main!B2,TEXT(EDATE(Main!B3,13)-1,"dd mmmm yyyy"),TEXT(Main!B3+((Main!B5-Main!B3)*13+12),"dd mmmm yyyy"))</f>
        <v>20 January 2026 - 19 February 2026</v>
      </c>
      <c r="J15" s="200">
        <f ca="1">'January 2026 - March 2026'!E136</f>
        <v>7917.32</v>
      </c>
      <c r="M15" s="197" t="str">
        <f>IF(Main!B2,TEXT(EDATE(Main!B3,36),"dd mmmm yyyy"),TEXT(Main!B3+((Main!B5-Main!B3)*36+36),"dd mmmm yyyy"))&amp;" - "&amp;IF(Main!B2,TEXT(EDATE(Main!B3,39)-1,"dd mmmm yyyy"),TEXT(Main!B3+((Main!B5-Main!B3)*39+38),"dd mmmm yyyy"))</f>
        <v>20 January 2028 - 19 April 2028</v>
      </c>
      <c r="N15" s="200">
        <f ca="1">'January 2028 - March 2028'!C5</f>
        <v>-333730.02</v>
      </c>
    </row>
    <row r="16" ht="35.25" customHeight="1" spans="1:14">
      <c r="A16" s="163"/>
      <c r="B16" s="164" t="s">
        <v>47</v>
      </c>
      <c r="C16" s="165">
        <f>SUM(C3:C15)</f>
        <v>306.32</v>
      </c>
      <c r="D16" s="166"/>
      <c r="E16" s="164" t="s">
        <v>47</v>
      </c>
      <c r="F16" s="190">
        <f>SUM(F3:F15)</f>
        <v>326.78</v>
      </c>
      <c r="I16" s="201" t="str">
        <f>IF(Main!B2,TEXT(EDATE(Main!B3,13),"dd mmmm yyyy"),TEXT(Main!B3+((Main!B5-Main!B3)*13)+13,"dd mmmm yyyy"))&amp;" - "&amp;IF(Main!B2,TEXT(EDATE(Main!B3,14)-1,"dd mmmm yyyy"),TEXT(Main!B3+((Main!B5-Main!B3)*14+13),"dd mmmm yyyy"))</f>
        <v>20 February 2026 - 19 March 2026</v>
      </c>
      <c r="J16" s="200">
        <f ca="1">'January 2026 - March 2026'!E163</f>
        <v>8513.32</v>
      </c>
      <c r="M16" s="197" t="str">
        <f>IF(Main!B2,TEXT(EDATE(Main!B3,39),"dd mmmm yyyy"),TEXT(Main!B3+((Main!B5-Main!B3)*39+39),"dd mmmm yyyy"))&amp;" - "&amp;IF(Main!B2,TEXT(EDATE(Main!B3,42)-1,"dd mmmm yyyy"),TEXT(Main!B3+((Main!B5-Main!B3)*42+41),"dd mmmm yyyy"))</f>
        <v>20 April 2028 - 19 July 2028</v>
      </c>
      <c r="N16" s="200">
        <f ca="1">'April 2028 - June 2028'!C5</f>
        <v>-333730.02</v>
      </c>
    </row>
    <row r="17" ht="35.25" customHeight="1" spans="9:14">
      <c r="I17" s="201" t="str">
        <f>IF(Main!B2,TEXT(EDATE(Main!B3,14),"dd mmmm yyyy"),TEXT(Main!B3+((Main!B5-Main!B3)*14)+14,"dd mmmm yyyy"))&amp;" - "&amp;IF(Main!B2,TEXT(EDATE(Main!B3,15)-1,"dd mmmm yyyy"),TEXT(Main!B3+((Main!B5-Main!B3)*15+14),"dd mmmm yyyy"))</f>
        <v>20 March 2026 - 19 April 2026</v>
      </c>
      <c r="J17" s="200">
        <f ca="1">'January 2026 - March 2026'!E190</f>
        <v>9540.32</v>
      </c>
      <c r="M17" s="197" t="str">
        <f>IF(Main!B2,TEXT(EDATE(Main!B3,42),"dd mmmm yyyy"),TEXT(Main!B3+((Main!B5-Main!B3)*42+42),"dd mmmm yyyy"))&amp;" - "&amp;IF(Main!B2,TEXT(EDATE(Main!B3,45)-1,"dd mmmm yyyy"),TEXT(Main!B3+((Main!B5-Main!B3)*45+44),"dd mmmm yyyy"))</f>
        <v>20 July 2028 - 19 October 2028</v>
      </c>
      <c r="N17" s="200">
        <f ca="1">'July 2028 - September 2028'!C5</f>
        <v>-333730.02</v>
      </c>
    </row>
    <row r="18" ht="35.25" customHeight="1" spans="9:14">
      <c r="I18" s="201" t="str">
        <f>IF(Main!B2,TEXT(EDATE(Main!B3,15),"dd mmmm yyyy"),TEXT(Main!B3+((Main!B5-Main!B3)*15)+15,"dd mmmm yyyy"))&amp;" - "&amp;IF(Main!B2,TEXT(EDATE(Main!B3,16)-1,"dd mmmm yyyy"),TEXT(Main!B3+((Main!B5-Main!B3)*16+15),"dd mmmm yyyy"))</f>
        <v>20 April 2026 - 19 May 2026</v>
      </c>
      <c r="J18" s="200">
        <f ca="1">'April 2026 - June 2026'!E136</f>
        <v>10296.32</v>
      </c>
      <c r="M18" s="197" t="str">
        <f>IF(Main!B2,TEXT(EDATE(Main!B3,45),"dd mmmm yyyy"),TEXT(Main!B3+((Main!B5-Main!B3)*45+45),"dd mmmm yyyy"))&amp;" - "&amp;IF(Main!B2,TEXT(EDATE(Main!B3,48)-1,"dd mmmm yyyy"),TEXT(Main!B3+((Main!B5-Main!B3)*48+47),"dd mmmm yyyy"))</f>
        <v>20 October 2028 - 19 January 2029</v>
      </c>
      <c r="N18" s="196">
        <f ca="1">'October 2028 - December 2028'!C5</f>
        <v>-333730.02</v>
      </c>
    </row>
    <row r="19" ht="33" customHeight="1" spans="9:10">
      <c r="I19" s="201" t="str">
        <f>IF(Main!B2,TEXT(EDATE(Main!B3,16),"dd mmmm yyyy"),TEXT(Main!B3+((Main!B5-Main!B3)*16)+16,"dd mmmm yyyy"))&amp;" - "&amp;IF(Main!B2,TEXT(EDATE(Main!B3,17)-1,"dd mmmm yyyy"),TEXT(Main!B3+((Main!B5-Main!B3)*17+16),"dd mmmm yyyy"))</f>
        <v>20 May 2026 - 19 June 2026</v>
      </c>
      <c r="J19" s="200">
        <f ca="1">'April 2026 - June 2026'!E163</f>
        <v>12246.32</v>
      </c>
    </row>
    <row r="20" ht="35.25" customHeight="1" spans="9:10">
      <c r="I20" s="201" t="str">
        <f>IF(Main!B2,TEXT(EDATE(Main!B3,17),"dd mmmm yyyy"),TEXT(Main!B3+((Main!B5-Main!B3)*17)+17,"dd mmmm yyyy"))&amp;" - "&amp;IF(Main!B2,TEXT(EDATE(Main!B3,18)-1,"dd mmmm yyyy"),TEXT(Main!B3+((Main!B5-Main!B3)*18+17),"dd mmmm yyyy"))</f>
        <v>20 June 2026 - 19 July 2026</v>
      </c>
      <c r="J20" s="200">
        <f ca="1">'April 2026 - June 2026'!E190</f>
        <v>12902.32</v>
      </c>
    </row>
    <row r="21" ht="35.25" customHeight="1" spans="9:10">
      <c r="I21" s="201" t="str">
        <f>IF(Main!B2,TEXT(EDATE(Main!B3,18),"dd mmmm yyyy"),TEXT(Main!B3+((Main!B5-Main!B3)*18)+18,"dd mmmm yyyy"))&amp;" - "&amp;IF(Main!B2,TEXT(EDATE(Main!B3,19)-1,"dd mmmm yyyy"),TEXT(Main!B3+((Main!B5-Main!B3)*19+18),"dd mmmm yyyy"))</f>
        <v>20 July 2026 - 19 August 2026</v>
      </c>
      <c r="J21" s="200">
        <f ca="1">'July 2026 - September 2026'!E136</f>
        <v>13929.32</v>
      </c>
    </row>
    <row r="22" ht="24.75" customHeight="1" spans="1:10">
      <c r="A22" s="15" t="str">
        <f>TEXT(Main!B3,"dd mmmm yyyy")&amp;" - "&amp;IF(Main!B2,TEXT(EDATE(Main!B3,1)-1,"dd mmmm yyyy"),TEXT(Main!B3+Main!B5-Main!B3,"dd mmmm yyyy"))&amp;" / "&amp;" (Revenue / Deferred Debts Or Expenses)"</f>
        <v>20 January 2025 - 19 February 2025 /  (Revenue / Deferred Debts Or Expenses)</v>
      </c>
      <c r="B22" s="16"/>
      <c r="C22" s="16"/>
      <c r="D22" s="16"/>
      <c r="E22" s="16"/>
      <c r="F22" s="16"/>
      <c r="G22" s="16"/>
      <c r="I22" s="201" t="str">
        <f>IF(Main!B2,TEXT(EDATE(Main!B3,19),"dd mmmm yyyy"),TEXT(Main!B3+((Main!B5-Main!B3)*19)+19,"dd mmmm yyyy"))&amp;" - "&amp;IF(Main!B2,TEXT(EDATE(Main!B3,20)-1,"dd mmmm yyyy"),TEXT(Main!B3+((Main!B5-Main!B3)*20+19),"dd mmmm yyyy"))</f>
        <v>20 August 2026 - 19 September 2026</v>
      </c>
      <c r="J22" s="200">
        <f ca="1">'July 2026 - September 2026'!E163</f>
        <v>14525.32</v>
      </c>
    </row>
    <row r="23" ht="24.75" customHeight="1" spans="1:10">
      <c r="A23" s="17" t="s">
        <v>29</v>
      </c>
      <c r="B23" s="17" t="s">
        <v>48</v>
      </c>
      <c r="C23" s="17"/>
      <c r="D23" s="18" t="s">
        <v>49</v>
      </c>
      <c r="E23" s="18"/>
      <c r="F23" s="18" t="s">
        <v>50</v>
      </c>
      <c r="G23" s="18"/>
      <c r="I23" s="201" t="str">
        <f>IF(Main!B2,TEXT(EDATE(Main!B3,20),"dd mmmm yyyy"),TEXT(Main!B3+((Main!B5-Main!B3)*20)+20,"dd mmmm yyyy"))&amp;" - "&amp;IF(Main!B2,TEXT(EDATE(Main!B3,21)-1,"dd mmmm yyyy"),TEXT(Main!B3+((Main!B5-Main!B3)*21+20),"dd mmmm yyyy"))</f>
        <v>20 September 2026 - 19 October 2026</v>
      </c>
      <c r="J23" s="200">
        <f ca="1">'July 2026 - September 2026'!E190</f>
        <v>15552.32</v>
      </c>
    </row>
    <row r="24" ht="33" customHeight="1" spans="1:10">
      <c r="A24" s="19"/>
      <c r="B24" s="167"/>
      <c r="C24" s="168"/>
      <c r="D24" s="168"/>
      <c r="E24" s="168"/>
      <c r="F24" s="43">
        <v>0</v>
      </c>
      <c r="G24" s="44"/>
      <c r="I24" s="201" t="str">
        <f>IF(Main!B2,TEXT(EDATE(Main!B3,21),"dd mmmm yyyy"),TEXT(Main!B3+((Main!B5-Main!B3)*21)+21,"dd mmmm yyyy"))&amp;" - "&amp;IF(Main!B2,TEXT(EDATE(Main!B3,22)-1,"dd mmmm yyyy"),TEXT(Main!B3+((Main!B5-Main!B3)*22+21),"dd mmmm yyyy"))</f>
        <v>20 October 2026 - 19 November 2026</v>
      </c>
      <c r="J24" s="200">
        <f ca="1">'October 2026 - December 2026'!E136</f>
        <v>16308.32</v>
      </c>
    </row>
    <row r="25" ht="30" customHeight="1" spans="1:10">
      <c r="A25" s="19"/>
      <c r="B25" s="22"/>
      <c r="C25" s="23"/>
      <c r="D25" s="22"/>
      <c r="E25" s="23"/>
      <c r="F25" s="43">
        <v>0</v>
      </c>
      <c r="G25" s="44"/>
      <c r="I25" s="201" t="str">
        <f>IF(Main!B2,TEXT(EDATE(Main!B3,22),"dd mmmm yyyy"),TEXT(Main!B3+((Main!B5-Main!B3)*22)+22,"dd mmmm yyyy"))&amp;" - "&amp;IF(Main!B2,TEXT(EDATE(Main!B3,23)-1,"dd mmmm yyyy"),TEXT(Main!B3+((Main!B5-Main!B3)*23+22),"dd mmmm yyyy"))</f>
        <v>20 November 2026 - 19 December 2026</v>
      </c>
      <c r="J25" s="200">
        <f ca="1">'October 2026 - December 2026'!E163</f>
        <v>17175.32</v>
      </c>
    </row>
    <row r="26" ht="30" customHeight="1" spans="1:10">
      <c r="A26" s="19"/>
      <c r="B26" s="22"/>
      <c r="C26" s="23"/>
      <c r="D26" s="24"/>
      <c r="E26" s="42"/>
      <c r="F26" s="43">
        <v>0</v>
      </c>
      <c r="G26" s="44"/>
      <c r="I26" s="199" t="str">
        <f>IF(Main!B2,TEXT(EDATE(Main!B3,23),"dd mmmm yyyy"),TEXT(Main!B3+((Main!B5-Main!B3)*23)+23,"dd mmmm yyyy"))&amp;" - "&amp;IF(Main!B2,TEXT(EDATE(Main!B3,24)-1,"dd mmmm yyyy"),TEXT(Main!B3+((Main!B5-Main!B3)*24+23),"dd mmmm yyyy"))</f>
        <v>20 December 2026 - 19 January 2027</v>
      </c>
      <c r="J26" s="200">
        <f ca="1">'October 2026 - December 2026'!E190</f>
        <v>17781.32</v>
      </c>
    </row>
    <row r="27" ht="30" customHeight="1" spans="1:10">
      <c r="A27" s="19"/>
      <c r="B27" s="22"/>
      <c r="C27" s="23"/>
      <c r="D27" s="24"/>
      <c r="E27" s="42"/>
      <c r="F27" s="43">
        <v>0</v>
      </c>
      <c r="G27" s="44"/>
      <c r="I27" s="201" t="str">
        <f>IF(Main!B2,TEXT(EDATE(Main!B3,24),"dd mmmm yyyy"),TEXT(Main!B3+((Main!B5-Main!B3)*24)+24,"dd mmmm yyyy"))&amp;" - "&amp;IF(Main!B2,TEXT(EDATE(Main!B3,25)-1,"dd mmmm yyyy"),TEXT(Main!B3+((Main!B5-Main!B3)*25+24),"dd mmmm yyyy"))</f>
        <v>20 January 2027 - 19 February 2027</v>
      </c>
      <c r="J27" s="200">
        <f ca="1">'January 2027 - March 2027'!E136</f>
        <v>18808.32</v>
      </c>
    </row>
    <row r="28" ht="30" customHeight="1" spans="1:10">
      <c r="A28" s="19"/>
      <c r="B28" s="22"/>
      <c r="C28" s="23"/>
      <c r="D28" s="24"/>
      <c r="E28" s="42"/>
      <c r="F28" s="43">
        <v>0</v>
      </c>
      <c r="G28" s="44"/>
      <c r="I28" s="201" t="str">
        <f>IF(Main!B2,TEXT(EDATE(Main!B3,25),"dd mmmm yyyy"),TEXT(Main!B3+((Main!B5-Main!B3)*25)+25,"dd mmmm yyyy"))&amp;" - "&amp;IF(Main!B2,TEXT(EDATE(Main!B3,26)-1,"dd mmmm yyyy"),TEXT(Main!B3+((Main!B5-Main!B3)*26+25),"dd mmmm yyyy"))</f>
        <v>20 February 2027 - 19 March 2027</v>
      </c>
      <c r="J28" s="200">
        <f ca="1">'January 2027 - March 2027'!E163</f>
        <v>19404.32</v>
      </c>
    </row>
    <row r="29" ht="30" customHeight="1" spans="1:10">
      <c r="A29" s="19"/>
      <c r="B29" s="22"/>
      <c r="C29" s="23"/>
      <c r="D29" s="24"/>
      <c r="E29" s="42"/>
      <c r="F29" s="43">
        <v>0</v>
      </c>
      <c r="G29" s="44"/>
      <c r="I29" s="197" t="str">
        <f>IF(Main!B2,TEXT(EDATE(Main!B3,26),"dd mmmm yyyy"),TEXT(Main!B3+((Main!B5-Main!B3)*26)+26,"dd mmmm yyyy"))&amp;" - "&amp;IF(Main!B2,TEXT(EDATE(Main!B3,27)-1,"dd mmmm yyyy"),TEXT(Main!B3+((Main!B5-Main!B3)*27+26),"dd mmmm yyyy"))</f>
        <v>20 March 2027 - 19 April 2027</v>
      </c>
      <c r="J29" s="196">
        <f ca="1">'January 2027 - March 2027'!E190</f>
        <v>20431.32</v>
      </c>
    </row>
    <row r="30" ht="30" customHeight="1" spans="1:10">
      <c r="A30" s="169"/>
      <c r="B30" s="170"/>
      <c r="C30" s="171"/>
      <c r="D30" s="28" t="s">
        <v>51</v>
      </c>
      <c r="E30" s="45"/>
      <c r="F30" s="46">
        <f>SUM(F24:G29)</f>
        <v>0</v>
      </c>
      <c r="G30" s="47"/>
      <c r="I30" s="201" t="str">
        <f>IF(Main!B2,TEXT(EDATE(Main!B3,27),"dd mmmm yyyy"),TEXT(Main!B3+((Main!B5-Main!B3)*27)+27,"dd mmmm yyyy"))&amp;" - "&amp;IF(Main!B2,TEXT(EDATE(Main!B3,28)-1,"dd mmmm yyyy"),TEXT(Main!B3+((Main!B5-Main!B3)*28+27),"dd mmmm yyyy"))</f>
        <v>20 April 2027 - 19 May 2027</v>
      </c>
      <c r="J30" s="202">
        <f ca="1">'April 2027 - June 2027'!E136</f>
        <v>21458.32</v>
      </c>
    </row>
    <row r="31" ht="30" customHeight="1" spans="9:10">
      <c r="I31" s="201" t="str">
        <f>IF(Main!B2,TEXT(EDATE(Main!B3,28),"dd mmmm yyyy"),TEXT(Main!B3+((Main!B5-Main!B3)*28)+28,"dd mmmm yyyy"))&amp;" - "&amp;IF(Main!B2,TEXT(EDATE(Main!B3,29)-1,"dd mmmm yyyy"),TEXT(Main!B3+((Main!B5-Main!B3)*29+28),"dd mmmm yyyy"))</f>
        <v>20 May 2027 - 19 June 2027</v>
      </c>
      <c r="J31" s="200">
        <f ca="1">'April 2027 - June 2027'!E163</f>
        <v>23137.32</v>
      </c>
    </row>
    <row r="32" ht="27.75" customHeight="1" spans="9:10">
      <c r="I32" s="201" t="str">
        <f>IF(Main!B2,TEXT(EDATE(Main!B3,29),"dd mmmm yyyy"),TEXT(Main!B3+((Main!B5-Main!B3)*29)+29,"dd mmmm yyyy"))&amp;" - "&amp;IF(Main!B2,TEXT(EDATE(Main!B3,30)-1,"dd mmmm yyyy"),TEXT(Main!B3+((Main!B5-Main!B3)*30+29),"dd mmmm yyyy"))</f>
        <v>20 June 2027 - 19 July 2027</v>
      </c>
      <c r="J32" s="200">
        <f ca="1">'April 2027 - June 2027'!E190</f>
        <v>24164.32</v>
      </c>
    </row>
    <row r="33" ht="30" customHeight="1" spans="9:10">
      <c r="I33" s="201" t="str">
        <f>IF(Main!B2,TEXT(EDATE(Main!B3,30),"dd mmmm yyyy"),TEXT(Main!B3+((Main!B5-Main!B3)*30)+30,"dd mmmm yyyy"))&amp;" - "&amp;IF(Main!B2,TEXT(EDATE(Main!B3,31)-1,"dd mmmm yyyy"),TEXT(Main!B3+((Main!B5-Main!B3)*31+30),"dd mmmm yyyy"))</f>
        <v>20 July 2027 - 19 August 2027</v>
      </c>
      <c r="J33" s="200">
        <f ca="1">'July 2027 - September 2027'!E136</f>
        <v>24920.32</v>
      </c>
    </row>
    <row r="34" ht="30" customHeight="1" spans="1:10">
      <c r="A34" s="15" t="str">
        <f>IF(Main!B2,TEXT(EDATE(Main!B3,1),"dd mmmm yyyy"),TEXT(Main!B3+(Main!B5-Main!B3)+1,"dd mmmm yyyy"))&amp;" - "&amp;IF(Main!B2,TEXT(EDATE(Main!B3,2)-1,"dd mmmm yyyy"),TEXT(Main!B3+(Main!B5-Main!B3)*2+1,"dd mmmm yyyy"))&amp;" (Revenue / Deferred Debts Or Expenses)"</f>
        <v>20 February 2025 - 19 March 2025 (Revenue / Deferred Debts Or Expenses)</v>
      </c>
      <c r="B34" s="16"/>
      <c r="C34" s="16"/>
      <c r="D34" s="16"/>
      <c r="E34" s="16"/>
      <c r="F34" s="16"/>
      <c r="G34" s="16"/>
      <c r="I34" s="201" t="str">
        <f>IF(Main!B2,TEXT(EDATE(Main!B3,31),"dd mmmm yyyy"),TEXT(Main!B3+((Main!B5-Main!B3)*31)+31,"dd mmmm yyyy"))&amp;" - "&amp;IF(Main!B2,TEXT(EDATE(Main!B3,32)-1,"dd mmmm yyyy"),TEXT(Main!B3+((Main!B5-Main!B3)*32+31),"dd mmmm yyyy"))</f>
        <v>20 August 2027 - 19 September 2027</v>
      </c>
      <c r="J34" s="200">
        <f ca="1">'July 2027 - September 2027'!E163</f>
        <v>25787.32</v>
      </c>
    </row>
    <row r="35" ht="24.75" customHeight="1" spans="1:10">
      <c r="A35" s="17" t="s">
        <v>29</v>
      </c>
      <c r="B35" s="17" t="s">
        <v>48</v>
      </c>
      <c r="C35" s="17"/>
      <c r="D35" s="18" t="s">
        <v>49</v>
      </c>
      <c r="E35" s="18"/>
      <c r="F35" s="18" t="s">
        <v>50</v>
      </c>
      <c r="G35" s="18"/>
      <c r="I35" s="201" t="str">
        <f>IF(Main!B2,TEXT(EDATE(Main!B3,32),"dd mmmm yyyy"),TEXT(Main!B3+((Main!B5-Main!B3)*32)+32,"dd mmmm yyyy"))&amp;" - "&amp;IF(Main!B2,TEXT(EDATE(Main!B3,33)-1,"dd mmmm yyyy"),TEXT(Main!B3+((Main!B5-Main!B3)*33+32),"dd mmmm yyyy"))</f>
        <v>20 September 2027 - 19 October 2027</v>
      </c>
      <c r="J35" s="200">
        <f ca="1">'July 2027 - September 2027'!E190</f>
        <v>26393.32</v>
      </c>
    </row>
    <row r="36" ht="22" customHeight="1" spans="1:10">
      <c r="A36" s="19"/>
      <c r="B36" s="22" t="s">
        <v>52</v>
      </c>
      <c r="C36" s="23"/>
      <c r="D36" s="74" t="s">
        <v>53</v>
      </c>
      <c r="E36" s="74"/>
      <c r="F36" s="43">
        <v>400</v>
      </c>
      <c r="G36" s="44"/>
      <c r="I36" s="201" t="str">
        <f>IF(Main!B2,TEXT(EDATE(Main!B3,33),"dd mmmm yyyy"),TEXT(Main!B3+((Main!B5-Main!B3)*33)+33,"dd mmmm yyyy"))&amp;" - "&amp;IF(Main!B2,TEXT(EDATE(Main!B3,34)-1,"dd mmmm yyyy"),TEXT(Main!B3+((Main!B5-Main!B3)*34+33),"dd mmmm yyyy"))</f>
        <v>20 October 2027 - 19 November 2027</v>
      </c>
      <c r="J36" s="200">
        <f ca="1">'October 2027 - December 2027'!E136</f>
        <v>27420.32</v>
      </c>
    </row>
    <row r="37" ht="24.75" customHeight="1" spans="1:10">
      <c r="A37" s="19"/>
      <c r="B37" s="22"/>
      <c r="C37" s="23"/>
      <c r="D37" s="74"/>
      <c r="E37" s="74"/>
      <c r="F37" s="43">
        <v>0</v>
      </c>
      <c r="G37" s="44"/>
      <c r="I37" s="201" t="str">
        <f>IF(Main!B2,TEXT(EDATE(Main!B3,34),"dd mmmm yyyy"),TEXT(Main!B3+((Main!B5-Main!B3)*34)+34,"dd mmmm yyyy"))&amp;" - "&amp;IF(Main!B2,TEXT(EDATE(Main!B3,35)-1,"dd mmmm yyyy"),TEXT(Main!B3+((Main!B5-Main!B3)*35+34),"dd mmmm yyyy"))</f>
        <v>20 November 2027 - 19 December 2027</v>
      </c>
      <c r="J37" s="200">
        <f ca="1">'October 2027 - December 2027'!E163</f>
        <v>28016.32</v>
      </c>
    </row>
    <row r="38" ht="20.25" customHeight="1" spans="1:10">
      <c r="A38" s="19"/>
      <c r="B38" s="172"/>
      <c r="C38" s="23"/>
      <c r="D38" s="22"/>
      <c r="E38" s="23"/>
      <c r="F38" s="43">
        <v>0</v>
      </c>
      <c r="G38" s="44"/>
      <c r="I38" s="201" t="str">
        <f>IF(Main!B2,TEXT(EDATE(Main!B3,35),"dd mmmm yyyy"),TEXT(Main!B3+((Main!B5-Main!B3)*35)+35,"dd mmmm yyyy"))&amp;" - "&amp;IF(Main!B2,TEXT(EDATE(Main!B3,36)-1,"dd mmmm yyyy"),TEXT(Main!B3+((Main!B5-Main!B3)*36+35),"dd mmmm yyyy"))</f>
        <v>20 December 2027 - 19 January 2028</v>
      </c>
      <c r="J38" s="200">
        <f ca="1">'October 2027 - December 2027'!E190</f>
        <v>29043.32</v>
      </c>
    </row>
    <row r="39" ht="24.75" customHeight="1" spans="1:10">
      <c r="A39" s="19"/>
      <c r="B39" s="22"/>
      <c r="C39" s="23"/>
      <c r="D39" s="24"/>
      <c r="E39" s="42"/>
      <c r="F39" s="43">
        <v>0</v>
      </c>
      <c r="G39" s="44"/>
      <c r="I39" s="201" t="str">
        <f>IF(Main!B2,TEXT(EDATE(Main!B3,36),"dd mmmm yyyy"),TEXT(Main!B3+((Main!B5-Main!B3)*36)+36,"dd mmmm yyyy"))&amp;" - "&amp;IF(Main!B2,TEXT(EDATE(Main!B3,37)-1,"dd mmmm yyyy"),TEXT(Main!B3+((Main!B5-Main!B3)*37+36),"dd mmmm yyyy"))</f>
        <v>20 January 2028 - 19 February 2028</v>
      </c>
      <c r="J39" s="200">
        <f ca="1">'January 2028 - March 2028'!E136</f>
        <v>29849.32</v>
      </c>
    </row>
    <row r="40" ht="24.75" customHeight="1" spans="1:10">
      <c r="A40" s="19"/>
      <c r="B40" s="22"/>
      <c r="C40" s="23"/>
      <c r="D40" s="24"/>
      <c r="E40" s="42"/>
      <c r="F40" s="43">
        <v>0</v>
      </c>
      <c r="G40" s="44"/>
      <c r="I40" s="201" t="str">
        <f>IF(Main!B2,TEXT(EDATE(Main!B3,37),"dd mmmm yyyy"),TEXT(Main!B3+((Main!B5-Main!B3)*37)+37,"dd mmmm yyyy"))&amp;" - "&amp;IF(Main!B2,TEXT(EDATE(Main!B3,38)-1,"dd mmmm yyyy"),TEXT(Main!B3+((Main!B5-Main!B3)*38+37),"dd mmmm yyyy"))</f>
        <v>20 February 2028 - 19 March 2028</v>
      </c>
      <c r="J40" s="200">
        <f ca="1">'January 2028 - March 2028'!E163</f>
        <v>30716.32</v>
      </c>
    </row>
    <row r="41" ht="24.75" customHeight="1" spans="1:10">
      <c r="A41" s="19"/>
      <c r="B41" s="22"/>
      <c r="C41" s="23"/>
      <c r="D41" s="24"/>
      <c r="E41" s="42"/>
      <c r="F41" s="43">
        <v>0</v>
      </c>
      <c r="G41" s="44"/>
      <c r="I41" s="197" t="str">
        <f>IF(Main!B2,TEXT(EDATE(Main!B3,38),"dd mmmm yyyy"),TEXT(Main!B3+((Main!B5-Main!B3)*38)+38,"dd mmmm yyyy"))&amp;" - "&amp;IF(Main!B2,TEXT(EDATE(Main!B3,39)-1,"dd mmmm yyyy"),TEXT(Main!B3+((Main!B5-Main!B3)*39+38),"dd mmmm yyyy"))</f>
        <v>20 March 2028 - 19 April 2028</v>
      </c>
      <c r="J41" s="200">
        <f ca="1">'January 2028 - March 2028'!E190</f>
        <v>31362.32</v>
      </c>
    </row>
    <row r="42" ht="24.75" customHeight="1" spans="1:10">
      <c r="A42" s="169"/>
      <c r="B42" s="170"/>
      <c r="C42" s="171"/>
      <c r="D42" s="28" t="s">
        <v>51</v>
      </c>
      <c r="E42" s="45"/>
      <c r="F42" s="46">
        <f>SUM(F36:G41)</f>
        <v>400</v>
      </c>
      <c r="G42" s="47"/>
      <c r="I42" s="197" t="str">
        <f>IF(Main!B2,TEXT(EDATE(Main!B3,39),"dd mmmm yyyy"),TEXT(Main!B3+((Main!B5-Main!B3)*39)+39,"dd mmmm yyyy"))&amp;" - "&amp;IF(Main!B2,TEXT(EDATE(Main!B3,40)-1,"dd mmmm yyyy"),TEXT(Main!B3+((Main!B5-Main!B3)*40+39),"dd mmmm yyyy"))</f>
        <v>20 April 2028 - 19 May 2028</v>
      </c>
      <c r="J42" s="200">
        <f ca="1">'April 2028 - June 2028'!E136</f>
        <v>32389.32</v>
      </c>
    </row>
    <row r="43" ht="24.75" customHeight="1" spans="9:10">
      <c r="I43" s="197" t="str">
        <f>IF(Main!B2,TEXT(EDATE(Main!B3,40),"dd mmmm yyyy"),TEXT(Main!B3+((Main!B5-Main!B3)*40)+40,"dd mmmm yyyy"))&amp;" - "&amp;IF(Main!B2,TEXT(EDATE(Main!B3,41)-1,"dd mmmm yyyy"),TEXT(Main!B3+((Main!B5-Main!B3)*41+40),"dd mmmm yyyy"))</f>
        <v>20 May 2028 - 19 June 2028</v>
      </c>
      <c r="J43" s="200">
        <f ca="1">'April 2028 - June 2028'!E163</f>
        <v>34068.32</v>
      </c>
    </row>
    <row r="44" ht="24.75" customHeight="1" spans="9:10">
      <c r="I44" s="197" t="str">
        <f>IF(Main!B2,TEXT(EDATE(Main!B3,41),"dd mmmm yyyy"),TEXT(Main!B3+((Main!B5-Main!B3)*41)+41,"dd mmmm yyyy"))&amp;" - "&amp;IF(Main!B2,TEXT(EDATE(Main!B3,42)-1,"dd mmmm yyyy"),TEXT(Main!B3+((Main!B5-Main!B3)*42+41),"dd mmmm yyyy"))</f>
        <v>20 June 2028 - 19 July 2028</v>
      </c>
      <c r="J44" s="200">
        <f ca="1">'April 2028 - June 2028'!E190</f>
        <v>35095.32</v>
      </c>
    </row>
    <row r="45" ht="24.75" customHeight="1" spans="9:10">
      <c r="I45" s="197" t="str">
        <f>IF(Main!B2,TEXT(EDATE(Main!B3,42),"dd mmmm yyyy"),TEXT(Main!B3+((Main!B5-Main!B3)*42)+42,"dd mmmm yyyy"))&amp;" - "&amp;IF(Main!B2,TEXT(EDATE(Main!B3,43)-1,"dd mmmm yyyy"),TEXT(Main!B3+((Main!B5-Main!B3)*43+42),"dd mmmm yyyy"))</f>
        <v>20 July 2028 - 19 August 2028</v>
      </c>
      <c r="J45" s="200">
        <f ca="1">'July 2028 - September 2028'!E136</f>
        <v>35901.32</v>
      </c>
    </row>
    <row r="46" ht="24.75" customHeight="1" spans="1:10">
      <c r="A46" s="15" t="str">
        <f>IF(Main!B2,TEXT(EDATE(Main!B3,2),"dd mmmm yyyy"),TEXT(Main!B3+((Main!B5-Main!B3)*2)+2,"dd mmmm yyyy"))&amp;" - "&amp;IF(Main!B2,TEXT(EDATE(Main!B3,3)-1,"dd mmmm yyyy"),TEXT(Main!B3+((Main!B5-Main!B3)*3+2),"dd mmmm yyyy"))&amp;" (Revenue / Deferred Debts Or Expenses)"</f>
        <v>20 March 2025 - 19 April 2025 (Revenue / Deferred Debts Or Expenses)</v>
      </c>
      <c r="B46" s="16"/>
      <c r="C46" s="16"/>
      <c r="D46" s="16"/>
      <c r="E46" s="16"/>
      <c r="F46" s="16"/>
      <c r="G46" s="16"/>
      <c r="I46" s="197" t="str">
        <f>IF(Main!B2,TEXT(EDATE(Main!B3,43),"dd mmmm yyyy"),TEXT(Main!B3+((Main!B5-Main!B3)*43)+43,"dd mmmm yyyy"))&amp;" - "&amp;IF(Main!B2,TEXT(EDATE(Main!B3,44)-1,"dd mmmm yyyy"),TEXT(Main!B3+((Main!B5-Main!B3)*44+43),"dd mmmm yyyy"))</f>
        <v>20 August 2028 - 19 September 2028</v>
      </c>
      <c r="J46" s="200">
        <f ca="1">'July 2028 - September 2028'!E163</f>
        <v>36768.32</v>
      </c>
    </row>
    <row r="47" ht="24.75" customHeight="1" spans="1:10">
      <c r="A47" s="17" t="s">
        <v>29</v>
      </c>
      <c r="B47" s="17" t="s">
        <v>48</v>
      </c>
      <c r="C47" s="17"/>
      <c r="D47" s="18" t="s">
        <v>49</v>
      </c>
      <c r="E47" s="18"/>
      <c r="F47" s="18" t="s">
        <v>50</v>
      </c>
      <c r="G47" s="18"/>
      <c r="I47" s="197" t="str">
        <f>IF(Main!B2,TEXT(EDATE(Main!B3,44),"dd mmmm yyyy"),TEXT(Main!B3+((Main!B5-Main!B3)*44)+44,"dd mmmm yyyy"))&amp;" - "&amp;IF(Main!B2,TEXT(EDATE(Main!B3,45)-1,"dd mmmm yyyy"),TEXT(Main!B3+((Main!B5-Main!B3)*45+44),"dd mmmm yyyy"))</f>
        <v>20 September 2028 - 19 October 2028</v>
      </c>
      <c r="J47" s="200">
        <f ca="1">'July 2028 - September 2028'!E190</f>
        <v>37524.32</v>
      </c>
    </row>
    <row r="48" ht="24.75" customHeight="1" spans="1:10">
      <c r="A48" s="101"/>
      <c r="B48" s="22" t="s">
        <v>52</v>
      </c>
      <c r="C48" s="23"/>
      <c r="D48" s="74" t="s">
        <v>53</v>
      </c>
      <c r="E48" s="74"/>
      <c r="F48" s="191">
        <v>400</v>
      </c>
      <c r="G48" s="44"/>
      <c r="I48" s="197" t="str">
        <f>IF(Main!B2,TEXT(EDATE(Main!B3,45),"dd mmmm yyyy"),TEXT(Main!B3+((Main!B5-Main!B3)*45)+45,"dd mmmm yyyy"))&amp;" - "&amp;IF(Main!B2,TEXT(EDATE(Main!B3,46)-1,"dd mmmm yyyy"),TEXT(Main!B3+((Main!B5-Main!B3)*46+45),"dd mmmm yyyy"))</f>
        <v>20 October 2028 - 19 November 2028</v>
      </c>
      <c r="J48" s="200">
        <f ca="1">'October 2028 - December 2028'!E136</f>
        <v>38551.32</v>
      </c>
    </row>
    <row r="49" ht="24.75" customHeight="1" spans="1:10">
      <c r="A49" s="101"/>
      <c r="B49" s="20"/>
      <c r="C49" s="20"/>
      <c r="D49" s="21"/>
      <c r="E49" s="21"/>
      <c r="F49" s="191">
        <v>0</v>
      </c>
      <c r="G49" s="44"/>
      <c r="I49" s="197" t="str">
        <f>IF(Main!B2,TEXT(EDATE(Main!B3,46),"dd mmmm yyyy"),TEXT(Main!B3+((Main!B5-Main!B3)*46)+46,"dd mmmm yyyy"))&amp;" - "&amp;IF(Main!B2,TEXT(EDATE(Main!B3,47)-1,"dd mmmm yyyy"),TEXT(Main!B3+((Main!B5-Main!B3)*47+46),"dd mmmm yyyy"))</f>
        <v>20 November 2028 - 19 December 2028</v>
      </c>
      <c r="J49" s="200">
        <f ca="1">'October 2028 - December 2028'!E163</f>
        <v>39147.32</v>
      </c>
    </row>
    <row r="50" ht="24.75" customHeight="1" spans="1:10">
      <c r="A50" s="101"/>
      <c r="B50" s="20"/>
      <c r="C50" s="20"/>
      <c r="D50" s="20"/>
      <c r="E50" s="20"/>
      <c r="F50" s="191">
        <v>0</v>
      </c>
      <c r="G50" s="44"/>
      <c r="I50" s="197" t="str">
        <f>IF(Main!B2,TEXT(EDATE(Main!B3,47),"dd mmmm yyyy"),TEXT(Main!B3+((Main!B5-Main!B3)*47)+47,"dd mmmm yyyy"))&amp;" - "&amp;IF(Main!B2,TEXT(EDATE(Main!B3,48)-1,"dd mmmm yyyy"),TEXT(Main!B3+((Main!B5-Main!B3)*48+47),"dd mmmm yyyy"))</f>
        <v>20 December 2028 - 19 January 2029</v>
      </c>
      <c r="J50" s="196">
        <f ca="1">'October 2028 - December 2028'!E190</f>
        <v>40174.32</v>
      </c>
    </row>
    <row r="51" ht="41.1" customHeight="1" spans="1:7">
      <c r="A51" s="173"/>
      <c r="B51" s="174"/>
      <c r="C51" s="174"/>
      <c r="D51" s="21"/>
      <c r="E51" s="21"/>
      <c r="F51" s="191">
        <v>0</v>
      </c>
      <c r="G51" s="44"/>
    </row>
    <row r="52" ht="24.75" customHeight="1" spans="1:7">
      <c r="A52" s="175"/>
      <c r="B52" s="20"/>
      <c r="C52" s="20"/>
      <c r="D52" s="20"/>
      <c r="E52" s="20"/>
      <c r="F52" s="191">
        <v>0</v>
      </c>
      <c r="G52" s="44"/>
    </row>
    <row r="53" ht="24.75" customHeight="1" spans="1:7">
      <c r="A53" s="19"/>
      <c r="B53" s="22"/>
      <c r="C53" s="23"/>
      <c r="D53" s="24"/>
      <c r="E53" s="42"/>
      <c r="F53" s="43">
        <v>0</v>
      </c>
      <c r="G53" s="44"/>
    </row>
    <row r="54" ht="24.75" customHeight="1" spans="1:7">
      <c r="A54" s="169"/>
      <c r="B54" s="170"/>
      <c r="C54" s="171"/>
      <c r="D54" s="28" t="s">
        <v>51</v>
      </c>
      <c r="E54" s="45"/>
      <c r="F54" s="46">
        <f>SUM(F48:G53)</f>
        <v>400</v>
      </c>
      <c r="G54" s="47"/>
    </row>
    <row r="55" ht="24.75" customHeight="1"/>
    <row r="58" ht="20.4" spans="1:3">
      <c r="A58" s="176" t="str">
        <f>"Fixed Expense For the Year "&amp;TEXT(Main!B3,"mmmm yyyy")&amp;" - "&amp;IF(Main!B2,TEXT(EDATE(Main!B3,3)-1,"mmmm yyyy"),TEXT(Main!B3+((Main!B5-Main!B3)*3+2),"mmmm yyyy"))</f>
        <v>Fixed Expense For the Year January 2025 - April 2025</v>
      </c>
      <c r="B58" s="177"/>
      <c r="C58" s="178"/>
    </row>
    <row r="59" ht="21" spans="1:3">
      <c r="A59" s="179" t="s">
        <v>48</v>
      </c>
      <c r="B59" s="179" t="s">
        <v>49</v>
      </c>
      <c r="C59" s="180" t="s">
        <v>50</v>
      </c>
    </row>
    <row r="60" spans="1:3">
      <c r="A60" s="181" t="s">
        <v>54</v>
      </c>
      <c r="B60" s="182"/>
      <c r="C60" s="183"/>
    </row>
    <row r="61" spans="1:3">
      <c r="A61" s="51" t="s">
        <v>55</v>
      </c>
      <c r="B61" s="184"/>
      <c r="C61" s="37">
        <v>78</v>
      </c>
    </row>
    <row r="62" spans="1:3">
      <c r="A62" s="51" t="s">
        <v>56</v>
      </c>
      <c r="B62" s="184"/>
      <c r="C62" s="37">
        <v>149</v>
      </c>
    </row>
    <row r="63" ht="21" customHeight="1" spans="1:3">
      <c r="A63" s="185" t="s">
        <v>57</v>
      </c>
      <c r="B63" s="184"/>
      <c r="C63" s="37">
        <v>0</v>
      </c>
    </row>
    <row r="64" spans="1:3">
      <c r="A64" s="51" t="s">
        <v>58</v>
      </c>
      <c r="B64" s="186"/>
      <c r="C64" s="37">
        <v>0</v>
      </c>
    </row>
    <row r="65" ht="22" customHeight="1" spans="1:3">
      <c r="A65" s="51" t="s">
        <v>59</v>
      </c>
      <c r="B65" s="184"/>
      <c r="C65" s="37">
        <v>50</v>
      </c>
    </row>
    <row r="66" ht="13" customHeight="1" spans="1:3">
      <c r="A66" s="51"/>
      <c r="B66" s="184"/>
      <c r="C66" s="37">
        <v>0</v>
      </c>
    </row>
    <row r="67" spans="1:3">
      <c r="A67" s="51"/>
      <c r="B67" s="184"/>
      <c r="C67" s="37">
        <v>0</v>
      </c>
    </row>
    <row r="68" spans="1:3">
      <c r="A68" s="51"/>
      <c r="B68" s="184"/>
      <c r="C68" s="37">
        <v>0</v>
      </c>
    </row>
    <row r="69" spans="1:3">
      <c r="A69" s="39"/>
      <c r="B69" s="40" t="s">
        <v>60</v>
      </c>
      <c r="C69" s="37">
        <f>SUM(C61:C68)</f>
        <v>277</v>
      </c>
    </row>
    <row r="70" spans="1:3">
      <c r="A70" s="181" t="s">
        <v>61</v>
      </c>
      <c r="B70" s="182"/>
      <c r="C70" s="183"/>
    </row>
    <row r="71" spans="1:3">
      <c r="A71" s="51"/>
      <c r="B71" s="184"/>
      <c r="C71" s="37">
        <v>0</v>
      </c>
    </row>
    <row r="72" spans="1:3">
      <c r="A72" s="51"/>
      <c r="B72" s="184"/>
      <c r="C72" s="37">
        <v>0</v>
      </c>
    </row>
    <row r="73" spans="1:3">
      <c r="A73" s="51"/>
      <c r="B73" s="184"/>
      <c r="C73" s="37">
        <v>0</v>
      </c>
    </row>
    <row r="74" spans="1:3">
      <c r="A74" s="51"/>
      <c r="B74" s="184"/>
      <c r="C74" s="37">
        <v>0</v>
      </c>
    </row>
    <row r="75" spans="1:3">
      <c r="A75" s="51"/>
      <c r="B75" s="184"/>
      <c r="C75" s="37">
        <v>0</v>
      </c>
    </row>
    <row r="76" spans="1:3">
      <c r="A76" s="51"/>
      <c r="B76" s="184"/>
      <c r="C76" s="37">
        <v>0</v>
      </c>
    </row>
    <row r="77" spans="1:3">
      <c r="A77" s="51"/>
      <c r="B77" s="184"/>
      <c r="C77" s="37">
        <v>0</v>
      </c>
    </row>
    <row r="78" spans="1:3">
      <c r="A78" s="51"/>
      <c r="B78" s="184"/>
      <c r="C78" s="37">
        <v>0</v>
      </c>
    </row>
    <row r="79" spans="1:3">
      <c r="A79" s="51"/>
      <c r="B79" s="184"/>
      <c r="C79" s="37">
        <v>0</v>
      </c>
    </row>
    <row r="80" spans="1:3">
      <c r="A80" s="207"/>
      <c r="B80" s="208" t="s">
        <v>60</v>
      </c>
      <c r="C80" s="37">
        <f>SUM(C71:C79)</f>
        <v>0</v>
      </c>
    </row>
    <row r="81" spans="1:3">
      <c r="A81" s="181" t="s">
        <v>62</v>
      </c>
      <c r="B81" s="182"/>
      <c r="C81" s="183"/>
    </row>
    <row r="82" spans="1:3">
      <c r="A82" s="51" t="s">
        <v>63</v>
      </c>
      <c r="B82" s="186" t="s">
        <v>64</v>
      </c>
      <c r="C82" s="37">
        <v>0</v>
      </c>
    </row>
    <row r="83" spans="1:3">
      <c r="A83" s="209" t="s">
        <v>65</v>
      </c>
      <c r="B83" s="184" t="s">
        <v>66</v>
      </c>
      <c r="C83" s="37">
        <v>0</v>
      </c>
    </row>
    <row r="84" spans="1:3">
      <c r="A84" s="52"/>
      <c r="B84" s="184"/>
      <c r="C84" s="37">
        <v>0</v>
      </c>
    </row>
    <row r="85" spans="1:3">
      <c r="A85" s="51"/>
      <c r="B85" s="184"/>
      <c r="C85" s="37">
        <v>0</v>
      </c>
    </row>
    <row r="86" spans="1:3">
      <c r="A86" s="51"/>
      <c r="B86" s="184"/>
      <c r="C86" s="37">
        <v>0</v>
      </c>
    </row>
    <row r="87" spans="1:3">
      <c r="A87" s="51"/>
      <c r="B87" s="184"/>
      <c r="C87" s="37">
        <v>0</v>
      </c>
    </row>
    <row r="88" spans="1:3">
      <c r="A88" s="51"/>
      <c r="B88" s="184"/>
      <c r="C88" s="37">
        <v>0</v>
      </c>
    </row>
    <row r="89" spans="1:3">
      <c r="A89" s="207"/>
      <c r="B89" s="208" t="s">
        <v>60</v>
      </c>
      <c r="C89" s="37">
        <f>SUM(C82:C88)</f>
        <v>0</v>
      </c>
    </row>
    <row r="90" spans="1:3">
      <c r="A90" s="181" t="s">
        <v>67</v>
      </c>
      <c r="B90" s="182"/>
      <c r="C90" s="183"/>
    </row>
    <row r="91" spans="1:3">
      <c r="A91" s="210" t="s">
        <v>68</v>
      </c>
      <c r="B91" s="211"/>
      <c r="C91" s="37">
        <v>0</v>
      </c>
    </row>
    <row r="92" spans="1:3">
      <c r="A92" s="52"/>
      <c r="B92" s="184"/>
      <c r="C92" s="37">
        <v>0</v>
      </c>
    </row>
    <row r="93" ht="20.25" customHeight="1" spans="1:3">
      <c r="A93" s="52"/>
      <c r="B93" s="184"/>
      <c r="C93" s="37">
        <v>0</v>
      </c>
    </row>
    <row r="94" ht="15.75" customHeight="1" spans="1:3">
      <c r="A94" s="51"/>
      <c r="B94" s="184"/>
      <c r="C94" s="37">
        <v>0</v>
      </c>
    </row>
    <row r="95" spans="1:3">
      <c r="A95" s="51"/>
      <c r="B95" s="184"/>
      <c r="C95" s="37">
        <v>0</v>
      </c>
    </row>
    <row r="96" spans="1:3">
      <c r="A96" s="51"/>
      <c r="B96" s="184"/>
      <c r="C96" s="37">
        <v>0</v>
      </c>
    </row>
    <row r="97" spans="1:3">
      <c r="A97" s="51"/>
      <c r="B97" s="184"/>
      <c r="C97" s="37">
        <v>0</v>
      </c>
    </row>
    <row r="98" spans="1:3">
      <c r="A98" s="51"/>
      <c r="B98" s="184"/>
      <c r="C98" s="37">
        <v>0</v>
      </c>
    </row>
    <row r="99" spans="1:3">
      <c r="A99" s="50"/>
      <c r="B99" s="40" t="s">
        <v>60</v>
      </c>
      <c r="C99" s="37">
        <f>SUM(C91:C98)</f>
        <v>0</v>
      </c>
    </row>
    <row r="100" spans="1:3">
      <c r="A100" s="181" t="s">
        <v>69</v>
      </c>
      <c r="B100" s="182"/>
      <c r="C100" s="183"/>
    </row>
    <row r="101" spans="1:3">
      <c r="A101" s="51" t="s">
        <v>70</v>
      </c>
      <c r="B101" s="212" t="s">
        <v>71</v>
      </c>
      <c r="C101" s="87">
        <v>0</v>
      </c>
    </row>
    <row r="102" ht="66" customHeight="1" spans="1:3">
      <c r="A102" s="52" t="s">
        <v>72</v>
      </c>
      <c r="B102" s="73" t="s">
        <v>73</v>
      </c>
      <c r="C102" s="87">
        <v>68</v>
      </c>
    </row>
    <row r="103" spans="1:3">
      <c r="A103" s="51" t="s">
        <v>74</v>
      </c>
      <c r="B103" s="73"/>
      <c r="C103" s="87">
        <v>55</v>
      </c>
    </row>
    <row r="104" spans="1:3">
      <c r="A104" s="51" t="s">
        <v>75</v>
      </c>
      <c r="B104" s="73"/>
      <c r="C104" s="87">
        <v>0</v>
      </c>
    </row>
    <row r="105" ht="45" customHeight="1" spans="1:3">
      <c r="A105" s="51" t="s">
        <v>76</v>
      </c>
      <c r="B105" s="184" t="s">
        <v>77</v>
      </c>
      <c r="C105" s="213">
        <v>0</v>
      </c>
    </row>
    <row r="106" spans="1:3">
      <c r="A106" s="51"/>
      <c r="B106" s="184"/>
      <c r="C106" s="213">
        <v>0</v>
      </c>
    </row>
    <row r="107" spans="1:3">
      <c r="A107" s="51"/>
      <c r="B107" s="184"/>
      <c r="C107" s="213">
        <v>0</v>
      </c>
    </row>
    <row r="108" spans="1:3">
      <c r="A108" s="51"/>
      <c r="B108" s="184"/>
      <c r="C108" s="213">
        <v>0</v>
      </c>
    </row>
    <row r="109" spans="1:3">
      <c r="A109" s="52"/>
      <c r="B109" s="40" t="s">
        <v>60</v>
      </c>
      <c r="C109" s="213">
        <f>SUM(C101:C108)</f>
        <v>123</v>
      </c>
    </row>
    <row r="110" spans="1:3">
      <c r="A110" s="50"/>
      <c r="B110" s="40" t="s">
        <v>78</v>
      </c>
      <c r="C110" s="213">
        <f>C69+C80+C89+C99+C109</f>
        <v>400</v>
      </c>
    </row>
    <row r="111" spans="1:3">
      <c r="A111" s="181" t="s">
        <v>79</v>
      </c>
      <c r="B111" s="182"/>
      <c r="C111" s="183"/>
    </row>
    <row r="112" spans="1:8">
      <c r="A112" s="214" t="s">
        <v>80</v>
      </c>
      <c r="B112" s="215"/>
      <c r="C112" s="216">
        <v>6540</v>
      </c>
      <c r="D112" s="14"/>
      <c r="E112" s="96"/>
      <c r="F112" s="14"/>
      <c r="G112" s="14"/>
      <c r="H112" s="14"/>
    </row>
    <row r="113" spans="1:8">
      <c r="A113" s="214" t="s">
        <v>81</v>
      </c>
      <c r="B113" s="184"/>
      <c r="C113" s="217">
        <v>0</v>
      </c>
      <c r="D113" s="14"/>
      <c r="E113" s="14"/>
      <c r="F113" s="14"/>
      <c r="G113" s="14"/>
      <c r="H113" s="14"/>
    </row>
    <row r="114" spans="1:8">
      <c r="A114" s="214" t="s">
        <v>82</v>
      </c>
      <c r="B114" s="184"/>
      <c r="C114" s="218">
        <v>0</v>
      </c>
      <c r="D114" s="14"/>
      <c r="E114" s="14"/>
      <c r="F114" s="14"/>
      <c r="G114" s="14"/>
      <c r="H114" s="14"/>
    </row>
    <row r="115" ht="39.75" customHeight="1" spans="1:8">
      <c r="A115" s="219" t="s">
        <v>83</v>
      </c>
      <c r="B115" s="184"/>
      <c r="C115" s="218">
        <v>0</v>
      </c>
      <c r="D115" s="14"/>
      <c r="E115" s="14"/>
      <c r="F115" s="14"/>
      <c r="G115" s="14"/>
      <c r="H115" s="14"/>
    </row>
    <row r="116" ht="34" spans="1:8">
      <c r="A116" s="219" t="s">
        <v>84</v>
      </c>
      <c r="B116" s="184"/>
      <c r="C116" s="220">
        <v>326149.51</v>
      </c>
      <c r="D116" s="14"/>
      <c r="E116" s="14"/>
      <c r="F116" s="14"/>
      <c r="G116" s="14"/>
      <c r="H116" s="14"/>
    </row>
    <row r="117" spans="1:8">
      <c r="A117" s="51" t="s">
        <v>85</v>
      </c>
      <c r="B117" s="184"/>
      <c r="C117" s="37">
        <v>1083</v>
      </c>
      <c r="D117" s="14"/>
      <c r="E117" s="14"/>
      <c r="F117" s="14"/>
      <c r="G117" s="14"/>
      <c r="H117" s="14"/>
    </row>
    <row r="118" ht="34" spans="1:8">
      <c r="A118" s="51" t="s">
        <v>86</v>
      </c>
      <c r="B118" s="184"/>
      <c r="C118" s="37">
        <v>964.91</v>
      </c>
      <c r="D118" s="14"/>
      <c r="E118" s="14"/>
      <c r="F118" s="14"/>
      <c r="G118" s="14"/>
      <c r="H118" s="14"/>
    </row>
    <row r="119" spans="1:8">
      <c r="A119" s="51"/>
      <c r="B119" s="184"/>
      <c r="C119" s="37">
        <v>0</v>
      </c>
      <c r="D119" s="14"/>
      <c r="E119" s="14"/>
      <c r="F119" s="14"/>
      <c r="G119" s="14"/>
      <c r="H119" s="14"/>
    </row>
    <row r="120" spans="1:8">
      <c r="A120" s="51"/>
      <c r="B120" s="184"/>
      <c r="C120" s="37">
        <v>0</v>
      </c>
      <c r="D120" s="14"/>
      <c r="E120" s="14"/>
      <c r="F120" s="14"/>
      <c r="G120" s="14"/>
      <c r="H120" s="14"/>
    </row>
    <row r="121" spans="1:8">
      <c r="A121" s="51"/>
      <c r="B121" s="184"/>
      <c r="C121" s="37">
        <v>0</v>
      </c>
      <c r="D121" s="14"/>
      <c r="E121" s="14"/>
      <c r="F121" s="14"/>
      <c r="G121" s="14"/>
      <c r="H121" s="14"/>
    </row>
    <row r="122" spans="1:3">
      <c r="A122" s="207"/>
      <c r="B122" s="208" t="s">
        <v>87</v>
      </c>
      <c r="C122" s="213">
        <f>SUM(C112:C121)</f>
        <v>334737.42</v>
      </c>
    </row>
    <row r="123" spans="1:3">
      <c r="A123" s="207"/>
      <c r="B123" s="208" t="s">
        <v>88</v>
      </c>
      <c r="C123" s="37">
        <f>C122+C110</f>
        <v>335137.42</v>
      </c>
    </row>
    <row r="124" spans="5:5">
      <c r="E124" s="221"/>
    </row>
    <row r="125" spans="5:5">
      <c r="E125" s="221"/>
    </row>
    <row r="127" ht="45" customHeight="1"/>
    <row r="128" ht="45" customHeight="1" spans="1:5">
      <c r="A128" s="53" t="str">
        <f>"Debts Or Credits For the Comming "&amp;TEXT(Main!B3,"mmmm dd yyyy")&amp;" to "&amp;IF(Main!B2,TEXT(EDATE(Main!B3,1)-1,"mmmm dd yyyy"),TEXT(Main!B3+Main!B5-Main!B3,"dd mmmm yyyy"))</f>
        <v>Debts Or Credits For the Comming January 20 2025 to February 19 2025</v>
      </c>
      <c r="B128" s="54"/>
      <c r="C128" s="54"/>
      <c r="D128" s="54"/>
      <c r="E128" s="55"/>
    </row>
    <row r="129" ht="45" customHeight="1" spans="1:5">
      <c r="A129" s="53" t="s">
        <v>89</v>
      </c>
      <c r="B129" s="55"/>
      <c r="C129" s="53" t="s">
        <v>49</v>
      </c>
      <c r="D129" s="55"/>
      <c r="E129" s="70" t="s">
        <v>50</v>
      </c>
    </row>
    <row r="130" ht="24.75" customHeight="1" spans="1:5">
      <c r="A130" s="59" t="s">
        <v>69</v>
      </c>
      <c r="B130" s="60"/>
      <c r="C130" s="61" t="s">
        <v>90</v>
      </c>
      <c r="D130" s="62"/>
      <c r="E130" s="72"/>
    </row>
    <row r="131" ht="24.75" customHeight="1" spans="1:8">
      <c r="A131" s="63"/>
      <c r="B131" s="64"/>
      <c r="C131" s="65"/>
      <c r="D131" s="66"/>
      <c r="E131" s="37">
        <v>0</v>
      </c>
      <c r="F131" s="14"/>
      <c r="G131" s="14"/>
      <c r="H131" s="14"/>
    </row>
    <row r="132" ht="24.75" customHeight="1" spans="1:8">
      <c r="A132" s="63"/>
      <c r="B132" s="64"/>
      <c r="C132" s="65"/>
      <c r="D132" s="66"/>
      <c r="E132" s="37">
        <v>0</v>
      </c>
      <c r="F132" s="14"/>
      <c r="G132" s="14"/>
      <c r="H132" s="14"/>
    </row>
    <row r="133" ht="24.75" customHeight="1" spans="1:8">
      <c r="A133" s="63"/>
      <c r="B133" s="64"/>
      <c r="C133" s="65"/>
      <c r="D133" s="66"/>
      <c r="E133" s="37">
        <v>0</v>
      </c>
      <c r="F133" s="14"/>
      <c r="G133" s="14"/>
      <c r="H133" s="14"/>
    </row>
    <row r="134" ht="24.75" customHeight="1" spans="1:8">
      <c r="A134" s="63"/>
      <c r="B134" s="64"/>
      <c r="C134" s="65"/>
      <c r="D134" s="66"/>
      <c r="E134" s="37">
        <v>0</v>
      </c>
      <c r="F134" s="14"/>
      <c r="G134" s="14"/>
      <c r="H134" s="14"/>
    </row>
    <row r="135" ht="24.75" customHeight="1" spans="1:8">
      <c r="A135" s="63"/>
      <c r="B135" s="64"/>
      <c r="C135" s="65"/>
      <c r="D135" s="66"/>
      <c r="E135" s="37">
        <v>0</v>
      </c>
      <c r="F135" s="14"/>
      <c r="G135" s="14"/>
      <c r="H135" s="14"/>
    </row>
    <row r="136" ht="24.75" customHeight="1" spans="1:8">
      <c r="A136" s="63"/>
      <c r="B136" s="64"/>
      <c r="C136" s="65"/>
      <c r="D136" s="66"/>
      <c r="E136" s="37">
        <v>0</v>
      </c>
      <c r="F136" s="14"/>
      <c r="G136" s="14"/>
      <c r="H136" s="14"/>
    </row>
    <row r="137" ht="24.75" customHeight="1" spans="1:8">
      <c r="A137" s="63"/>
      <c r="B137" s="64"/>
      <c r="C137" s="65"/>
      <c r="D137" s="66"/>
      <c r="E137" s="37">
        <v>0</v>
      </c>
      <c r="F137" s="14"/>
      <c r="G137" s="14"/>
      <c r="H137" s="14"/>
    </row>
    <row r="138" ht="24.75" customHeight="1" spans="1:8">
      <c r="A138" s="63"/>
      <c r="B138" s="64"/>
      <c r="C138" s="65"/>
      <c r="D138" s="66"/>
      <c r="E138" s="37">
        <v>0</v>
      </c>
      <c r="F138" s="14"/>
      <c r="G138" s="14"/>
      <c r="H138" s="14"/>
    </row>
    <row r="139" ht="24.75" customHeight="1" spans="1:8">
      <c r="A139" s="63"/>
      <c r="B139" s="64"/>
      <c r="C139" s="65"/>
      <c r="D139" s="66"/>
      <c r="E139" s="37">
        <v>0</v>
      </c>
      <c r="F139" s="14"/>
      <c r="G139" s="14"/>
      <c r="H139" s="14"/>
    </row>
    <row r="140" ht="24.75" customHeight="1" spans="1:8">
      <c r="A140" s="63"/>
      <c r="B140" s="64"/>
      <c r="C140" s="65"/>
      <c r="D140" s="66"/>
      <c r="E140" s="37">
        <v>0</v>
      </c>
      <c r="F140" s="14"/>
      <c r="G140" s="14"/>
      <c r="H140" s="14"/>
    </row>
    <row r="141" ht="24.75" customHeight="1" spans="1:5">
      <c r="A141" s="63"/>
      <c r="B141" s="64"/>
      <c r="C141" s="67" t="s">
        <v>91</v>
      </c>
      <c r="D141" s="62"/>
      <c r="E141" s="72"/>
    </row>
    <row r="142" ht="24.75" customHeight="1" spans="1:5">
      <c r="A142" s="63"/>
      <c r="B142" s="64"/>
      <c r="C142" s="114"/>
      <c r="D142" s="149"/>
      <c r="E142" s="88">
        <v>0</v>
      </c>
    </row>
    <row r="143" ht="24.75" customHeight="1" spans="1:5">
      <c r="A143" s="63"/>
      <c r="B143" s="64"/>
      <c r="C143" s="65"/>
      <c r="D143" s="66"/>
      <c r="E143" s="88">
        <v>0</v>
      </c>
    </row>
    <row r="144" ht="24.75" customHeight="1" spans="1:5">
      <c r="A144" s="63"/>
      <c r="B144" s="64"/>
      <c r="C144" s="65"/>
      <c r="D144" s="66"/>
      <c r="E144" s="88">
        <v>0</v>
      </c>
    </row>
    <row r="145" ht="24" customHeight="1" spans="1:5">
      <c r="A145" s="63"/>
      <c r="B145" s="64"/>
      <c r="C145" s="65"/>
      <c r="D145" s="66"/>
      <c r="E145" s="88">
        <v>0</v>
      </c>
    </row>
    <row r="146" ht="24.75" customHeight="1" spans="1:5">
      <c r="A146" s="63"/>
      <c r="B146" s="64"/>
      <c r="C146" s="65"/>
      <c r="D146" s="66"/>
      <c r="E146" s="88">
        <v>0</v>
      </c>
    </row>
    <row r="147" ht="24.75" customHeight="1" spans="1:5">
      <c r="A147" s="75"/>
      <c r="B147" s="76"/>
      <c r="C147" s="65"/>
      <c r="D147" s="66"/>
      <c r="E147" s="88">
        <v>0</v>
      </c>
    </row>
    <row r="148" ht="24.75" customHeight="1" spans="1:5">
      <c r="A148" s="56" t="s">
        <v>92</v>
      </c>
      <c r="B148" s="77"/>
      <c r="C148" s="78"/>
      <c r="D148" s="79"/>
      <c r="E148" s="88">
        <f>C110</f>
        <v>400</v>
      </c>
    </row>
    <row r="149" ht="45" customHeight="1" spans="1:5">
      <c r="A149" s="80"/>
      <c r="B149" s="81"/>
      <c r="C149" s="82" t="s">
        <v>93</v>
      </c>
      <c r="D149" s="82"/>
      <c r="E149" s="89">
        <v>941.71</v>
      </c>
    </row>
    <row r="150" ht="21.75" customHeight="1"/>
    <row r="154" ht="24.75" customHeight="1" spans="1:5">
      <c r="A154" s="53" t="str">
        <f>"Debts Or Credits For the Comming "&amp;IF(Main!B2,TEXT(EDATE(Main!B3,1),"mmmm dd yyyy"),TEXT(Main!B3+(Main!B5-Main!B3)+1,"mmmm dd yyyy"))&amp;" to "&amp;IF(Main!B2,TEXT(EDATE(Main!B3,2)-1,"dd mmmm yyyy"),TEXT(Main!B3+(Main!B5-Main!B3)*2+1,"dd mmmm yyyy"))</f>
        <v>Debts Or Credits For the Comming February 20 2025 to 19 March 2025</v>
      </c>
      <c r="B154" s="54"/>
      <c r="C154" s="54"/>
      <c r="D154" s="54"/>
      <c r="E154" s="55"/>
    </row>
    <row r="155" ht="24.75" customHeight="1" spans="1:5">
      <c r="A155" s="53" t="s">
        <v>89</v>
      </c>
      <c r="B155" s="55"/>
      <c r="C155" s="83" t="s">
        <v>49</v>
      </c>
      <c r="D155" s="84"/>
      <c r="E155" s="90" t="s">
        <v>50</v>
      </c>
    </row>
    <row r="156" ht="24.75" customHeight="1" spans="1:5">
      <c r="A156" s="56" t="str">
        <f>"Balance Brought Forward From "&amp;IF(Main!B2,TEXT(EDATE(Main!B3,1)-1,"mmmm yyyy"),TEXT(Main!B3+Main!B5-Main!B3,"mmmm yyyy"))</f>
        <v>Balance Brought Forward From February 2025</v>
      </c>
      <c r="B156" s="57"/>
      <c r="C156" s="222"/>
      <c r="D156" s="222"/>
      <c r="E156" s="89">
        <f>E149</f>
        <v>941.71</v>
      </c>
    </row>
    <row r="157" ht="24.75" customHeight="1" spans="1:5">
      <c r="A157" s="59" t="s">
        <v>69</v>
      </c>
      <c r="B157" s="60"/>
      <c r="C157" s="85" t="s">
        <v>90</v>
      </c>
      <c r="D157" s="86"/>
      <c r="E157" s="91"/>
    </row>
    <row r="158" ht="24.75" customHeight="1" spans="1:8">
      <c r="A158" s="63"/>
      <c r="B158" s="64"/>
      <c r="C158" s="65"/>
      <c r="D158" s="66"/>
      <c r="E158" s="87">
        <v>0</v>
      </c>
      <c r="F158" s="14"/>
      <c r="G158" s="14"/>
      <c r="H158" s="14"/>
    </row>
    <row r="159" ht="24.75" customHeight="1" spans="1:8">
      <c r="A159" s="63"/>
      <c r="B159" s="64"/>
      <c r="C159" s="114"/>
      <c r="D159" s="149"/>
      <c r="E159" s="87">
        <v>0</v>
      </c>
      <c r="F159" s="14"/>
      <c r="G159" s="14"/>
      <c r="H159" s="14"/>
    </row>
    <row r="160" ht="24.75" customHeight="1" spans="1:8">
      <c r="A160" s="63"/>
      <c r="B160" s="64"/>
      <c r="C160" s="65"/>
      <c r="D160" s="66"/>
      <c r="E160" s="37">
        <v>0</v>
      </c>
      <c r="F160" s="14"/>
      <c r="G160" s="14"/>
      <c r="H160" s="14"/>
    </row>
    <row r="161" ht="24.75" customHeight="1" spans="1:8">
      <c r="A161" s="63"/>
      <c r="B161" s="64"/>
      <c r="C161" s="65"/>
      <c r="D161" s="66"/>
      <c r="E161" s="37">
        <v>0</v>
      </c>
      <c r="F161" s="14"/>
      <c r="G161" s="14"/>
      <c r="H161" s="14"/>
    </row>
    <row r="162" ht="24.75" customHeight="1" spans="1:8">
      <c r="A162" s="63"/>
      <c r="B162" s="64"/>
      <c r="C162" s="65"/>
      <c r="D162" s="66"/>
      <c r="E162" s="37">
        <v>0</v>
      </c>
      <c r="F162" s="14"/>
      <c r="G162" s="14"/>
      <c r="H162" s="14"/>
    </row>
    <row r="163" ht="24.75" customHeight="1" spans="1:8">
      <c r="A163" s="63"/>
      <c r="B163" s="64"/>
      <c r="C163" s="65"/>
      <c r="D163" s="66"/>
      <c r="E163" s="37">
        <v>0</v>
      </c>
      <c r="F163" s="14"/>
      <c r="G163" s="14"/>
      <c r="H163" s="14"/>
    </row>
    <row r="164" ht="22.5" customHeight="1" spans="1:8">
      <c r="A164" s="63"/>
      <c r="B164" s="64"/>
      <c r="C164" s="65"/>
      <c r="D164" s="66"/>
      <c r="E164" s="37">
        <v>0</v>
      </c>
      <c r="F164" s="14"/>
      <c r="G164" s="14"/>
      <c r="H164" s="14"/>
    </row>
    <row r="165" ht="24.75" customHeight="1" spans="1:8">
      <c r="A165" s="63"/>
      <c r="B165" s="64"/>
      <c r="C165" s="65"/>
      <c r="D165" s="66"/>
      <c r="E165" s="37">
        <v>0</v>
      </c>
      <c r="F165" s="14"/>
      <c r="G165" s="14"/>
      <c r="H165" s="14"/>
    </row>
    <row r="166" ht="24.75" customHeight="1" spans="1:8">
      <c r="A166" s="63"/>
      <c r="B166" s="64"/>
      <c r="C166" s="65"/>
      <c r="D166" s="66"/>
      <c r="E166" s="37">
        <v>0</v>
      </c>
      <c r="F166" s="14"/>
      <c r="G166" s="14"/>
      <c r="H166" s="14"/>
    </row>
    <row r="167" ht="24.75" customHeight="1" spans="1:8">
      <c r="A167" s="63"/>
      <c r="B167" s="64"/>
      <c r="C167" s="65"/>
      <c r="D167" s="66"/>
      <c r="E167" s="37">
        <v>0</v>
      </c>
      <c r="F167" s="14"/>
      <c r="G167" s="14"/>
      <c r="H167" s="14"/>
    </row>
    <row r="168" ht="24.75" customHeight="1" spans="1:5">
      <c r="A168" s="63"/>
      <c r="B168" s="64"/>
      <c r="C168" s="67" t="s">
        <v>91</v>
      </c>
      <c r="D168" s="62"/>
      <c r="E168" s="72"/>
    </row>
    <row r="169" ht="24.75" customHeight="1" spans="1:5">
      <c r="A169" s="63"/>
      <c r="B169" s="64"/>
      <c r="C169" s="74"/>
      <c r="D169" s="74"/>
      <c r="E169" s="87">
        <v>0</v>
      </c>
    </row>
    <row r="170" ht="24.75" customHeight="1" spans="1:5">
      <c r="A170" s="63"/>
      <c r="B170" s="64"/>
      <c r="C170" s="74"/>
      <c r="D170" s="74"/>
      <c r="E170" s="87">
        <v>0</v>
      </c>
    </row>
    <row r="171" ht="24.75" customHeight="1" spans="1:5">
      <c r="A171" s="63"/>
      <c r="B171" s="64"/>
      <c r="C171" s="74"/>
      <c r="D171" s="74"/>
      <c r="E171" s="87">
        <v>0</v>
      </c>
    </row>
    <row r="172" ht="30" customHeight="1" spans="1:5">
      <c r="A172" s="63"/>
      <c r="B172" s="64"/>
      <c r="C172" s="73"/>
      <c r="D172" s="73"/>
      <c r="E172" s="87">
        <v>0</v>
      </c>
    </row>
    <row r="173" ht="24.75" customHeight="1" spans="1:5">
      <c r="A173" s="63"/>
      <c r="B173" s="64"/>
      <c r="C173" s="65"/>
      <c r="D173" s="66"/>
      <c r="E173" s="88">
        <v>0</v>
      </c>
    </row>
    <row r="174" ht="24.75" customHeight="1" spans="1:5">
      <c r="A174" s="75"/>
      <c r="B174" s="76"/>
      <c r="C174" s="65"/>
      <c r="D174" s="66"/>
      <c r="E174" s="88">
        <v>0</v>
      </c>
    </row>
    <row r="175" ht="24.75" customHeight="1" spans="1:5">
      <c r="A175" s="56" t="s">
        <v>92</v>
      </c>
      <c r="B175" s="77"/>
      <c r="C175" s="78"/>
      <c r="D175" s="79"/>
      <c r="E175" s="88">
        <f>C110</f>
        <v>400</v>
      </c>
    </row>
    <row r="176" ht="24.75" customHeight="1" spans="1:5">
      <c r="A176" s="80"/>
      <c r="B176" s="81"/>
      <c r="C176" s="82" t="s">
        <v>93</v>
      </c>
      <c r="D176" s="82"/>
      <c r="E176" s="92">
        <f>(F42+E156)-(SUM(E159:E167)+SUM(E169:E175))</f>
        <v>941.71</v>
      </c>
    </row>
    <row r="180" ht="24.75" customHeight="1"/>
    <row r="181" ht="24.75" customHeight="1" spans="1:5">
      <c r="A181" s="53" t="str">
        <f>"Debts Or Credits For the Comming "&amp;IF(Main!B2,TEXT(EDATE(Main!B3,2),"dd mmmm yyyy"),TEXT(Main!B3+((Main!B5-Main!B3)*2)+2,"dd mmmm yyyy"))&amp;" to "&amp;IF(Main!B2,TEXT(EDATE(Main!B3,3)-1,"dd mmmm yyyy"),TEXT(Main!B3+((Main!B5-Main!B3)*3+2),"dd mmmm yyyy"))</f>
        <v>Debts Or Credits For the Comming 20 March 2025 to 19 April 2025</v>
      </c>
      <c r="B181" s="54"/>
      <c r="C181" s="54"/>
      <c r="D181" s="54"/>
      <c r="E181" s="55"/>
    </row>
    <row r="182" ht="24.75" customHeight="1" spans="1:5">
      <c r="A182" s="53" t="s">
        <v>89</v>
      </c>
      <c r="B182" s="55"/>
      <c r="C182" s="83" t="s">
        <v>49</v>
      </c>
      <c r="D182" s="84"/>
      <c r="E182" s="90" t="s">
        <v>50</v>
      </c>
    </row>
    <row r="183" ht="24.75" customHeight="1" spans="1:5">
      <c r="A183" s="56" t="str">
        <f>"Balance Brought Forward From "&amp;IF(Main!B2,TEXT(EDATE(Main!B3,2)-1,"mmmm yyyy"),TEXT(Main!B3+(Main!B5-Main!B3)*2+1,"mmmm yyyy"))</f>
        <v>Balance Brought Forward From March 2025</v>
      </c>
      <c r="B183" s="57"/>
      <c r="C183" s="222"/>
      <c r="D183" s="222"/>
      <c r="E183" s="92">
        <f>E176</f>
        <v>941.71</v>
      </c>
    </row>
    <row r="184" ht="24.75" customHeight="1" spans="1:5">
      <c r="A184" s="59" t="s">
        <v>69</v>
      </c>
      <c r="B184" s="60"/>
      <c r="C184" s="85" t="s">
        <v>90</v>
      </c>
      <c r="D184" s="86"/>
      <c r="E184" s="91"/>
    </row>
    <row r="185" ht="24.75" customHeight="1" spans="1:8">
      <c r="A185" s="63"/>
      <c r="B185" s="64"/>
      <c r="C185" s="74"/>
      <c r="D185" s="74"/>
      <c r="E185" s="37">
        <v>0</v>
      </c>
      <c r="F185" s="14"/>
      <c r="G185" s="14"/>
      <c r="H185" s="14"/>
    </row>
    <row r="186" ht="24.75" customHeight="1" spans="1:8">
      <c r="A186" s="63"/>
      <c r="B186" s="64"/>
      <c r="C186" s="65"/>
      <c r="D186" s="66"/>
      <c r="E186" s="37">
        <v>0</v>
      </c>
      <c r="F186" s="14"/>
      <c r="G186" s="14"/>
      <c r="H186" s="14"/>
    </row>
    <row r="187" ht="24.75" customHeight="1" spans="1:8">
      <c r="A187" s="63"/>
      <c r="B187" s="64"/>
      <c r="C187" s="65"/>
      <c r="D187" s="66"/>
      <c r="E187" s="37">
        <v>0</v>
      </c>
      <c r="F187" s="14"/>
      <c r="G187" s="14"/>
      <c r="H187" s="14"/>
    </row>
    <row r="188" ht="24.75" customHeight="1" spans="1:8">
      <c r="A188" s="63"/>
      <c r="B188" s="64"/>
      <c r="C188" s="65"/>
      <c r="D188" s="66"/>
      <c r="E188" s="37">
        <v>0</v>
      </c>
      <c r="F188" s="14"/>
      <c r="G188" s="14"/>
      <c r="H188" s="14"/>
    </row>
    <row r="189" ht="24.75" customHeight="1" spans="1:8">
      <c r="A189" s="63"/>
      <c r="B189" s="64"/>
      <c r="C189" s="65"/>
      <c r="D189" s="66"/>
      <c r="E189" s="37">
        <v>0</v>
      </c>
      <c r="F189" s="14"/>
      <c r="G189" s="14"/>
      <c r="H189" s="14"/>
    </row>
    <row r="190" ht="24.75" customHeight="1" spans="1:8">
      <c r="A190" s="63"/>
      <c r="B190" s="64"/>
      <c r="C190" s="65"/>
      <c r="D190" s="66"/>
      <c r="E190" s="37">
        <v>0</v>
      </c>
      <c r="F190" s="14"/>
      <c r="G190" s="14"/>
      <c r="H190" s="14"/>
    </row>
    <row r="191" ht="24.75" customHeight="1" spans="1:8">
      <c r="A191" s="63"/>
      <c r="B191" s="64"/>
      <c r="C191" s="65"/>
      <c r="D191" s="66"/>
      <c r="E191" s="37">
        <v>0</v>
      </c>
      <c r="F191" s="14"/>
      <c r="G191" s="14"/>
      <c r="H191" s="14"/>
    </row>
    <row r="192" ht="24.75" customHeight="1" spans="1:8">
      <c r="A192" s="63"/>
      <c r="B192" s="64"/>
      <c r="C192" s="65"/>
      <c r="D192" s="66"/>
      <c r="E192" s="37">
        <v>0</v>
      </c>
      <c r="F192" s="14"/>
      <c r="G192" s="14"/>
      <c r="H192" s="14"/>
    </row>
    <row r="193" ht="24.75" customHeight="1" spans="1:8">
      <c r="A193" s="63"/>
      <c r="B193" s="64"/>
      <c r="C193" s="65"/>
      <c r="D193" s="66"/>
      <c r="E193" s="37">
        <v>0</v>
      </c>
      <c r="F193" s="14"/>
      <c r="G193" s="14"/>
      <c r="H193" s="14"/>
    </row>
    <row r="194" ht="24.75" customHeight="1" spans="1:8">
      <c r="A194" s="63"/>
      <c r="B194" s="64"/>
      <c r="C194" s="65"/>
      <c r="D194" s="66"/>
      <c r="E194" s="37">
        <v>0</v>
      </c>
      <c r="F194" s="14"/>
      <c r="G194" s="14"/>
      <c r="H194" s="14"/>
    </row>
    <row r="195" ht="24.75" customHeight="1" spans="1:5">
      <c r="A195" s="63"/>
      <c r="B195" s="64"/>
      <c r="C195" s="67" t="s">
        <v>91</v>
      </c>
      <c r="D195" s="62"/>
      <c r="E195" s="72"/>
    </row>
    <row r="196" ht="24.75" customHeight="1" spans="1:5">
      <c r="A196" s="63"/>
      <c r="B196" s="64"/>
      <c r="C196" s="74"/>
      <c r="D196" s="74"/>
      <c r="E196" s="87">
        <v>0</v>
      </c>
    </row>
    <row r="197" ht="24.75" customHeight="1" spans="1:5">
      <c r="A197" s="63"/>
      <c r="B197" s="64"/>
      <c r="C197" s="73"/>
      <c r="D197" s="73"/>
      <c r="E197" s="87">
        <v>0</v>
      </c>
    </row>
    <row r="198" ht="24.75" customHeight="1" spans="1:5">
      <c r="A198" s="63"/>
      <c r="B198" s="64"/>
      <c r="C198" s="74"/>
      <c r="D198" s="74"/>
      <c r="E198" s="87">
        <v>0</v>
      </c>
    </row>
    <row r="199" ht="30" customHeight="1" spans="1:5">
      <c r="A199" s="63"/>
      <c r="B199" s="64"/>
      <c r="C199" s="114"/>
      <c r="D199" s="66"/>
      <c r="E199" s="88">
        <v>0</v>
      </c>
    </row>
    <row r="200" ht="24.75" customHeight="1" spans="1:5">
      <c r="A200" s="63"/>
      <c r="B200" s="64"/>
      <c r="C200" s="65"/>
      <c r="D200" s="66"/>
      <c r="E200" s="88">
        <v>0</v>
      </c>
    </row>
    <row r="201" ht="24.75" customHeight="1" spans="1:5">
      <c r="A201" s="75"/>
      <c r="B201" s="76"/>
      <c r="C201" s="65"/>
      <c r="D201" s="66"/>
      <c r="E201" s="88">
        <v>0</v>
      </c>
    </row>
    <row r="202" ht="24.75" customHeight="1" spans="1:5">
      <c r="A202" s="56" t="s">
        <v>92</v>
      </c>
      <c r="B202" s="77"/>
      <c r="C202" s="78"/>
      <c r="D202" s="79"/>
      <c r="E202" s="88">
        <f>C110</f>
        <v>400</v>
      </c>
    </row>
    <row r="203" ht="24.75" customHeight="1" spans="1:5">
      <c r="A203" s="80"/>
      <c r="B203" s="81"/>
      <c r="C203" s="82" t="s">
        <v>93</v>
      </c>
      <c r="D203" s="82"/>
      <c r="E203" s="92">
        <f>(F54+E183)-(SUM(E185:E194)+SUM(E196:E202))</f>
        <v>941.71</v>
      </c>
    </row>
    <row r="204" ht="24.75" customHeight="1"/>
  </sheetData>
  <sheetProtection formatCells="0" formatColumns="0" formatRows="0"/>
  <mergeCells count="171">
    <mergeCell ref="A1:F1"/>
    <mergeCell ref="I1:J1"/>
    <mergeCell ref="M1:N1"/>
    <mergeCell ref="A2:C2"/>
    <mergeCell ref="D2:F2"/>
    <mergeCell ref="A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B29:C29"/>
    <mergeCell ref="D29:E29"/>
    <mergeCell ref="F29:G29"/>
    <mergeCell ref="B30:C30"/>
    <mergeCell ref="D30:E30"/>
    <mergeCell ref="F30:G30"/>
    <mergeCell ref="A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B41:C41"/>
    <mergeCell ref="D41:E41"/>
    <mergeCell ref="F41:G41"/>
    <mergeCell ref="B42:C42"/>
    <mergeCell ref="D42:E42"/>
    <mergeCell ref="F42:G42"/>
    <mergeCell ref="A46:G46"/>
    <mergeCell ref="B47:C47"/>
    <mergeCell ref="D47:E47"/>
    <mergeCell ref="F47:G47"/>
    <mergeCell ref="B48:C48"/>
    <mergeCell ref="D48:E48"/>
    <mergeCell ref="F48:G48"/>
    <mergeCell ref="B49:C49"/>
    <mergeCell ref="D49:E49"/>
    <mergeCell ref="F49:G49"/>
    <mergeCell ref="B50:C50"/>
    <mergeCell ref="D50:E50"/>
    <mergeCell ref="F50:G50"/>
    <mergeCell ref="B51:C51"/>
    <mergeCell ref="D51:E51"/>
    <mergeCell ref="F51:G51"/>
    <mergeCell ref="B52:C52"/>
    <mergeCell ref="D52:E52"/>
    <mergeCell ref="F52:G52"/>
    <mergeCell ref="B53:C53"/>
    <mergeCell ref="D53:E53"/>
    <mergeCell ref="F53:G53"/>
    <mergeCell ref="B54:C54"/>
    <mergeCell ref="D54:E54"/>
    <mergeCell ref="F54:G54"/>
    <mergeCell ref="A58:C58"/>
    <mergeCell ref="A60:C60"/>
    <mergeCell ref="A70:C70"/>
    <mergeCell ref="A81:C81"/>
    <mergeCell ref="A90:C90"/>
    <mergeCell ref="A100:C100"/>
    <mergeCell ref="A111:C111"/>
    <mergeCell ref="A128:E128"/>
    <mergeCell ref="A129:B129"/>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A148:B148"/>
    <mergeCell ref="C148:D148"/>
    <mergeCell ref="A149:B149"/>
    <mergeCell ref="C149:D149"/>
    <mergeCell ref="A154:E154"/>
    <mergeCell ref="A155:B155"/>
    <mergeCell ref="C155:D155"/>
    <mergeCell ref="A156:B156"/>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A175:B175"/>
    <mergeCell ref="C175:D175"/>
    <mergeCell ref="A176:B176"/>
    <mergeCell ref="C176:D176"/>
    <mergeCell ref="A181:E181"/>
    <mergeCell ref="A182:B182"/>
    <mergeCell ref="C182:D182"/>
    <mergeCell ref="A183:B183"/>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A202:B202"/>
    <mergeCell ref="C202:D202"/>
    <mergeCell ref="A203:B203"/>
    <mergeCell ref="C203:D203"/>
    <mergeCell ref="A3:A16"/>
    <mergeCell ref="D3:D16"/>
    <mergeCell ref="A130:B147"/>
    <mergeCell ref="A157:B174"/>
    <mergeCell ref="A184:B201"/>
  </mergeCells>
  <conditionalFormatting sqref="C89">
    <cfRule type="cellIs" dxfId="0" priority="87" operator="equal">
      <formula>0</formula>
    </cfRule>
    <cfRule type="cellIs" dxfId="1" priority="86" operator="greaterThan">
      <formula>0</formula>
    </cfRule>
  </conditionalFormatting>
  <conditionalFormatting sqref="C91">
    <cfRule type="cellIs" dxfId="0" priority="19" operator="equal">
      <formula>0</formula>
    </cfRule>
    <cfRule type="cellIs" dxfId="1" priority="18" operator="greaterThan">
      <formula>0</formula>
    </cfRule>
  </conditionalFormatting>
  <conditionalFormatting sqref="C104">
    <cfRule type="cellIs" dxfId="0" priority="15" operator="equal">
      <formula>0</formula>
    </cfRule>
    <cfRule type="cellIs" dxfId="1" priority="14" operator="greaterThan">
      <formula>0</formula>
    </cfRule>
  </conditionalFormatting>
  <conditionalFormatting sqref="C105">
    <cfRule type="cellIs" dxfId="0" priority="32" operator="equal">
      <formula>0</formula>
    </cfRule>
    <cfRule type="cellIs" dxfId="1" priority="31" operator="greaterThan">
      <formula>0</formula>
    </cfRule>
  </conditionalFormatting>
  <conditionalFormatting sqref="C122">
    <cfRule type="cellIs" dxfId="0" priority="61" operator="equal">
      <formula>0</formula>
    </cfRule>
    <cfRule type="cellIs" dxfId="1" priority="60" operator="greaterThan">
      <formula>0</formula>
    </cfRule>
  </conditionalFormatting>
  <conditionalFormatting sqref="C123">
    <cfRule type="cellIs" dxfId="1" priority="27" operator="lessThan">
      <formula>0</formula>
    </cfRule>
    <cfRule type="cellIs" dxfId="2" priority="26" operator="equal">
      <formula>0</formula>
    </cfRule>
  </conditionalFormatting>
  <conditionalFormatting sqref="E149">
    <cfRule type="cellIs" dxfId="3" priority="71" operator="greaterThanOrEqual">
      <formula>0</formula>
    </cfRule>
    <cfRule type="cellIs" dxfId="4" priority="70" operator="lessThan">
      <formula>0</formula>
    </cfRule>
  </conditionalFormatting>
  <conditionalFormatting sqref="E156">
    <cfRule type="cellIs" dxfId="3" priority="50" operator="greaterThanOrEqual">
      <formula>0</formula>
    </cfRule>
    <cfRule type="cellIs" dxfId="4" priority="49" operator="lessThan">
      <formula>0</formula>
    </cfRule>
  </conditionalFormatting>
  <conditionalFormatting sqref="E158">
    <cfRule type="cellIs" dxfId="5" priority="11" operator="equal">
      <formula>0</formula>
    </cfRule>
  </conditionalFormatting>
  <conditionalFormatting sqref="E176">
    <cfRule type="cellIs" dxfId="3" priority="54" operator="greaterThanOrEqual">
      <formula>0</formula>
    </cfRule>
    <cfRule type="cellIs" dxfId="4" priority="53" operator="lessThan">
      <formula>0</formula>
    </cfRule>
  </conditionalFormatting>
  <conditionalFormatting sqref="E183">
    <cfRule type="cellIs" dxfId="3" priority="44" operator="greaterThanOrEqual">
      <formula>0</formula>
    </cfRule>
    <cfRule type="cellIs" dxfId="4" priority="43" operator="lessThan">
      <formula>0</formula>
    </cfRule>
  </conditionalFormatting>
  <conditionalFormatting sqref="E196">
    <cfRule type="cellIs" dxfId="2" priority="6" operator="equal">
      <formula>0</formula>
    </cfRule>
    <cfRule type="cellIs" dxfId="1" priority="5" operator="greaterThan">
      <formula>0</formula>
    </cfRule>
  </conditionalFormatting>
  <conditionalFormatting sqref="E197">
    <cfRule type="cellIs" dxfId="2" priority="4" operator="equal">
      <formula>0</formula>
    </cfRule>
    <cfRule type="cellIs" dxfId="1" priority="3" operator="greaterThan">
      <formula>0</formula>
    </cfRule>
  </conditionalFormatting>
  <conditionalFormatting sqref="E198">
    <cfRule type="cellIs" dxfId="2" priority="2" operator="equal">
      <formula>0</formula>
    </cfRule>
    <cfRule type="cellIs" dxfId="1" priority="1" operator="greaterThan">
      <formula>0</formula>
    </cfRule>
  </conditionalFormatting>
  <conditionalFormatting sqref="E203">
    <cfRule type="cellIs" dxfId="3" priority="46" operator="greaterThanOrEqual">
      <formula>0</formula>
    </cfRule>
    <cfRule type="cellIs" dxfId="4" priority="45" operator="lessThan">
      <formula>0</formula>
    </cfRule>
  </conditionalFormatting>
  <conditionalFormatting sqref="C61:C64">
    <cfRule type="cellIs" dxfId="0" priority="25" operator="equal">
      <formula>0</formula>
    </cfRule>
    <cfRule type="cellIs" dxfId="1" priority="24" operator="greaterThan">
      <formula>0</formula>
    </cfRule>
  </conditionalFormatting>
  <conditionalFormatting sqref="C71:C74">
    <cfRule type="cellIs" dxfId="0" priority="23" operator="equal">
      <formula>0</formula>
    </cfRule>
    <cfRule type="cellIs" dxfId="1" priority="22" operator="greaterThan">
      <formula>0</formula>
    </cfRule>
  </conditionalFormatting>
  <conditionalFormatting sqref="C75:C80">
    <cfRule type="cellIs" dxfId="0" priority="91" operator="equal">
      <formula>0</formula>
    </cfRule>
    <cfRule type="cellIs" dxfId="1" priority="90" operator="greaterThan">
      <formula>0</formula>
    </cfRule>
  </conditionalFormatting>
  <conditionalFormatting sqref="C82:C83">
    <cfRule type="cellIs" dxfId="0" priority="21" operator="equal">
      <formula>0</formula>
    </cfRule>
    <cfRule type="cellIs" dxfId="1" priority="20" operator="greaterThan">
      <formula>0</formula>
    </cfRule>
  </conditionalFormatting>
  <conditionalFormatting sqref="C84:C88">
    <cfRule type="cellIs" dxfId="0" priority="69" operator="equal">
      <formula>0</formula>
    </cfRule>
    <cfRule type="cellIs" dxfId="1" priority="68" operator="greaterThan">
      <formula>0</formula>
    </cfRule>
  </conditionalFormatting>
  <conditionalFormatting sqref="C94:C98">
    <cfRule type="cellIs" dxfId="0" priority="67" operator="equal">
      <formula>0</formula>
    </cfRule>
    <cfRule type="cellIs" dxfId="1" priority="66" operator="greaterThan">
      <formula>0</formula>
    </cfRule>
  </conditionalFormatting>
  <conditionalFormatting sqref="C101:C103">
    <cfRule type="cellIs" dxfId="0" priority="17" operator="equal">
      <formula>0</formula>
    </cfRule>
    <cfRule type="cellIs" dxfId="1" priority="16" operator="greaterThan">
      <formula>0</formula>
    </cfRule>
  </conditionalFormatting>
  <conditionalFormatting sqref="C106:C108">
    <cfRule type="cellIs" dxfId="0" priority="65" operator="equal">
      <formula>0</formula>
    </cfRule>
    <cfRule type="cellIs" dxfId="1" priority="64" operator="greaterThan">
      <formula>0</formula>
    </cfRule>
  </conditionalFormatting>
  <conditionalFormatting sqref="C112:C117">
    <cfRule type="cellIs" dxfId="0" priority="13" operator="equal">
      <formula>0</formula>
    </cfRule>
    <cfRule type="cellIs" dxfId="1" priority="12" operator="greaterThan">
      <formula>0</formula>
    </cfRule>
  </conditionalFormatting>
  <conditionalFormatting sqref="C118:C121">
    <cfRule type="cellIs" dxfId="0" priority="42" operator="equal">
      <formula>0</formula>
    </cfRule>
    <cfRule type="cellIs" dxfId="1" priority="41" operator="greaterThan">
      <formula>0</formula>
    </cfRule>
  </conditionalFormatting>
  <conditionalFormatting sqref="E131:E140">
    <cfRule type="cellIs" dxfId="0" priority="40" operator="equal">
      <formula>0</formula>
    </cfRule>
    <cfRule type="cellIs" dxfId="1" priority="39" operator="greaterThan">
      <formula>0</formula>
    </cfRule>
  </conditionalFormatting>
  <conditionalFormatting sqref="E160:E167">
    <cfRule type="cellIs" dxfId="0" priority="38" operator="equal">
      <formula>0</formula>
    </cfRule>
    <cfRule type="cellIs" dxfId="1" priority="37" operator="greaterThan">
      <formula>0</formula>
    </cfRule>
  </conditionalFormatting>
  <conditionalFormatting sqref="E169:E172">
    <cfRule type="cellIs" dxfId="2" priority="10" operator="equal">
      <formula>0</formula>
    </cfRule>
    <cfRule type="cellIs" dxfId="1" priority="9" operator="greaterThan">
      <formula>0</formula>
    </cfRule>
  </conditionalFormatting>
  <conditionalFormatting sqref="E185:E186">
    <cfRule type="cellIs" dxfId="0" priority="8" operator="equal">
      <formula>0</formula>
    </cfRule>
    <cfRule type="cellIs" dxfId="1" priority="7" operator="greaterThan">
      <formula>0</formula>
    </cfRule>
  </conditionalFormatting>
  <conditionalFormatting sqref="E187:E194">
    <cfRule type="cellIs" dxfId="0" priority="36" operator="equal">
      <formula>0</formula>
    </cfRule>
    <cfRule type="cellIs" dxfId="1" priority="35" operator="greaterThan">
      <formula>0</formula>
    </cfRule>
  </conditionalFormatting>
  <conditionalFormatting sqref="J3:J50">
    <cfRule type="cellIs" dxfId="2" priority="34" operator="greaterThanOrEqual">
      <formula>0</formula>
    </cfRule>
  </conditionalFormatting>
  <conditionalFormatting sqref="N3:N18">
    <cfRule type="cellIs" dxfId="2" priority="33" operator="greaterThanOrEqual">
      <formula>0</formula>
    </cfRule>
  </conditionalFormatting>
  <conditionalFormatting sqref="C65:C69 C99 C92:C93 C109:C110">
    <cfRule type="cellIs" dxfId="0" priority="93" operator="equal">
      <formula>0</formula>
    </cfRule>
    <cfRule type="cellIs" dxfId="1" priority="92" operator="greaterThan">
      <formula>0</formula>
    </cfRule>
  </conditionalFormatting>
  <conditionalFormatting sqref="E130 E141:E148">
    <cfRule type="cellIs" dxfId="0" priority="73" operator="equal">
      <formula>0</formula>
    </cfRule>
    <cfRule type="cellIs" dxfId="1" priority="72" operator="greaterThan">
      <formula>0</formula>
    </cfRule>
  </conditionalFormatting>
  <conditionalFormatting sqref="E157 E168 E173:E175">
    <cfRule type="cellIs" dxfId="2" priority="56" operator="equal">
      <formula>0</formula>
    </cfRule>
    <cfRule type="cellIs" dxfId="1" priority="55" operator="greaterThan">
      <formula>0</formula>
    </cfRule>
  </conditionalFormatting>
  <conditionalFormatting sqref="E184 E195 E199:E202">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abSelected="1" topLeftCell="A160" workbookViewId="0">
      <selection activeCell="F179" sqref="F179"/>
    </sheetView>
  </sheetViews>
  <sheetFormatPr defaultColWidth="9" defaultRowHeight="17.6"/>
  <cols>
    <col min="1" max="1" width="25" style="41" customWidth="1"/>
    <col min="2" max="2" width="29.5069444444444" style="41" customWidth="1"/>
    <col min="3" max="3" width="24.875" style="41" customWidth="1"/>
    <col min="4" max="4" width="20.625" style="41" customWidth="1"/>
    <col min="5" max="5" width="27.625" style="41" customWidth="1"/>
    <col min="6" max="6" width="20.625" style="41" customWidth="1"/>
    <col min="7" max="7" width="9" style="41"/>
    <col min="8" max="9" width="20.625" style="41" customWidth="1"/>
    <col min="10" max="16384" width="9" style="41"/>
  </cols>
  <sheetData>
    <row r="1" ht="28.5" customHeight="1" spans="1:7">
      <c r="A1" s="1" t="str">
        <f>"Forecasts For the Year "&amp;IF(Main!B2,TEXT(EDATE(Main!B3,3),"mmmm yyyy"),TEXT(Main!B3+((Main!B5-Main!B3)*3+3),"mmmm yyyy"))&amp;" to "&amp;IF(Main!B2,TEXT(EDATE(Main!B3,6)-1,"mmmm yyyy"),TEXT(Main!B3+((Main!B5-Main!B3)*6+5),"mmmm yyyy"))</f>
        <v>Forecasts For the Year April 2025 to July 2025</v>
      </c>
      <c r="B1" s="1"/>
      <c r="C1" s="1"/>
      <c r="D1" s="1"/>
      <c r="E1" s="1"/>
      <c r="F1" s="1"/>
      <c r="G1" s="1"/>
    </row>
    <row r="2" ht="28.5" customHeight="1" spans="1:7">
      <c r="A2" s="2" t="s">
        <v>33</v>
      </c>
      <c r="B2" s="3" t="s">
        <v>94</v>
      </c>
      <c r="C2" s="4" cm="1">
        <f ca="1" t="array" ref="C2">INDIRECT("'"&amp;Main!B9&amp;"'!$C$16")</f>
        <v>306.32</v>
      </c>
      <c r="D2" s="4"/>
      <c r="E2" s="4"/>
      <c r="F2" s="4"/>
      <c r="G2" s="4"/>
    </row>
    <row r="3" ht="42" customHeight="1" spans="1:7">
      <c r="A3" s="5"/>
      <c r="B3" s="6" t="s">
        <v>95</v>
      </c>
      <c r="C3" s="7">
        <f ca="1">E190</f>
        <v>1231.32</v>
      </c>
      <c r="D3" s="7"/>
      <c r="E3" s="7"/>
      <c r="F3" s="7"/>
      <c r="G3" s="7"/>
    </row>
    <row r="4" spans="1:9">
      <c r="A4" s="8" t="s">
        <v>47</v>
      </c>
      <c r="B4" s="9"/>
      <c r="C4" s="10">
        <f ca="1">SUM(C2:G3)</f>
        <v>1537.64</v>
      </c>
      <c r="D4" s="10"/>
      <c r="E4" s="10"/>
      <c r="F4" s="10"/>
      <c r="G4" s="10"/>
      <c r="H4" s="14"/>
      <c r="I4" s="48"/>
    </row>
    <row r="5" spans="1:9">
      <c r="A5" s="11" t="s">
        <v>96</v>
      </c>
      <c r="B5" s="11"/>
      <c r="C5" s="12">
        <f ca="1">C108</f>
        <v>-333730.02</v>
      </c>
      <c r="D5" s="13"/>
      <c r="E5" s="13"/>
      <c r="F5" s="13"/>
      <c r="G5" s="13"/>
      <c r="H5" s="14"/>
      <c r="I5" s="48"/>
    </row>
    <row r="6"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IF(Main!B2,TEXT(EDATE(Main!B3,3),"dd mmmm yyyy"),TEXT(Main!B3+((Main!B5-Main!B3)*3+3),"dd mmmm yyyy"))&amp;" - "&amp;IF(Main!B2,TEXT(EDATE(Main!B3,4)-1,"dd mmmm yyyy"),TEXT(Main!B3+((Main!B5-Main!B3)*4+3),"dd mmmm yyyy"))&amp;" / "&amp;" (Revenue / Deferred Debts Or Expenses)"</f>
        <v>20 April 2025 - 19 May 2025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32"/>
      <c r="B10" s="133" t="s">
        <v>97</v>
      </c>
      <c r="C10" s="134"/>
      <c r="D10" s="135" t="s">
        <v>98</v>
      </c>
      <c r="E10" s="141"/>
      <c r="F10" s="43">
        <v>0</v>
      </c>
      <c r="G10" s="44"/>
      <c r="H10" s="14"/>
      <c r="I10" s="48"/>
    </row>
    <row r="11" ht="24.75" customHeight="1" spans="1:9">
      <c r="A11" s="132"/>
      <c r="B11" s="22" t="s">
        <v>52</v>
      </c>
      <c r="C11" s="23"/>
      <c r="D11" s="74" t="s">
        <v>53</v>
      </c>
      <c r="E11" s="74"/>
      <c r="F11" s="43">
        <v>400</v>
      </c>
      <c r="G11" s="44"/>
      <c r="H11" s="14"/>
      <c r="I11" s="48"/>
    </row>
    <row r="12" ht="86" customHeight="1" spans="1:9">
      <c r="A12" s="132"/>
      <c r="B12" s="97" t="s">
        <v>80</v>
      </c>
      <c r="C12" s="98"/>
      <c r="D12" s="97" t="s">
        <v>99</v>
      </c>
      <c r="E12" s="142"/>
      <c r="F12" s="43">
        <v>670</v>
      </c>
      <c r="G12" s="44"/>
      <c r="H12" s="14"/>
      <c r="I12" s="48"/>
    </row>
    <row r="13" ht="24.75" customHeight="1" spans="1:9">
      <c r="A13" s="132"/>
      <c r="B13" s="97"/>
      <c r="C13" s="98"/>
      <c r="D13" s="97"/>
      <c r="E13" s="115"/>
      <c r="F13" s="1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1070</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IF(Main!B2,TEXT(EDATE(Main!B3,4),"dd mmmm yyyy"),TEXT(Main!B3+((Main!B5-Main!B3)*4+4),"dd mmmm yyyy"))&amp;" - "&amp;IF(Main!B2,TEXT(EDATE(Main!B3,5)-1,"dd mmmm yyyy"),TEXT(Main!B3+((Main!B5-Main!B3)*5+4),"dd mmmm yyyy"))&amp;" / "&amp;" (Revenue / Deferred Debts Or Expenses)"</f>
        <v>20 May 2025 - 19 June 2025 /  (Revenue / Deferred Debts Or Expenses)</v>
      </c>
      <c r="B20" s="16"/>
      <c r="C20" s="16"/>
      <c r="D20" s="16"/>
      <c r="E20" s="16"/>
      <c r="F20" s="16"/>
      <c r="G20" s="16"/>
      <c r="H20" s="14"/>
      <c r="I20" s="48"/>
    </row>
    <row r="21" spans="1:9">
      <c r="A21" s="17" t="s">
        <v>29</v>
      </c>
      <c r="B21" s="17" t="s">
        <v>48</v>
      </c>
      <c r="C21" s="17"/>
      <c r="D21" s="18" t="s">
        <v>49</v>
      </c>
      <c r="E21" s="18"/>
      <c r="F21" s="18" t="s">
        <v>50</v>
      </c>
      <c r="G21" s="18"/>
      <c r="H21" s="14"/>
      <c r="I21" s="48"/>
    </row>
    <row r="22" ht="56" customHeight="1" spans="1:9">
      <c r="A22" s="132"/>
      <c r="B22" s="136" t="s">
        <v>97</v>
      </c>
      <c r="C22" s="134"/>
      <c r="D22" s="133" t="s">
        <v>100</v>
      </c>
      <c r="E22" s="141"/>
      <c r="F22" s="144">
        <v>3483</v>
      </c>
      <c r="G22" s="145"/>
      <c r="H22" s="14"/>
      <c r="I22" s="48"/>
    </row>
    <row r="23" ht="139" customHeight="1" spans="1:9">
      <c r="A23" s="132"/>
      <c r="B23" s="97" t="s">
        <v>80</v>
      </c>
      <c r="C23" s="98"/>
      <c r="D23" s="137" t="s">
        <v>101</v>
      </c>
      <c r="E23" s="100"/>
      <c r="F23" s="7">
        <v>50</v>
      </c>
      <c r="G23" s="7"/>
      <c r="H23" s="14"/>
      <c r="I23" s="48"/>
    </row>
    <row r="24" ht="48" customHeight="1" spans="1:9">
      <c r="A24" s="132"/>
      <c r="B24" s="97" t="s">
        <v>102</v>
      </c>
      <c r="C24" s="98"/>
      <c r="D24" s="97" t="s">
        <v>103</v>
      </c>
      <c r="E24" s="142"/>
      <c r="F24" s="104">
        <v>204</v>
      </c>
      <c r="G24" s="105"/>
      <c r="H24" s="14"/>
      <c r="I24" s="48"/>
    </row>
    <row r="25" ht="50" customHeight="1" spans="1:9">
      <c r="A25" s="132"/>
      <c r="B25" s="97" t="s">
        <v>104</v>
      </c>
      <c r="C25" s="98"/>
      <c r="D25" s="97" t="s">
        <v>105</v>
      </c>
      <c r="E25" s="142"/>
      <c r="F25" s="43">
        <v>69.99</v>
      </c>
      <c r="G25" s="44"/>
      <c r="H25" s="14"/>
      <c r="I25" s="48"/>
    </row>
    <row r="26" ht="79" customHeight="1" spans="1:9">
      <c r="A26" s="132"/>
      <c r="B26" s="97" t="s">
        <v>106</v>
      </c>
      <c r="C26" s="98"/>
      <c r="D26" s="97" t="s">
        <v>107</v>
      </c>
      <c r="E26" s="115"/>
      <c r="F26" s="143">
        <v>0</v>
      </c>
      <c r="G26" s="44"/>
      <c r="H26" s="14"/>
      <c r="I26" s="48"/>
    </row>
    <row r="27" ht="39" customHeight="1" spans="1:9">
      <c r="A27" s="132"/>
      <c r="B27" s="138" t="s">
        <v>108</v>
      </c>
      <c r="C27" s="139"/>
      <c r="D27" s="138" t="s">
        <v>109</v>
      </c>
      <c r="E27" s="146"/>
      <c r="F27" s="43">
        <v>3</v>
      </c>
      <c r="G27" s="44"/>
      <c r="H27" s="14"/>
      <c r="I27" s="48"/>
    </row>
    <row r="28" ht="24.75" customHeight="1" spans="1:9">
      <c r="A28" s="25"/>
      <c r="B28" s="26"/>
      <c r="C28" s="27"/>
      <c r="D28" s="28" t="s">
        <v>51</v>
      </c>
      <c r="E28" s="45"/>
      <c r="F28" s="46">
        <f>SUM(F22:G27)</f>
        <v>3809.99</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IF(Main!B2,TEXT(EDATE(Main!B3,5),"dd mmmm yyyy"),TEXT(Main!B3+((Main!B5-Main!B3)*5+5),"dd mmmm yyyy"))&amp;" - "&amp;IF(Main!B2,TEXT(EDATE(Main!B3,6)-1,"dd mmmm yyyy"),TEXT(Main!B3+((Main!B5-Main!B3)*6+5),"dd mmmm yyyy"))&amp;" / "&amp;" (Revenue / Deferred Debts Or Expenses)"</f>
        <v>20 June 2025 - 19 July 2025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32"/>
      <c r="B34" s="133" t="s">
        <v>97</v>
      </c>
      <c r="C34" s="134"/>
      <c r="D34" s="135"/>
      <c r="E34" s="141"/>
      <c r="F34" s="144">
        <v>2435</v>
      </c>
      <c r="G34" s="145"/>
      <c r="H34" s="14"/>
      <c r="I34" s="48"/>
    </row>
    <row r="35" ht="24.75" customHeight="1" spans="1:9">
      <c r="A35" s="132"/>
      <c r="B35" s="97" t="s">
        <v>110</v>
      </c>
      <c r="C35" s="98"/>
      <c r="D35" s="123" t="s">
        <v>111</v>
      </c>
      <c r="E35" s="147"/>
      <c r="F35" s="7">
        <v>50</v>
      </c>
      <c r="G35" s="7"/>
      <c r="H35" s="14"/>
      <c r="I35" s="48"/>
    </row>
    <row r="36" ht="24.75" customHeight="1" spans="1:9">
      <c r="A36" s="132"/>
      <c r="B36" s="97" t="s">
        <v>76</v>
      </c>
      <c r="C36" s="98"/>
      <c r="D36" s="123" t="s">
        <v>112</v>
      </c>
      <c r="E36" s="147"/>
      <c r="F36" s="7">
        <v>19.99</v>
      </c>
      <c r="G36" s="7"/>
      <c r="H36" s="14"/>
      <c r="I36" s="49"/>
    </row>
    <row r="37" ht="25" customHeight="1" spans="1:9">
      <c r="A37" s="132"/>
      <c r="B37" s="97"/>
      <c r="C37" s="98"/>
      <c r="D37" s="97"/>
      <c r="E37" s="147"/>
      <c r="F37" s="7">
        <v>0</v>
      </c>
      <c r="G37" s="7"/>
      <c r="H37" s="14"/>
      <c r="I37" s="48"/>
    </row>
    <row r="38" ht="24.75" customHeight="1" spans="1:9">
      <c r="A38" s="132"/>
      <c r="B38" s="97"/>
      <c r="C38" s="98"/>
      <c r="D38" s="123"/>
      <c r="E38" s="142"/>
      <c r="F38" s="104">
        <v>0</v>
      </c>
      <c r="G38" s="105"/>
      <c r="H38" s="14"/>
      <c r="I38" s="48"/>
    </row>
    <row r="39" ht="84" customHeight="1" spans="1:9">
      <c r="A39" s="19"/>
      <c r="B39" s="22"/>
      <c r="C39" s="23"/>
      <c r="D39" s="22"/>
      <c r="E39" s="23"/>
      <c r="F39" s="43">
        <v>0</v>
      </c>
      <c r="G39" s="44"/>
      <c r="H39" s="14"/>
      <c r="I39" s="48"/>
    </row>
    <row r="40" ht="24.75" customHeight="1" spans="1:9">
      <c r="A40" s="25"/>
      <c r="B40" s="26"/>
      <c r="C40" s="27"/>
      <c r="D40" s="28" t="s">
        <v>51</v>
      </c>
      <c r="E40" s="45"/>
      <c r="F40" s="46">
        <f>SUM(F34:G39)</f>
        <v>2504.99</v>
      </c>
      <c r="G40" s="47"/>
      <c r="H40" s="14"/>
      <c r="I40" s="48"/>
    </row>
    <row r="41" ht="24.75" customHeight="1" spans="1:9">
      <c r="A41" s="14"/>
      <c r="B41" s="14"/>
      <c r="C41" s="14"/>
      <c r="D41" s="14"/>
      <c r="E41" s="14"/>
      <c r="F41" s="14"/>
      <c r="G41" s="14"/>
      <c r="H41" s="14"/>
      <c r="I41" s="48"/>
    </row>
    <row r="42" spans="1:9">
      <c r="A42" s="14"/>
      <c r="B42" s="14"/>
      <c r="C42" s="14"/>
      <c r="D42" s="14"/>
      <c r="E42" s="14"/>
      <c r="F42" s="14"/>
      <c r="G42" s="14"/>
      <c r="H42" s="14"/>
      <c r="I42" s="48"/>
    </row>
    <row r="43" spans="1:9">
      <c r="A43" s="14"/>
      <c r="B43" s="14"/>
      <c r="C43" s="14"/>
      <c r="D43" s="14"/>
      <c r="E43" s="14"/>
      <c r="F43" s="14"/>
      <c r="G43" s="14"/>
      <c r="H43" s="14"/>
      <c r="I43" s="48"/>
    </row>
    <row r="44" ht="18" customHeight="1" spans="1:9">
      <c r="A44" s="29" t="str">
        <f>"Fixed Expense For the Year "&amp;IF(Main!B2,TEXT(EDATE(Main!B3,3),"mmmm yyyy"),TEXT(Main!B3+((Main!B5-Main!B3)*3+3),"mmmm yyyy"))&amp;" to "&amp;IF(Main!B2,TEXT(EDATE(Main!B3,6)-1,"mmmm yyyy"),TEXT(Main!B3+((Main!B5-Main!B3)*6+5),"mmmm yyyy"))</f>
        <v>Fixed Expense For the Year April 2025 to July 2025</v>
      </c>
      <c r="B44" s="30"/>
      <c r="C44" s="31"/>
      <c r="D44" s="14"/>
      <c r="E44" s="14"/>
      <c r="F44" s="14"/>
      <c r="G44" s="14"/>
      <c r="H44" s="14"/>
      <c r="I44" s="48"/>
    </row>
    <row r="45" ht="21" spans="1:9">
      <c r="A45" s="32" t="s">
        <v>48</v>
      </c>
      <c r="B45" s="32" t="s">
        <v>49</v>
      </c>
      <c r="C45" s="1" t="s">
        <v>50</v>
      </c>
      <c r="D45" s="14"/>
      <c r="E45" s="14"/>
      <c r="F45" s="14"/>
      <c r="G45" s="14"/>
      <c r="H45" s="14"/>
      <c r="I45" s="48"/>
    </row>
    <row r="46" spans="1:9">
      <c r="A46" s="33" t="str" cm="1">
        <f ca="1" t="array" ref="A46">IF((INDIRECT("'"&amp;INDIRECT("Main!B9")&amp;"'!A60"))=0,"",(INDIRECT("'"&amp;INDIRECT("Main!B9")&amp;"'!A60")))</f>
        <v>Mobile And Communications/ Housing Expenses</v>
      </c>
      <c r="B46" s="34"/>
      <c r="C46" s="35"/>
      <c r="D46" s="14"/>
      <c r="E46" s="14"/>
      <c r="F46" s="14"/>
      <c r="G46" s="14"/>
      <c r="H46" s="14"/>
      <c r="I46" s="48"/>
    </row>
    <row r="47" spans="1:9">
      <c r="A47" s="36" t="str" cm="1">
        <f ca="1" t="array" ref="A47">IF((INDIRECT("'"&amp;INDIRECT("Main!B9")&amp;"'!A61"))=0,"",(INDIRECT("'"&amp;INDIRECT("Main!B9")&amp;"'!A61")))</f>
        <v>Broadband</v>
      </c>
      <c r="B47" s="36" t="str" cm="1">
        <f ca="1" t="array" ref="B47">IF((INDIRECT("'"&amp;INDIRECT("Main!B9")&amp;"'!B61"))=0,"",(INDIRECT("'"&amp;INDIRECT("Main!B9")&amp;"'!B61")))</f>
        <v/>
      </c>
      <c r="C47" s="140">
        <v>78</v>
      </c>
      <c r="D47" s="14"/>
      <c r="E47" s="14"/>
      <c r="F47" s="14"/>
      <c r="G47" s="14"/>
      <c r="H47" s="14"/>
      <c r="I47" s="48"/>
    </row>
    <row r="48" spans="1:9">
      <c r="A48" s="36" t="str" cm="1">
        <f ca="1" t="array" ref="A48">IF((INDIRECT("'"&amp;INDIRECT("Main!B9")&amp;"'!A62"))=0,"",(INDIRECT("'"&amp;INDIRECT("Main!B9")&amp;"'!A62")))</f>
        <v>China Mobile</v>
      </c>
      <c r="B48" s="36" t="str" cm="1">
        <f ca="1" t="array" ref="B48">IF((INDIRECT("'"&amp;INDIRECT("Main!B9")&amp;"'!B62"))=0,"",(INDIRECT("'"&amp;INDIRECT("Main!B9")&amp;"'!B62")))</f>
        <v/>
      </c>
      <c r="C48" s="140">
        <v>149</v>
      </c>
      <c r="D48" s="14"/>
      <c r="E48" s="14"/>
      <c r="F48" s="14"/>
      <c r="G48" s="14"/>
      <c r="H48" s="14"/>
      <c r="I48" s="48"/>
    </row>
    <row r="49" spans="1:9">
      <c r="A49" s="36" t="str" cm="1">
        <f ca="1" t="array" ref="A49">IF((INDIRECT("'"&amp;INDIRECT("Main!B9")&amp;"'!A63"))=0,"",(INDIRECT("'"&amp;INDIRECT("Main!B9")&amp;"'!A63")))</f>
        <v>Telephone (Fixed Line)</v>
      </c>
      <c r="B49" s="36" t="str" cm="1">
        <f ca="1" t="array" ref="B49">IF((INDIRECT("'"&amp;INDIRECT("Main!B9")&amp;"'!B63"))=0,"",(INDIRECT("'"&amp;INDIRECT("Main!B9")&amp;"'!B63")))</f>
        <v/>
      </c>
      <c r="C49" s="140">
        <v>0</v>
      </c>
      <c r="D49" s="14"/>
      <c r="E49" s="14"/>
      <c r="F49" s="14"/>
      <c r="G49" s="14"/>
      <c r="H49" s="14"/>
      <c r="I49" s="48"/>
    </row>
    <row r="50" spans="1:9">
      <c r="A50" s="38" t="str" cm="1">
        <f ca="1" t="array" ref="A50">IF((INDIRECT("'"&amp;INDIRECT("Main!B9")&amp;"'!A64"))=0,"",(INDIRECT("'"&amp;INDIRECT("Main!B9")&amp;"'!A64")))</f>
        <v>Sosim</v>
      </c>
      <c r="B50" s="38" t="str" cm="1">
        <f ca="1" t="array" ref="B50">IF((INDIRECT("'"&amp;INDIRECT("Main!B9")&amp;"'!B64"))=0,"",(INDIRECT("'"&amp;INDIRECT("Main!B9")&amp;"'!B64")))</f>
        <v/>
      </c>
      <c r="C50" s="140">
        <v>0</v>
      </c>
      <c r="D50" s="14"/>
      <c r="E50" s="14"/>
      <c r="F50" s="14"/>
      <c r="G50" s="14"/>
      <c r="H50" s="14"/>
      <c r="I50" s="48"/>
    </row>
    <row r="51" spans="1:9">
      <c r="A51" s="38" t="str" cm="1">
        <f ca="1" t="array" ref="A51">IF((INDIRECT("'"&amp;INDIRECT("Main!B9")&amp;"'!A65"))=0,"",(INDIRECT("'"&amp;INDIRECT("Main!B9")&amp;"'!A65")))</f>
        <v>Birdie Sim Card</v>
      </c>
      <c r="B51" s="38" t="str" cm="1">
        <f ca="1" t="array" ref="B51">IF((INDIRECT("'"&amp;INDIRECT("Main!B9")&amp;"'!B65"))=0,"",(INDIRECT("'"&amp;INDIRECT("Main!B9")&amp;"'!B65")))</f>
        <v/>
      </c>
      <c r="C51" s="37">
        <v>50</v>
      </c>
      <c r="D51" s="14"/>
      <c r="E51" s="14"/>
      <c r="F51" s="14"/>
      <c r="G51" s="14"/>
      <c r="H51" s="14"/>
      <c r="I51" s="48"/>
    </row>
    <row r="52"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spans="1:9">
      <c r="A55" s="39"/>
      <c r="B55" s="40" t="s">
        <v>60</v>
      </c>
      <c r="C55" s="37">
        <f>SUM(C47:C54)</f>
        <v>277</v>
      </c>
      <c r="D55" s="14"/>
      <c r="E55" s="14"/>
      <c r="F55" s="14"/>
      <c r="G55" s="14"/>
      <c r="H55" s="14"/>
      <c r="I55" s="48"/>
    </row>
    <row r="56" spans="1:9">
      <c r="A56" s="93" t="str" cm="1">
        <f ca="1" t="array" ref="A56">IF((INDIRECT("'"&amp;INDIRECT("Main!B9")&amp;"'!A70"))=0,"",(INDIRECT("'"&amp;INDIRECT("Main!B9")&amp;"'!A70")))</f>
        <v>Credit Card Installments/Government Installments</v>
      </c>
      <c r="B56" s="94"/>
      <c r="C56" s="95"/>
      <c r="D56" s="14"/>
      <c r="E56" s="14"/>
      <c r="F56" s="14"/>
      <c r="G56" s="14"/>
      <c r="H56" s="14"/>
      <c r="I56" s="48"/>
    </row>
    <row r="57"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spans="1:9">
      <c r="A66" s="50"/>
      <c r="B66" s="40" t="s">
        <v>60</v>
      </c>
      <c r="C66" s="37">
        <f>SUM(C57:C65)</f>
        <v>0</v>
      </c>
      <c r="D66" s="14"/>
      <c r="E66" s="14"/>
      <c r="F66" s="14"/>
      <c r="G66" s="14"/>
      <c r="H66" s="14"/>
      <c r="I66" s="48"/>
    </row>
    <row r="67" spans="1:9">
      <c r="A67" s="93" t="str" cm="1">
        <f ca="1" t="array" ref="A67">IF((INDIRECT("'"&amp;INDIRECT("Main!B9")&amp;"'!A81"))=0,"",(INDIRECT("'"&amp;INDIRECT("Main!B9")&amp;"'!A81")))</f>
        <v>Donation</v>
      </c>
      <c r="B67" s="94"/>
      <c r="C67" s="95"/>
      <c r="D67" s="14"/>
      <c r="E67" s="14"/>
      <c r="F67" s="14"/>
      <c r="G67" s="14"/>
      <c r="H67" s="14"/>
      <c r="I67" s="48"/>
    </row>
    <row r="68"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spans="1:9">
      <c r="A75" s="50"/>
      <c r="B75" s="40" t="s">
        <v>60</v>
      </c>
      <c r="C75" s="37">
        <f>SUM(C68:C74)</f>
        <v>0</v>
      </c>
      <c r="D75" s="14"/>
      <c r="E75" s="14"/>
      <c r="F75" s="14"/>
      <c r="G75" s="14"/>
      <c r="H75" s="14"/>
      <c r="I75" s="48"/>
    </row>
    <row r="76" spans="1:9">
      <c r="A76" s="93" t="str" cm="1">
        <f ca="1" t="array" ref="A76">IF((INDIRECT("'"&amp;INDIRECT("Main!B9")&amp;"'!A90"))=0,"",(INDIRECT("'"&amp;INDIRECT("Main!B9")&amp;"'!A90")))</f>
        <v>Insurance (Personal / Properties / Medical)</v>
      </c>
      <c r="B76" s="94"/>
      <c r="C76" s="95"/>
      <c r="D76" s="14"/>
      <c r="E76" s="14"/>
      <c r="F76" s="14"/>
      <c r="G76" s="14"/>
      <c r="H76" s="14"/>
      <c r="I76" s="48"/>
    </row>
    <row r="77"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spans="1:9">
      <c r="A85" s="50"/>
      <c r="B85" s="40" t="s">
        <v>60</v>
      </c>
      <c r="C85" s="37">
        <f>SUM(C77:C84)</f>
        <v>0</v>
      </c>
      <c r="D85" s="14"/>
      <c r="E85" s="14"/>
      <c r="F85" s="14"/>
      <c r="G85" s="14"/>
      <c r="H85" s="14"/>
      <c r="I85" s="48"/>
    </row>
    <row r="86" spans="1:9">
      <c r="A86" s="93" t="str" cm="1">
        <f ca="1" t="array" ref="A86">IF((INDIRECT("'"&amp;INDIRECT("Main!B9")&amp;"'!A100"))=0,"",(INDIRECT("'"&amp;INDIRECT("Main!B9")&amp;"'!A100")))</f>
        <v>Other Expenses</v>
      </c>
      <c r="B86" s="94"/>
      <c r="C86" s="95"/>
      <c r="D86" s="14"/>
      <c r="E86" s="14"/>
      <c r="F86" s="14"/>
      <c r="G86" s="14"/>
      <c r="H86" s="14"/>
      <c r="I86" s="48"/>
    </row>
    <row r="87" ht="20.2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50"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20.2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40"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19.99</v>
      </c>
      <c r="D91" s="14"/>
      <c r="E91" s="14"/>
      <c r="F91" s="14"/>
      <c r="G91" s="14"/>
      <c r="H91" s="14"/>
      <c r="I91" s="48"/>
    </row>
    <row r="92" ht="20.2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0.2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0.2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spans="1:9">
      <c r="A95" s="52"/>
      <c r="B95" s="40" t="s">
        <v>60</v>
      </c>
      <c r="C95" s="37">
        <f>SUM(C87:C94)</f>
        <v>142.99</v>
      </c>
      <c r="D95" s="14"/>
      <c r="E95" s="14"/>
      <c r="F95" s="14"/>
      <c r="G95" s="14"/>
      <c r="H95" s="14"/>
      <c r="I95" s="48"/>
    </row>
    <row r="96" spans="1:9">
      <c r="A96" s="50"/>
      <c r="B96" s="40" t="s">
        <v>78</v>
      </c>
      <c r="C96" s="37">
        <f>C55+C66+C75+C85+C95</f>
        <v>419.99</v>
      </c>
      <c r="D96" s="14"/>
      <c r="E96" s="14"/>
      <c r="F96" s="14"/>
      <c r="G96" s="14"/>
      <c r="H96" s="14"/>
      <c r="I96" s="48"/>
    </row>
    <row r="97" spans="1:9">
      <c r="A97" s="93" t="str" cm="1">
        <f ca="1" t="array" ref="A97">IF((INDIRECT("'"&amp;INDIRECT("Main!B9")&amp;"'!A111"))=0,"",(INDIRECT("'"&amp;INDIRECT("Main!B9")&amp;"'!A111")))</f>
        <v>Debts</v>
      </c>
      <c r="B97" s="94"/>
      <c r="C97" s="95"/>
      <c r="D97" s="14"/>
      <c r="E97" s="14"/>
      <c r="F97" s="14"/>
      <c r="G97" s="14"/>
      <c r="H97" s="14"/>
      <c r="I97" s="48"/>
    </row>
    <row r="98"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(((INDIRECT("'"&amp;INDIRECT("Main!B9")&amp;"'!E131")+INDIRECT("'"&amp;INDIRECT("Main!B9")&amp;"'!E158")+INDIRECT("'"&amp;INDIRECT("Main!B9")&amp;"'!E185")))+SUM(E118+E145+E172))-INDIRECT("'"&amp;INDIRECT("Main!B9")&amp;"'!C112")</f>
        <v>-5970</v>
      </c>
      <c r="D98" s="14"/>
      <c r="E98" s="96"/>
      <c r="F98" s="14"/>
      <c r="G98" s="14"/>
      <c r="H98" s="14"/>
      <c r="I98" s="48"/>
    </row>
    <row r="99"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(((INDIRECT("'"&amp;INDIRECT("Main!B9")&amp;"'!E132")+INDIRECT("'"&amp;INDIRECT("Main!B9")&amp;"'!E159")+INDIRECT("'"&amp;INDIRECT("Main!B9")&amp;"'!E186")))+SUM(E119+E146+E173))-INDIRECT("'"&amp;INDIRECT("Main!B9")&amp;"'!C113")</f>
        <v>0</v>
      </c>
      <c r="D99" s="14"/>
      <c r="E99" s="14"/>
      <c r="F99" s="14"/>
      <c r="G99" s="14"/>
      <c r="H99" s="14"/>
      <c r="I99" s="48"/>
    </row>
    <row r="100" spans="1:9">
      <c r="A100" s="36" t="str" cm="1">
        <f ca="1" t="array" ref="A100">IF((INDIRECT("'"&amp;INDIRECT("Main!B9")&amp;"'!A114"))=0,"",(INDIRECT("'"&amp;INDIRECT("Main!B9")&amp;"'!A114")))</f>
        <v>Lawrence</v>
      </c>
      <c r="B100" s="36" t="str" cm="1">
        <f ca="1" t="array" ref="B100">IF((INDIRECT("'"&amp;INDIRECT("Main!B9")&amp;"'!B114"))=0,"",(INDIRECT("'"&amp;INDIRECT("Main!B9")&amp;"'!B114")))</f>
        <v/>
      </c>
      <c r="C100" s="106">
        <v>0</v>
      </c>
      <c r="D100" s="14"/>
      <c r="E100" s="14"/>
      <c r="F100" s="14"/>
      <c r="G100" s="14"/>
      <c r="H100" s="14"/>
      <c r="I100" s="48"/>
    </row>
    <row r="101" ht="21.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(((INDIRECT("'"&amp;INDIRECT("Main!B9")&amp;"'!E134")+INDIRECT("'"&amp;INDIRECT("Main!B9")&amp;"'!E161")+INDIRECT("'"&amp;INDIRECT("Main!B9")&amp;"'!E188")))+SUM(E121+E148+E175))-INDIRECT("'"&amp;INDIRECT("Main!B9")&amp;"'!C115")</f>
        <v>0</v>
      </c>
      <c r="D101" s="14"/>
      <c r="E101" s="14"/>
      <c r="F101" s="14"/>
      <c r="G101" s="14"/>
      <c r="H101" s="14"/>
      <c r="I101" s="48"/>
    </row>
    <row r="102" ht="40"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(((INDIRECT("'"&amp;INDIRECT("Main!B9")&amp;"'!E135")+INDIRECT("'"&amp;INDIRECT("Main!B9")&amp;"'!E162")+INDIRECT("'"&amp;INDIRECT("Main!B9")&amp;"'!E189")))+SUM(E122+E149+E176))-INDIRECT("'"&amp;INDIRECT("Main!B9")&amp;"'!C116")</f>
        <v>-326149.51</v>
      </c>
      <c r="D102" s="14"/>
      <c r="E102" s="148"/>
      <c r="F102" s="14"/>
      <c r="G102" s="14"/>
      <c r="H102" s="14"/>
      <c r="I102" s="48"/>
    </row>
    <row r="103"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(((INDIRECT("'"&amp;INDIRECT("Main!B9")&amp;"'!E136")+INDIRECT("'"&amp;INDIRECT("Main!B9")&amp;"'!E163")+INDIRECT("'"&amp;INDIRECT("Main!B9")&amp;"'!E190")))+SUM(E123+E150+E177))-INDIRECT("'"&amp;INDIRECT("Main!B9")&amp;"'!C117")</f>
        <v>-1083</v>
      </c>
      <c r="D103" s="14"/>
      <c r="E103" s="14"/>
      <c r="F103" s="14"/>
      <c r="G103" s="14"/>
      <c r="H103" s="14"/>
      <c r="I103" s="48"/>
    </row>
    <row r="104"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(((INDIRECT("'"&amp;INDIRECT("Main!B9")&amp;"'!E137")+INDIRECT("'"&amp;INDIRECT("Main!B9")&amp;"'!E164")+INDIRECT("'"&amp;INDIRECT("Main!B9")&amp;"'!E191")))+SUM(E124+E151+E178))-INDIRECT("'"&amp;INDIRECT("Main!B9")&amp;"'!C118")</f>
        <v>-527.51</v>
      </c>
      <c r="D104" s="14"/>
      <c r="E104" s="14"/>
      <c r="F104" s="14"/>
      <c r="G104" s="14"/>
      <c r="H104" s="14"/>
      <c r="I104" s="48"/>
    </row>
    <row r="105"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(((INDIRECT("'"&amp;INDIRECT("Main!B9")&amp;"'!E138")+INDIRECT("'"&amp;INDIRECT("Main!B9")&amp;"'!E165")+INDIRECT("'"&amp;INDIRECT("Main!B9")&amp;"'!E192")))+SUM(E125+E152+E179))-INDIRECT("'"&amp;INDIRECT("Main!B9")&amp;"'!C119")</f>
        <v>0</v>
      </c>
      <c r="D105" s="14"/>
      <c r="E105" s="14"/>
      <c r="F105" s="14"/>
      <c r="G105" s="14"/>
      <c r="H105" s="14"/>
      <c r="I105" s="48"/>
    </row>
    <row r="106"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(((INDIRECT("'"&amp;INDIRECT("Main!B9")&amp;"'!E139")+INDIRECT("'"&amp;INDIRECT("Main!B9")&amp;"'!E166")+INDIRECT("'"&amp;INDIRECT("Main!B9")&amp;"'!E193")))+SUM(E126+E153+E180))-INDIRECT("'"&amp;INDIRECT("Main!B9")&amp;"'!C120")</f>
        <v>0</v>
      </c>
      <c r="D106" s="14"/>
      <c r="E106" s="14"/>
      <c r="F106" s="14"/>
      <c r="G106" s="14"/>
      <c r="H106" s="14"/>
      <c r="I106" s="48"/>
    </row>
    <row r="107"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(((INDIRECT("'"&amp;INDIRECT("Main!B9")&amp;"'!E140")+INDIRECT("'"&amp;INDIRECT("Main!B9")&amp;"'!E167")+INDIRECT("'"&amp;INDIRECT("Main!B9")&amp;"'!E194")))+SUM(E127+E154+E181))-INDIRECT("'"&amp;INDIRECT("Main!B9")&amp;"'!C121")</f>
        <v>0</v>
      </c>
      <c r="D107" s="14"/>
      <c r="E107" s="14"/>
      <c r="F107" s="14"/>
      <c r="G107" s="14"/>
      <c r="H107" s="14"/>
      <c r="I107" s="48"/>
    </row>
    <row r="108" spans="1:9">
      <c r="A108" s="50"/>
      <c r="B108" s="40" t="s">
        <v>87</v>
      </c>
      <c r="C108" s="106">
        <f ca="1">SUM(C98:C107)</f>
        <v>-333730.02</v>
      </c>
      <c r="D108" s="14"/>
      <c r="E108" s="14"/>
      <c r="F108" s="14"/>
      <c r="G108" s="14"/>
      <c r="H108" s="14"/>
      <c r="I108" s="48"/>
    </row>
    <row r="109" spans="1:9">
      <c r="A109" s="50"/>
      <c r="B109" s="40" t="s">
        <v>88</v>
      </c>
      <c r="C109" s="106">
        <f ca="1">C108-C96</f>
        <v>-334150.01</v>
      </c>
      <c r="D109" s="14"/>
      <c r="E109" s="14"/>
      <c r="F109" s="14"/>
      <c r="G109" s="14"/>
      <c r="H109" s="14"/>
      <c r="I109" s="48"/>
    </row>
    <row r="110" spans="1:9">
      <c r="A110" s="14"/>
      <c r="B110" s="14"/>
      <c r="C110" s="14"/>
      <c r="D110" s="14"/>
      <c r="E110" s="14"/>
      <c r="F110" s="14"/>
      <c r="G110" s="14"/>
      <c r="H110" s="14"/>
      <c r="I110" s="48"/>
    </row>
    <row r="11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"&amp;IF(Main!B2,TEXT(EDATE(Main!B3,3),"mmmm dd yyyy"),TEXT(Main!B3+((Main!B5-Main!B3)*3+3),"mmmm dd yyyy"))&amp;" to "&amp;IF(Main!B2,TEXT(EDATE(Main!B3,4)-1,"mmmm dd yyyy"),TEXT(Main!B3+((Main!B5-Main!B3)*4+3),"mmmm dd yyyy"))</f>
        <v>Debts Or Credits For the Comming April 20 2025 to May 19 2025</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"&amp;IF(Main!B2,TEXT(EDATE(Main!B3,3)-1,"mmmm yyyy"),TEXT(Main!B3+((Main!B5-Main!B3)*3+3),"mmmm yyyy"))</f>
        <v>Balance Brought Forward From April 2025</v>
      </c>
      <c r="B116" s="57"/>
      <c r="C116" s="58"/>
      <c r="D116" s="58"/>
      <c r="E116" s="89" cm="1">
        <f ca="1" t="array" ref="E116">INDIRECT("'"&amp;INDIRECT("Main!B9")&amp;"'!E203")</f>
        <v>941.71</v>
      </c>
      <c r="F116" s="14"/>
      <c r="G116" s="14"/>
      <c r="H116" s="68"/>
      <c r="I116" s="48"/>
    </row>
    <row r="117" ht="24.75" customHeight="1" spans="1:9">
      <c r="A117" s="59" t="s">
        <v>69</v>
      </c>
      <c r="B117" s="60"/>
      <c r="C117" s="61" t="s">
        <v>90</v>
      </c>
      <c r="D117" s="62"/>
      <c r="E117" s="72"/>
      <c r="F117" s="14"/>
      <c r="G117" s="14"/>
      <c r="H117" s="14"/>
      <c r="I117" s="48"/>
    </row>
    <row r="118" ht="29.25" customHeight="1" spans="1:9">
      <c r="A118" s="63"/>
      <c r="B118" s="64"/>
      <c r="C118" s="65"/>
      <c r="D118" s="66"/>
      <c r="E118" s="37">
        <v>0</v>
      </c>
      <c r="F118" s="14"/>
      <c r="G118" s="14"/>
      <c r="H118" s="14"/>
      <c r="I118" s="48"/>
    </row>
    <row r="119" ht="29.25" customHeight="1" spans="1:9">
      <c r="A119" s="63"/>
      <c r="B119" s="64"/>
      <c r="C119" s="65"/>
      <c r="D119" s="66"/>
      <c r="E119" s="37">
        <v>0</v>
      </c>
      <c r="F119" s="14"/>
      <c r="G119" s="14"/>
      <c r="H119" s="14"/>
      <c r="I119" s="48"/>
    </row>
    <row r="120" ht="29.25" customHeight="1" spans="1:9">
      <c r="A120" s="63"/>
      <c r="B120" s="64"/>
      <c r="C120" s="65"/>
      <c r="D120" s="66"/>
      <c r="E120" s="37">
        <v>0</v>
      </c>
      <c r="F120" s="14"/>
      <c r="G120" s="14"/>
      <c r="H120" s="14"/>
      <c r="I120" s="48"/>
    </row>
    <row r="121" ht="29.2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39" customHeight="1" spans="1:9">
      <c r="A129" s="63"/>
      <c r="B129" s="64"/>
      <c r="C129" s="73" t="s">
        <v>113</v>
      </c>
      <c r="D129" s="74"/>
      <c r="E129" s="87">
        <v>910</v>
      </c>
      <c r="F129" s="14"/>
      <c r="G129" s="14"/>
      <c r="H129" s="14"/>
      <c r="I129" s="48"/>
    </row>
    <row r="130" ht="227" customHeight="1" spans="1:9">
      <c r="A130" s="63"/>
      <c r="B130" s="64"/>
      <c r="C130" s="73" t="s">
        <v>114</v>
      </c>
      <c r="D130" s="74"/>
      <c r="E130" s="87">
        <v>635.7</v>
      </c>
      <c r="F130" s="14"/>
      <c r="G130" s="14"/>
      <c r="H130" s="14"/>
      <c r="I130" s="48"/>
    </row>
    <row r="131" ht="24.75" customHeight="1" spans="1:9">
      <c r="A131" s="63"/>
      <c r="B131" s="64"/>
      <c r="C131" s="74"/>
      <c r="D131" s="74"/>
      <c r="E131" s="87">
        <v>0</v>
      </c>
      <c r="F131" s="14"/>
      <c r="G131" s="14"/>
      <c r="H131" s="14"/>
      <c r="I131" s="48"/>
    </row>
    <row r="132" ht="24.75" customHeight="1" spans="1:9">
      <c r="A132" s="63"/>
      <c r="B132" s="64"/>
      <c r="C132" s="74"/>
      <c r="D132" s="74"/>
      <c r="E132" s="87">
        <v>0</v>
      </c>
      <c r="F132" s="14"/>
      <c r="G132" s="14"/>
      <c r="H132" s="14"/>
      <c r="I132" s="48"/>
    </row>
    <row r="133" ht="24.75" customHeight="1" spans="1:9">
      <c r="A133" s="63"/>
      <c r="B133" s="64"/>
      <c r="C133" s="125"/>
      <c r="D133" s="125"/>
      <c r="E133" s="87">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419.99</v>
      </c>
      <c r="F135" s="14"/>
      <c r="G135" s="14"/>
      <c r="H135" s="14"/>
      <c r="I135" s="48"/>
    </row>
    <row r="136" ht="24.75" customHeight="1" spans="1:9">
      <c r="A136" s="80"/>
      <c r="B136" s="81"/>
      <c r="C136" s="82" t="s">
        <v>93</v>
      </c>
      <c r="D136" s="82"/>
      <c r="E136" s="89">
        <f ca="1">(F16+E116)-(SUM(E118:E127)+SUM(E129:E135))</f>
        <v>46.02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"&amp;IF(Main!B2,TEXT(EDATE(Main!B3,4),"mmmm dd yyyy"),TEXT(Main!B3+((Main!B5-Main!B3)*4+4),"dd mmmm yyyy"))&amp;" to "&amp;IF(Main!B2,TEXT(EDATE(Main!B3,5)-1,"mmmm dd yyyy"),TEXT(Main!B3+((Main!B5-Main!B3)*5+4),"mmmm dd yyyy"))</f>
        <v>Debts Or Credits For the Comming May 20 2025 to June 19 2025</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"&amp;IF(Main!B2,TEXT(EDATE(Main!B3,4)-1,"mmmm yyyy"),TEXT(Main!B3+((Main!B5-Main!B3)*4+3),"mmmm yyyy"))</f>
        <v>Balance Brought Forward From May 2025</v>
      </c>
      <c r="B143" s="57"/>
      <c r="C143" s="58"/>
      <c r="D143" s="58"/>
      <c r="E143" s="89">
        <f ca="1">E136</f>
        <v>46.02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t="s">
        <v>115</v>
      </c>
      <c r="D145" s="66"/>
      <c r="E145" s="37">
        <v>570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119" customHeight="1" spans="1:9">
      <c r="A151" s="63"/>
      <c r="B151" s="64"/>
      <c r="C151" s="114" t="s">
        <v>116</v>
      </c>
      <c r="D151" s="149"/>
      <c r="E151" s="37">
        <v>437.4</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05" customHeight="1" spans="1:9">
      <c r="A156" s="63"/>
      <c r="B156" s="64"/>
      <c r="C156" s="73" t="s">
        <v>117</v>
      </c>
      <c r="D156" s="74"/>
      <c r="E156" s="87">
        <v>214</v>
      </c>
      <c r="F156" s="14"/>
      <c r="G156" s="14"/>
      <c r="H156" s="14"/>
      <c r="I156" s="48"/>
    </row>
    <row r="157" ht="43" customHeight="1" spans="1:9">
      <c r="A157" s="63"/>
      <c r="B157" s="64"/>
      <c r="C157" s="73" t="s">
        <v>118</v>
      </c>
      <c r="D157" s="74"/>
      <c r="E157" s="87">
        <v>850</v>
      </c>
      <c r="F157" s="14"/>
      <c r="G157" s="14"/>
      <c r="H157" s="14"/>
      <c r="I157" s="48"/>
    </row>
    <row r="158" ht="136" customHeight="1" spans="1:9">
      <c r="A158" s="63"/>
      <c r="B158" s="64"/>
      <c r="C158" s="73" t="s">
        <v>119</v>
      </c>
      <c r="D158" s="74"/>
      <c r="E158" s="87">
        <v>136.6</v>
      </c>
      <c r="F158" s="14"/>
      <c r="G158" s="14"/>
      <c r="H158" s="14"/>
      <c r="I158" s="48"/>
    </row>
    <row r="159" ht="324" customHeight="1" spans="1:9">
      <c r="A159" s="63"/>
      <c r="B159" s="64"/>
      <c r="C159" s="73" t="s">
        <v>120</v>
      </c>
      <c r="D159" s="74"/>
      <c r="E159" s="87">
        <v>505.5</v>
      </c>
      <c r="F159" s="14"/>
      <c r="G159" s="14"/>
      <c r="H159" s="14"/>
      <c r="I159" s="48"/>
    </row>
    <row r="160" ht="299" customHeight="1" spans="1:9">
      <c r="A160" s="63"/>
      <c r="B160" s="64"/>
      <c r="C160" s="73" t="s">
        <v>121</v>
      </c>
      <c r="D160" s="125"/>
      <c r="E160" s="87">
        <v>416.2</v>
      </c>
      <c r="F160" s="14"/>
      <c r="G160" s="14"/>
      <c r="H160" s="14"/>
      <c r="I160" s="48"/>
    </row>
    <row r="161" ht="25" customHeight="1" spans="1:9">
      <c r="A161" s="75"/>
      <c r="B161" s="76"/>
      <c r="C161" s="114"/>
      <c r="D161" s="149"/>
      <c r="E161" s="88">
        <v>0</v>
      </c>
      <c r="F161" s="14"/>
      <c r="G161" s="14"/>
      <c r="H161" s="14"/>
      <c r="I161" s="48"/>
    </row>
    <row r="162" ht="24.75" customHeight="1" spans="1:9">
      <c r="A162" s="56" t="s">
        <v>92</v>
      </c>
      <c r="B162" s="77"/>
      <c r="C162" s="78"/>
      <c r="D162" s="79"/>
      <c r="E162" s="88">
        <f>C96</f>
        <v>419.99</v>
      </c>
      <c r="F162" s="14"/>
      <c r="G162" s="14"/>
      <c r="H162" s="14"/>
      <c r="I162" s="48"/>
    </row>
    <row r="163" ht="24.75" customHeight="1" spans="1:9">
      <c r="A163" s="80"/>
      <c r="B163" s="81"/>
      <c r="C163" s="82" t="s">
        <v>93</v>
      </c>
      <c r="D163" s="82"/>
      <c r="E163" s="92">
        <f ca="1">(F28+E143)-(SUM(E145:E154)+SUM(E156:E162))</f>
        <v>306.32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"&amp;IF(Main!B2,TEXT(EDATE(Main!B3,5),"mmmm dd yyyy"),TEXT(Main!B3+((Main!B5-Main!B3)*5+5),"mmmm dd yyyy"))&amp;" to "&amp;IF(Main!B2,TEXT(EDATE(Main!B3,6)-1,"mmmm dd yyyy"),TEXT(Main!B3+((Main!B5-Main!B3)*6+5),"mmmm dd yyyy"))</f>
        <v>Debts Or Credits For the Comming June 20 2025 to July 19 2025</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
        <v>122</v>
      </c>
      <c r="B170" s="57"/>
      <c r="C170" s="58"/>
      <c r="D170" s="58"/>
      <c r="E170" s="92">
        <f ca="1">E163</f>
        <v>306.32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t="s">
        <v>123</v>
      </c>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74"/>
      <c r="D174" s="74"/>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33" customHeight="1" spans="1:9">
      <c r="A177" s="63"/>
      <c r="B177" s="64"/>
      <c r="C177" s="114"/>
      <c r="D177" s="149"/>
      <c r="E177" s="37">
        <v>0</v>
      </c>
      <c r="F177" s="14"/>
      <c r="G177" s="14"/>
      <c r="H177" s="14"/>
      <c r="I177" s="48"/>
    </row>
    <row r="178" ht="47" customHeight="1" spans="1:9">
      <c r="A178" s="63"/>
      <c r="B178" s="64"/>
      <c r="C178" s="114" t="s">
        <v>124</v>
      </c>
      <c r="D178" s="149"/>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0" customHeight="1" spans="1:9">
      <c r="A183" s="63"/>
      <c r="B183" s="64"/>
      <c r="C183" s="73" t="s">
        <v>125</v>
      </c>
      <c r="D183" s="74"/>
      <c r="E183" s="87">
        <v>760</v>
      </c>
      <c r="F183" s="14"/>
      <c r="G183" s="14"/>
      <c r="H183" s="14"/>
      <c r="I183" s="48"/>
    </row>
    <row r="184" ht="24.75" customHeight="1" spans="1:9">
      <c r="A184" s="63"/>
      <c r="B184" s="64"/>
      <c r="C184" s="74" t="s">
        <v>126</v>
      </c>
      <c r="D184" s="74"/>
      <c r="E184" s="87">
        <v>400</v>
      </c>
      <c r="F184" s="14"/>
      <c r="G184" s="14"/>
      <c r="H184" s="14"/>
      <c r="I184" s="48"/>
    </row>
    <row r="185" ht="25" customHeight="1" spans="1:9">
      <c r="A185" s="63"/>
      <c r="B185" s="64"/>
      <c r="C185" s="73"/>
      <c r="D185" s="73"/>
      <c r="E185" s="87">
        <v>0</v>
      </c>
      <c r="F185" s="14"/>
      <c r="G185" s="14"/>
      <c r="H185" s="14"/>
      <c r="I185" s="48"/>
    </row>
    <row r="186" ht="26" customHeight="1" spans="1:9">
      <c r="A186" s="63"/>
      <c r="B186" s="64"/>
      <c r="C186" s="73"/>
      <c r="D186" s="73"/>
      <c r="E186" s="87">
        <v>0</v>
      </c>
      <c r="F186" s="14"/>
      <c r="G186" s="14"/>
      <c r="H186" s="14"/>
      <c r="I186" s="48"/>
    </row>
    <row r="187" ht="24.75" customHeight="1" spans="1:9">
      <c r="A187" s="63"/>
      <c r="B187" s="64"/>
      <c r="C187" s="73"/>
      <c r="D187" s="73"/>
      <c r="E187" s="87">
        <v>0</v>
      </c>
      <c r="F187" s="14"/>
      <c r="G187" s="14"/>
      <c r="H187" s="14"/>
      <c r="I187" s="48"/>
    </row>
    <row r="188" ht="24.75" customHeight="1" spans="1:9">
      <c r="A188" s="75"/>
      <c r="B188" s="76"/>
      <c r="C188" s="150"/>
      <c r="D188" s="151"/>
      <c r="E188" s="87">
        <v>0</v>
      </c>
      <c r="F188" s="14"/>
      <c r="G188" s="14"/>
      <c r="H188" s="14"/>
      <c r="I188" s="48"/>
    </row>
    <row r="189" ht="24.75" customHeight="1" spans="1:9">
      <c r="A189" s="56" t="s">
        <v>92</v>
      </c>
      <c r="B189" s="77"/>
      <c r="C189" s="78"/>
      <c r="D189" s="79"/>
      <c r="E189" s="88">
        <f>C96</f>
        <v>419.99</v>
      </c>
      <c r="F189" s="14"/>
      <c r="G189" s="14"/>
      <c r="H189" s="14"/>
      <c r="I189" s="48"/>
    </row>
    <row r="190" ht="24.75" customHeight="1" spans="1:9">
      <c r="A190" s="80"/>
      <c r="B190" s="81"/>
      <c r="C190" s="82" t="s">
        <v>93</v>
      </c>
      <c r="D190" s="82"/>
      <c r="E190" s="92">
        <f ca="1">(F40+E170)-(SUM(E172:E181)+SUM(E183:E189))</f>
        <v>1231.32</v>
      </c>
      <c r="F190" s="14"/>
      <c r="G190" s="14"/>
      <c r="H190" s="14"/>
      <c r="I190" s="48"/>
    </row>
    <row r="191" ht="24.75" customHeight="1" spans="1:9">
      <c r="A191" s="14"/>
      <c r="B191" s="14"/>
      <c r="C191" s="14"/>
      <c r="D191" s="14"/>
      <c r="E191" s="14"/>
      <c r="F191" s="14"/>
      <c r="G191" s="14"/>
      <c r="H191" s="14"/>
      <c r="I191" s="48"/>
    </row>
    <row r="193" s="41" customFormat="1" ht="24.75" customHeight="1"/>
  </sheetData>
  <sheetProtection formatCells="0" formatColumns="0" formatRows="0"/>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42" operator="greaterThanOrEqual">
      <formula>0</formula>
    </cfRule>
    <cfRule type="cellIs" dxfId="1" priority="41" operator="lessThan">
      <formula>0</formula>
    </cfRule>
  </conditionalFormatting>
  <conditionalFormatting sqref="C75">
    <cfRule type="cellIs" dxfId="0" priority="74" operator="equal">
      <formula>0</formula>
    </cfRule>
    <cfRule type="cellIs" dxfId="1" priority="73" operator="greaterThan">
      <formula>0</formula>
    </cfRule>
  </conditionalFormatting>
  <conditionalFormatting sqref="C77">
    <cfRule type="cellIs" dxfId="0" priority="72" operator="equal">
      <formula>0</formula>
    </cfRule>
    <cfRule type="cellIs" dxfId="1" priority="71" operator="greaterThan">
      <formula>0</formula>
    </cfRule>
  </conditionalFormatting>
  <conditionalFormatting sqref="C91">
    <cfRule type="cellIs" dxfId="0" priority="29" operator="equal">
      <formula>0</formula>
    </cfRule>
    <cfRule type="cellIs" dxfId="1" priority="28" operator="greaterThan">
      <formula>0</formula>
    </cfRule>
  </conditionalFormatting>
  <conditionalFormatting sqref="C108">
    <cfRule type="cellIs" dxfId="0" priority="58" operator="greaterThanOrEqual">
      <formula>0</formula>
    </cfRule>
    <cfRule type="cellIs" dxfId="1" priority="57" operator="lessThan">
      <formula>0</formula>
    </cfRule>
  </conditionalFormatting>
  <conditionalFormatting sqref="C109">
    <cfRule type="cellIs" dxfId="0" priority="27" operator="greaterThanOrEqual">
      <formula>0</formula>
    </cfRule>
    <cfRule type="cellIs" dxfId="1" priority="26"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18">
    <cfRule type="cellIs" dxfId="0" priority="25" operator="equal">
      <formula>0</formula>
    </cfRule>
    <cfRule type="cellIs" dxfId="1" priority="24" operator="greaterThan">
      <formula>0</formula>
    </cfRule>
  </conditionalFormatting>
  <conditionalFormatting sqref="E129">
    <cfRule type="cellIs" dxfId="5" priority="23" operator="equal">
      <formula>0</formula>
    </cfRule>
  </conditionalFormatting>
  <conditionalFormatting sqref="E130">
    <cfRule type="cellIs" dxfId="5" priority="22" operator="equal">
      <formula>0</formula>
    </cfRule>
  </conditionalFormatting>
  <conditionalFormatting sqref="E136">
    <cfRule type="cellIs" dxfId="3" priority="66" operator="greaterThanOrEqual">
      <formula>0</formula>
    </cfRule>
    <cfRule type="cellIs" dxfId="4" priority="65"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47">
    <cfRule type="cellIs" dxfId="0" priority="11" operator="equal">
      <formula>0</formula>
    </cfRule>
    <cfRule type="cellIs" dxfId="1" priority="10" operator="greaterThan">
      <formula>0</formula>
    </cfRule>
  </conditionalFormatting>
  <conditionalFormatting sqref="E151">
    <cfRule type="cellIs" dxfId="0" priority="2" operator="equal">
      <formula>0</formula>
    </cfRule>
    <cfRule type="cellIs" dxfId="1" priority="1" operator="greater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72">
    <cfRule type="cellIs" dxfId="0" priority="7" operator="equal">
      <formula>0</formula>
    </cfRule>
    <cfRule type="cellIs" dxfId="1" priority="6" operator="greaterThan">
      <formula>0</formula>
    </cfRule>
  </conditionalFormatting>
  <conditionalFormatting sqref="E174">
    <cfRule type="cellIs" dxfId="0" priority="5" operator="equal">
      <formula>0</formula>
    </cfRule>
    <cfRule type="cellIs" dxfId="1" priority="4" operator="greaterThan">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47:C50">
    <cfRule type="cellIs" dxfId="0" priority="14" operator="equal">
      <formula>0</formula>
    </cfRule>
    <cfRule type="cellIs" dxfId="1" priority="13" operator="greaterThan">
      <formula>0</formula>
    </cfRule>
  </conditionalFormatting>
  <conditionalFormatting sqref="C57:C66">
    <cfRule type="cellIs" dxfId="0" priority="78" operator="equal">
      <formula>0</formula>
    </cfRule>
    <cfRule type="cellIs" dxfId="1" priority="77" operator="greaterThan">
      <formula>0</formula>
    </cfRule>
  </conditionalFormatting>
  <conditionalFormatting sqref="C68:C69">
    <cfRule type="cellIs" dxfId="0" priority="76" operator="equal">
      <formula>0</formula>
    </cfRule>
    <cfRule type="cellIs" dxfId="1" priority="75" operator="greaterThan">
      <formula>0</formula>
    </cfRule>
  </conditionalFormatting>
  <conditionalFormatting sqref="C70:C74">
    <cfRule type="cellIs" dxfId="0" priority="64" operator="equal">
      <formula>0</formula>
    </cfRule>
    <cfRule type="cellIs" dxfId="1" priority="63" operator="greaterThan">
      <formula>0</formula>
    </cfRule>
  </conditionalFormatting>
  <conditionalFormatting sqref="C80:C84">
    <cfRule type="cellIs" dxfId="0" priority="62" operator="equal">
      <formula>0</formula>
    </cfRule>
    <cfRule type="cellIs" dxfId="1" priority="61" operator="greaterThan">
      <formula>0</formula>
    </cfRule>
  </conditionalFormatting>
  <conditionalFormatting sqref="C87:C90">
    <cfRule type="cellIs" dxfId="5" priority="12" operator="equal">
      <formula>0</formula>
    </cfRule>
  </conditionalFormatting>
  <conditionalFormatting sqref="C92:C94">
    <cfRule type="cellIs" dxfId="0" priority="60" operator="equal">
      <formula>0</formula>
    </cfRule>
    <cfRule type="cellIs" dxfId="1" priority="59"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9:E127">
    <cfRule type="cellIs" dxfId="0" priority="38" operator="equal">
      <formula>0</formula>
    </cfRule>
    <cfRule type="cellIs" dxfId="1" priority="37" operator="greaterThan">
      <formula>0</formula>
    </cfRule>
  </conditionalFormatting>
  <conditionalFormatting sqref="E131:E133">
    <cfRule type="cellIs" dxfId="5" priority="21" operator="equal">
      <formula>0</formula>
    </cfRule>
  </conditionalFormatting>
  <conditionalFormatting sqref="E156:E157">
    <cfRule type="cellIs" dxfId="5" priority="9" operator="equal">
      <formula>0</formula>
    </cfRule>
  </conditionalFormatting>
  <conditionalFormatting sqref="E158:E160">
    <cfRule type="cellIs" dxfId="5" priority="8" operator="equal">
      <formula>0</formula>
    </cfRule>
  </conditionalFormatting>
  <conditionalFormatting sqref="E183:E188">
    <cfRule type="cellIs" dxfId="5" priority="3" operator="equal">
      <formula>0</formula>
    </cfRule>
  </conditionalFormatting>
  <conditionalFormatting sqref="C51:C55 C85 C78:C79 C95:C96">
    <cfRule type="cellIs" dxfId="0" priority="80" operator="equal">
      <formula>0</formula>
    </cfRule>
  </conditionalFormatting>
  <conditionalFormatting sqref="C51:C55 C85 C78:C79 C95:C96 E144 E155 E161:E162">
    <cfRule type="cellIs" dxfId="1" priority="79" operator="greaterThan">
      <formula>0</formula>
    </cfRule>
  </conditionalFormatting>
  <conditionalFormatting sqref="E117 E128 E134:E135">
    <cfRule type="cellIs" dxfId="0" priority="68" operator="equal">
      <formula>0</formula>
    </cfRule>
    <cfRule type="cellIs" dxfId="1" priority="67" operator="greaterThan">
      <formula>0</formula>
    </cfRule>
  </conditionalFormatting>
  <conditionalFormatting sqref="E144 E155 E161:E162">
    <cfRule type="cellIs" dxfId="2" priority="54" operator="equal">
      <formula>0</formula>
    </cfRule>
  </conditionalFormatting>
  <conditionalFormatting sqref="E145:E146 E148:E150 E152:E154">
    <cfRule type="cellIs" dxfId="0" priority="36" operator="equal">
      <formula>0</formula>
    </cfRule>
    <cfRule type="cellIs" dxfId="1" priority="35" operator="greaterThan">
      <formula>0</formula>
    </cfRule>
  </conditionalFormatting>
  <conditionalFormatting sqref="E171 E182 E189">
    <cfRule type="cellIs" dxfId="2" priority="48" operator="equal">
      <formula>0</formula>
    </cfRule>
    <cfRule type="cellIs" dxfId="1" priority="47" operator="greaterThan">
      <formula>0</formula>
    </cfRule>
  </conditionalFormatting>
  <conditionalFormatting sqref="E173 E175:E181">
    <cfRule type="cellIs" dxfId="0" priority="34" operator="equal">
      <formula>0</formula>
    </cfRule>
    <cfRule type="cellIs" dxfId="1" priority="33" operator="greaterThan">
      <formula>0</formula>
    </cfRule>
  </conditionalFormatting>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2"/>
  <sheetViews>
    <sheetView topLeftCell="A111" workbookViewId="0">
      <selection activeCell="D50" sqref="D50"/>
    </sheetView>
  </sheetViews>
  <sheetFormatPr defaultColWidth="9" defaultRowHeight="17.6"/>
  <cols>
    <col min="1" max="1" width="20.625" style="41" customWidth="1"/>
    <col min="2" max="2" width="26.9583333333333" style="41" customWidth="1"/>
    <col min="3" max="3" width="24.125" style="41" customWidth="1"/>
    <col min="4" max="7" width="20.625" style="41" customWidth="1"/>
    <col min="8" max="8" width="15.625" style="41" customWidth="1"/>
    <col min="9" max="16384" width="9" style="41"/>
  </cols>
  <sheetData>
    <row r="1" ht="30" customHeight="1" spans="1:7">
      <c r="A1" s="1" t="str">
        <f>"Forecasts For the Year "&amp;IF(Main!B2,TEXT(EDATE(Main!B3,6),"mmmm yyyy"),TEXT(Main!B3+((Main!B5-Main!B3)*6+6),"mmmm yyyy"))&amp;" to "&amp;IF(Main!B2,TEXT(EDATE(Main!B3,9)-1,"mmmm yyyy"),TEXT(Main!B3+((Main!B5-Main!B3)*9+8),"mmmm yyyy"))</f>
        <v>Forecasts For the Year July 2025 to October 2025</v>
      </c>
      <c r="B1" s="1"/>
      <c r="C1" s="1"/>
      <c r="D1" s="1"/>
      <c r="E1" s="1"/>
      <c r="F1" s="1"/>
      <c r="G1" s="1"/>
    </row>
    <row r="2" ht="30" customHeight="1" spans="1:7">
      <c r="A2" s="2" t="s">
        <v>33</v>
      </c>
      <c r="B2" s="3" t="s">
        <v>94</v>
      </c>
      <c r="C2" s="4" cm="1">
        <f ca="1" t="array" ref="C2">INDIRECT("'"&amp;Main!B9&amp;"'!$C$16")</f>
        <v>306.32</v>
      </c>
      <c r="D2" s="4"/>
      <c r="E2" s="4"/>
      <c r="F2" s="4"/>
      <c r="G2" s="4"/>
    </row>
    <row r="3" ht="30" customHeight="1" spans="1:7">
      <c r="A3" s="5"/>
      <c r="B3" s="6" t="s">
        <v>95</v>
      </c>
      <c r="C3" s="7">
        <f ca="1">E190</f>
        <v>4171.32</v>
      </c>
      <c r="D3" s="7"/>
      <c r="E3" s="7"/>
      <c r="F3" s="7"/>
      <c r="G3" s="7"/>
    </row>
    <row r="4" ht="30" customHeight="1" spans="1:9">
      <c r="A4" s="8" t="s">
        <v>47</v>
      </c>
      <c r="B4" s="9"/>
      <c r="C4" s="10">
        <f ca="1">SUM(C2:G3)</f>
        <v>4477.64</v>
      </c>
      <c r="D4" s="10"/>
      <c r="E4" s="10"/>
      <c r="F4" s="10"/>
      <c r="G4" s="10"/>
      <c r="H4" s="14"/>
      <c r="I4" s="48"/>
    </row>
    <row r="5" ht="30" customHeight="1" spans="1:9">
      <c r="A5" s="11" t="s">
        <v>96</v>
      </c>
      <c r="B5" s="11"/>
      <c r="C5" s="12">
        <f ca="1">C108</f>
        <v>-333730.02</v>
      </c>
      <c r="D5" s="13"/>
      <c r="E5" s="13"/>
      <c r="F5" s="13"/>
      <c r="G5" s="13"/>
      <c r="H5" s="14"/>
      <c r="I5" s="48"/>
    </row>
    <row r="6" ht="30" customHeight="1" spans="1:9">
      <c r="A6" s="14"/>
      <c r="B6" s="14"/>
      <c r="C6" s="14"/>
      <c r="D6" s="14"/>
      <c r="E6" s="14"/>
      <c r="F6" s="14"/>
      <c r="G6" s="14"/>
      <c r="H6" s="14"/>
      <c r="I6" s="48"/>
    </row>
    <row r="7" ht="30" customHeight="1" spans="1:9">
      <c r="A7" s="14"/>
      <c r="B7" s="14"/>
      <c r="C7" s="14"/>
      <c r="D7" s="14"/>
      <c r="E7" s="14"/>
      <c r="F7" s="14"/>
      <c r="G7" s="14"/>
      <c r="H7" s="14"/>
      <c r="I7" s="48"/>
    </row>
    <row r="8" ht="30" customHeight="1" spans="1:9">
      <c r="A8" s="15" t="str">
        <f>IF(Main!B2,TEXT(EDATE(Main!B3,6),"dd mmmm yyyy"),TEXT(Main!B3+((Main!B5-Main!B3)*6+6),"dd mmmm yyyy"))&amp;" - "&amp;IF(Main!B2,TEXT(EDATE(Main!B3,7)-1,"dd mmmm yyyy"),TEXT(Main!B3+((Main!B5-Main!B3)*7+6),"dd mmmm yyyy"))&amp;" / "&amp;" (Revenue / Deferred Debts Or Expenses)"</f>
        <v>20 July 2025 - 19 August 2025 /  (Revenue / Deferred Debts Or Expenses)</v>
      </c>
      <c r="B8" s="16"/>
      <c r="C8" s="16"/>
      <c r="D8" s="16"/>
      <c r="E8" s="16"/>
      <c r="F8" s="16"/>
      <c r="G8" s="16"/>
      <c r="H8" s="14"/>
      <c r="I8" s="49"/>
    </row>
    <row r="9" ht="30" customHeight="1" spans="1:9">
      <c r="A9" s="17" t="s">
        <v>29</v>
      </c>
      <c r="B9" s="17" t="s">
        <v>48</v>
      </c>
      <c r="C9" s="17"/>
      <c r="D9" s="18" t="s">
        <v>49</v>
      </c>
      <c r="E9" s="18"/>
      <c r="F9" s="18" t="s">
        <v>50</v>
      </c>
      <c r="G9" s="18"/>
      <c r="H9" s="14"/>
      <c r="I9" s="48"/>
    </row>
    <row r="10" ht="30" customHeight="1" spans="1:9">
      <c r="A10" s="101"/>
      <c r="B10" s="20" t="s">
        <v>97</v>
      </c>
      <c r="C10" s="20"/>
      <c r="D10" s="115" t="s">
        <v>98</v>
      </c>
      <c r="E10" s="123"/>
      <c r="F10" s="7">
        <v>2435</v>
      </c>
      <c r="G10" s="7"/>
      <c r="H10" s="14"/>
      <c r="I10" s="48"/>
    </row>
    <row r="11" ht="30" customHeight="1" spans="1:9">
      <c r="A11" s="101"/>
      <c r="B11" s="20"/>
      <c r="C11" s="20"/>
      <c r="D11" s="115"/>
      <c r="E11" s="123"/>
      <c r="F11" s="7">
        <v>0</v>
      </c>
      <c r="G11" s="7"/>
      <c r="H11" s="14"/>
      <c r="I11" s="48"/>
    </row>
    <row r="12" ht="30" customHeight="1" spans="1:9">
      <c r="A12" s="101"/>
      <c r="B12" s="20"/>
      <c r="C12" s="20"/>
      <c r="D12" s="115"/>
      <c r="E12" s="123"/>
      <c r="F12" s="7">
        <v>0</v>
      </c>
      <c r="G12" s="7"/>
      <c r="H12" s="14"/>
      <c r="I12" s="48"/>
    </row>
    <row r="13" ht="30" customHeight="1" spans="1:9">
      <c r="A13" s="101"/>
      <c r="B13" s="20"/>
      <c r="C13" s="20"/>
      <c r="D13" s="115"/>
      <c r="E13" s="123"/>
      <c r="F13" s="7">
        <v>0</v>
      </c>
      <c r="G13" s="7"/>
      <c r="H13" s="14"/>
      <c r="I13" s="48"/>
    </row>
    <row r="14" ht="30" customHeight="1" spans="1:9">
      <c r="A14" s="101"/>
      <c r="B14" s="20"/>
      <c r="C14" s="20"/>
      <c r="D14" s="115"/>
      <c r="E14" s="123"/>
      <c r="F14" s="7">
        <v>0</v>
      </c>
      <c r="G14" s="7"/>
      <c r="H14" s="14"/>
      <c r="I14" s="48"/>
    </row>
    <row r="15" ht="30" customHeight="1" spans="1:9">
      <c r="A15" s="101"/>
      <c r="B15" s="20"/>
      <c r="C15" s="20"/>
      <c r="D15" s="115"/>
      <c r="E15" s="123"/>
      <c r="F15" s="7">
        <v>0</v>
      </c>
      <c r="G15" s="7"/>
      <c r="H15" s="14"/>
      <c r="I15" s="48"/>
    </row>
    <row r="16" ht="30" customHeight="1" spans="1:9">
      <c r="A16" s="25"/>
      <c r="B16" s="26"/>
      <c r="C16" s="27"/>
      <c r="D16" s="28" t="s">
        <v>51</v>
      </c>
      <c r="E16" s="45"/>
      <c r="F16" s="46">
        <f>SUM(F10:G15)</f>
        <v>2435</v>
      </c>
      <c r="G16" s="47"/>
      <c r="H16" s="14"/>
      <c r="I16" s="48"/>
    </row>
    <row r="17" ht="30" customHeight="1" spans="1:9">
      <c r="A17" s="14"/>
      <c r="B17" s="14"/>
      <c r="C17" s="14"/>
      <c r="D17" s="14"/>
      <c r="E17" s="14"/>
      <c r="F17" s="14"/>
      <c r="G17" s="14"/>
      <c r="H17" s="14"/>
      <c r="I17" s="48"/>
    </row>
    <row r="18" ht="30" customHeight="1" spans="1:9">
      <c r="A18" s="14"/>
      <c r="B18" s="14"/>
      <c r="C18" s="14"/>
      <c r="D18" s="14"/>
      <c r="E18" s="14"/>
      <c r="F18" s="14"/>
      <c r="G18" s="14"/>
      <c r="H18" s="14"/>
      <c r="I18" s="48"/>
    </row>
    <row r="19" ht="30" customHeight="1" spans="1:9">
      <c r="A19" s="14"/>
      <c r="B19" s="14"/>
      <c r="C19" s="14"/>
      <c r="D19" s="14"/>
      <c r="E19" s="14"/>
      <c r="F19" s="14"/>
      <c r="G19" s="14"/>
      <c r="H19" s="14"/>
      <c r="I19" s="48"/>
    </row>
    <row r="20" ht="30" customHeight="1" spans="1:9">
      <c r="A20" s="15" t="str">
        <f>IF(Main!B2,TEXT(EDATE(Main!B3,7),"dd mmmm yyyy"),TEXT(Main!B3+((Main!B5-Main!B3)*7+7),"dd mmmm yyyy"))&amp;" - "&amp;IF(Main!B2,TEXT(EDATE(Main!B3,8)-1,"dd mmmm yyyy"),TEXT(Main!B3+((Main!B5-Main!B3)*8+7),"dd mmmm yyyy"))&amp;" / "&amp;" (Revenue / Deferred Debts Or Expenses)"</f>
        <v>20 August 2025 - 19 September 2025 /  (Revenue / Deferred Debts Or Expenses)</v>
      </c>
      <c r="B20" s="16"/>
      <c r="C20" s="16"/>
      <c r="D20" s="16"/>
      <c r="E20" s="16"/>
      <c r="F20" s="16"/>
      <c r="G20" s="16"/>
      <c r="H20" s="14"/>
      <c r="I20" s="48"/>
    </row>
    <row r="21" ht="30" customHeight="1" spans="1:9">
      <c r="A21" s="17" t="s">
        <v>29</v>
      </c>
      <c r="B21" s="17" t="s">
        <v>48</v>
      </c>
      <c r="C21" s="17"/>
      <c r="D21" s="18" t="s">
        <v>49</v>
      </c>
      <c r="E21" s="18"/>
      <c r="F21" s="18" t="s">
        <v>50</v>
      </c>
      <c r="G21" s="18"/>
      <c r="H21" s="14"/>
      <c r="I21" s="48"/>
    </row>
    <row r="22" ht="30" customHeight="1" spans="1:9">
      <c r="A22" s="101"/>
      <c r="B22" s="20" t="s">
        <v>97</v>
      </c>
      <c r="C22" s="20"/>
      <c r="D22" s="115" t="s">
        <v>98</v>
      </c>
      <c r="E22" s="123"/>
      <c r="F22" s="7">
        <v>2435</v>
      </c>
      <c r="G22" s="7"/>
      <c r="H22" s="14"/>
      <c r="I22" s="48"/>
    </row>
    <row r="23" ht="30" customHeight="1" spans="1:9">
      <c r="A23" s="101"/>
      <c r="B23" s="20"/>
      <c r="C23" s="110"/>
      <c r="D23" s="21"/>
      <c r="E23" s="111"/>
      <c r="F23" s="7">
        <v>0</v>
      </c>
      <c r="G23" s="7"/>
      <c r="H23" s="14"/>
      <c r="I23" s="48"/>
    </row>
    <row r="24" ht="27" customHeight="1" spans="1:9">
      <c r="A24" s="19"/>
      <c r="B24" s="22"/>
      <c r="C24" s="23"/>
      <c r="D24" s="22"/>
      <c r="E24" s="23"/>
      <c r="F24" s="43">
        <v>0</v>
      </c>
      <c r="G24" s="44"/>
      <c r="H24" s="14"/>
      <c r="I24" s="48"/>
    </row>
    <row r="25" ht="29.25" customHeight="1" spans="1:9">
      <c r="A25" s="101"/>
      <c r="B25" s="20"/>
      <c r="C25" s="110"/>
      <c r="D25" s="20"/>
      <c r="E25" s="110"/>
      <c r="F25" s="7">
        <v>0</v>
      </c>
      <c r="G25" s="7"/>
      <c r="H25" s="14"/>
      <c r="I25" s="48"/>
    </row>
    <row r="26" ht="30" customHeight="1" spans="1:9">
      <c r="A26" s="101"/>
      <c r="B26" s="20"/>
      <c r="C26" s="110"/>
      <c r="D26" s="21"/>
      <c r="E26" s="111"/>
      <c r="F26" s="7">
        <v>0</v>
      </c>
      <c r="G26" s="7"/>
      <c r="H26" s="14"/>
      <c r="I26" s="48"/>
    </row>
    <row r="27" ht="30" customHeight="1" spans="1:9">
      <c r="A27" s="101"/>
      <c r="B27" s="20"/>
      <c r="C27" s="110"/>
      <c r="D27" s="20"/>
      <c r="E27" s="110"/>
      <c r="F27" s="7">
        <v>0</v>
      </c>
      <c r="G27" s="7"/>
      <c r="H27" s="14"/>
      <c r="I27" s="48"/>
    </row>
    <row r="28" ht="30" customHeight="1" spans="1:9">
      <c r="A28" s="25"/>
      <c r="B28" s="26"/>
      <c r="C28" s="27"/>
      <c r="D28" s="28" t="s">
        <v>51</v>
      </c>
      <c r="E28" s="45"/>
      <c r="F28" s="46">
        <f>SUM(F22:G27)</f>
        <v>2435</v>
      </c>
      <c r="G28" s="47"/>
      <c r="H28" s="14"/>
      <c r="I28" s="48"/>
    </row>
    <row r="29" ht="30" customHeight="1" spans="1:9">
      <c r="A29" s="14"/>
      <c r="B29" s="14"/>
      <c r="C29" s="14"/>
      <c r="D29" s="14"/>
      <c r="E29" s="14"/>
      <c r="F29" s="14"/>
      <c r="G29" s="14"/>
      <c r="H29" s="14"/>
      <c r="I29" s="48"/>
    </row>
    <row r="30" ht="30" customHeight="1" spans="1:9">
      <c r="A30" s="14"/>
      <c r="B30" s="14"/>
      <c r="C30" s="14"/>
      <c r="D30" s="14"/>
      <c r="E30" s="14"/>
      <c r="F30" s="14"/>
      <c r="G30" s="14"/>
      <c r="H30" s="14"/>
      <c r="I30" s="48"/>
    </row>
    <row r="31" ht="30" customHeight="1" spans="1:9">
      <c r="A31" s="14"/>
      <c r="B31" s="14"/>
      <c r="C31" s="14"/>
      <c r="D31" s="14"/>
      <c r="E31" s="14"/>
      <c r="F31" s="14"/>
      <c r="G31" s="14"/>
      <c r="H31" s="14"/>
      <c r="I31" s="48"/>
    </row>
    <row r="32" ht="30" customHeight="1" spans="1:9">
      <c r="A32" s="15" t="str">
        <f>IF(Main!B2,TEXT(EDATE(Main!B3,8),"dd mmmm yyyy"),TEXT(Main!B3+((Main!B5-Main!B3)*8+8),"dd mmmm yyyy"))&amp;" - "&amp;IF(Main!B2,TEXT(EDATE(Main!B3,9)-1,"dd mmmm yyyy"),TEXT(Main!B3+((Main!B5-Main!B3)*9+8),"dd mmmm yyyy"))&amp;" / "&amp;" (Revenue / Deferred Debts Or Expenses)"</f>
        <v>20 September 2025 - 19 October 2025 /  (Revenue / Deferred Debts Or Expenses)</v>
      </c>
      <c r="B32" s="16"/>
      <c r="C32" s="16"/>
      <c r="D32" s="16"/>
      <c r="E32" s="16"/>
      <c r="F32" s="16"/>
      <c r="G32" s="16"/>
      <c r="H32" s="14"/>
      <c r="I32" s="48"/>
    </row>
    <row r="33" ht="30" customHeight="1" spans="1:9">
      <c r="A33" s="17" t="s">
        <v>29</v>
      </c>
      <c r="B33" s="17" t="s">
        <v>48</v>
      </c>
      <c r="C33" s="17"/>
      <c r="D33" s="18" t="s">
        <v>49</v>
      </c>
      <c r="E33" s="18"/>
      <c r="F33" s="18" t="s">
        <v>50</v>
      </c>
      <c r="G33" s="18"/>
      <c r="H33" s="14"/>
      <c r="I33" s="48"/>
    </row>
    <row r="34" ht="30" customHeight="1" spans="1:9">
      <c r="A34" s="101"/>
      <c r="B34" s="20" t="s">
        <v>97</v>
      </c>
      <c r="C34" s="20"/>
      <c r="D34" s="115" t="s">
        <v>98</v>
      </c>
      <c r="E34" s="123"/>
      <c r="F34" s="7">
        <v>2435</v>
      </c>
      <c r="G34" s="7"/>
      <c r="H34" s="14"/>
      <c r="I34" s="48"/>
    </row>
    <row r="35" ht="30" customHeight="1" spans="1:9">
      <c r="A35" s="101"/>
      <c r="B35" s="116"/>
      <c r="C35" s="117"/>
      <c r="D35" s="21"/>
      <c r="E35" s="111"/>
      <c r="F35" s="7">
        <v>0</v>
      </c>
      <c r="G35" s="7"/>
      <c r="H35" s="14"/>
      <c r="I35" s="48"/>
    </row>
    <row r="36" ht="30" customHeight="1" spans="1:9">
      <c r="A36" s="101"/>
      <c r="B36" s="116"/>
      <c r="C36" s="117"/>
      <c r="D36" s="21"/>
      <c r="E36" s="111"/>
      <c r="F36" s="7">
        <v>0</v>
      </c>
      <c r="G36" s="7"/>
      <c r="H36" s="14"/>
      <c r="I36" s="49"/>
    </row>
    <row r="37" ht="24" customHeight="1" spans="1:9">
      <c r="A37" s="118"/>
      <c r="B37" s="119"/>
      <c r="C37" s="120"/>
      <c r="D37" s="119"/>
      <c r="E37" s="120"/>
      <c r="F37" s="43">
        <v>0</v>
      </c>
      <c r="G37" s="44"/>
      <c r="H37" s="14"/>
      <c r="I37" s="48"/>
    </row>
    <row r="38" ht="30" customHeight="1" spans="1:9">
      <c r="A38" s="101"/>
      <c r="B38" s="116"/>
      <c r="C38" s="117"/>
      <c r="D38" s="116"/>
      <c r="E38" s="117"/>
      <c r="F38" s="7">
        <v>0</v>
      </c>
      <c r="G38" s="7"/>
      <c r="H38" s="14"/>
      <c r="I38" s="48"/>
    </row>
    <row r="39" ht="30" customHeight="1" spans="1:9">
      <c r="A39" s="101"/>
      <c r="B39" s="121"/>
      <c r="C39" s="122"/>
      <c r="D39" s="121"/>
      <c r="E39" s="122"/>
      <c r="F39" s="7">
        <v>0</v>
      </c>
      <c r="G39" s="7"/>
      <c r="H39" s="14"/>
      <c r="I39" s="48"/>
    </row>
    <row r="40" ht="30" customHeight="1" spans="1:9">
      <c r="A40" s="25"/>
      <c r="B40" s="26"/>
      <c r="C40" s="27"/>
      <c r="D40" s="28" t="s">
        <v>51</v>
      </c>
      <c r="E40" s="45"/>
      <c r="F40" s="46">
        <f>SUM(F34:G39)</f>
        <v>2435</v>
      </c>
      <c r="G40" s="47"/>
      <c r="H40" s="14"/>
      <c r="I40" s="48"/>
    </row>
    <row r="41" ht="30" customHeight="1" spans="1:9">
      <c r="A41" s="14"/>
      <c r="B41" s="14"/>
      <c r="C41" s="14"/>
      <c r="D41" s="14"/>
      <c r="E41" s="14"/>
      <c r="F41" s="14"/>
      <c r="G41" s="14"/>
      <c r="H41" s="14"/>
      <c r="I41" s="48"/>
    </row>
    <row r="42" ht="30" customHeight="1" spans="1:9">
      <c r="A42" s="14"/>
      <c r="B42" s="14"/>
      <c r="C42" s="14"/>
      <c r="D42" s="14"/>
      <c r="E42" s="14"/>
      <c r="F42" s="14"/>
      <c r="G42" s="14"/>
      <c r="H42" s="14"/>
      <c r="I42" s="48"/>
    </row>
    <row r="43" ht="30" customHeight="1" spans="1:9">
      <c r="A43" s="14"/>
      <c r="B43" s="14"/>
      <c r="C43" s="14"/>
      <c r="D43" s="14"/>
      <c r="E43" s="14"/>
      <c r="F43" s="14"/>
      <c r="G43" s="14"/>
      <c r="H43" s="14"/>
      <c r="I43" s="48"/>
    </row>
    <row r="44" ht="30" customHeight="1" spans="1:9">
      <c r="A44" s="29" t="str">
        <f>"Fixed Expense For the Year "&amp;IF(Main!B2,TEXT(EDATE(Main!B3,6),"mmmm yyyy"),TEXT(Main!B3+((Main!B5-Main!B3)*6+6),"mmmm yyyy"))&amp;" to "&amp;IF(Main!B2,TEXT(EDATE(Main!B3,9)-1,"mmmm yyyy"),TEXT(Main!B3+((Main!B5-Main!B3)*9+8),"mmmm yyyy"))</f>
        <v>Fixed Expense For the Year July 2025 to October 2025</v>
      </c>
      <c r="B44" s="30"/>
      <c r="C44" s="31"/>
      <c r="D44" s="14"/>
      <c r="E44" s="14"/>
      <c r="F44" s="14"/>
      <c r="G44" s="14"/>
      <c r="H44" s="14"/>
      <c r="I44" s="48"/>
    </row>
    <row r="45" ht="30" customHeight="1" spans="1:9">
      <c r="A45" s="32" t="s">
        <v>48</v>
      </c>
      <c r="B45" s="32" t="s">
        <v>49</v>
      </c>
      <c r="C45" s="1" t="s">
        <v>50</v>
      </c>
      <c r="D45" s="14"/>
      <c r="E45" s="14"/>
      <c r="F45" s="14"/>
      <c r="G45" s="14"/>
      <c r="H45" s="14"/>
      <c r="I45" s="48"/>
    </row>
    <row r="46" ht="30" customHeight="1" spans="1:9">
      <c r="A46" s="33" t="s">
        <v>54</v>
      </c>
      <c r="B46" s="34"/>
      <c r="C46" s="35"/>
      <c r="D46" s="14"/>
      <c r="E46" s="14"/>
      <c r="F46" s="14"/>
      <c r="G46" s="14"/>
      <c r="H46" s="14"/>
      <c r="I46" s="48"/>
    </row>
    <row r="47" ht="30"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30"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30"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30"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4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30"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30"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30"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30" customHeight="1" spans="1:9">
      <c r="A55" s="39"/>
      <c r="B55" s="40" t="s">
        <v>60</v>
      </c>
      <c r="C55" s="37">
        <f>SUM(C47:C54)</f>
        <v>216</v>
      </c>
      <c r="D55" s="14"/>
      <c r="E55" s="14"/>
      <c r="F55" s="14"/>
      <c r="G55" s="14"/>
      <c r="H55" s="14"/>
      <c r="I55" s="48"/>
    </row>
    <row r="56" ht="30" customHeight="1" spans="1:9">
      <c r="A56" s="93" t="s">
        <v>61</v>
      </c>
      <c r="B56" s="94"/>
      <c r="C56" s="95"/>
      <c r="D56" s="14"/>
      <c r="E56" s="14"/>
      <c r="F56" s="14"/>
      <c r="G56" s="14"/>
      <c r="H56" s="14"/>
      <c r="I56" s="48"/>
    </row>
    <row r="57" ht="30"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30"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30"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30"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30"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30"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30"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30"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30"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30" customHeight="1" spans="1:9">
      <c r="A66" s="50"/>
      <c r="B66" s="40" t="s">
        <v>60</v>
      </c>
      <c r="C66" s="37">
        <f>SUM(C57:C65)</f>
        <v>0</v>
      </c>
      <c r="D66" s="14"/>
      <c r="E66" s="14"/>
      <c r="F66" s="14"/>
      <c r="G66" s="14"/>
      <c r="H66" s="14"/>
      <c r="I66" s="48"/>
    </row>
    <row r="67" ht="30" customHeight="1" spans="1:9">
      <c r="A67" s="93" t="s">
        <v>62</v>
      </c>
      <c r="B67" s="94"/>
      <c r="C67" s="95"/>
      <c r="D67" s="14"/>
      <c r="E67" s="14"/>
      <c r="F67" s="14"/>
      <c r="G67" s="14"/>
      <c r="H67" s="14"/>
      <c r="I67" s="48"/>
    </row>
    <row r="68" ht="50.2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30"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30"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30"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30"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30"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30"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30" customHeight="1" spans="1:9">
      <c r="A75" s="50"/>
      <c r="B75" s="40" t="s">
        <v>60</v>
      </c>
      <c r="C75" s="37">
        <f>SUM(C68:C74)</f>
        <v>0</v>
      </c>
      <c r="D75" s="14"/>
      <c r="E75" s="14"/>
      <c r="F75" s="14"/>
      <c r="G75" s="14"/>
      <c r="H75" s="14"/>
      <c r="I75" s="48"/>
    </row>
    <row r="76" ht="30" customHeight="1" spans="1:9">
      <c r="A76" s="93" t="s">
        <v>67</v>
      </c>
      <c r="B76" s="94"/>
      <c r="C76" s="95"/>
      <c r="D76" s="14"/>
      <c r="E76" s="14"/>
      <c r="F76" s="14"/>
      <c r="G76" s="14"/>
      <c r="H76" s="14"/>
      <c r="I76" s="48"/>
    </row>
    <row r="77" ht="30"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30"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30"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30"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30"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30"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30"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30"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30" customHeight="1" spans="1:9">
      <c r="A85" s="50"/>
      <c r="B85" s="40" t="s">
        <v>60</v>
      </c>
      <c r="C85" s="37">
        <f>SUM(C77:C84)</f>
        <v>0</v>
      </c>
      <c r="D85" s="14"/>
      <c r="E85" s="14"/>
      <c r="F85" s="14"/>
      <c r="G85" s="14"/>
      <c r="H85" s="14"/>
      <c r="I85" s="48"/>
    </row>
    <row r="86" ht="30" customHeight="1" spans="1:9">
      <c r="A86" s="93" t="s">
        <v>69</v>
      </c>
      <c r="B86" s="94"/>
      <c r="C86" s="95"/>
      <c r="D86" s="14"/>
      <c r="E86" s="14"/>
      <c r="F86" s="14"/>
      <c r="G86" s="14"/>
      <c r="H86" s="14"/>
      <c r="I86" s="48"/>
    </row>
    <row r="87" ht="30"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47"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30"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30"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44"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30"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30"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30"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30" customHeight="1" spans="1:9">
      <c r="A95" s="52"/>
      <c r="B95" s="40" t="s">
        <v>60</v>
      </c>
      <c r="C95" s="37">
        <f>SUM(C87:C94)</f>
        <v>123</v>
      </c>
      <c r="D95" s="14"/>
      <c r="E95" s="14"/>
      <c r="F95" s="14"/>
      <c r="G95" s="14"/>
      <c r="H95" s="14"/>
      <c r="I95" s="48"/>
    </row>
    <row r="96" ht="30" customHeight="1" spans="1:9">
      <c r="A96" s="50"/>
      <c r="B96" s="40" t="s">
        <v>78</v>
      </c>
      <c r="C96" s="37">
        <f>C55+C66+C75+C85+C95</f>
        <v>339</v>
      </c>
      <c r="D96" s="14"/>
      <c r="E96" s="14"/>
      <c r="F96" s="14"/>
      <c r="G96" s="14"/>
      <c r="H96" s="14"/>
      <c r="I96" s="48"/>
    </row>
    <row r="97" ht="30" customHeight="1" spans="1:9">
      <c r="A97" s="93" t="s">
        <v>79</v>
      </c>
      <c r="B97" s="94"/>
      <c r="C97" s="95"/>
      <c r="D97" s="14"/>
      <c r="E97" s="14"/>
      <c r="F97" s="14"/>
      <c r="G97" s="14"/>
      <c r="H97" s="14"/>
      <c r="I97" s="48"/>
    </row>
    <row r="98" ht="30"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INDIRECT("'"&amp;INDIRECT("Main!B12")&amp;"'!C98")+SUM(E118+E145+E172)</f>
        <v>-5970</v>
      </c>
      <c r="D98" s="14"/>
      <c r="E98" s="96"/>
      <c r="F98" s="14"/>
      <c r="G98" s="14"/>
      <c r="H98" s="14"/>
      <c r="I98" s="48"/>
    </row>
    <row r="99" ht="30"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INDIRECT("'"&amp;INDIRECT("Main!B12")&amp;"'!C99")+SUM(E119+E146+E173)</f>
        <v>0</v>
      </c>
      <c r="D99" s="14"/>
      <c r="E99" s="14"/>
      <c r="F99" s="14"/>
      <c r="G99" s="14"/>
      <c r="H99" s="14"/>
      <c r="I99" s="48"/>
    </row>
    <row r="100" ht="30" customHeight="1" spans="1:9">
      <c r="A100" s="36" t="str" cm="1">
        <f ca="1" t="array" ref="A100">IF((INDIRECT("'"&amp;INDIRECT("Main!B9")&amp;"'!A114"))=0,"",(INDIRECT("'"&amp;INDIRECT("Main!B9")&amp;"'!A114")))</f>
        <v>Lawrence</v>
      </c>
      <c r="B100" s="36" t="str" cm="1">
        <f ca="1" t="array" ref="B100">IF((INDIRECT("'"&amp;INDIRECT("Main!B9")&amp;"'!B114"))=0,"",(INDIRECT("'"&amp;INDIRECT("Main!B9")&amp;"'!B114")))</f>
        <v/>
      </c>
      <c r="C100" s="124" cm="1">
        <f ca="1" t="array" ref="C100">INDIRECT("'"&amp;INDIRECT("Main!B12")&amp;"'!C100")+SUM(E120+E147+E174)</f>
        <v>0</v>
      </c>
      <c r="D100" s="14"/>
      <c r="E100" s="14"/>
      <c r="F100" s="14"/>
      <c r="G100" s="14"/>
      <c r="H100" s="14"/>
      <c r="I100" s="48"/>
    </row>
    <row r="101" ht="42"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INDIRECT("'"&amp;INDIRECT("Main!B12")&amp;"'!C101")+SUM(E121+E148+E175)</f>
        <v>0</v>
      </c>
      <c r="D101" s="14"/>
      <c r="E101" s="14"/>
      <c r="F101" s="14"/>
      <c r="G101" s="14"/>
      <c r="H101" s="14"/>
      <c r="I101" s="48"/>
    </row>
    <row r="102" ht="42"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INDIRECT("'"&amp;INDIRECT("Main!B12")&amp;"'!C102")+SUM(E122+E149+E176)</f>
        <v>-326149.51</v>
      </c>
      <c r="D102" s="14"/>
      <c r="E102" s="14"/>
      <c r="F102" s="14"/>
      <c r="G102" s="14"/>
      <c r="H102" s="14"/>
      <c r="I102" s="48"/>
    </row>
    <row r="103" ht="30"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INDIRECT("'"&amp;INDIRECT("Main!B12")&amp;"'!C103")+SUM(E123+E150+E177)</f>
        <v>-1083</v>
      </c>
      <c r="D103" s="14"/>
      <c r="E103" s="14"/>
      <c r="F103" s="14"/>
      <c r="G103" s="14"/>
      <c r="H103" s="14"/>
      <c r="I103" s="48"/>
    </row>
    <row r="104" ht="30"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INDIRECT("'"&amp;INDIRECT("Main!B12")&amp;"'!C104")+SUM(E124+E151+E178)</f>
        <v>-527.51</v>
      </c>
      <c r="D104" s="14"/>
      <c r="E104" s="14"/>
      <c r="F104" s="14"/>
      <c r="G104" s="14"/>
      <c r="H104" s="14"/>
      <c r="I104" s="48"/>
    </row>
    <row r="105" ht="30"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INDIRECT("'"&amp;INDIRECT("Main!B12")&amp;"'!C105")+SUM(E125+E152+E179)</f>
        <v>0</v>
      </c>
      <c r="D105" s="14"/>
      <c r="E105" s="14"/>
      <c r="F105" s="14"/>
      <c r="G105" s="14"/>
      <c r="H105" s="14"/>
      <c r="I105" s="48"/>
    </row>
    <row r="106" ht="30"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INDIRECT("'"&amp;INDIRECT("Main!B12")&amp;"'!C106")+SUM(E126+E153+E180)</f>
        <v>0</v>
      </c>
      <c r="D106" s="14"/>
      <c r="E106" s="14"/>
      <c r="F106" s="14"/>
      <c r="G106" s="14"/>
      <c r="H106" s="14"/>
      <c r="I106" s="48"/>
    </row>
    <row r="107" ht="30"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INDIRECT("'"&amp;INDIRECT("Main!B12")&amp;"'!C107")+SUM(E127+E154+E181)</f>
        <v>0</v>
      </c>
      <c r="D107" s="14"/>
      <c r="E107" s="14"/>
      <c r="F107" s="14"/>
      <c r="G107" s="14"/>
      <c r="H107" s="14"/>
      <c r="I107" s="48"/>
    </row>
    <row r="108" ht="30" customHeight="1" spans="1:9">
      <c r="A108" s="50"/>
      <c r="B108" s="40" t="s">
        <v>87</v>
      </c>
      <c r="C108" s="37">
        <f ca="1">SUM(C98:C107)</f>
        <v>-333730.02</v>
      </c>
      <c r="D108" s="14"/>
      <c r="E108" s="14"/>
      <c r="F108" s="14"/>
      <c r="G108" s="14"/>
      <c r="H108" s="14"/>
      <c r="I108" s="48"/>
    </row>
    <row r="109" ht="30" customHeight="1" spans="1:9">
      <c r="A109" s="50"/>
      <c r="B109" s="40" t="s">
        <v>88</v>
      </c>
      <c r="C109" s="37">
        <f ca="1">C108-C96</f>
        <v>-334069.02</v>
      </c>
      <c r="D109" s="14"/>
      <c r="E109" s="14"/>
      <c r="F109" s="14"/>
      <c r="G109" s="14"/>
      <c r="H109" s="14"/>
      <c r="I109" s="48"/>
    </row>
    <row r="110" ht="30" customHeight="1" spans="1:9">
      <c r="A110" s="14"/>
      <c r="B110" s="14"/>
      <c r="C110" s="14"/>
      <c r="D110" s="14"/>
      <c r="E110" s="14"/>
      <c r="F110" s="14"/>
      <c r="G110" s="14"/>
      <c r="H110" s="14"/>
      <c r="I110" s="48"/>
    </row>
    <row r="111" ht="30" customHeight="1" spans="1:9">
      <c r="A111" s="14"/>
      <c r="B111" s="14"/>
      <c r="C111" s="14"/>
      <c r="D111" s="14"/>
      <c r="E111" s="14"/>
      <c r="F111" s="14"/>
      <c r="G111" s="14"/>
      <c r="H111" s="14"/>
      <c r="I111" s="48"/>
    </row>
    <row r="112" ht="30" customHeight="1" spans="1:9">
      <c r="A112" s="14"/>
      <c r="B112" s="14"/>
      <c r="C112" s="14"/>
      <c r="D112" s="14"/>
      <c r="E112" s="14"/>
      <c r="F112" s="14"/>
      <c r="G112" s="14"/>
      <c r="H112" s="14"/>
      <c r="I112" s="48"/>
    </row>
    <row r="113" ht="30" customHeight="1" spans="1:9">
      <c r="A113" s="14"/>
      <c r="B113" s="14"/>
      <c r="C113" s="14"/>
      <c r="D113" s="14"/>
      <c r="E113" s="14"/>
      <c r="F113" s="14"/>
      <c r="G113" s="14"/>
      <c r="H113" s="14"/>
      <c r="I113" s="48"/>
    </row>
    <row r="114" ht="30" customHeight="1" spans="1:9">
      <c r="A114" s="53" t="str">
        <f>"Debts Or Credits For the Comming "&amp;IF(Main!B2,TEXT(EDATE(Main!B3,6),"mmmm dd yyyy"),TEXT(Main!B3+((Main!B5-Main!B3)*6+6),"mmmm dd yyyy"))&amp;" to "&amp;IF(Main!B2,TEXT(EDATE(Main!B3,7)-1,"mmmm dd yyyy"),TEXT(Main!B3+((Main!B5-Main!B3)*7+6),"mmmm dd yyyy"))</f>
        <v>Debts Or Credits For the Comming July 20 2025 to August 19 2025</v>
      </c>
      <c r="B114" s="54"/>
      <c r="C114" s="54"/>
      <c r="D114" s="54"/>
      <c r="E114" s="55"/>
      <c r="F114" s="14"/>
      <c r="G114" s="14"/>
      <c r="H114" s="14"/>
      <c r="I114" s="48"/>
    </row>
    <row r="115" ht="30" customHeight="1" spans="1:9">
      <c r="A115" s="53" t="s">
        <v>89</v>
      </c>
      <c r="B115" s="55"/>
      <c r="C115" s="53" t="s">
        <v>49</v>
      </c>
      <c r="D115" s="55"/>
      <c r="E115" s="70" t="s">
        <v>50</v>
      </c>
      <c r="F115" s="14"/>
      <c r="G115" s="14"/>
      <c r="H115" s="14"/>
      <c r="I115" s="48"/>
    </row>
    <row r="116" ht="30" customHeight="1" spans="1:9">
      <c r="A116" s="56" t="str">
        <f>"Balance Brought Forward From "&amp;IF(Main!B2,TEXT(EDATE(Main!B3,6)-1,"mmmm yyyy"),TEXT(Main!B3+((Main!B5-Main!B3)*6+5),"mmmm yyyy"))</f>
        <v>Balance Brought Forward From July 2025</v>
      </c>
      <c r="B116" s="57"/>
      <c r="C116" s="58"/>
      <c r="D116" s="58"/>
      <c r="E116" s="89" cm="1">
        <f ca="1" t="array" ref="E116">INDIRECT("'"&amp;INDIRECT("Main!B12")&amp;"'!E190")</f>
        <v>1231.32</v>
      </c>
      <c r="F116" s="14"/>
      <c r="G116" s="14"/>
      <c r="H116" s="14"/>
      <c r="I116" s="48"/>
    </row>
    <row r="117" ht="30" customHeight="1" spans="1:9">
      <c r="A117" s="59" t="s">
        <v>69</v>
      </c>
      <c r="B117" s="60"/>
      <c r="C117" s="61" t="s">
        <v>90</v>
      </c>
      <c r="D117" s="62"/>
      <c r="E117" s="72"/>
      <c r="F117" s="14"/>
      <c r="G117" s="14"/>
      <c r="H117" s="14"/>
      <c r="I117" s="48"/>
    </row>
    <row r="118" ht="30" customHeight="1" spans="1:9">
      <c r="A118" s="63"/>
      <c r="B118" s="64"/>
      <c r="C118" s="74" t="s">
        <v>127</v>
      </c>
      <c r="D118" s="74"/>
      <c r="E118" s="37">
        <v>0</v>
      </c>
      <c r="F118" s="14"/>
      <c r="G118" s="14"/>
      <c r="H118" s="14"/>
      <c r="I118" s="48"/>
    </row>
    <row r="119" ht="30" customHeight="1" spans="1:9">
      <c r="A119" s="63"/>
      <c r="B119" s="64"/>
      <c r="C119" s="65"/>
      <c r="D119" s="66"/>
      <c r="E119" s="37">
        <v>0</v>
      </c>
      <c r="F119" s="14"/>
      <c r="G119" s="14"/>
      <c r="H119" s="14"/>
      <c r="I119" s="48"/>
    </row>
    <row r="120" ht="30" customHeight="1" spans="1:9">
      <c r="A120" s="63"/>
      <c r="B120" s="64"/>
      <c r="C120" s="74"/>
      <c r="D120" s="74"/>
      <c r="E120" s="87">
        <v>0</v>
      </c>
      <c r="F120" s="14"/>
      <c r="G120" s="14"/>
      <c r="H120" s="14"/>
      <c r="I120" s="48"/>
    </row>
    <row r="121" ht="30" customHeight="1" spans="1:9">
      <c r="A121" s="63"/>
      <c r="B121" s="64"/>
      <c r="C121" s="65"/>
      <c r="D121" s="66"/>
      <c r="E121" s="37">
        <v>0</v>
      </c>
      <c r="F121" s="14"/>
      <c r="G121" s="14"/>
      <c r="H121" s="14"/>
      <c r="I121" s="48"/>
    </row>
    <row r="122" ht="30" customHeight="1" spans="1:9">
      <c r="A122" s="63"/>
      <c r="B122" s="64"/>
      <c r="C122" s="65"/>
      <c r="D122" s="66"/>
      <c r="E122" s="37">
        <v>0</v>
      </c>
      <c r="F122" s="14"/>
      <c r="G122" s="14"/>
      <c r="H122" s="14"/>
      <c r="I122" s="48"/>
    </row>
    <row r="123" ht="30" customHeight="1" spans="1:9">
      <c r="A123" s="63"/>
      <c r="B123" s="64"/>
      <c r="C123" s="65"/>
      <c r="D123" s="66"/>
      <c r="E123" s="37">
        <v>0</v>
      </c>
      <c r="F123" s="14"/>
      <c r="G123" s="14"/>
      <c r="H123" s="14"/>
      <c r="I123" s="48"/>
    </row>
    <row r="124" ht="30" customHeight="1" spans="1:9">
      <c r="A124" s="63"/>
      <c r="B124" s="64"/>
      <c r="C124" s="65"/>
      <c r="D124" s="66"/>
      <c r="E124" s="37">
        <v>0</v>
      </c>
      <c r="F124" s="14"/>
      <c r="G124" s="14"/>
      <c r="H124" s="14"/>
      <c r="I124" s="48"/>
    </row>
    <row r="125" ht="30" customHeight="1" spans="1:9">
      <c r="A125" s="63"/>
      <c r="B125" s="64"/>
      <c r="C125" s="65"/>
      <c r="D125" s="66"/>
      <c r="E125" s="37">
        <v>0</v>
      </c>
      <c r="F125" s="14"/>
      <c r="G125" s="14"/>
      <c r="H125" s="14"/>
      <c r="I125" s="48"/>
    </row>
    <row r="126" ht="30" customHeight="1" spans="1:9">
      <c r="A126" s="63"/>
      <c r="B126" s="64"/>
      <c r="C126" s="65"/>
      <c r="D126" s="66"/>
      <c r="E126" s="37">
        <v>0</v>
      </c>
      <c r="F126" s="14"/>
      <c r="G126" s="14"/>
      <c r="H126" s="14"/>
      <c r="I126" s="48"/>
    </row>
    <row r="127" ht="30" customHeight="1" spans="1:9">
      <c r="A127" s="63"/>
      <c r="B127" s="64"/>
      <c r="C127" s="65"/>
      <c r="D127" s="66"/>
      <c r="E127" s="37">
        <v>0</v>
      </c>
      <c r="F127" s="14"/>
      <c r="G127" s="14"/>
      <c r="H127" s="14"/>
      <c r="I127" s="48"/>
    </row>
    <row r="128" ht="30" customHeight="1" spans="1:9">
      <c r="A128" s="63"/>
      <c r="B128" s="64"/>
      <c r="C128" s="67" t="s">
        <v>91</v>
      </c>
      <c r="D128" s="62"/>
      <c r="E128" s="72"/>
      <c r="F128" s="14"/>
      <c r="G128" s="14"/>
      <c r="H128" s="14"/>
      <c r="I128" s="48"/>
    </row>
    <row r="129" ht="63" customHeight="1" spans="1:9">
      <c r="A129" s="63"/>
      <c r="B129" s="64"/>
      <c r="C129" s="73" t="s">
        <v>128</v>
      </c>
      <c r="D129" s="74"/>
      <c r="E129" s="87">
        <v>419</v>
      </c>
      <c r="F129" s="14"/>
      <c r="G129" s="14"/>
      <c r="H129" s="14"/>
      <c r="I129" s="48"/>
    </row>
    <row r="130" ht="30" customHeight="1" spans="1:9">
      <c r="A130" s="63"/>
      <c r="B130" s="64"/>
      <c r="C130" s="74" t="s">
        <v>129</v>
      </c>
      <c r="D130" s="74"/>
      <c r="E130" s="87">
        <v>650</v>
      </c>
      <c r="F130" s="14"/>
      <c r="G130" s="14"/>
      <c r="H130" s="14"/>
      <c r="I130" s="48"/>
    </row>
    <row r="131" ht="30" customHeight="1" spans="1:9">
      <c r="A131" s="63"/>
      <c r="B131" s="64"/>
      <c r="C131" s="74"/>
      <c r="D131" s="74"/>
      <c r="E131" s="87">
        <v>0</v>
      </c>
      <c r="F131" s="14"/>
      <c r="G131" s="14"/>
      <c r="H131" s="14"/>
      <c r="I131" s="48"/>
    </row>
    <row r="132" ht="30" customHeight="1" spans="1:9">
      <c r="A132" s="63"/>
      <c r="B132" s="64"/>
      <c r="C132" s="125"/>
      <c r="D132" s="125"/>
      <c r="E132" s="87">
        <v>0</v>
      </c>
      <c r="F132" s="14"/>
      <c r="G132" s="14"/>
      <c r="H132" s="14"/>
      <c r="I132" s="48"/>
    </row>
    <row r="133" ht="30" customHeight="1" spans="1:9">
      <c r="A133" s="63"/>
      <c r="B133" s="64"/>
      <c r="C133" s="65"/>
      <c r="D133" s="66"/>
      <c r="E133" s="88">
        <v>0</v>
      </c>
      <c r="F133" s="14"/>
      <c r="G133" s="14"/>
      <c r="H133" s="14"/>
      <c r="I133" s="48"/>
    </row>
    <row r="134" ht="30" customHeight="1" spans="1:9">
      <c r="A134" s="75"/>
      <c r="B134" s="76"/>
      <c r="C134" s="65"/>
      <c r="D134" s="66"/>
      <c r="E134" s="88">
        <v>0</v>
      </c>
      <c r="F134" s="14"/>
      <c r="G134" s="14"/>
      <c r="H134" s="14"/>
      <c r="I134" s="48"/>
    </row>
    <row r="135" ht="30" customHeight="1" spans="1:9">
      <c r="A135" s="56" t="s">
        <v>92</v>
      </c>
      <c r="B135" s="77"/>
      <c r="C135" s="78"/>
      <c r="D135" s="79"/>
      <c r="E135" s="88">
        <f>C96</f>
        <v>339</v>
      </c>
      <c r="F135" s="14"/>
      <c r="G135" s="14"/>
      <c r="H135" s="14"/>
      <c r="I135" s="48"/>
    </row>
    <row r="136" ht="30" customHeight="1" spans="1:9">
      <c r="A136" s="80"/>
      <c r="B136" s="81"/>
      <c r="C136" s="82" t="s">
        <v>93</v>
      </c>
      <c r="D136" s="82"/>
      <c r="E136" s="89">
        <f ca="1">(F16+E116)-(SUM(E118:E127)+SUM(E129:E135))</f>
        <v>2258.32</v>
      </c>
      <c r="F136" s="14"/>
      <c r="G136" s="14"/>
      <c r="H136" s="14"/>
      <c r="I136" s="48"/>
    </row>
    <row r="137" ht="30" customHeight="1" spans="1:9">
      <c r="A137" s="14"/>
      <c r="B137" s="14"/>
      <c r="C137" s="14"/>
      <c r="D137" s="14"/>
      <c r="E137" s="14"/>
      <c r="F137" s="14"/>
      <c r="G137" s="14"/>
      <c r="H137" s="14"/>
      <c r="I137" s="48"/>
    </row>
    <row r="138" ht="30" customHeight="1" spans="1:9">
      <c r="A138" s="14"/>
      <c r="B138" s="14"/>
      <c r="C138" s="14"/>
      <c r="D138" s="14"/>
      <c r="E138" s="14"/>
      <c r="F138" s="14"/>
      <c r="G138" s="14"/>
      <c r="H138" s="14"/>
      <c r="I138" s="48"/>
    </row>
    <row r="139" ht="30" customHeight="1" spans="1:9">
      <c r="A139" s="14"/>
      <c r="B139" s="14"/>
      <c r="C139" s="14"/>
      <c r="D139" s="14"/>
      <c r="E139" s="14"/>
      <c r="F139" s="14"/>
      <c r="G139" s="14"/>
      <c r="H139" s="14"/>
      <c r="I139" s="48"/>
    </row>
    <row r="140" ht="30" customHeight="1" spans="1:9">
      <c r="A140" s="14"/>
      <c r="B140" s="14"/>
      <c r="C140" s="14"/>
      <c r="D140" s="14"/>
      <c r="E140" s="14"/>
      <c r="F140" s="14"/>
      <c r="G140" s="14"/>
      <c r="H140" s="14"/>
      <c r="I140" s="48"/>
    </row>
    <row r="141" ht="30" customHeight="1" spans="1:9">
      <c r="A141" s="53" t="str">
        <f>"Debts Or Credits For the Comming "&amp;IF(Main!B2,TEXT(EDATE(Main!B3,7),"mmmm dd yyyy"),TEXT(Main!B3+((Main!B5-Main!B3)*7+7),"dd mmmm yyyy"))&amp;" to "&amp;IF(Main!B2,TEXT(EDATE(Main!B3,8)-1,"mmmm dd yyyy"),TEXT(Main!B3+((Main!B5-Main!B3)*8+7),"mmmm dd yyyy"))</f>
        <v>Debts Or Credits For the Comming August 20 2025 to September 19 2025</v>
      </c>
      <c r="B141" s="54"/>
      <c r="C141" s="54"/>
      <c r="D141" s="54"/>
      <c r="E141" s="55"/>
      <c r="F141" s="14"/>
      <c r="G141" s="14"/>
      <c r="H141" s="14"/>
      <c r="I141" s="48"/>
    </row>
    <row r="142" ht="30" customHeight="1" spans="1:9">
      <c r="A142" s="53" t="s">
        <v>89</v>
      </c>
      <c r="B142" s="55"/>
      <c r="C142" s="83" t="s">
        <v>49</v>
      </c>
      <c r="D142" s="84"/>
      <c r="E142" s="90" t="s">
        <v>50</v>
      </c>
      <c r="F142" s="14"/>
      <c r="G142" s="14"/>
      <c r="H142" s="14"/>
      <c r="I142" s="48"/>
    </row>
    <row r="143" ht="30" customHeight="1" spans="1:9">
      <c r="A143" s="56" t="str">
        <f>"Balance Brought Forward From "&amp;IF(Main!B2,TEXT(EDATE(Main!B3,7)-1,"mmmm yyyy"),TEXT(Main!B3+((Main!B5-Main!B3)*7+6),"mmmm yyyy"))</f>
        <v>Balance Brought Forward From August 2025</v>
      </c>
      <c r="B143" s="57"/>
      <c r="C143" s="58"/>
      <c r="D143" s="58"/>
      <c r="E143" s="89">
        <f ca="1">E136</f>
        <v>2258.32</v>
      </c>
      <c r="F143" s="14"/>
      <c r="G143" s="14"/>
      <c r="H143" s="14"/>
      <c r="I143" s="48"/>
    </row>
    <row r="144" ht="30" customHeight="1" spans="1:9">
      <c r="A144" s="59" t="s">
        <v>69</v>
      </c>
      <c r="B144" s="60"/>
      <c r="C144" s="85" t="s">
        <v>90</v>
      </c>
      <c r="D144" s="86"/>
      <c r="E144" s="91"/>
      <c r="F144" s="14"/>
      <c r="G144" s="14"/>
      <c r="H144" s="14"/>
      <c r="I144" s="48"/>
    </row>
    <row r="145" ht="30" customHeight="1" spans="1:9">
      <c r="A145" s="63"/>
      <c r="B145" s="64"/>
      <c r="C145" s="74" t="s">
        <v>130</v>
      </c>
      <c r="D145" s="74"/>
      <c r="E145" s="37">
        <v>0</v>
      </c>
      <c r="F145" s="14"/>
      <c r="G145" s="14"/>
      <c r="H145" s="14"/>
      <c r="I145" s="48"/>
    </row>
    <row r="146" ht="30" customHeight="1" spans="1:9">
      <c r="A146" s="63"/>
      <c r="B146" s="64"/>
      <c r="C146" s="65"/>
      <c r="D146" s="66"/>
      <c r="E146" s="131">
        <v>0</v>
      </c>
      <c r="F146" s="14"/>
      <c r="G146" s="14"/>
      <c r="H146" s="14"/>
      <c r="I146" s="48"/>
    </row>
    <row r="147" ht="30" customHeight="1" spans="1:9">
      <c r="A147" s="63"/>
      <c r="B147" s="64"/>
      <c r="C147" s="74"/>
      <c r="D147" s="74"/>
      <c r="E147" s="87">
        <v>0</v>
      </c>
      <c r="F147" s="14"/>
      <c r="G147" s="14"/>
      <c r="H147" s="14"/>
      <c r="I147" s="48"/>
    </row>
    <row r="148" ht="30" customHeight="1" spans="1:9">
      <c r="A148" s="63"/>
      <c r="B148" s="64"/>
      <c r="C148" s="65"/>
      <c r="D148" s="66"/>
      <c r="E148" s="37">
        <v>0</v>
      </c>
      <c r="F148" s="14"/>
      <c r="G148" s="14"/>
      <c r="H148" s="14"/>
      <c r="I148" s="48"/>
    </row>
    <row r="149" ht="30" customHeight="1" spans="1:9">
      <c r="A149" s="63"/>
      <c r="B149" s="64"/>
      <c r="C149" s="65"/>
      <c r="D149" s="66"/>
      <c r="E149" s="37">
        <v>0</v>
      </c>
      <c r="F149" s="14"/>
      <c r="G149" s="14"/>
      <c r="H149" s="14"/>
      <c r="I149" s="48"/>
    </row>
    <row r="150" ht="30" customHeight="1" spans="1:9">
      <c r="A150" s="63"/>
      <c r="B150" s="64"/>
      <c r="C150" s="65"/>
      <c r="D150" s="66"/>
      <c r="E150" s="37">
        <v>0</v>
      </c>
      <c r="F150" s="14"/>
      <c r="G150" s="14"/>
      <c r="H150" s="14"/>
      <c r="I150" s="48"/>
    </row>
    <row r="151" ht="30" customHeight="1" spans="1:9">
      <c r="A151" s="63"/>
      <c r="B151" s="64"/>
      <c r="C151" s="65"/>
      <c r="D151" s="66"/>
      <c r="E151" s="37">
        <v>0</v>
      </c>
      <c r="F151" s="14"/>
      <c r="G151" s="14"/>
      <c r="H151" s="14"/>
      <c r="I151" s="48"/>
    </row>
    <row r="152" ht="30" customHeight="1" spans="1:9">
      <c r="A152" s="63"/>
      <c r="B152" s="64"/>
      <c r="C152" s="65"/>
      <c r="D152" s="66"/>
      <c r="E152" s="37">
        <v>0</v>
      </c>
      <c r="F152" s="14"/>
      <c r="G152" s="14"/>
      <c r="H152" s="14"/>
      <c r="I152" s="48"/>
    </row>
    <row r="153" ht="30" customHeight="1" spans="1:9">
      <c r="A153" s="63"/>
      <c r="B153" s="64"/>
      <c r="C153" s="65"/>
      <c r="D153" s="66"/>
      <c r="E153" s="37">
        <v>0</v>
      </c>
      <c r="F153" s="14"/>
      <c r="G153" s="14"/>
      <c r="H153" s="14"/>
      <c r="I153" s="48"/>
    </row>
    <row r="154" ht="30" customHeight="1" spans="1:9">
      <c r="A154" s="63"/>
      <c r="B154" s="64"/>
      <c r="C154" s="65"/>
      <c r="D154" s="66"/>
      <c r="E154" s="37">
        <v>0</v>
      </c>
      <c r="F154" s="14"/>
      <c r="G154" s="14"/>
      <c r="H154" s="14"/>
      <c r="I154" s="48"/>
    </row>
    <row r="155" ht="30" customHeight="1" spans="1:9">
      <c r="A155" s="63"/>
      <c r="B155" s="64"/>
      <c r="C155" s="67" t="s">
        <v>91</v>
      </c>
      <c r="D155" s="62"/>
      <c r="E155" s="72"/>
      <c r="F155" s="14"/>
      <c r="G155" s="14"/>
      <c r="H155" s="14"/>
      <c r="I155" s="48"/>
    </row>
    <row r="156" ht="72" customHeight="1" spans="1:9">
      <c r="A156" s="63"/>
      <c r="B156" s="64"/>
      <c r="C156" s="73" t="s">
        <v>131</v>
      </c>
      <c r="D156" s="74"/>
      <c r="E156" s="87">
        <v>810</v>
      </c>
      <c r="F156" s="14"/>
      <c r="G156" s="14"/>
      <c r="H156" s="14"/>
      <c r="I156" s="48"/>
    </row>
    <row r="157" ht="30" customHeight="1" spans="1:9">
      <c r="A157" s="63"/>
      <c r="B157" s="64"/>
      <c r="C157" s="74" t="s">
        <v>126</v>
      </c>
      <c r="D157" s="74"/>
      <c r="E157" s="87">
        <v>400</v>
      </c>
      <c r="F157" s="14"/>
      <c r="G157" s="14"/>
      <c r="H157" s="14"/>
      <c r="I157" s="48"/>
    </row>
    <row r="158" ht="30" customHeight="1" spans="1:9">
      <c r="A158" s="63"/>
      <c r="B158" s="64"/>
      <c r="C158" s="126"/>
      <c r="D158" s="126"/>
      <c r="E158" s="87">
        <v>0</v>
      </c>
      <c r="F158" s="14"/>
      <c r="G158" s="14"/>
      <c r="H158" s="14"/>
      <c r="I158" s="48"/>
    </row>
    <row r="159" ht="30" customHeight="1" spans="1:9">
      <c r="A159" s="63"/>
      <c r="B159" s="64"/>
      <c r="C159" s="65"/>
      <c r="D159" s="66"/>
      <c r="E159" s="88">
        <v>0</v>
      </c>
      <c r="F159" s="14"/>
      <c r="G159" s="14"/>
      <c r="H159" s="14"/>
      <c r="I159" s="48"/>
    </row>
    <row r="160" ht="30" customHeight="1" spans="1:9">
      <c r="A160" s="63"/>
      <c r="B160" s="64"/>
      <c r="C160" s="65"/>
      <c r="D160" s="66"/>
      <c r="E160" s="88">
        <v>0</v>
      </c>
      <c r="F160" s="14"/>
      <c r="G160" s="14"/>
      <c r="H160" s="14"/>
      <c r="I160" s="48"/>
    </row>
    <row r="161" ht="30" customHeight="1" spans="1:9">
      <c r="A161" s="75"/>
      <c r="B161" s="76"/>
      <c r="C161" s="65"/>
      <c r="D161" s="66"/>
      <c r="E161" s="88">
        <v>0</v>
      </c>
      <c r="F161" s="14"/>
      <c r="G161" s="14"/>
      <c r="H161" s="14"/>
      <c r="I161" s="48"/>
    </row>
    <row r="162" ht="30" customHeight="1" spans="1:9">
      <c r="A162" s="56" t="s">
        <v>92</v>
      </c>
      <c r="B162" s="77"/>
      <c r="C162" s="78"/>
      <c r="D162" s="79"/>
      <c r="E162" s="88">
        <f>C96</f>
        <v>339</v>
      </c>
      <c r="F162" s="14"/>
      <c r="G162" s="14"/>
      <c r="H162" s="14"/>
      <c r="I162" s="48"/>
    </row>
    <row r="163" ht="30" customHeight="1" spans="1:9">
      <c r="A163" s="80"/>
      <c r="B163" s="81"/>
      <c r="C163" s="82" t="s">
        <v>93</v>
      </c>
      <c r="D163" s="82"/>
      <c r="E163" s="92">
        <f ca="1">(F28+E143)-(SUM(E145:E154)+SUM(E156:E162))</f>
        <v>3144.32</v>
      </c>
      <c r="F163" s="14"/>
      <c r="G163" s="14"/>
      <c r="H163" s="14"/>
      <c r="I163" s="48"/>
    </row>
    <row r="164" ht="30" customHeight="1" spans="1:9">
      <c r="A164" s="14"/>
      <c r="B164" s="14"/>
      <c r="C164" s="14"/>
      <c r="D164" s="14"/>
      <c r="E164" s="14"/>
      <c r="F164" s="14"/>
      <c r="G164" s="14"/>
      <c r="H164" s="14"/>
      <c r="I164" s="48"/>
    </row>
    <row r="165" ht="30" customHeight="1" spans="1:9">
      <c r="A165" s="14"/>
      <c r="B165" s="14"/>
      <c r="C165" s="14"/>
      <c r="D165" s="14"/>
      <c r="E165" s="14"/>
      <c r="F165" s="14"/>
      <c r="G165" s="14"/>
      <c r="H165" s="14"/>
      <c r="I165" s="48"/>
    </row>
    <row r="166" ht="30" customHeight="1" spans="1:9">
      <c r="A166" s="14"/>
      <c r="B166" s="14"/>
      <c r="C166" s="14"/>
      <c r="D166" s="14"/>
      <c r="E166" s="14"/>
      <c r="F166" s="14"/>
      <c r="G166" s="14"/>
      <c r="H166" s="14"/>
      <c r="I166" s="48"/>
    </row>
    <row r="167" ht="30" customHeight="1" spans="1:9">
      <c r="A167" s="14"/>
      <c r="B167" s="14"/>
      <c r="C167" s="14"/>
      <c r="D167" s="14"/>
      <c r="E167" s="14"/>
      <c r="F167" s="14"/>
      <c r="G167" s="14"/>
      <c r="H167" s="14"/>
      <c r="I167" s="48"/>
    </row>
    <row r="168" ht="30" customHeight="1" spans="1:9">
      <c r="A168" s="53" t="str">
        <f>"Debts Or Credits For the Comming "&amp;IF(Main!B2,TEXT(EDATE(Main!B3,8),"mmmm dd yyyy"),TEXT(Main!B3+((Main!B5-Main!B3)*8+8),"mmmm dd yyyy"))&amp;" to "&amp;IF(Main!B2,TEXT(EDATE(Main!B3,9)-1,"mmmm dd yyyy"),TEXT(Main!B3+((Main!B5-Main!B3)*9+8),"mmmm dd yyyy"))</f>
        <v>Debts Or Credits For the Comming September 20 2025 to October 19 2025</v>
      </c>
      <c r="B168" s="54"/>
      <c r="C168" s="54"/>
      <c r="D168" s="54"/>
      <c r="E168" s="55"/>
      <c r="F168" s="14"/>
      <c r="G168" s="14"/>
      <c r="H168" s="14"/>
      <c r="I168" s="48"/>
    </row>
    <row r="169" ht="30" customHeight="1" spans="1:9">
      <c r="A169" s="53" t="s">
        <v>89</v>
      </c>
      <c r="B169" s="55"/>
      <c r="C169" s="83" t="s">
        <v>49</v>
      </c>
      <c r="D169" s="84"/>
      <c r="E169" s="90" t="s">
        <v>50</v>
      </c>
      <c r="F169" s="14"/>
      <c r="G169" s="14"/>
      <c r="H169" s="14"/>
      <c r="I169" s="48"/>
    </row>
    <row r="170" ht="30" customHeight="1" spans="1:9">
      <c r="A170" s="56" t="str">
        <f>"Balance Brought Forward From "&amp;IF(Main!B2,TEXT(EDATE(Main!B3,8)-1,"mmmm yyyy"),TEXT(Main!B3+((Main!B5-Main!B3)*8+7),"mmmm yyyy"))</f>
        <v>Balance Brought Forward From September 2025</v>
      </c>
      <c r="B170" s="57"/>
      <c r="C170" s="58"/>
      <c r="D170" s="58"/>
      <c r="E170" s="92">
        <f ca="1">E163</f>
        <v>3144.32</v>
      </c>
      <c r="F170" s="14"/>
      <c r="G170" s="14"/>
      <c r="H170" s="14"/>
      <c r="I170" s="48"/>
    </row>
    <row r="171" ht="30" customHeight="1" spans="1:9">
      <c r="A171" s="59" t="s">
        <v>69</v>
      </c>
      <c r="B171" s="60"/>
      <c r="C171" s="85" t="s">
        <v>90</v>
      </c>
      <c r="D171" s="86"/>
      <c r="E171" s="91"/>
      <c r="F171" s="14"/>
      <c r="G171" s="14"/>
      <c r="H171" s="14"/>
      <c r="I171" s="48"/>
    </row>
    <row r="172" ht="30" customHeight="1" spans="1:9">
      <c r="A172" s="63"/>
      <c r="B172" s="64"/>
      <c r="C172" s="74" t="s">
        <v>132</v>
      </c>
      <c r="D172" s="74"/>
      <c r="E172" s="37">
        <v>0</v>
      </c>
      <c r="F172" s="14"/>
      <c r="G172" s="14"/>
      <c r="H172" s="14"/>
      <c r="I172" s="48"/>
    </row>
    <row r="173" ht="30" customHeight="1" spans="1:9">
      <c r="A173" s="63"/>
      <c r="B173" s="64"/>
      <c r="C173" s="127"/>
      <c r="D173" s="128"/>
      <c r="E173" s="131">
        <v>0</v>
      </c>
      <c r="F173" s="14"/>
      <c r="G173" s="14"/>
      <c r="H173" s="14"/>
      <c r="I173" s="48"/>
    </row>
    <row r="174" ht="30" customHeight="1" spans="1:9">
      <c r="A174" s="63"/>
      <c r="B174" s="64"/>
      <c r="C174" s="129"/>
      <c r="D174" s="129"/>
      <c r="E174" s="87">
        <v>0</v>
      </c>
      <c r="F174" s="14"/>
      <c r="G174" s="14"/>
      <c r="H174" s="14"/>
      <c r="I174" s="48"/>
    </row>
    <row r="175" ht="30" customHeight="1" spans="1:9">
      <c r="A175" s="63"/>
      <c r="B175" s="64"/>
      <c r="C175" s="65"/>
      <c r="D175" s="66"/>
      <c r="E175" s="37">
        <v>0</v>
      </c>
      <c r="F175" s="14"/>
      <c r="G175" s="14"/>
      <c r="H175" s="14"/>
      <c r="I175" s="48"/>
    </row>
    <row r="176" ht="30" customHeight="1" spans="1:9">
      <c r="A176" s="63"/>
      <c r="B176" s="64"/>
      <c r="C176" s="65"/>
      <c r="D176" s="66"/>
      <c r="E176" s="37">
        <v>0</v>
      </c>
      <c r="F176" s="14"/>
      <c r="G176" s="14"/>
      <c r="H176" s="14"/>
      <c r="I176" s="48"/>
    </row>
    <row r="177" ht="30" customHeight="1" spans="1:9">
      <c r="A177" s="63"/>
      <c r="B177" s="64"/>
      <c r="C177" s="65"/>
      <c r="D177" s="66"/>
      <c r="E177" s="37">
        <v>0</v>
      </c>
      <c r="F177" s="14"/>
      <c r="G177" s="14"/>
      <c r="H177" s="14"/>
      <c r="I177" s="48"/>
    </row>
    <row r="178" ht="30" customHeight="1" spans="1:9">
      <c r="A178" s="63"/>
      <c r="B178" s="64"/>
      <c r="C178" s="65"/>
      <c r="D178" s="66"/>
      <c r="E178" s="37">
        <v>0</v>
      </c>
      <c r="F178" s="14"/>
      <c r="G178" s="14"/>
      <c r="H178" s="14"/>
      <c r="I178" s="48"/>
    </row>
    <row r="179" ht="30" customHeight="1" spans="1:9">
      <c r="A179" s="63"/>
      <c r="B179" s="64"/>
      <c r="C179" s="65"/>
      <c r="D179" s="66"/>
      <c r="E179" s="37">
        <v>0</v>
      </c>
      <c r="F179" s="14"/>
      <c r="G179" s="14"/>
      <c r="H179" s="14"/>
      <c r="I179" s="48"/>
    </row>
    <row r="180" ht="30" customHeight="1" spans="1:9">
      <c r="A180" s="63"/>
      <c r="B180" s="64"/>
      <c r="C180" s="65"/>
      <c r="D180" s="66"/>
      <c r="E180" s="37">
        <v>0</v>
      </c>
      <c r="F180" s="14"/>
      <c r="G180" s="14"/>
      <c r="H180" s="14"/>
      <c r="I180" s="48"/>
    </row>
    <row r="181" ht="30" customHeight="1" spans="1:9">
      <c r="A181" s="63"/>
      <c r="B181" s="64"/>
      <c r="C181" s="65"/>
      <c r="D181" s="66"/>
      <c r="E181" s="37">
        <v>0</v>
      </c>
      <c r="F181" s="14"/>
      <c r="G181" s="14"/>
      <c r="H181" s="14"/>
      <c r="I181" s="48"/>
    </row>
    <row r="182" ht="30" customHeight="1" spans="1:9">
      <c r="A182" s="63"/>
      <c r="B182" s="64"/>
      <c r="C182" s="67" t="s">
        <v>91</v>
      </c>
      <c r="D182" s="62"/>
      <c r="E182" s="72"/>
      <c r="F182" s="14"/>
      <c r="G182" s="14"/>
      <c r="H182" s="14"/>
      <c r="I182" s="48"/>
    </row>
    <row r="183" ht="45" customHeight="1" spans="1:9">
      <c r="A183" s="63"/>
      <c r="B183" s="64"/>
      <c r="C183" s="73" t="s">
        <v>128</v>
      </c>
      <c r="D183" s="74"/>
      <c r="E183" s="87">
        <v>419</v>
      </c>
      <c r="F183" s="14"/>
      <c r="G183" s="14"/>
      <c r="H183" s="14"/>
      <c r="I183" s="48"/>
    </row>
    <row r="184" ht="30.75" customHeight="1" spans="1:9">
      <c r="A184" s="63"/>
      <c r="B184" s="64"/>
      <c r="C184" s="74" t="s">
        <v>129</v>
      </c>
      <c r="D184" s="74"/>
      <c r="E184" s="87">
        <v>650</v>
      </c>
      <c r="F184" s="14"/>
      <c r="G184" s="14"/>
      <c r="H184" s="14"/>
      <c r="I184" s="48"/>
    </row>
    <row r="185" ht="30.75" customHeight="1" spans="1:9">
      <c r="A185" s="63"/>
      <c r="B185" s="64"/>
      <c r="C185" s="129"/>
      <c r="D185" s="129"/>
      <c r="E185" s="87">
        <v>0</v>
      </c>
      <c r="F185" s="14"/>
      <c r="G185" s="14"/>
      <c r="H185" s="14"/>
      <c r="I185" s="48"/>
    </row>
    <row r="186" ht="30" customHeight="1" spans="1:9">
      <c r="A186" s="63"/>
      <c r="B186" s="64"/>
      <c r="C186" s="129"/>
      <c r="D186" s="129"/>
      <c r="E186" s="87">
        <v>0</v>
      </c>
      <c r="F186" s="14"/>
      <c r="G186" s="14"/>
      <c r="H186" s="14"/>
      <c r="I186" s="48"/>
    </row>
    <row r="187" ht="30" customHeight="1" spans="1:9">
      <c r="A187" s="63"/>
      <c r="B187" s="64"/>
      <c r="C187" s="130"/>
      <c r="D187" s="129"/>
      <c r="E187" s="87">
        <v>0</v>
      </c>
      <c r="F187" s="14"/>
      <c r="G187" s="14"/>
      <c r="H187" s="14"/>
      <c r="I187" s="48"/>
    </row>
    <row r="188" ht="30"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30" customHeight="1" spans="1:9">
      <c r="A190" s="80"/>
      <c r="B190" s="81"/>
      <c r="C190" s="82" t="s">
        <v>93</v>
      </c>
      <c r="D190" s="82"/>
      <c r="E190" s="92">
        <f ca="1">(F40+E170)-(SUM(E172:E181)+SUM(E183:E189))</f>
        <v>4171.32</v>
      </c>
      <c r="F190" s="14"/>
      <c r="G190" s="14"/>
      <c r="H190" s="14"/>
      <c r="I190" s="48"/>
    </row>
    <row r="191" ht="30" customHeight="1" spans="1:9">
      <c r="A191" s="14"/>
      <c r="B191" s="14"/>
      <c r="C191" s="14"/>
      <c r="D191" s="14"/>
      <c r="E191" s="14"/>
      <c r="F191" s="14"/>
      <c r="G191" s="14"/>
      <c r="H191" s="14"/>
      <c r="I191" s="48"/>
    </row>
    <row r="192" ht="30" customHeight="1"/>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44:B161"/>
    <mergeCell ref="A171:B188"/>
    <mergeCell ref="A117:B134"/>
  </mergeCells>
  <conditionalFormatting sqref="C5">
    <cfRule type="cellIs" dxfId="0" priority="52" operator="greaterThanOrEqual">
      <formula>0</formula>
    </cfRule>
    <cfRule type="cellIs" dxfId="1" priority="51" operator="lessThan">
      <formula>0</formula>
    </cfRule>
  </conditionalFormatting>
  <conditionalFormatting sqref="C75">
    <cfRule type="cellIs" dxfId="0" priority="95" operator="equal">
      <formula>0</formula>
    </cfRule>
    <cfRule type="cellIs" dxfId="1" priority="94" operator="greaterThan">
      <formula>0</formula>
    </cfRule>
  </conditionalFormatting>
  <conditionalFormatting sqref="C77">
    <cfRule type="cellIs" dxfId="0" priority="93" operator="equal">
      <formula>0</formula>
    </cfRule>
    <cfRule type="cellIs" dxfId="1" priority="92" operator="greaterThan">
      <formula>0</formula>
    </cfRule>
  </conditionalFormatting>
  <conditionalFormatting sqref="C108">
    <cfRule type="cellIs" dxfId="0" priority="54" operator="greaterThanOrEqual">
      <formula>0</formula>
    </cfRule>
    <cfRule type="cellIs" dxfId="1" priority="53" operator="lessThan">
      <formula>0</formula>
    </cfRule>
  </conditionalFormatting>
  <conditionalFormatting sqref="C109">
    <cfRule type="cellIs" dxfId="0" priority="50" operator="greaterThanOrEqual">
      <formula>0</formula>
    </cfRule>
    <cfRule type="cellIs" dxfId="1" priority="49" operator="lessThan">
      <formula>0</formula>
    </cfRule>
  </conditionalFormatting>
  <conditionalFormatting sqref="E116">
    <cfRule type="cellIs" dxfId="3" priority="56" operator="greaterThanOrEqual">
      <formula>0</formula>
    </cfRule>
    <cfRule type="cellIs" dxfId="4" priority="55" operator="lessThan">
      <formula>0</formula>
    </cfRule>
  </conditionalFormatting>
  <conditionalFormatting sqref="E118">
    <cfRule type="cellIs" dxfId="0" priority="10" operator="equal">
      <formula>0</formula>
    </cfRule>
    <cfRule type="cellIs" dxfId="1" priority="9" operator="greaterThan">
      <formula>0</formula>
    </cfRule>
  </conditionalFormatting>
  <conditionalFormatting sqref="E120">
    <cfRule type="cellIs" dxfId="6" priority="44" operator="equal">
      <formula>0</formula>
    </cfRule>
    <cfRule type="cellIs" dxfId="5" priority="43" operator="equal">
      <formula>0</formula>
    </cfRule>
  </conditionalFormatting>
  <conditionalFormatting sqref="E136">
    <cfRule type="cellIs" dxfId="3" priority="87" operator="greaterThanOrEqual">
      <formula>0</formula>
    </cfRule>
    <cfRule type="cellIs" dxfId="4" priority="86" operator="lessThan">
      <formula>0</formula>
    </cfRule>
  </conditionalFormatting>
  <conditionalFormatting sqref="E143">
    <cfRule type="cellIs" dxfId="3" priority="74" operator="greaterThanOrEqual">
      <formula>0</formula>
    </cfRule>
    <cfRule type="cellIs" dxfId="4" priority="73" operator="lessThan">
      <formula>0</formula>
    </cfRule>
  </conditionalFormatting>
  <conditionalFormatting sqref="E145">
    <cfRule type="cellIs" dxfId="0" priority="7" operator="equal">
      <formula>0</formula>
    </cfRule>
    <cfRule type="cellIs" dxfId="1" priority="6" operator="greaterThan">
      <formula>0</formula>
    </cfRule>
  </conditionalFormatting>
  <conditionalFormatting sqref="E146">
    <cfRule type="cellIs" dxfId="0" priority="38" operator="equal">
      <formula>0</formula>
    </cfRule>
    <cfRule type="cellIs" dxfId="1" priority="37" operator="greaterThan">
      <formula>0</formula>
    </cfRule>
  </conditionalFormatting>
  <conditionalFormatting sqref="E147">
    <cfRule type="cellIs" dxfId="6" priority="34" operator="equal">
      <formula>0</formula>
    </cfRule>
    <cfRule type="cellIs" dxfId="5" priority="33" operator="equal">
      <formula>0</formula>
    </cfRule>
  </conditionalFormatting>
  <conditionalFormatting sqref="E156">
    <cfRule type="cellIs" dxfId="5" priority="4" operator="equal">
      <formula>0</formula>
    </cfRule>
  </conditionalFormatting>
  <conditionalFormatting sqref="E157">
    <cfRule type="cellIs" dxfId="5" priority="5" operator="equal">
      <formula>0</formula>
    </cfRule>
  </conditionalFormatting>
  <conditionalFormatting sqref="E158">
    <cfRule type="cellIs" dxfId="6" priority="28" operator="equal">
      <formula>0</formula>
    </cfRule>
    <cfRule type="cellIs" dxfId="5" priority="27" operator="equal">
      <formula>0</formula>
    </cfRule>
  </conditionalFormatting>
  <conditionalFormatting sqref="E163">
    <cfRule type="cellIs" dxfId="3" priority="76" operator="greaterThanOrEqual">
      <formula>0</formula>
    </cfRule>
    <cfRule type="cellIs" dxfId="4" priority="75" operator="lessThan">
      <formula>0</formula>
    </cfRule>
  </conditionalFormatting>
  <conditionalFormatting sqref="E170">
    <cfRule type="cellIs" dxfId="3" priority="68" operator="greaterThanOrEqual">
      <formula>0</formula>
    </cfRule>
    <cfRule type="cellIs" dxfId="4" priority="67" operator="lessThan">
      <formula>0</formula>
    </cfRule>
  </conditionalFormatting>
  <conditionalFormatting sqref="E172">
    <cfRule type="cellIs" dxfId="0" priority="3" operator="equal">
      <formula>0</formula>
    </cfRule>
    <cfRule type="cellIs" dxfId="1" priority="2" operator="greaterThan">
      <formula>0</formula>
    </cfRule>
  </conditionalFormatting>
  <conditionalFormatting sqref="E173">
    <cfRule type="cellIs" dxfId="0" priority="26" operator="equal">
      <formula>0</formula>
    </cfRule>
    <cfRule type="cellIs" dxfId="1" priority="25" operator="greaterThan">
      <formula>0</formula>
    </cfRule>
  </conditionalFormatting>
  <conditionalFormatting sqref="E174">
    <cfRule type="cellIs" dxfId="6" priority="22" operator="equal">
      <formula>0</formula>
    </cfRule>
    <cfRule type="cellIs" dxfId="5" priority="21" operator="equal">
      <formula>0</formula>
    </cfRule>
  </conditionalFormatting>
  <conditionalFormatting sqref="E185">
    <cfRule type="cellIs" dxfId="6" priority="16" operator="equal">
      <formula>0</formula>
    </cfRule>
    <cfRule type="cellIs" dxfId="5" priority="15" operator="equal">
      <formula>0</formula>
    </cfRule>
  </conditionalFormatting>
  <conditionalFormatting sqref="E186">
    <cfRule type="cellIs" dxfId="6" priority="14" operator="equal">
      <formula>0</formula>
    </cfRule>
    <cfRule type="cellIs" dxfId="5" priority="13" operator="equal">
      <formula>0</formula>
    </cfRule>
  </conditionalFormatting>
  <conditionalFormatting sqref="E187">
    <cfRule type="cellIs" dxfId="6" priority="12" operator="equal">
      <formula>0</formula>
    </cfRule>
    <cfRule type="cellIs" dxfId="5" priority="11" operator="equal">
      <formula>0</formula>
    </cfRule>
  </conditionalFormatting>
  <conditionalFormatting sqref="E190">
    <cfRule type="cellIs" dxfId="3" priority="70" operator="greaterThanOrEqual">
      <formula>0</formula>
    </cfRule>
    <cfRule type="cellIs" dxfId="4" priority="69" operator="lessThan">
      <formula>0</formula>
    </cfRule>
  </conditionalFormatting>
  <conditionalFormatting sqref="C57:C66">
    <cfRule type="cellIs" dxfId="0" priority="99" operator="equal">
      <formula>0</formula>
    </cfRule>
    <cfRule type="cellIs" dxfId="1" priority="98" operator="greaterThan">
      <formula>0</formula>
    </cfRule>
  </conditionalFormatting>
  <conditionalFormatting sqref="C68:C69">
    <cfRule type="cellIs" dxfId="0" priority="97" operator="equal">
      <formula>0</formula>
    </cfRule>
    <cfRule type="cellIs" dxfId="1" priority="96" operator="greaterThan">
      <formula>0</formula>
    </cfRule>
  </conditionalFormatting>
  <conditionalFormatting sqref="C70:C74">
    <cfRule type="cellIs" dxfId="0" priority="85" operator="equal">
      <formula>0</formula>
    </cfRule>
    <cfRule type="cellIs" dxfId="1" priority="84" operator="greaterThan">
      <formula>0</formula>
    </cfRule>
  </conditionalFormatting>
  <conditionalFormatting sqref="C80:C84">
    <cfRule type="cellIs" dxfId="0" priority="83" operator="equal">
      <formula>0</formula>
    </cfRule>
    <cfRule type="cellIs" dxfId="1" priority="82" operator="greaterThan">
      <formula>0</formula>
    </cfRule>
  </conditionalFormatting>
  <conditionalFormatting sqref="C87:C90">
    <cfRule type="cellIs" dxfId="5" priority="48" operator="equal">
      <formula>0</formula>
    </cfRule>
    <cfRule type="cellIs" dxfId="6" priority="47" operator="equal">
      <formula>0</formula>
    </cfRule>
  </conditionalFormatting>
  <conditionalFormatting sqref="C91:C94">
    <cfRule type="cellIs" dxfId="0" priority="81" operator="equal">
      <formula>0</formula>
    </cfRule>
    <cfRule type="cellIs" dxfId="1" priority="80" operator="greaterThan">
      <formula>0</formula>
    </cfRule>
  </conditionalFormatting>
  <conditionalFormatting sqref="C98:C107">
    <cfRule type="cellIs" dxfId="1" priority="64" operator="lessThan">
      <formula>0</formula>
    </cfRule>
    <cfRule type="cellIs" dxfId="2" priority="63" operator="greaterThanOrEqual">
      <formula>0</formula>
    </cfRule>
  </conditionalFormatting>
  <conditionalFormatting sqref="E129:E130">
    <cfRule type="cellIs" dxfId="5" priority="8" operator="equal">
      <formula>0</formula>
    </cfRule>
  </conditionalFormatting>
  <conditionalFormatting sqref="E131:E132">
    <cfRule type="cellIs" dxfId="6" priority="40" operator="equal">
      <formula>0</formula>
    </cfRule>
    <cfRule type="cellIs" dxfId="5" priority="39" operator="equal">
      <formula>0</formula>
    </cfRule>
  </conditionalFormatting>
  <conditionalFormatting sqref="E148:E154">
    <cfRule type="cellIs" dxfId="0" priority="60" operator="equal">
      <formula>0</formula>
    </cfRule>
    <cfRule type="cellIs" dxfId="1" priority="59" operator="greaterThan">
      <formula>0</formula>
    </cfRule>
  </conditionalFormatting>
  <conditionalFormatting sqref="E175:E181">
    <cfRule type="cellIs" dxfId="0" priority="58" operator="equal">
      <formula>0</formula>
    </cfRule>
    <cfRule type="cellIs" dxfId="1" priority="57" operator="greaterThan">
      <formula>0</formula>
    </cfRule>
  </conditionalFormatting>
  <conditionalFormatting sqref="E183:E184">
    <cfRule type="cellIs" dxfId="5" priority="1" operator="equal">
      <formula>0</formula>
    </cfRule>
  </conditionalFormatting>
  <conditionalFormatting sqref="C47:C55 C85 C78:C79 C95:C96">
    <cfRule type="cellIs" dxfId="0" priority="101" operator="equal">
      <formula>0</formula>
    </cfRule>
  </conditionalFormatting>
  <conditionalFormatting sqref="C47:C55 C85 C78:C79 C95:C96 E144 E155 E159:E162">
    <cfRule type="cellIs" dxfId="1" priority="100" operator="greaterThan">
      <formula>0</formula>
    </cfRule>
  </conditionalFormatting>
  <conditionalFormatting sqref="E117 E128 E133:E135">
    <cfRule type="cellIs" dxfId="0" priority="89" operator="equal">
      <formula>0</formula>
    </cfRule>
    <cfRule type="cellIs" dxfId="1" priority="88" operator="greaterThan">
      <formula>0</formula>
    </cfRule>
  </conditionalFormatting>
  <conditionalFormatting sqref="E119 E121:E127">
    <cfRule type="cellIs" dxfId="0" priority="62" operator="equal">
      <formula>0</formula>
    </cfRule>
    <cfRule type="cellIs" dxfId="1" priority="61" operator="greaterThan">
      <formula>0</formula>
    </cfRule>
  </conditionalFormatting>
  <conditionalFormatting sqref="E144 E155 E159:E162">
    <cfRule type="cellIs" dxfId="2" priority="77" operator="equal">
      <formula>0</formula>
    </cfRule>
  </conditionalFormatting>
  <conditionalFormatting sqref="E171 E182 E188:E189">
    <cfRule type="cellIs" dxfId="2" priority="72" operator="equal">
      <formula>0</formula>
    </cfRule>
    <cfRule type="cellIs" dxfId="1" priority="71" operator="greaterThan">
      <formula>0</formula>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53" workbookViewId="0">
      <selection activeCell="D48" sqref="D48"/>
    </sheetView>
  </sheetViews>
  <sheetFormatPr defaultColWidth="9" defaultRowHeight="17.6"/>
  <cols>
    <col min="1" max="1" width="20.625" customWidth="1"/>
    <col min="2" max="2" width="24.25" customWidth="1"/>
    <col min="3" max="3" width="28.125" customWidth="1"/>
    <col min="4" max="7" width="20.625" customWidth="1"/>
  </cols>
  <sheetData>
    <row r="1" ht="24.75" customHeight="1" spans="1:9">
      <c r="A1" s="1" t="str">
        <f>"Forecasts For the Year "&amp;IF(Main!B2,TEXT(EDATE(Main!B3,9),"mmmm yyyy"),TEXT(Main!B3+((Main!B5-Main!B3)*9+9),"mmmm yyyy"))&amp;" to "&amp;IF(Main!B2,TEXT(EDATE(Main!B3,12)-1,"mmmm yyyy"),TEXT(Main!B3+((Main!B5-Main!B3)*12+11),"mmmm yyyy"))</f>
        <v>Forecasts For the Year October 2025 to January 2026</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6890.32</v>
      </c>
      <c r="D3" s="7"/>
      <c r="E3" s="7"/>
      <c r="F3" s="7"/>
      <c r="G3" s="7"/>
      <c r="H3" s="41"/>
      <c r="I3" s="41"/>
    </row>
    <row r="4" ht="24.75" customHeight="1" spans="1:9">
      <c r="A4" s="8" t="s">
        <v>47</v>
      </c>
      <c r="B4" s="9"/>
      <c r="C4" s="10">
        <f ca="1">SUM(C2:G3)</f>
        <v>7196.64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IF(Main!B2,TEXT(EDATE(Main!B3,9),"dd mmmm yyyy"),TEXT(Main!B3+((Main!B5-Main!B3)*9+9),"dd mmmm yyyy"))&amp;" - "&amp;IF(Main!B2,TEXT(EDATE(Main!B3,10)-1,"dd mmmm yyyy"),TEXT(Main!B3+((Main!B5-Main!B3)*10+9),"dd mmmm yyyy"))&amp;" / "&amp;" (Revenue / Deferred Debts Or Expenses)"</f>
        <v>20 October 2025 - 19 November 2025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110"/>
      <c r="D10" s="21" t="s">
        <v>98</v>
      </c>
      <c r="E10" s="111"/>
      <c r="F10" s="7">
        <v>2435</v>
      </c>
      <c r="G10" s="7"/>
      <c r="H10" s="14"/>
      <c r="I10" s="48"/>
    </row>
    <row r="11" ht="24.75" customHeight="1" spans="1:9">
      <c r="A11" s="101"/>
      <c r="B11" s="20"/>
      <c r="C11" s="110"/>
      <c r="D11" s="21"/>
      <c r="E11" s="111"/>
      <c r="F11" s="7">
        <v>0</v>
      </c>
      <c r="G11" s="7"/>
      <c r="H11" s="14"/>
      <c r="I11" s="48"/>
    </row>
    <row r="12" ht="24" customHeight="1" spans="1:9">
      <c r="A12" s="19"/>
      <c r="B12" s="22"/>
      <c r="C12" s="23"/>
      <c r="D12" s="22"/>
      <c r="E12" s="23"/>
      <c r="F12" s="43">
        <v>0</v>
      </c>
      <c r="G12" s="44"/>
      <c r="H12" s="14"/>
      <c r="I12" s="48"/>
    </row>
    <row r="13" ht="25.5" customHeight="1" spans="1:9">
      <c r="A13" s="19"/>
      <c r="B13" s="22"/>
      <c r="C13" s="23"/>
      <c r="D13" s="22"/>
      <c r="E13" s="23"/>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IF(Main!B2,TEXT(EDATE(Main!B3,10),"dd mmmm yyyy"),TEXT(Main!B3+((Main!B5-Main!B3)*10+10),"dd mmmm yyyy"))&amp;" - "&amp;IF(Main!B2,TEXT(EDATE(Main!B3,11)-1,"dd mmmm yyyy"),TEXT(Main!B3+((Main!B5-Main!B3)*11+10),"dd mmmm yyyy"))&amp;" / "&amp;" (Revenue / Deferred Debts Or Expenses)"</f>
        <v>20 November 2025 - 19 December 2025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01"/>
      <c r="B25" s="20"/>
      <c r="C25" s="20"/>
      <c r="D25" s="21"/>
      <c r="E25" s="21"/>
      <c r="F25" s="7">
        <v>0</v>
      </c>
      <c r="G25" s="7"/>
      <c r="H25" s="14"/>
      <c r="I25" s="48"/>
    </row>
    <row r="26" ht="24.75" customHeight="1" spans="1:9">
      <c r="A26" s="19"/>
      <c r="B26" s="102"/>
      <c r="C26" s="103"/>
      <c r="D26" s="102"/>
      <c r="E26" s="103"/>
      <c r="F26" s="104">
        <v>0</v>
      </c>
      <c r="G26" s="105"/>
      <c r="H26" s="14"/>
      <c r="I26" s="48"/>
    </row>
    <row r="27" ht="24.75" customHeight="1" spans="1:9">
      <c r="A27" s="19"/>
      <c r="B27" s="22"/>
      <c r="C27" s="23"/>
      <c r="D27" s="22"/>
      <c r="E27" s="23"/>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IF(Main!B2,TEXT(EDATE(Main!B3,11),"dd mmmm yyyy"),TEXT(Main!B3+((Main!B5-Main!B3)*11+11),"dd mmmm yyyy"))&amp;" - "&amp;IF(Main!B2,TEXT(EDATE(Main!B3,12)-1,"dd mmmm yyyy"),TEXT(Main!B3+((Main!B5-Main!B3)*12+11),"dd mmmm yyyy"))&amp;" / "&amp;" (Revenue / Deferred Debts Or Expenses)"</f>
        <v>20 December 2025 - 19 January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111" t="s">
        <v>98</v>
      </c>
      <c r="E34" s="112"/>
      <c r="F34" s="7">
        <v>2435</v>
      </c>
      <c r="G34" s="7"/>
      <c r="H34" s="14"/>
      <c r="I34" s="48"/>
    </row>
    <row r="35" ht="24.75" customHeight="1" spans="1:9">
      <c r="A35" s="101"/>
      <c r="B35" s="20"/>
      <c r="C35" s="20"/>
      <c r="D35" s="111"/>
      <c r="E35" s="112"/>
      <c r="F35" s="7">
        <v>0</v>
      </c>
      <c r="G35" s="7"/>
      <c r="H35" s="14"/>
      <c r="I35" s="48"/>
    </row>
    <row r="36" ht="24.75" customHeight="1" spans="1:9">
      <c r="A36" s="101"/>
      <c r="B36" s="20"/>
      <c r="C36" s="20"/>
      <c r="D36" s="111"/>
      <c r="E36" s="112"/>
      <c r="F36" s="7">
        <v>0</v>
      </c>
      <c r="G36" s="7"/>
      <c r="H36" s="14"/>
      <c r="I36" s="49"/>
    </row>
    <row r="37" ht="24.75" customHeight="1" spans="1:9">
      <c r="A37" s="19"/>
      <c r="B37" s="22"/>
      <c r="C37" s="23"/>
      <c r="D37" s="22"/>
      <c r="E37" s="23"/>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"&amp;IF(Main!B2,TEXT(EDATE(Main!B3,9),"mmmm yyyy"),TEXT(Main!B3+((Main!B5-Main!B3)*9+9),"mmmm yyyy"))&amp;" to "&amp;IF(Main!B2,TEXT(EDATE(Main!B3,12)-1,"mmmm yyyy"),TEXT(Main!B3+((Main!B5-Main!B3)*12+11),"mmmm yyyy"))</f>
        <v>Fixed Expense For the Year October 2025 to January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INDIRECT("'"&amp;INDIRECT("Main!B15")&amp;"'!C98")+SUM(E118+E145+E172)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INDIRECT("'"&amp;INDIRECT("Main!B15")&amp;"'!C99")+SUM(E119+E146+E173)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INDIRECT("'"&amp;INDIRECT("Main!B15")&amp;"'!C100")+SUM(E120+E147+E174)</f>
        <v>0</v>
      </c>
      <c r="D100" s="14"/>
      <c r="E100" s="14"/>
      <c r="F100" s="14"/>
      <c r="G100" s="14"/>
      <c r="H100" s="14"/>
      <c r="I100" s="48"/>
    </row>
    <row r="101" ht="43"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INDIRECT("'"&amp;INDIRECT("Main!B15")&amp;"'!C101")+SUM(E121+E148+E175)</f>
        <v>0</v>
      </c>
      <c r="D101" s="14"/>
      <c r="E101" s="14"/>
      <c r="F101" s="14"/>
      <c r="G101" s="14"/>
      <c r="H101" s="14"/>
      <c r="I101" s="48"/>
    </row>
    <row r="102" ht="46"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INDIRECT("'"&amp;INDIRECT("Main!B15")&amp;"'!C102")+SUM(E122+E149+E176)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INDIRECT("'"&amp;INDIRECT("Main!B15")&amp;"'!C103")+SUM(E123+E150+E177)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INDIRECT("'"&amp;INDIRECT("Main!B15")&amp;"'!C104")+SUM(E124+E151+E178)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INDIRECT("'"&amp;INDIRECT("Main!B15")&amp;"'!C105")+SUM(E125+E152+E179)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INDIRECT("'"&amp;INDIRECT("Main!B15")&amp;"'!C106")+SUM(E126+E153+E180)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INDIRECT("'"&amp;INDIRECT("Main!B15")&amp;"'!C107")+SUM(E127+E154+E181)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"&amp;IF(Main!B2,TEXT(EDATE(Main!B3,9),"mmmm dd yyyy"),TEXT(Main!B3+((Main!B5-Main!B3)*9+9),"mmmm dd yyyy"))&amp;" to "&amp;IF(Main!B2,TEXT(EDATE(Main!B3,10)-1,"mmmm dd yyyy"),TEXT(Main!B3+((Main!B5-Main!B3)*10+9),"mmmm dd yyyy"))</f>
        <v>Debts Or Credits For the Comming October 20 2025 to November 19 2025</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"&amp;IF(Main!B2,TEXT(EDATE(Main!B3,9)-1,"mmmm yyyy"),TEXT(Main!B3+((Main!B5-Main!B3)*9+8),"mmmm yyyy"))</f>
        <v>Balance Brought Forward From October 2025</v>
      </c>
      <c r="B116" s="57"/>
      <c r="C116" s="58"/>
      <c r="D116" s="58"/>
      <c r="E116" s="71" cm="1">
        <f ca="1" t="array" ref="E116">INDIRECT("'"&amp;INDIRECT("Main!B15")&amp;"'!E190")</f>
        <v>4171.32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t="s">
        <v>130</v>
      </c>
      <c r="D118" s="74"/>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73"/>
      <c r="D120" s="73"/>
      <c r="E120" s="113">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47" customHeight="1" spans="1:9">
      <c r="A129" s="63"/>
      <c r="B129" s="64"/>
      <c r="C129" s="73" t="s">
        <v>125</v>
      </c>
      <c r="D129" s="74"/>
      <c r="E129" s="87">
        <v>760</v>
      </c>
      <c r="F129" s="14"/>
      <c r="G129" s="14"/>
      <c r="H129" s="14"/>
      <c r="I129" s="48"/>
    </row>
    <row r="130" ht="24.75" customHeight="1" spans="1:9">
      <c r="A130" s="63"/>
      <c r="B130" s="64"/>
      <c r="C130" s="74" t="s">
        <v>126</v>
      </c>
      <c r="D130" s="74"/>
      <c r="E130" s="87">
        <v>400</v>
      </c>
      <c r="F130" s="14"/>
      <c r="G130" s="14"/>
      <c r="H130" s="14"/>
      <c r="I130" s="48"/>
    </row>
    <row r="131" ht="25.5" customHeight="1" spans="1:9">
      <c r="A131" s="63"/>
      <c r="B131" s="64"/>
      <c r="C131" s="97"/>
      <c r="D131" s="98"/>
      <c r="E131" s="113">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5107.32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"&amp;IF(Main!B2,TEXT(EDATE(Main!B3,10),"mmmm dd yyyy"),TEXT(Main!B3+((Main!B5-Main!B3)*10+10),"dd mmmm yyyy"))&amp;" to "&amp;IF(Main!B2,TEXT(EDATE(Main!B3,11)-1,"mmmm dd yyyy"),TEXT(Main!B3+((Main!B5-Main!B3)*11+10),"mmmm dd yyyy"))</f>
        <v>Debts Or Credits For the Comming November 20 2025 to December 19 2025</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"&amp;IF(Main!B2,TEXT(EDATE(Main!B3,10)-1,"mmmm yyyy"),TEXT(Main!B3+((Main!B5-Main!B3)*10+9),"mmmm yyyy"))</f>
        <v>Balance Brought Forward From November 2025</v>
      </c>
      <c r="B143" s="57"/>
      <c r="C143" s="58"/>
      <c r="D143" s="58"/>
      <c r="E143" s="89">
        <f ca="1">E136</f>
        <v>5107.32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t="s">
        <v>133</v>
      </c>
      <c r="D145" s="74"/>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t="s">
        <v>134</v>
      </c>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7" customHeight="1" spans="1:9">
      <c r="A156" s="63"/>
      <c r="B156" s="64"/>
      <c r="C156" s="73" t="s">
        <v>135</v>
      </c>
      <c r="D156" s="74"/>
      <c r="E156" s="87">
        <v>469</v>
      </c>
      <c r="F156" s="14"/>
      <c r="G156" s="14"/>
      <c r="H156" s="14"/>
      <c r="I156" s="48"/>
    </row>
    <row r="157" ht="27.75" customHeight="1" spans="1:9">
      <c r="A157" s="63"/>
      <c r="B157" s="64"/>
      <c r="C157" s="74" t="s">
        <v>129</v>
      </c>
      <c r="D157" s="74"/>
      <c r="E157" s="87">
        <v>650</v>
      </c>
      <c r="F157" s="14"/>
      <c r="G157" s="14"/>
      <c r="H157" s="14"/>
      <c r="I157" s="48"/>
    </row>
    <row r="158" ht="31.5" customHeight="1" spans="1:9">
      <c r="A158" s="63"/>
      <c r="B158" s="64"/>
      <c r="C158" s="114"/>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6084.32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"&amp;IF(Main!B2,TEXT(EDATE(Main!B3,11),"mmmm dd yyyy"),TEXT(Main!B3+((Main!B5-Main!B3)*11+11),"mmmm dd yyyy"))&amp;" to "&amp;IF(Main!B2,TEXT(EDATE(Main!B3,12)-1,"mmmm dd yyyy"),TEXT(Main!B3+((Main!B5-Main!B3)*12+11),"mmmm dd yyyy"))</f>
        <v>Debts Or Credits For the Comming December 20 2025 to January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"&amp;IF(Main!B2,TEXT(EDATE(Main!B3,11)-1,"mmmm yyyy"),TEXT(Main!B3+((Main!B5-Main!B3)*11+10),"mmmm yyyy"))</f>
        <v>Balance Brought Forward From December 2025</v>
      </c>
      <c r="B170" s="57"/>
      <c r="C170" s="58"/>
      <c r="D170" s="58"/>
      <c r="E170" s="92">
        <f ca="1">E163</f>
        <v>6084.32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t="s">
        <v>136</v>
      </c>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t="s">
        <v>137</v>
      </c>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138</v>
      </c>
      <c r="D183" s="74"/>
      <c r="E183" s="87">
        <v>890</v>
      </c>
      <c r="F183" s="14"/>
      <c r="G183" s="14"/>
      <c r="H183" s="14"/>
      <c r="I183" s="48"/>
    </row>
    <row r="184" ht="28.5"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6890.32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43" operator="greaterThanOrEqual">
      <formula>0</formula>
    </cfRule>
    <cfRule type="cellIs" dxfId="1" priority="42" operator="lessThan">
      <formula>0</formula>
    </cfRule>
  </conditionalFormatting>
  <conditionalFormatting sqref="C75">
    <cfRule type="cellIs" dxfId="0" priority="88" operator="equal">
      <formula>0</formula>
    </cfRule>
    <cfRule type="cellIs" dxfId="1" priority="87" operator="greaterThan">
      <formula>0</formula>
    </cfRule>
  </conditionalFormatting>
  <conditionalFormatting sqref="C77">
    <cfRule type="cellIs" dxfId="0" priority="86" operator="equal">
      <formula>0</formula>
    </cfRule>
    <cfRule type="cellIs" dxfId="1" priority="85" operator="greaterThan">
      <formula>0</formula>
    </cfRule>
  </conditionalFormatting>
  <conditionalFormatting sqref="C90">
    <cfRule type="cellIs" dxfId="6" priority="39" operator="equal">
      <formula>0</formula>
    </cfRule>
  </conditionalFormatting>
  <conditionalFormatting sqref="C91">
    <cfRule type="cellIs" dxfId="0" priority="45" operator="equal">
      <formula>0</formula>
    </cfRule>
    <cfRule type="cellIs" dxfId="1" priority="44" operator="greaterThan">
      <formula>0</formula>
    </cfRule>
  </conditionalFormatting>
  <conditionalFormatting sqref="C108">
    <cfRule type="cellIs" dxfId="0" priority="41" operator="greaterThanOrEqual">
      <formula>0</formula>
    </cfRule>
    <cfRule type="cellIs" dxfId="1" priority="40" operator="lessThan">
      <formula>0</formula>
    </cfRule>
  </conditionalFormatting>
  <conditionalFormatting sqref="C109">
    <cfRule type="cellIs" dxfId="0" priority="72" operator="greaterThanOrEqual">
      <formula>0</formula>
    </cfRule>
    <cfRule type="cellIs" dxfId="1" priority="71" operator="lessThan">
      <formula>0</formula>
    </cfRule>
  </conditionalFormatting>
  <conditionalFormatting sqref="E116">
    <cfRule type="cellIs" dxfId="3" priority="49" operator="greaterThanOrEqual">
      <formula>0</formula>
    </cfRule>
    <cfRule type="cellIs" dxfId="4" priority="48" operator="lessThan">
      <formula>0</formula>
    </cfRule>
  </conditionalFormatting>
  <conditionalFormatting sqref="E118">
    <cfRule type="cellIs" dxfId="0" priority="15" operator="equal">
      <formula>0</formula>
    </cfRule>
    <cfRule type="cellIs" dxfId="1" priority="14" operator="greaterThan">
      <formula>0</formula>
    </cfRule>
  </conditionalFormatting>
  <conditionalFormatting sqref="E119">
    <cfRule type="cellIs" dxfId="0" priority="37" operator="equal">
      <formula>0</formula>
    </cfRule>
    <cfRule type="cellIs" dxfId="1" priority="36" operator="greaterThan">
      <formula>0</formula>
    </cfRule>
  </conditionalFormatting>
  <conditionalFormatting sqref="E120">
    <cfRule type="cellIs" dxfId="5" priority="34" operator="equal">
      <formula>0</formula>
    </cfRule>
  </conditionalFormatting>
  <conditionalFormatting sqref="E129">
    <cfRule type="cellIs" dxfId="5" priority="12" operator="equal">
      <formula>0</formula>
    </cfRule>
  </conditionalFormatting>
  <conditionalFormatting sqref="E130">
    <cfRule type="cellIs" dxfId="5" priority="13" operator="equal">
      <formula>0</formula>
    </cfRule>
  </conditionalFormatting>
  <conditionalFormatting sqref="E131">
    <cfRule type="cellIs" dxfId="6" priority="30" operator="equal">
      <formula>0</formula>
    </cfRule>
    <cfRule type="cellIs" dxfId="5" priority="29" operator="equal">
      <formula>0</formula>
    </cfRule>
  </conditionalFormatting>
  <conditionalFormatting sqref="E136">
    <cfRule type="cellIs" dxfId="3" priority="80" operator="greaterThanOrEqual">
      <formula>0</formula>
    </cfRule>
    <cfRule type="cellIs" dxfId="4" priority="79" operator="lessThan">
      <formula>0</formula>
    </cfRule>
  </conditionalFormatting>
  <conditionalFormatting sqref="E143">
    <cfRule type="cellIs" dxfId="3" priority="67" operator="greaterThanOrEqual">
      <formula>0</formula>
    </cfRule>
    <cfRule type="cellIs" dxfId="4" priority="66" operator="lessThan">
      <formula>0</formula>
    </cfRule>
  </conditionalFormatting>
  <conditionalFormatting sqref="E145">
    <cfRule type="cellIs" dxfId="0" priority="11" operator="equal">
      <formula>0</formula>
    </cfRule>
    <cfRule type="cellIs" dxfId="1" priority="10" operator="greaterThan">
      <formula>0</formula>
    </cfRule>
  </conditionalFormatting>
  <conditionalFormatting sqref="E158">
    <cfRule type="cellIs" dxfId="1" priority="27" operator="greaterThan">
      <formula>0</formula>
    </cfRule>
    <cfRule type="cellIs" dxfId="2" priority="26" operator="equal">
      <formula>0</formula>
    </cfRule>
  </conditionalFormatting>
  <conditionalFormatting sqref="E163">
    <cfRule type="cellIs" dxfId="3" priority="69" operator="greaterThanOrEqual">
      <formula>0</formula>
    </cfRule>
    <cfRule type="cellIs" dxfId="4" priority="68" operator="lessThan">
      <formula>0</formula>
    </cfRule>
  </conditionalFormatting>
  <conditionalFormatting sqref="E170">
    <cfRule type="cellIs" dxfId="3" priority="61" operator="greaterThanOrEqual">
      <formula>0</formula>
    </cfRule>
    <cfRule type="cellIs" dxfId="4" priority="60" operator="lessThan">
      <formula>0</formula>
    </cfRule>
  </conditionalFormatting>
  <conditionalFormatting sqref="E172">
    <cfRule type="cellIs" dxfId="0" priority="2" operator="equal">
      <formula>0</formula>
    </cfRule>
    <cfRule type="cellIs" dxfId="1" priority="1" operator="greaterThan">
      <formula>0</formula>
    </cfRule>
  </conditionalFormatting>
  <conditionalFormatting sqref="E177">
    <cfRule type="cellIs" dxfId="0" priority="4" operator="equal">
      <formula>0</formula>
    </cfRule>
    <cfRule type="cellIs" dxfId="1" priority="3" operator="greaterThan">
      <formula>0</formula>
    </cfRule>
  </conditionalFormatting>
  <conditionalFormatting sqref="E183">
    <cfRule type="cellIs" dxfId="5" priority="5" operator="equal">
      <formula>0</formula>
    </cfRule>
  </conditionalFormatting>
  <conditionalFormatting sqref="E184">
    <cfRule type="cellIs" dxfId="5" priority="6" operator="equal">
      <formula>0</formula>
    </cfRule>
  </conditionalFormatting>
  <conditionalFormatting sqref="E190">
    <cfRule type="cellIs" dxfId="3" priority="63" operator="greaterThanOrEqual">
      <formula>0</formula>
    </cfRule>
    <cfRule type="cellIs" dxfId="4" priority="62" operator="lessThan">
      <formula>0</formula>
    </cfRule>
  </conditionalFormatting>
  <conditionalFormatting sqref="C57:C66">
    <cfRule type="cellIs" dxfId="0" priority="92" operator="equal">
      <formula>0</formula>
    </cfRule>
    <cfRule type="cellIs" dxfId="1" priority="91" operator="greaterThan">
      <formula>0</formula>
    </cfRule>
  </conditionalFormatting>
  <conditionalFormatting sqref="C68:C69">
    <cfRule type="cellIs" dxfId="0" priority="90" operator="equal">
      <formula>0</formula>
    </cfRule>
    <cfRule type="cellIs" dxfId="1" priority="89" operator="greaterThan">
      <formula>0</formula>
    </cfRule>
  </conditionalFormatting>
  <conditionalFormatting sqref="C70:C74">
    <cfRule type="cellIs" dxfId="0" priority="78" operator="equal">
      <formula>0</formula>
    </cfRule>
    <cfRule type="cellIs" dxfId="1" priority="77" operator="greaterThan">
      <formula>0</formula>
    </cfRule>
  </conditionalFormatting>
  <conditionalFormatting sqref="C78:C79">
    <cfRule type="cellIs" dxfId="0" priority="47" operator="equal">
      <formula>0</formula>
    </cfRule>
    <cfRule type="cellIs" dxfId="1" priority="46" operator="greaterThan">
      <formula>0</formula>
    </cfRule>
  </conditionalFormatting>
  <conditionalFormatting sqref="C80:C84">
    <cfRule type="cellIs" dxfId="0" priority="76" operator="equal">
      <formula>0</formula>
    </cfRule>
    <cfRule type="cellIs" dxfId="1" priority="75" operator="greaterThan">
      <formula>0</formula>
    </cfRule>
  </conditionalFormatting>
  <conditionalFormatting sqref="C87:C90">
    <cfRule type="cellIs" dxfId="5" priority="38" operator="equal">
      <formula>0</formula>
    </cfRule>
  </conditionalFormatting>
  <conditionalFormatting sqref="C92:C94">
    <cfRule type="cellIs" dxfId="0" priority="74" operator="equal">
      <formula>0</formula>
    </cfRule>
    <cfRule type="cellIs" dxfId="1" priority="73" operator="greaterThan">
      <formula>0</formula>
    </cfRule>
  </conditionalFormatting>
  <conditionalFormatting sqref="C98:C107">
    <cfRule type="cellIs" dxfId="1" priority="57" operator="lessThan">
      <formula>0</formula>
    </cfRule>
    <cfRule type="cellIs" dxfId="2" priority="56" operator="greaterThanOrEqual">
      <formula>0</formula>
    </cfRule>
  </conditionalFormatting>
  <conditionalFormatting sqref="E121:E127">
    <cfRule type="cellIs" dxfId="0" priority="55" operator="equal">
      <formula>0</formula>
    </cfRule>
    <cfRule type="cellIs" dxfId="1" priority="54" operator="greaterThan">
      <formula>0</formula>
    </cfRule>
  </conditionalFormatting>
  <conditionalFormatting sqref="E146:E154">
    <cfRule type="cellIs" dxfId="0" priority="53" operator="equal">
      <formula>0</formula>
    </cfRule>
    <cfRule type="cellIs" dxfId="1" priority="52" operator="greaterThan">
      <formula>0</formula>
    </cfRule>
  </conditionalFormatting>
  <conditionalFormatting sqref="E156:E157">
    <cfRule type="cellIs" dxfId="5" priority="9" operator="equal">
      <formula>0</formula>
    </cfRule>
  </conditionalFormatting>
  <conditionalFormatting sqref="E173:E174">
    <cfRule type="cellIs" dxfId="0" priority="22" operator="equal">
      <formula>0</formula>
    </cfRule>
    <cfRule type="cellIs" dxfId="1" priority="21" operator="greaterThan">
      <formula>0</formula>
    </cfRule>
  </conditionalFormatting>
  <conditionalFormatting sqref="C47:C55 C85 C95:C96">
    <cfRule type="cellIs" dxfId="0" priority="94" operator="equal">
      <formula>0</formula>
    </cfRule>
  </conditionalFormatting>
  <conditionalFormatting sqref="C47:C55 C85 C95:C96 E144 E155 E159:E162">
    <cfRule type="cellIs" dxfId="1" priority="93" operator="greaterThan">
      <formula>0</formula>
    </cfRule>
  </conditionalFormatting>
  <conditionalFormatting sqref="E117 E128 E132:E135">
    <cfRule type="cellIs" dxfId="0" priority="82" operator="equal">
      <formula>0</formula>
    </cfRule>
    <cfRule type="cellIs" dxfId="1" priority="81" operator="greaterThan">
      <formula>0</formula>
    </cfRule>
  </conditionalFormatting>
  <conditionalFormatting sqref="E144 E155 E159:E162">
    <cfRule type="cellIs" dxfId="2" priority="70" operator="equal">
      <formula>0</formula>
    </cfRule>
  </conditionalFormatting>
  <conditionalFormatting sqref="E171 E182 E185:E189">
    <cfRule type="cellIs" dxfId="2" priority="65" operator="equal">
      <formula>0</formula>
    </cfRule>
    <cfRule type="cellIs" dxfId="1" priority="64" operator="greaterThan">
      <formula>0</formula>
    </cfRule>
  </conditionalFormatting>
  <conditionalFormatting sqref="E175:E176 E178:E181">
    <cfRule type="cellIs" dxfId="0" priority="51" operator="equal">
      <formula>0</formula>
    </cfRule>
    <cfRule type="cellIs" dxfId="1" priority="50" operator="greaterThan">
      <formula>0</formula>
    </cfRule>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108" workbookViewId="0">
      <selection activeCell="H118" sqref="H118"/>
    </sheetView>
  </sheetViews>
  <sheetFormatPr defaultColWidth="9" defaultRowHeight="17.6"/>
  <cols>
    <col min="1" max="1" width="20.625" customWidth="1"/>
    <col min="2" max="2" width="29.125" customWidth="1"/>
    <col min="3" max="3" width="27.875" customWidth="1"/>
    <col min="4" max="6" width="20.625" customWidth="1"/>
    <col min="8" max="8" width="20.625" customWidth="1"/>
  </cols>
  <sheetData>
    <row r="1" ht="24.75" customHeight="1" spans="1:9">
      <c r="A1" s="1" t="str">
        <f>"Forecasts For the Year "&amp;IF(Main!B2,TEXT(EDATE(Main!B3,12),"mmmm yyyy"),TEXT(Main!B3+((Main!B5-Main!B3)*12+12),"mmmm yyyy"))&amp;" to "&amp;IF(Main!B2,TEXT(EDATE(Main!B3,15)-1,"mmmm yyyy"),TEXT(Main!B3+((Main!B5-Main!B3)*15+14),"mmmm yyyy"))</f>
        <v>Forecasts For the Year January 2026 to April 2026</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9540.32</v>
      </c>
      <c r="D3" s="7"/>
      <c r="E3" s="7"/>
      <c r="F3" s="7"/>
      <c r="G3" s="7"/>
      <c r="H3" s="41"/>
      <c r="I3" s="41"/>
    </row>
    <row r="4" ht="24.75" customHeight="1" spans="1:9">
      <c r="A4" s="8" t="s">
        <v>47</v>
      </c>
      <c r="B4" s="9"/>
      <c r="C4" s="10">
        <f ca="1">SUM(C2:G3)</f>
        <v>9846.64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IF(Main!B2,TEXT(EDATE(Main!B3,12),"dd mmmm yyyy"),TEXT(Main!B3+((Main!B5-Main!B3)*12+12),"dd mmmm yyyy"))&amp;" - "&amp;IF(Main!B2,TEXT(EDATE(Main!B3,13)-1,"dd mmmm yyyy"),TEXT(Main!B3+((Main!B5-Main!B3)*13+12),"dd mmmm yyyy"))&amp;" / "&amp;" (Revenue / Deferred Debts Or Expenses)"</f>
        <v>20 January 2026 - 19 February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01"/>
      <c r="B13" s="20"/>
      <c r="C13" s="20"/>
      <c r="D13" s="21"/>
      <c r="E13" s="21"/>
      <c r="F13" s="7">
        <v>0</v>
      </c>
      <c r="G13" s="7"/>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IF(Main!B2,TEXT(EDATE(Main!B3,13),"dd mmmm yyyy"),TEXT(Main!B3+((Main!B5-Main!B3)*13+13),"dd mmmm yyyy"))&amp;" - "&amp;IF(Main!B2,TEXT(EDATE(Main!B3,14)-1,"dd mmmm yyyy"),TEXT(Main!B3+((Main!B5-Main!B3)*14+13),"dd mmmm yyyy"))&amp;" / "&amp;" (Revenue / Deferred Debts Or Expenses)"</f>
        <v>20 February 2026 - 19 March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107"/>
      <c r="C24" s="107"/>
      <c r="D24" s="108"/>
      <c r="E24" s="108"/>
      <c r="F24" s="109">
        <v>0</v>
      </c>
      <c r="G24" s="109"/>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IF(Main!B2,TEXT(EDATE(Main!B3,14),"dd mmmm yyyy"),TEXT(Main!B3+((Main!B5-Main!B3)*14+14),"dd mmmm yyyy"))&amp;" - "&amp;IF(Main!B2,TEXT(EDATE(Main!B3,15)-1,"dd mmmm yyyy"),TEXT(Main!B3+((Main!B5-Main!B3)*15+14),"dd mmmm yyyy"))&amp;" / "&amp;" (Revenue / Deferred Debts Or Expenses)"</f>
        <v>20 March 2026 - 19 April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"&amp;IF(Main!B2,TEXT(EDATE(Main!B3,12),"mmmm yyyy"),TEXT(Main!B3+((Main!B5-Main!B3)*12+12),"mmmm yyyy"))&amp;" to "&amp;IF(Main!B2,TEXT(EDATE(Main!B3,15)-1,"mmmm yyyy"),TEXT(Main!B3+((Main!B5-Main!B3)*15+14),"mmmm yyyy"))</f>
        <v>Fixed Expense For the Year January 2026 to April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INDIRECT("'"&amp;INDIRECT("Main!B18")&amp;"'!C98")+SUM(E118+E145+E172)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INDIRECT("'"&amp;INDIRECT("Main!B18")&amp;"'!C99")+SUM(E119+E146+E173)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INDIRECT("'"&amp;INDIRECT("Main!B18")&amp;"'!C100")+SUM(E120+E147+E174)</f>
        <v>0</v>
      </c>
      <c r="D100" s="14"/>
      <c r="E100" s="14"/>
      <c r="F100" s="14"/>
      <c r="G100" s="14"/>
      <c r="H100" s="14"/>
      <c r="I100" s="48"/>
    </row>
    <row r="101" ht="43"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INDIRECT("'"&amp;INDIRECT("Main!B18")&amp;"'!C101")+SUM(E121+E148+E175)</f>
        <v>0</v>
      </c>
      <c r="D101" s="14"/>
      <c r="E101" s="14"/>
      <c r="F101" s="14"/>
      <c r="G101" s="14"/>
      <c r="H101" s="14"/>
      <c r="I101" s="48"/>
    </row>
    <row r="102" ht="4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INDIRECT("'"&amp;INDIRECT("Main!B18")&amp;"'!C102")+SUM(E122+E149+E176)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INDIRECT("'"&amp;INDIRECT("Main!B18")&amp;"'!C103")+SUM(E123+E150+E177)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INDIRECT("'"&amp;INDIRECT("Main!B18")&amp;"'!C104")+SUM(E124+E151+E178)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INDIRECT("'"&amp;INDIRECT("Main!B18")&amp;"'!C105")+SUM(E125+E152+E179)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INDIRECT("'"&amp;INDIRECT("Main!B18")&amp;"'!C106")+SUM(E126+E153+E180)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INDIRECT("'"&amp;INDIRECT("Main!B18")&amp;"'!C107")+SUM(E127+E154+E181)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"&amp;IF(Main!B2,TEXT(EDATE(Main!B3,12),"mmmm dd yyyy"),TEXT(Main!B3+((Main!B5-Main!B3)*12+12),"mmmm dd yyyy"))&amp;" to "&amp;IF(Main!B2,TEXT(EDATE(Main!B3,13)-1,"mmmm dd yyyy"),TEXT(Main!B3+((Main!B5-Main!B3)*13+12),"mmmm dd yyyy"))</f>
        <v>Debts Or Credits For the Comming January 20 2026 to February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"&amp;IF(Main!B2,TEXT(EDATE(Main!B3,12)-1,"mmmm yyyy"),TEXT(Main!B3+((Main!B5-Main!B3)*12+11),"mmmm yyyy"))</f>
        <v>Balance Brought Forward From January 2026</v>
      </c>
      <c r="B116" s="57"/>
      <c r="C116" s="58"/>
      <c r="D116" s="58"/>
      <c r="E116" s="71" cm="1">
        <f ca="1" t="array" ref="E116">INDIRECT("'"&amp;INDIRECT("Main!B18")&amp;"'!E190")</f>
        <v>6890.32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t="s">
        <v>139</v>
      </c>
      <c r="D118" s="74"/>
      <c r="E118" s="8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t="s">
        <v>140</v>
      </c>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49" customHeight="1" spans="1:9">
      <c r="A129" s="63"/>
      <c r="B129" s="64"/>
      <c r="C129" s="73" t="s">
        <v>128</v>
      </c>
      <c r="D129" s="74"/>
      <c r="E129" s="87">
        <v>419</v>
      </c>
      <c r="F129" s="14"/>
      <c r="G129" s="14"/>
      <c r="H129" s="14"/>
      <c r="I129" s="48"/>
    </row>
    <row r="130" ht="30.7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7917.32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"&amp;IF(Main!B2,TEXT(EDATE(Main!B3,13),"mmmm dd yyyy"),TEXT(Main!B3+((Main!B5-Main!B3)*13+13),"dd mmmm yyyy"))&amp;" to "&amp;IF(Main!B2,TEXT(EDATE(Main!B3,14)-1,"mmmm dd yyyy"),TEXT(Main!B3+((Main!B5-Main!B3)*14+13),"mmmm dd yyyy"))</f>
        <v>Debts Or Credits For the Comming February 20 2026 to March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"&amp;IF(Main!B2,TEXT(EDATE(Main!B3,13)-1,"mmmm yyyy"),TEXT(Main!B3+((Main!B5-Main!B3)*13+12),"mmmm yyyy"))</f>
        <v>Balance Brought Forward From February 2026</v>
      </c>
      <c r="B143" s="57"/>
      <c r="C143" s="58"/>
      <c r="D143" s="58"/>
      <c r="E143" s="89">
        <f ca="1">E136</f>
        <v>7917.32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c r="D145" s="74"/>
      <c r="E145" s="8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2" customHeight="1" spans="1:9">
      <c r="A156" s="63"/>
      <c r="B156" s="64"/>
      <c r="C156" s="73" t="s">
        <v>141</v>
      </c>
      <c r="D156" s="74"/>
      <c r="E156" s="87">
        <v>1100</v>
      </c>
      <c r="F156" s="14"/>
      <c r="G156" s="14"/>
      <c r="H156" s="14"/>
      <c r="I156" s="48"/>
    </row>
    <row r="157" ht="30"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8513.32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"&amp;IF(Main!B2,TEXT(EDATE(Main!B3,14),"mmmm dd yyyy"),TEXT(Main!B3+((Main!B5-Main!B3)*14+14),"mmmm dd yyyy"))&amp;" to "&amp;IF(Main!B2,TEXT(EDATE(Main!B3,15)-1,"mmmm dd yyyy"),TEXT(Main!B3+((Main!B5-Main!B3)*15+14),"mmmm dd yyyy"))</f>
        <v>Debts Or Credits For the Comming March 20 2026 to April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"&amp;IF(Main!B2,TEXT(EDATE(Main!B3,14)-1,"mmmm yyyy"),TEXT(Main!B3+((Main!B5-Main!B3)*14+13),"mmmm yyyy"))</f>
        <v>Balance Brought Forward From March 2026</v>
      </c>
      <c r="B170" s="57"/>
      <c r="C170" s="58"/>
      <c r="D170" s="58"/>
      <c r="E170" s="92">
        <f ca="1">E163</f>
        <v>8513.32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c r="D172" s="74"/>
      <c r="E172" s="8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62" customHeight="1" spans="1:9">
      <c r="A183" s="63"/>
      <c r="B183" s="64"/>
      <c r="C183" s="73" t="s">
        <v>128</v>
      </c>
      <c r="D183" s="74"/>
      <c r="E183" s="87">
        <v>419</v>
      </c>
      <c r="F183" s="14"/>
      <c r="G183" s="14"/>
      <c r="H183" s="14"/>
      <c r="I183" s="48"/>
    </row>
    <row r="184" ht="29.25"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9540.32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31" operator="greaterThanOrEqual">
      <formula>0</formula>
    </cfRule>
    <cfRule type="cellIs" dxfId="1" priority="30" operator="lessThan">
      <formula>0</formula>
    </cfRule>
  </conditionalFormatting>
  <conditionalFormatting sqref="C75">
    <cfRule type="cellIs" dxfId="0" priority="76" operator="equal">
      <formula>0</formula>
    </cfRule>
    <cfRule type="cellIs" dxfId="1" priority="75" operator="greaterThan">
      <formula>0</formula>
    </cfRule>
  </conditionalFormatting>
  <conditionalFormatting sqref="C77">
    <cfRule type="cellIs" dxfId="0" priority="74" operator="equal">
      <formula>0</formula>
    </cfRule>
    <cfRule type="cellIs" dxfId="1" priority="73" operator="greaterThan">
      <formula>0</formula>
    </cfRule>
  </conditionalFormatting>
  <conditionalFormatting sqref="C87">
    <cfRule type="cellIs" dxfId="0" priority="21" operator="equal">
      <formula>0</formula>
    </cfRule>
    <cfRule type="cellIs" dxfId="1" priority="20" operator="greaterThan">
      <formula>0</formula>
    </cfRule>
  </conditionalFormatting>
  <conditionalFormatting sqref="C90">
    <cfRule type="cellIs" dxfId="0" priority="23" operator="equal">
      <formula>0</formula>
    </cfRule>
    <cfRule type="cellIs" dxfId="1" priority="22" operator="greaterThan">
      <formula>0</formula>
    </cfRule>
  </conditionalFormatting>
  <conditionalFormatting sqref="C91">
    <cfRule type="cellIs" dxfId="0" priority="33" operator="equal">
      <formula>0</formula>
    </cfRule>
    <cfRule type="cellIs" dxfId="1" priority="32" operator="greaterThan">
      <formula>0</formula>
    </cfRule>
  </conditionalFormatting>
  <conditionalFormatting sqref="C108">
    <cfRule type="cellIs" dxfId="0" priority="29" operator="greaterThanOrEqual">
      <formula>0</formula>
    </cfRule>
    <cfRule type="cellIs" dxfId="1" priority="28" operator="lessThan">
      <formula>0</formula>
    </cfRule>
  </conditionalFormatting>
  <conditionalFormatting sqref="C109">
    <cfRule type="cellIs" dxfId="0" priority="27" operator="greaterThanOrEqual">
      <formula>0</formula>
    </cfRule>
    <cfRule type="cellIs" dxfId="1" priority="26" operator="lessThan">
      <formula>0</formula>
    </cfRule>
  </conditionalFormatting>
  <conditionalFormatting sqref="E116">
    <cfRule type="cellIs" dxfId="3" priority="37" operator="greaterThanOrEqual">
      <formula>0</formula>
    </cfRule>
    <cfRule type="cellIs" dxfId="4" priority="36" operator="lessThan">
      <formula>0</formula>
    </cfRule>
  </conditionalFormatting>
  <conditionalFormatting sqref="E118">
    <cfRule type="cellIs" dxfId="5" priority="19" operator="equal">
      <formula>0</formula>
    </cfRule>
  </conditionalFormatting>
  <conditionalFormatting sqref="E123">
    <cfRule type="cellIs" dxfId="0" priority="6" operator="equal">
      <formula>0</formula>
    </cfRule>
    <cfRule type="cellIs" dxfId="1" priority="5" operator="greaterThan">
      <formula>0</formula>
    </cfRule>
  </conditionalFormatting>
  <conditionalFormatting sqref="E136">
    <cfRule type="cellIs" dxfId="3" priority="68" operator="greaterThanOrEqual">
      <formula>0</formula>
    </cfRule>
    <cfRule type="cellIs" dxfId="4" priority="67" operator="lessThan">
      <formula>0</formula>
    </cfRule>
  </conditionalFormatting>
  <conditionalFormatting sqref="E143">
    <cfRule type="cellIs" dxfId="3" priority="55" operator="greaterThanOrEqual">
      <formula>0</formula>
    </cfRule>
    <cfRule type="cellIs" dxfId="4" priority="54" operator="lessThan">
      <formula>0</formula>
    </cfRule>
  </conditionalFormatting>
  <conditionalFormatting sqref="E145">
    <cfRule type="cellIs" dxfId="5" priority="15" operator="equal">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7" operator="greaterThanOrEqual">
      <formula>0</formula>
    </cfRule>
    <cfRule type="cellIs" dxfId="4" priority="56" operator="lessThan">
      <formula>0</formula>
    </cfRule>
  </conditionalFormatting>
  <conditionalFormatting sqref="E170">
    <cfRule type="cellIs" dxfId="3" priority="49" operator="greaterThanOrEqual">
      <formula>0</formula>
    </cfRule>
    <cfRule type="cellIs" dxfId="4" priority="48" operator="lessThan">
      <formula>0</formula>
    </cfRule>
  </conditionalFormatting>
  <conditionalFormatting sqref="E172">
    <cfRule type="cellIs" dxfId="5" priority="11" operator="equal">
      <formula>0</formula>
    </cfRule>
  </conditionalFormatting>
  <conditionalFormatting sqref="E190">
    <cfRule type="cellIs" dxfId="3" priority="51" operator="greaterThanOrEqual">
      <formula>0</formula>
    </cfRule>
    <cfRule type="cellIs" dxfId="4" priority="50" operator="lessThan">
      <formula>0</formula>
    </cfRule>
  </conditionalFormatting>
  <conditionalFormatting sqref="C57:C66">
    <cfRule type="cellIs" dxfId="0" priority="80" operator="equal">
      <formula>0</formula>
    </cfRule>
    <cfRule type="cellIs" dxfId="1" priority="79" operator="greaterThan">
      <formula>0</formula>
    </cfRule>
  </conditionalFormatting>
  <conditionalFormatting sqref="C68:C69">
    <cfRule type="cellIs" dxfId="0" priority="78" operator="equal">
      <formula>0</formula>
    </cfRule>
    <cfRule type="cellIs" dxfId="1" priority="77" operator="greaterThan">
      <formula>0</formula>
    </cfRule>
  </conditionalFormatting>
  <conditionalFormatting sqref="C70:C74">
    <cfRule type="cellIs" dxfId="0" priority="66" operator="equal">
      <formula>0</formula>
    </cfRule>
    <cfRule type="cellIs" dxfId="1" priority="65" operator="greaterThan">
      <formula>0</formula>
    </cfRule>
  </conditionalFormatting>
  <conditionalFormatting sqref="C78:C79">
    <cfRule type="cellIs" dxfId="0" priority="35" operator="equal">
      <formula>0</formula>
    </cfRule>
    <cfRule type="cellIs" dxfId="1" priority="34" operator="greaterThan">
      <formula>0</formula>
    </cfRule>
  </conditionalFormatting>
  <conditionalFormatting sqref="C80:C84">
    <cfRule type="cellIs" dxfId="0" priority="64" operator="equal">
      <formula>0</formula>
    </cfRule>
    <cfRule type="cellIs" dxfId="1" priority="63" operator="greaterThan">
      <formula>0</formula>
    </cfRule>
  </conditionalFormatting>
  <conditionalFormatting sqref="C88:C89">
    <cfRule type="cellIs" dxfId="5" priority="24" operator="equal">
      <formula>0</formula>
    </cfRule>
  </conditionalFormatting>
  <conditionalFormatting sqref="C92:C94">
    <cfRule type="cellIs" dxfId="0" priority="62" operator="equal">
      <formula>0</formula>
    </cfRule>
    <cfRule type="cellIs" dxfId="1" priority="61" operator="greaterThan">
      <formula>0</formula>
    </cfRule>
  </conditionalFormatting>
  <conditionalFormatting sqref="C98:C107">
    <cfRule type="cellIs" dxfId="1" priority="45" operator="lessThan">
      <formula>0</formula>
    </cfRule>
    <cfRule type="cellIs" dxfId="2" priority="44" operator="greaterThanOrEqual">
      <formula>0</formula>
    </cfRule>
  </conditionalFormatting>
  <conditionalFormatting sqref="E129:E130">
    <cfRule type="cellIs" dxfId="5" priority="4" operator="equal">
      <formula>0</formula>
    </cfRule>
  </conditionalFormatting>
  <conditionalFormatting sqref="E146:E154">
    <cfRule type="cellIs" dxfId="0" priority="41" operator="equal">
      <formula>0</formula>
    </cfRule>
    <cfRule type="cellIs" dxfId="1" priority="40" operator="greaterThan">
      <formula>0</formula>
    </cfRule>
  </conditionalFormatting>
  <conditionalFormatting sqref="E173:E181">
    <cfRule type="cellIs" dxfId="0" priority="39" operator="equal">
      <formula>0</formula>
    </cfRule>
    <cfRule type="cellIs" dxfId="1" priority="38" operator="greaterThan">
      <formula>0</formula>
    </cfRule>
  </conditionalFormatting>
  <conditionalFormatting sqref="E183:E184">
    <cfRule type="cellIs" dxfId="5" priority="1" operator="equal">
      <formula>0</formula>
    </cfRule>
  </conditionalFormatting>
  <conditionalFormatting sqref="C47:C55 C85 C95:C96">
    <cfRule type="cellIs" dxfId="0" priority="82" operator="equal">
      <formula>0</formula>
    </cfRule>
  </conditionalFormatting>
  <conditionalFormatting sqref="C47:C55 C85 C95:C96 E144 E155 E158:E162">
    <cfRule type="cellIs" dxfId="1" priority="81" operator="greaterThan">
      <formula>0</formula>
    </cfRule>
  </conditionalFormatting>
  <conditionalFormatting sqref="E117 E128 E131:E135">
    <cfRule type="cellIs" dxfId="0" priority="70" operator="equal">
      <formula>0</formula>
    </cfRule>
    <cfRule type="cellIs" dxfId="1" priority="69" operator="greaterThan">
      <formula>0</formula>
    </cfRule>
  </conditionalFormatting>
  <conditionalFormatting sqref="E119:E122 E124:E127">
    <cfRule type="cellIs" dxfId="0" priority="43" operator="equal">
      <formula>0</formula>
    </cfRule>
    <cfRule type="cellIs" dxfId="1" priority="42" operator="greaterThan">
      <formula>0</formula>
    </cfRule>
  </conditionalFormatting>
  <conditionalFormatting sqref="E144 E155 E158:E162">
    <cfRule type="cellIs" dxfId="2" priority="58" operator="equal">
      <formula>0</formula>
    </cfRule>
  </conditionalFormatting>
  <conditionalFormatting sqref="E171 E182 E185:E189">
    <cfRule type="cellIs" dxfId="2" priority="53" operator="equal">
      <formula>0</formula>
    </cfRule>
    <cfRule type="cellIs" dxfId="1" priority="52" operator="greaterThan">
      <formula>0</formula>
    </cfRule>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9" workbookViewId="0">
      <selection activeCell="D49" sqref="D49"/>
    </sheetView>
  </sheetViews>
  <sheetFormatPr defaultColWidth="9" defaultRowHeight="17.6"/>
  <cols>
    <col min="1" max="1" width="20.625" customWidth="1"/>
    <col min="2" max="2" width="23.5" customWidth="1"/>
    <col min="3" max="8" width="20.625" customWidth="1"/>
  </cols>
  <sheetData>
    <row r="1" ht="24.75" customHeight="1" spans="1:9">
      <c r="A1" s="1" t="str">
        <f>"Forecasts For the Year "&amp;IF(Main!B2,TEXT(EDATE(Main!B3,15),"mmmm yyyy"),TEXT(Main!B3+((Main!B5-Main!B3)*15+15),"mmmm yyyy"))&amp;" to "&amp;IF(Main!B2,TEXT(EDATE(Main!B3,18)-1,"mmmm yyyy"),TEXT(Main!B3+((Main!B5-Main!B3)*18+17),"mmmm yyyy"))</f>
        <v>Forecasts For the Year April 2026 to July 2026</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12902.32</v>
      </c>
      <c r="D3" s="7"/>
      <c r="E3" s="7"/>
      <c r="F3" s="7"/>
      <c r="G3" s="7"/>
      <c r="H3" s="41"/>
      <c r="I3" s="41"/>
    </row>
    <row r="4" ht="24.75" customHeight="1" spans="1:9">
      <c r="A4" s="8" t="s">
        <v>47</v>
      </c>
      <c r="B4" s="9"/>
      <c r="C4" s="10">
        <f ca="1">SUM(C2:G3)</f>
        <v>13208.64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IF(Main!B2,TEXT(EDATE(Main!B3,15),"dd mmmm yyyy"),TEXT(Main!B3+((Main!B5-Main!B3)*15+15),"dd mmmm yyyy"))&amp;" - "&amp;IF(Main!B2,TEXT(EDATE(Main!B3,16)-1,"dd mmmm yyyy"),TEXT(Main!B3+((Main!B5-Main!B3)*16+15),"dd mmmm yyyy"))&amp;" / "&amp;" (Revenue / Deferred Debts Or Expenses)"</f>
        <v>20 April 2026 - 19 May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IF(Main!B2,TEXT(EDATE(Main!B3,16),"dd mmmm yyyy"),TEXT(Main!B3+((Main!B5-Main!B3)*16+16),"dd mmmm yyyy"))&amp;" - "&amp;IF(Main!B2,TEXT(EDATE(Main!B3,17)-1,"dd mmmm yyyy"),TEXT(Main!B3+((Main!B5-Main!B3)*17+16),"dd mmmm yyyy"))&amp;" / "&amp;" (Revenue / Deferred Debts Or Expenses)"</f>
        <v>20 May 2026 - 19 June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97" t="s">
        <v>97</v>
      </c>
      <c r="C23" s="98"/>
      <c r="D23" s="99" t="s">
        <v>142</v>
      </c>
      <c r="E23" s="100"/>
      <c r="F23" s="7">
        <v>1083</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IF(Main!B2,TEXT(EDATE(Main!B3,17),"dd mmmm yyyy"),TEXT(Main!B3+((Main!B5-Main!B3)*17+17),"dd mmmm yyyy"))&amp;" - "&amp;IF(Main!B2,TEXT(EDATE(Main!B3,18)-1,"dd mmmm yyyy"),TEXT(Main!B3+((Main!B5-Main!B3)*18+17),"dd mmmm yyyy"))&amp;" / "&amp;" (Revenue / Deferred Debts Or Expenses)"</f>
        <v>20 June 2026 - 19 July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"&amp;IF(Main!B2,TEXT(EDATE(Main!B3,15),"mmmm yyyy"),TEXT(Main!B3+((Main!B5-Main!B3)*15+15),"mmmm yyyy"))&amp;" to "&amp;IF(Main!B2,TEXT(EDATE(Main!B3,18)-1,"mmmm yyyy"),TEXT(Main!B3+((Main!B5-Main!B3)*18+17),"mmmm yyyy"))</f>
        <v>Fixed Expense For the Year April 2026 to July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71"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5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INDIRECT("'"&amp;INDIRECT("Main!B21")&amp;"'!C98")+SUM(E118+E145+E172)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INDIRECT("'"&amp;INDIRECT("Main!B21")&amp;"'!C99")+SUM(E119+E146+E173)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106" cm="1">
        <f ca="1" t="array" ref="C100">INDIRECT("'"&amp;INDIRECT("Main!B21")&amp;"'!C100")+SUM(E120+E147+E174)</f>
        <v>0</v>
      </c>
      <c r="D100" s="14"/>
      <c r="E100" s="14"/>
      <c r="F100" s="14"/>
      <c r="G100" s="14"/>
      <c r="H100" s="14"/>
      <c r="I100" s="48"/>
    </row>
    <row r="101" ht="50"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INDIRECT("'"&amp;INDIRECT("Main!B21")&amp;"'!C101")+SUM(E121+E148+E175)</f>
        <v>0</v>
      </c>
      <c r="D101" s="14"/>
      <c r="E101" s="14"/>
      <c r="F101" s="14"/>
      <c r="G101" s="14"/>
      <c r="H101" s="14"/>
      <c r="I101" s="48"/>
    </row>
    <row r="102" ht="43"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INDIRECT("'"&amp;INDIRECT("Main!B21")&amp;"'!C102")+SUM(E122+E149+E176)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INDIRECT("'"&amp;INDIRECT("Main!B21")&amp;"'!C103")+SUM(E123+E150+E177)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INDIRECT("'"&amp;INDIRECT("Main!B21")&amp;"'!C104")+SUM(E124+E151+E178)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INDIRECT("'"&amp;INDIRECT("Main!B21")&amp;"'!C105")+SUM(E125+E152+E179)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INDIRECT("'"&amp;INDIRECT("Main!B21")&amp;"'!C106")+SUM(E126+E153+E180)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INDIRECT("'"&amp;INDIRECT("Main!B21")&amp;"'!C107")+SUM(E127+E154+E181)</f>
        <v>0</v>
      </c>
      <c r="D107" s="14"/>
      <c r="E107" s="14"/>
      <c r="F107" s="14"/>
      <c r="G107" s="14"/>
      <c r="H107" s="14"/>
      <c r="I107" s="48"/>
    </row>
    <row r="108" ht="24.75" customHeight="1" spans="1:9">
      <c r="A108" s="50"/>
      <c r="B108" s="40" t="s">
        <v>87</v>
      </c>
      <c r="C108" s="106">
        <f ca="1">SUM(C98:C107)</f>
        <v>-333730.02</v>
      </c>
      <c r="D108" s="14"/>
      <c r="E108" s="14"/>
      <c r="F108" s="14"/>
      <c r="G108" s="14"/>
      <c r="H108" s="14"/>
      <c r="I108" s="48"/>
    </row>
    <row r="109" ht="24.75" customHeight="1" spans="1:9">
      <c r="A109" s="50"/>
      <c r="B109" s="40" t="s">
        <v>88</v>
      </c>
      <c r="C109" s="106">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"&amp;IF(Main!B2,TEXT(EDATE(Main!B3,15),"mmmm dd yyyy"),TEXT(Main!B3+((Main!B5-Main!B3)*15+15),"mmmm dd yyyy"))&amp;" to "&amp;IF(Main!B2,TEXT(EDATE(Main!B3,16)-1,"mmmm dd yyyy"),TEXT(Main!B3+((Main!B5-Main!B3)*16+15),"mmmm dd yyyy"))</f>
        <v>Debts Or Credits For the Comming April 20 2026 to May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"&amp;IF(Main!B2,TEXT(EDATE(Main!B3,15)-1,"mmmm yyyy"),TEXT(Main!B3+((Main!B5-Main!B3)*15+14),"mmmm yyyy"))</f>
        <v>Balance Brought Forward From April 2026</v>
      </c>
      <c r="B116" s="57"/>
      <c r="C116" s="58"/>
      <c r="D116" s="58"/>
      <c r="E116" s="71" cm="1">
        <f ca="1" t="array" ref="E116">INDIRECT("'"&amp;INDIRECT("Main!B21")&amp;"'!E190")</f>
        <v>9540.32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c r="D118" s="74"/>
      <c r="E118" s="8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8" customHeight="1" spans="1:9">
      <c r="A129" s="63"/>
      <c r="B129" s="64"/>
      <c r="C129" s="73" t="s">
        <v>143</v>
      </c>
      <c r="D129" s="74"/>
      <c r="E129" s="87">
        <v>940</v>
      </c>
      <c r="F129" s="14"/>
      <c r="G129" s="14"/>
      <c r="H129" s="14"/>
      <c r="I129" s="48"/>
    </row>
    <row r="130" ht="30"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10296.32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"&amp;IF(Main!B2,TEXT(EDATE(Main!B3,16),"mmmm dd yyyy"),TEXT(Main!B3+((Main!B5-Main!B3)*16+16),"dd mmmm yyyy"))&amp;" to "&amp;IF(Main!B2,TEXT(EDATE(Main!B3,17)-1,"mmmm dd yyyy"),TEXT(Main!B3+((Main!B5-Main!B3)*17+16),"mmmm dd yyyy"))</f>
        <v>Debts Or Credits For the Comming May 20 2026 to June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"&amp;IF(Main!B2,TEXT(EDATE(Main!B3,16)-1,"mmmm yyyy"),TEXT(Main!B3+((Main!B5-Main!B3)*16+15),"mmmm yyyy"))</f>
        <v>Balance Brought Forward From May 2026</v>
      </c>
      <c r="B143" s="57"/>
      <c r="C143" s="58"/>
      <c r="D143" s="58"/>
      <c r="E143" s="89">
        <f ca="1">E136</f>
        <v>10296.32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c r="D145" s="74"/>
      <c r="E145" s="8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84" customHeight="1" spans="1:9">
      <c r="A156" s="63"/>
      <c r="B156" s="64"/>
      <c r="C156" s="73" t="s">
        <v>144</v>
      </c>
      <c r="D156" s="74"/>
      <c r="E156" s="87">
        <v>579</v>
      </c>
      <c r="F156" s="14"/>
      <c r="G156" s="14"/>
      <c r="H156" s="14"/>
      <c r="I156" s="48"/>
    </row>
    <row r="157" ht="31.5"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12246.32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"&amp;IF(Main!B2,TEXT(EDATE(Main!B3,17),"mmmm dd yyyy"),TEXT(Main!B3+((Main!B5-Main!B3)*17+17),"mmmm dd yyyy"))&amp;" to "&amp;IF(Main!B2,TEXT(EDATE(Main!B3,18)-1,"mmmm dd yyyy"),TEXT(Main!B3+((Main!B5-Main!B3)*18+17),"mmmm dd yyyy"))</f>
        <v>Debts Or Credits For the Comming June 20 2026 to July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"&amp;IF(Main!B2,TEXT(EDATE(Main!B3,17)-1,"mmmm yyyy"),TEXT(Main!B3+((Main!B5-Main!B3)*17+16),"mmmm yyyy"))</f>
        <v>Balance Brought Forward From June 2026</v>
      </c>
      <c r="B170" s="57"/>
      <c r="C170" s="58"/>
      <c r="D170" s="58"/>
      <c r="E170" s="92">
        <f ca="1">E163</f>
        <v>12246.32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30" customHeight="1" spans="1:9">
      <c r="A182" s="63"/>
      <c r="B182" s="64"/>
      <c r="C182" s="67" t="s">
        <v>91</v>
      </c>
      <c r="D182" s="62"/>
      <c r="E182" s="72"/>
      <c r="F182" s="14"/>
      <c r="G182" s="14"/>
      <c r="H182" s="14"/>
      <c r="I182" s="48"/>
    </row>
    <row r="183" ht="55" customHeight="1" spans="1:9">
      <c r="A183" s="63"/>
      <c r="B183" s="64"/>
      <c r="C183" s="73" t="s">
        <v>145</v>
      </c>
      <c r="D183" s="74"/>
      <c r="E183" s="87">
        <v>1040</v>
      </c>
      <c r="F183" s="14"/>
      <c r="G183" s="14"/>
      <c r="H183" s="14"/>
      <c r="I183" s="48"/>
    </row>
    <row r="184" ht="29.25"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12902.32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8" operator="greaterThanOrEqual">
      <formula>0</formula>
    </cfRule>
    <cfRule type="cellIs" dxfId="1" priority="27" operator="lessThan">
      <formula>0</formula>
    </cfRule>
  </conditionalFormatting>
  <conditionalFormatting sqref="C75">
    <cfRule type="cellIs" dxfId="0" priority="73" operator="equal">
      <formula>0</formula>
    </cfRule>
    <cfRule type="cellIs" dxfId="1" priority="72" operator="greaterThan">
      <formula>0</formula>
    </cfRule>
  </conditionalFormatting>
  <conditionalFormatting sqref="C77">
    <cfRule type="cellIs" dxfId="0" priority="71" operator="equal">
      <formula>0</formula>
    </cfRule>
    <cfRule type="cellIs" dxfId="1" priority="70" operator="greaterThan">
      <formula>0</formula>
    </cfRule>
  </conditionalFormatting>
  <conditionalFormatting sqref="C90">
    <cfRule type="cellIs" dxfId="6" priority="22" operator="equal">
      <formula>0</formula>
    </cfRule>
  </conditionalFormatting>
  <conditionalFormatting sqref="C91">
    <cfRule type="cellIs" dxfId="0" priority="30" operator="equal">
      <formula>0</formula>
    </cfRule>
    <cfRule type="cellIs" dxfId="1" priority="29" operator="greaterThan">
      <formula>0</formula>
    </cfRule>
  </conditionalFormatting>
  <conditionalFormatting sqref="C108">
    <cfRule type="cellIs" dxfId="0" priority="26" operator="greaterThanOrEqual">
      <formula>0</formula>
    </cfRule>
    <cfRule type="cellIs" dxfId="1" priority="25" operator="lessThan">
      <formula>0</formula>
    </cfRule>
  </conditionalFormatting>
  <conditionalFormatting sqref="C109">
    <cfRule type="cellIs" dxfId="0" priority="24" operator="greaterThanOrEqual">
      <formula>0</formula>
    </cfRule>
    <cfRule type="cellIs" dxfId="1" priority="23" operator="lessThan">
      <formula>0</formula>
    </cfRule>
  </conditionalFormatting>
  <conditionalFormatting sqref="E116">
    <cfRule type="cellIs" dxfId="3" priority="34" operator="greaterThanOrEqual">
      <formula>0</formula>
    </cfRule>
    <cfRule type="cellIs" dxfId="4" priority="33" operator="lessThan">
      <formula>0</formula>
    </cfRule>
  </conditionalFormatting>
  <conditionalFormatting sqref="E118">
    <cfRule type="cellIs" dxfId="5" priority="20" operator="equal">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5" operator="greaterThanOrEqual">
      <formula>0</formula>
    </cfRule>
    <cfRule type="cellIs" dxfId="4" priority="64" operator="lessThan">
      <formula>0</formula>
    </cfRule>
  </conditionalFormatting>
  <conditionalFormatting sqref="E143">
    <cfRule type="cellIs" dxfId="3" priority="52" operator="greaterThanOrEqual">
      <formula>0</formula>
    </cfRule>
    <cfRule type="cellIs" dxfId="4" priority="51" operator="lessThan">
      <formula>0</formula>
    </cfRule>
  </conditionalFormatting>
  <conditionalFormatting sqref="E145">
    <cfRule type="cellIs" dxfId="5" priority="14" operator="equal">
      <formula>0</formula>
    </cfRule>
  </conditionalFormatting>
  <conditionalFormatting sqref="E163">
    <cfRule type="cellIs" dxfId="3" priority="54" operator="greaterThanOrEqual">
      <formula>0</formula>
    </cfRule>
    <cfRule type="cellIs" dxfId="4" priority="53" operator="lessThan">
      <formula>0</formula>
    </cfRule>
  </conditionalFormatting>
  <conditionalFormatting sqref="E170">
    <cfRule type="cellIs" dxfId="3" priority="46" operator="greaterThanOrEqual">
      <formula>0</formula>
    </cfRule>
    <cfRule type="cellIs" dxfId="4" priority="45"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8" operator="greaterThanOrEqual">
      <formula>0</formula>
    </cfRule>
    <cfRule type="cellIs" dxfId="4" priority="47" operator="lessThan">
      <formula>0</formula>
    </cfRule>
  </conditionalFormatting>
  <conditionalFormatting sqref="C57:C66">
    <cfRule type="cellIs" dxfId="0" priority="77" operator="equal">
      <formula>0</formula>
    </cfRule>
    <cfRule type="cellIs" dxfId="1" priority="76" operator="greaterThan">
      <formula>0</formula>
    </cfRule>
  </conditionalFormatting>
  <conditionalFormatting sqref="C68:C69">
    <cfRule type="cellIs" dxfId="0" priority="75" operator="equal">
      <formula>0</formula>
    </cfRule>
    <cfRule type="cellIs" dxfId="1" priority="74" operator="greaterThan">
      <formula>0</formula>
    </cfRule>
  </conditionalFormatting>
  <conditionalFormatting sqref="C70:C74">
    <cfRule type="cellIs" dxfId="0" priority="63" operator="equal">
      <formula>0</formula>
    </cfRule>
    <cfRule type="cellIs" dxfId="1" priority="62" operator="greaterThan">
      <formula>0</formula>
    </cfRule>
  </conditionalFormatting>
  <conditionalFormatting sqref="C78:C79">
    <cfRule type="cellIs" dxfId="0" priority="32" operator="equal">
      <formula>0</formula>
    </cfRule>
    <cfRule type="cellIs" dxfId="1" priority="31" operator="greaterThan">
      <formula>0</formula>
    </cfRule>
  </conditionalFormatting>
  <conditionalFormatting sqref="C80:C84">
    <cfRule type="cellIs" dxfId="0" priority="61" operator="equal">
      <formula>0</formula>
    </cfRule>
    <cfRule type="cellIs" dxfId="1" priority="60" operator="greaterThan">
      <formula>0</formula>
    </cfRule>
  </conditionalFormatting>
  <conditionalFormatting sqref="C87:C90">
    <cfRule type="cellIs" dxfId="5" priority="21" operator="equal">
      <formula>0</formula>
    </cfRule>
  </conditionalFormatting>
  <conditionalFormatting sqref="C92:C94">
    <cfRule type="cellIs" dxfId="0" priority="59" operator="equal">
      <formula>0</formula>
    </cfRule>
    <cfRule type="cellIs" dxfId="1" priority="58" operator="greaterThan">
      <formula>0</formula>
    </cfRule>
  </conditionalFormatting>
  <conditionalFormatting sqref="C98:C107">
    <cfRule type="cellIs" dxfId="1" priority="42" operator="lessThan">
      <formula>0</formula>
    </cfRule>
    <cfRule type="cellIs" dxfId="2" priority="41" operator="greaterThanOrEqual">
      <formula>0</formula>
    </cfRule>
  </conditionalFormatting>
  <conditionalFormatting sqref="E119:E127">
    <cfRule type="cellIs" dxfId="0" priority="40" operator="equal">
      <formula>0</formula>
    </cfRule>
    <cfRule type="cellIs" dxfId="1" priority="39" operator="greaterThan">
      <formula>0</formula>
    </cfRule>
  </conditionalFormatting>
  <conditionalFormatting sqref="E146:E150">
    <cfRule type="cellIs" dxfId="0" priority="16" operator="equal">
      <formula>0</formula>
    </cfRule>
    <cfRule type="cellIs" dxfId="1" priority="15" operator="greaterThan">
      <formula>0</formula>
    </cfRule>
  </conditionalFormatting>
  <conditionalFormatting sqref="E151:E154">
    <cfRule type="cellIs" dxfId="0" priority="38" operator="equal">
      <formula>0</formula>
    </cfRule>
    <cfRule type="cellIs" dxfId="1" priority="37" operator="greaterThan">
      <formula>0</formula>
    </cfRule>
  </conditionalFormatting>
  <conditionalFormatting sqref="E156:E157">
    <cfRule type="cellIs" dxfId="5" priority="3" operator="equal">
      <formula>0</formula>
    </cfRule>
  </conditionalFormatting>
  <conditionalFormatting sqref="E172:E177">
    <cfRule type="cellIs" dxfId="0" priority="10" operator="equal">
      <formula>0</formula>
    </cfRule>
    <cfRule type="cellIs" dxfId="1" priority="9" operator="greaterThan">
      <formula>0</formula>
    </cfRule>
  </conditionalFormatting>
  <conditionalFormatting sqref="E178:E181">
    <cfRule type="cellIs" dxfId="0" priority="36" operator="equal">
      <formula>0</formula>
    </cfRule>
    <cfRule type="cellIs" dxfId="1" priority="35" operator="greaterThan">
      <formula>0</formula>
    </cfRule>
  </conditionalFormatting>
  <conditionalFormatting sqref="C47:C55 C85 C95:C96">
    <cfRule type="cellIs" dxfId="0" priority="79" operator="equal">
      <formula>0</formula>
    </cfRule>
  </conditionalFormatting>
  <conditionalFormatting sqref="C47:C55 C85 C95:C96 E144 E155 E158:E162">
    <cfRule type="cellIs" dxfId="1" priority="78" operator="greaterThan">
      <formula>0</formula>
    </cfRule>
  </conditionalFormatting>
  <conditionalFormatting sqref="E117 E128 E131:E135">
    <cfRule type="cellIs" dxfId="0" priority="67" operator="equal">
      <formula>0</formula>
    </cfRule>
    <cfRule type="cellIs" dxfId="1" priority="66" operator="greaterThan">
      <formula>0</formula>
    </cfRule>
  </conditionalFormatting>
  <conditionalFormatting sqref="E144 E155 E158:E162">
    <cfRule type="cellIs" dxfId="2" priority="55" operator="equal">
      <formula>0</formula>
    </cfRule>
  </conditionalFormatting>
  <conditionalFormatting sqref="E171 E182 E185:E189">
    <cfRule type="cellIs" dxfId="2" priority="50" operator="equal">
      <formula>0</formula>
    </cfRule>
    <cfRule type="cellIs" dxfId="1" priority="49" operator="greaterThan">
      <formula>0</formula>
    </cfRule>
  </conditionalFormatting>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6" workbookViewId="0">
      <selection activeCell="D51" sqref="D51"/>
    </sheetView>
  </sheetViews>
  <sheetFormatPr defaultColWidth="9" defaultRowHeight="17.6"/>
  <cols>
    <col min="1" max="2" width="20.625" customWidth="1"/>
    <col min="3" max="3" width="26.25" customWidth="1"/>
    <col min="4" max="8" width="20.625" customWidth="1"/>
  </cols>
  <sheetData>
    <row r="1" ht="24.75" customHeight="1" spans="1:9">
      <c r="A1" s="1" t="str">
        <f>"Forecasts For the Year "&amp;IF(Main!B2,TEXT(EDATE(Main!B3,18),"mmmm yyyy"),TEXT(Main!B3+((Main!B5-Main!B3)*18+18),"mmmm yyyy"))&amp;" to "&amp;IF(Main!B2,TEXT(EDATE(Main!B3,21)-1,"mmmm yyyy"),TEXT(Main!B3+((Main!B5-Main!B3)*21+20),"mmmm yyyy"))</f>
        <v>Forecasts For the Year July 2026 to October 2026</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spans="1:9">
      <c r="A3" s="5"/>
      <c r="B3" s="6" t="s">
        <v>95</v>
      </c>
      <c r="C3" s="7">
        <f ca="1">E190</f>
        <v>15552.32</v>
      </c>
      <c r="D3" s="7"/>
      <c r="E3" s="7"/>
      <c r="F3" s="7"/>
      <c r="G3" s="7"/>
      <c r="H3" s="41"/>
      <c r="I3" s="41"/>
    </row>
    <row r="4" ht="24.75" customHeight="1" spans="1:9">
      <c r="A4" s="8" t="s">
        <v>47</v>
      </c>
      <c r="B4" s="9"/>
      <c r="C4" s="10">
        <f ca="1">SUM(C2:G3)</f>
        <v>15858.64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IF(Main!B2,TEXT(EDATE(Main!B3,18),"dd mmmm yyyy"),TEXT(Main!B3+((Main!B5-Main!B3)*18+18),"dd mmmm yyyy"))&amp;" - "&amp;IF(Main!B2,TEXT(EDATE(Main!B3,19)-1,"dd mmmm yyyy"),TEXT(Main!B3+((Main!B5-Main!B3)*19+18),"dd mmmm yyyy"))&amp;" / "&amp;" (Revenue / Deferred Debts Or Expenses)"</f>
        <v>20 July 2026 - 19 August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t="s">
        <v>146</v>
      </c>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IF(Main!B2,TEXT(EDATE(Main!B3,19),"dd mmmm yyyy"),TEXT(Main!B3+((Main!B5-Main!B3)*19+19),"dd mmmm yyyy"))&amp;" - "&amp;IF(Main!B2,TEXT(EDATE(Main!B3,20)-1,"dd mmmm yyyy"),TEXT(Main!B3+((Main!B5-Main!B3)*20+19),"dd mmmm yyyy"))&amp;" / "&amp;" (Revenue / Deferred Debts Or Expenses)"</f>
        <v>20 August 2026 - 19 September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IF(Main!B2,TEXT(EDATE(Main!B3,20),"dd mmmm yyyy"),TEXT(Main!B3+((Main!B5-Main!B3)*20+20),"dd mmmm yyyy"))&amp;" - "&amp;IF(Main!B2,TEXT(EDATE(Main!B3,21)-1,"dd mmmm yyyy"),TEXT(Main!B3+((Main!B5-Main!B3)*21+20),"dd mmmm yyyy"))&amp;" / "&amp;" (Revenue / Deferred Debts Or Expenses)"</f>
        <v>20 September 2026 - 19 October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102" t="s">
        <v>97</v>
      </c>
      <c r="C34" s="103"/>
      <c r="D34" s="102" t="s">
        <v>98</v>
      </c>
      <c r="E34" s="103"/>
      <c r="F34" s="104">
        <v>2435</v>
      </c>
      <c r="G34" s="105"/>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"&amp;IF(Main!B2,TEXT(EDATE(Main!B3,18),"mmmm yyyy"),TEXT(Main!B3+((Main!B5-Main!B3)*18+18),"mmmm yyyy"))&amp;" to "&amp;IF(Main!B2,TEXT(EDATE(Main!B3,21)-1,"mmmm yyyy"),TEXT(Main!B3+((Main!B5-Main!B3)*21+20),"mmmm yyyy"))</f>
        <v>Fixed Expense For the Year July 2026 to October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48.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3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INDIRECT("'"&amp;INDIRECT("Main!B24")&amp;"'!C98")+SUM(E118+E145+E172)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INDIRECT("'"&amp;INDIRECT("Main!B24")&amp;"'!C99")+SUM(E119+E146+E173)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106" cm="1">
        <f ca="1" t="array" ref="C100">INDIRECT("'"&amp;INDIRECT("Main!B24")&amp;"'!C100")+SUM(E120+E147+E174)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INDIRECT("'"&amp;INDIRECT("Main!B24")&amp;"'!C101")+SUM(E121+E148+E175)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INDIRECT("'"&amp;INDIRECT("Main!B24")&amp;"'!C102")+SUM(E122+E149+E176)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INDIRECT("'"&amp;INDIRECT("Main!B24")&amp;"'!C103")+SUM(E123+E150+E177)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INDIRECT("'"&amp;INDIRECT("Main!B24")&amp;"'!C104")+SUM(E124+E151+E178)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INDIRECT("'"&amp;INDIRECT("Main!B24")&amp;"'!C105")+SUM(E125+E152+E179)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INDIRECT("'"&amp;INDIRECT("Main!B24")&amp;"'!C106")+SUM(E126+E153+E180)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INDIRECT("'"&amp;INDIRECT("Main!B24")&amp;"'!C107")+SUM(E127+E154+E181)</f>
        <v>0</v>
      </c>
      <c r="D107" s="14"/>
      <c r="E107" s="14"/>
      <c r="F107" s="14"/>
      <c r="G107" s="14"/>
      <c r="H107" s="14"/>
      <c r="I107" s="48"/>
    </row>
    <row r="108" ht="24.75" customHeight="1" spans="1:9">
      <c r="A108" s="50"/>
      <c r="B108" s="40" t="s">
        <v>87</v>
      </c>
      <c r="C108" s="106">
        <f ca="1">SUM(C98:C107)</f>
        <v>-333730.02</v>
      </c>
      <c r="D108" s="14"/>
      <c r="E108" s="14"/>
      <c r="F108" s="14"/>
      <c r="G108" s="14"/>
      <c r="H108" s="14"/>
      <c r="I108" s="48"/>
    </row>
    <row r="109" ht="24.75" customHeight="1" spans="1:9">
      <c r="A109" s="50"/>
      <c r="B109" s="40" t="s">
        <v>88</v>
      </c>
      <c r="C109" s="106">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"&amp;IF(Main!B2,TEXT(EDATE(Main!B3,18),"mmmm dd yyyy"),TEXT(Main!B3+((Main!B5-Main!B3)*18+18),"mmmm dd yyyy"))&amp;" to "&amp;IF(Main!B2,TEXT(EDATE(Main!B3,19)-1,"mmmm dd yyyy"),TEXT(Main!B3+((Main!B5-Main!B3)*19+18),"mmmm dd yyyy"))</f>
        <v>Debts Or Credits For the Comming July 20 2026 to August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"&amp;IF(Main!B2,TEXT(EDATE(Main!B3,18)-1,"mmmm yyyy"),TEXT(Main!B3+((Main!B5-Main!B3)*18+17),"mmmm yyyy"))</f>
        <v>Balance Brought Forward From July 2026</v>
      </c>
      <c r="B116" s="57"/>
      <c r="C116" s="58"/>
      <c r="D116" s="58"/>
      <c r="E116" s="71" cm="1">
        <f ca="1" t="array" ref="E116">INDIRECT("'"&amp;INDIRECT("Main!B24")&amp;"'!E190")</f>
        <v>12902.32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5" customHeight="1" spans="1:9">
      <c r="A129" s="63"/>
      <c r="B129" s="64"/>
      <c r="C129" s="73" t="s">
        <v>128</v>
      </c>
      <c r="D129" s="74"/>
      <c r="E129" s="87">
        <v>419</v>
      </c>
      <c r="F129" s="14"/>
      <c r="G129" s="14"/>
      <c r="H129" s="14"/>
      <c r="I129" s="48"/>
    </row>
    <row r="130" ht="24.7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13929.32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"&amp;IF(Main!B2,TEXT(EDATE(Main!B3,19),"mmmm dd yyyy"),TEXT(Main!B3+((Main!B5-Main!B3)*19+19),"dd mmmm yyyy"))&amp;" to "&amp;IF(Main!B2,TEXT(EDATE(Main!B3,20)-1,"mmmm dd yyyy"),TEXT(Main!B3+((Main!B5-Main!B3)*20+19),"mmmm dd yyyy"))</f>
        <v>Debts Or Credits For the Comming August 20 2026 to September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"&amp;IF(Main!B2,TEXT(EDATE(Main!B3,19)-1,"mmmm yyyy"),TEXT(Main!B3+((Main!B5-Main!B3)*19+18),"mmmm yyyy"))</f>
        <v>Balance Brought Forward From August 2026</v>
      </c>
      <c r="B143" s="57"/>
      <c r="C143" s="58"/>
      <c r="D143" s="58"/>
      <c r="E143" s="89">
        <f ca="1">E136</f>
        <v>13929.32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5" customHeight="1" spans="1:9">
      <c r="A156" s="63"/>
      <c r="B156" s="64"/>
      <c r="C156" s="73" t="s">
        <v>141</v>
      </c>
      <c r="D156" s="74"/>
      <c r="E156" s="87">
        <v>1100</v>
      </c>
      <c r="F156" s="14"/>
      <c r="G156" s="14"/>
      <c r="H156" s="14"/>
      <c r="I156" s="48"/>
    </row>
    <row r="157" ht="26.25"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14525.32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"&amp;IF(Main!B2,TEXT(EDATE(Main!B3,20),"mmmm dd yyyy"),TEXT(Main!B3+((Main!B5-Main!B3)*20+20),"mmmm dd yyyy"))&amp;" to "&amp;IF(Main!B2,TEXT(EDATE(Main!B3,21)-1,"mmmm dd yyyy"),TEXT(Main!B3+((Main!B5-Main!B3)*21+20),"mmmm dd yyyy"))</f>
        <v>Debts Or Credits For the Comming September 20 2026 to October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"&amp;IF(Main!B2,TEXT(EDATE(Main!B3,20)-1,"mmmm yyyy"),TEXT(Main!B3+((Main!B5-Main!B3)*20+19),"mmmm yyyy"))</f>
        <v>Balance Brought Forward From September 2026</v>
      </c>
      <c r="B170" s="57"/>
      <c r="C170" s="58"/>
      <c r="D170" s="58"/>
      <c r="E170" s="92">
        <f ca="1">E163</f>
        <v>14525.32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1" customHeight="1" spans="1:9">
      <c r="A183" s="63"/>
      <c r="B183" s="64"/>
      <c r="C183" s="73" t="s">
        <v>128</v>
      </c>
      <c r="D183" s="74"/>
      <c r="E183" s="87">
        <v>419</v>
      </c>
      <c r="F183" s="14"/>
      <c r="G183" s="14"/>
      <c r="H183" s="14"/>
      <c r="I183" s="48"/>
    </row>
    <row r="184" ht="27"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15552.32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5" operator="greaterThanOrEqual">
      <formula>0</formula>
    </cfRule>
    <cfRule type="cellIs" dxfId="1" priority="24" operator="less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15" operator="equal">
      <formula>0</formula>
    </cfRule>
    <cfRule type="cellIs" dxfId="1" priority="14" operator="greaterThan">
      <formula>0</formula>
    </cfRule>
  </conditionalFormatting>
  <conditionalFormatting sqref="C90">
    <cfRule type="cellIs" dxfId="0" priority="17" operator="equal">
      <formula>0</formula>
    </cfRule>
    <cfRule type="cellIs" dxfId="1" priority="16"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3" operator="greaterThanOrEqual">
      <formula>0</formula>
    </cfRule>
    <cfRule type="cellIs" dxfId="1" priority="22"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18"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4" workbookViewId="0">
      <selection activeCell="C54" sqref="A47:C54"/>
    </sheetView>
  </sheetViews>
  <sheetFormatPr defaultColWidth="9" defaultRowHeight="17.6"/>
  <cols>
    <col min="1" max="1" width="20.625" customWidth="1"/>
    <col min="2" max="2" width="25" customWidth="1"/>
    <col min="3" max="3" width="21.25" customWidth="1"/>
    <col min="4" max="8" width="20.625" customWidth="1"/>
  </cols>
  <sheetData>
    <row r="1" ht="24.75" customHeight="1" spans="1:9">
      <c r="A1" s="1" t="str">
        <f>"Forecasts For the Year "&amp;IF(Main!B2,TEXT(EDATE(Main!B3,21),"mmmm yyyy"),TEXT(Main!B3+((Main!B5-Main!B3)*21+21),"mmmm yyyy"))&amp;" to "&amp;IF(Main!B2,TEXT(EDATE(Main!B3,24)-1,"mmmm yyyy"),TEXT(Main!B3+((Main!B5-Main!B3)*24+23),"mmmm yyyy"))</f>
        <v>Forecasts For the Year October 2026 to January 2027</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17781.32</v>
      </c>
      <c r="D3" s="7"/>
      <c r="E3" s="7"/>
      <c r="F3" s="7"/>
      <c r="G3" s="7"/>
      <c r="H3" s="41"/>
      <c r="I3" s="41"/>
    </row>
    <row r="4" ht="24.75" customHeight="1" spans="1:9">
      <c r="A4" s="8" t="s">
        <v>47</v>
      </c>
      <c r="B4" s="9"/>
      <c r="C4" s="10">
        <f ca="1">SUM(C2:G3)</f>
        <v>18087.64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IF(Main!B2,TEXT(EDATE(Main!B3,21),"dd mmmm yyyy"),TEXT(Main!B3+((Main!B5-Main!B3)*21+21),"dd mmmm yyyy"))&amp;" - "&amp;IF(Main!B2,TEXT(EDATE(Main!B3,22)-1,"dd mmmm yyyy"),TEXT(Main!B3+((Main!B5-Main!B3)*22+21),"dd mmmm yyyy"))&amp;" / "&amp;" (Revenue / Deferred Debts Or Expenses)"</f>
        <v>20 October 2026 - 19 November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IF(Main!B2,TEXT(EDATE(Main!B3,22),"dd mmmm yyyy"),TEXT(Main!B3+((Main!B5-Main!B3)*22+22),"dd mmmm yyyy"))&amp;" - "&amp;IF(Main!B2,TEXT(EDATE(Main!B3,23)-1,"dd mmmm yyyy"),TEXT(Main!B3+((Main!B5-Main!B3)*23+22),"dd mmmm yyyy"))&amp;" / "&amp;" (Revenue / Deferred Debts Or Expenses)"</f>
        <v>20 November 2026 - 19 December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IF(Main!B2,TEXT(EDATE(Main!B3,23),"dd mmmm yyyy"),TEXT(Main!B3+((Main!B5-Main!B3)*23+23),"dd mmmm yyyy"))&amp;" - "&amp;IF(Main!B2,TEXT(EDATE(Main!B3,24)-1,"dd mmmm yyyy"),TEXT(Main!B3+((Main!B5-Main!B3)*24+23),"dd mmmm yyyy"))&amp;" / "&amp;" (Revenue / Deferred Debts Or Expenses)"</f>
        <v>20 December 2026 - 19 January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"&amp;IF(Main!B2,TEXT(EDATE(Main!B3,21),"mmmm yyyy"),TEXT(Main!B3+((Main!B5-Main!B3)*21+21),"mmmm yyyy"))&amp;" to "&amp;IF(Main!B2,TEXT(EDATE(Main!B3,24)-1,"mmmm yyyy"),TEXT(Main!B3+((Main!B5-Main!B3)*24+23),"mmmm yyyy"))</f>
        <v>Fixed Expense For the Year October 2026 to January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INDIRECT("'"&amp;INDIRECT("Main!B27")&amp;"'!C98")+SUM(E118+E145+E172)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INDIRECT("'"&amp;INDIRECT("Main!B27")&amp;"'!C99")+SUM(E119+E146+E173)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INDIRECT("'"&amp;INDIRECT("Main!B27")&amp;"'!C100")+SUM(E120+E147+E174)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INDIRECT("'"&amp;INDIRECT("Main!B27")&amp;"'!C101")+SUM(E121+E148+E175)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INDIRECT("'"&amp;INDIRECT("Main!B27")&amp;"'!C102")+SUM(E122+E149+E176)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INDIRECT("'"&amp;INDIRECT("Main!B27")&amp;"'!C103")+SUM(E123+E150+E177)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INDIRECT("'"&amp;INDIRECT("Main!B27")&amp;"'!C104")+SUM(E124+E151+E178)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INDIRECT("'"&amp;INDIRECT("Main!B27")&amp;"'!C105")+SUM(E125+E152+E179)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INDIRECT("'"&amp;INDIRECT("Main!B27")&amp;"'!C106")+SUM(E126+E153+E180)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INDIRECT("'"&amp;INDIRECT("Main!B27")&amp;"'!C107")+SUM(E127+E154+E181)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"&amp;IF(Main!B2,TEXT(EDATE(Main!B3,21),"mmmm dd yyyy"),TEXT(Main!B3+((Main!B5-Main!B3)*21+21),"mmmm dd yyyy"))&amp;" to "&amp;IF(Main!B2,TEXT(EDATE(Main!B3,22)-1,"mmmm dd yyyy"),TEXT(Main!B3+((Main!B5-Main!B3)*22+21),"mmmm dd yyyy"))</f>
        <v>Debts Or Credits For the Comming October 20 2026 to November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"&amp;IF(Main!B2,TEXT(EDATE(Main!B3,21)-1,"mmmm yyyy"),TEXT(Main!B3+((Main!B5-Main!B3)*21+20),"mmmm yyyy"))</f>
        <v>Balance Brought Forward From October 2026</v>
      </c>
      <c r="B116" s="57"/>
      <c r="C116" s="58"/>
      <c r="D116" s="58"/>
      <c r="E116" s="71" cm="1">
        <f ca="1" t="array" ref="E116">INDIRECT("'"&amp;INDIRECT("Main!B27")&amp;"'!E190")</f>
        <v>15552.32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4" customHeight="1" spans="1:9">
      <c r="A129" s="63"/>
      <c r="B129" s="64"/>
      <c r="C129" s="73" t="s">
        <v>143</v>
      </c>
      <c r="D129" s="74"/>
      <c r="E129" s="87">
        <v>940</v>
      </c>
      <c r="F129" s="14"/>
      <c r="G129" s="14"/>
      <c r="H129" s="14"/>
      <c r="I129" s="48"/>
    </row>
    <row r="130" ht="41"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16308.32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"&amp;IF(Main!B2,TEXT(EDATE(Main!B3,22),"mmmm dd yyyy"),TEXT(Main!B3+((Main!B5-Main!B3)*22+22),"dd mmmm yyyy"))&amp;" to "&amp;IF(Main!B2,TEXT(EDATE(Main!B3,23)-1,"mmmm dd yyyy"),TEXT(Main!B3+((Main!B5-Main!B3)*23+22),"mmmm dd yyyy"))</f>
        <v>Debts Or Credits For the Comming November 20 2026 to December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"&amp;IF(Main!B2,TEXT(EDATE(Main!B3,22)-1,"mmmm yyyy"),TEXT(Main!B3+((Main!B5-Main!B3)*22+21),"mmmm yyyy"))</f>
        <v>Balance Brought Forward From November 2026</v>
      </c>
      <c r="B143" s="57"/>
      <c r="C143" s="58"/>
      <c r="D143" s="58"/>
      <c r="E143" s="89">
        <f ca="1">E136</f>
        <v>16308.32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4.1" customHeight="1" spans="1:9">
      <c r="A156" s="63"/>
      <c r="B156" s="64"/>
      <c r="C156" s="73" t="s">
        <v>144</v>
      </c>
      <c r="D156" s="74"/>
      <c r="E156" s="87">
        <v>579</v>
      </c>
      <c r="F156" s="14"/>
      <c r="G156" s="14"/>
      <c r="H156" s="14"/>
      <c r="I156" s="48"/>
    </row>
    <row r="157" ht="36"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17175.32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"&amp;IF(Main!B2,TEXT(EDATE(Main!B3,23),"mmmm dd yyyy"),TEXT(Main!B3+((Main!B5-Main!B3)*23+23),"mmmm dd yyyy"))&amp;" to "&amp;IF(Main!B2,TEXT(EDATE(Main!B3,24)-1,"mmmm dd yyyy"),TEXT(Main!B3+((Main!B5-Main!B3)*24+23),"mmmm dd yyyy"))</f>
        <v>Debts Or Credits For the Comming December 20 2026 to January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"&amp;IF(Main!B2,TEXT(EDATE(Main!B3,23)-1,"mmmm yyyy"),TEXT(Main!B3+((Main!B5-Main!B3)*23+22),"mmmm yyyy"))</f>
        <v>Balance Brought Forward From December 2026</v>
      </c>
      <c r="B170" s="57"/>
      <c r="C170" s="58"/>
      <c r="D170" s="58"/>
      <c r="E170" s="92">
        <f ca="1">E163</f>
        <v>17175.32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147</v>
      </c>
      <c r="D183" s="74"/>
      <c r="E183" s="87">
        <v>1090</v>
      </c>
      <c r="F183" s="14"/>
      <c r="G183" s="14"/>
      <c r="H183" s="14"/>
      <c r="I183" s="48"/>
    </row>
    <row r="184" ht="31"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17781.32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5" operator="equal">
      <formula>0</formula>
    </cfRule>
    <cfRule type="cellIs" dxfId="1" priority="74" operator="greaterThan">
      <formula>0</formula>
    </cfRule>
  </conditionalFormatting>
  <conditionalFormatting sqref="C77">
    <cfRule type="cellIs" dxfId="0" priority="73" operator="equal">
      <formula>0</formula>
    </cfRule>
    <cfRule type="cellIs" dxfId="1" priority="72"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32" operator="equal">
      <formula>0</formula>
    </cfRule>
    <cfRule type="cellIs" dxfId="1" priority="31"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6" operator="greaterThanOrEqual">
      <formula>0</formula>
    </cfRule>
    <cfRule type="cellIs" dxfId="4" priority="35"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7" operator="greaterThanOrEqual">
      <formula>0</formula>
    </cfRule>
    <cfRule type="cellIs" dxfId="4" priority="66" operator="lessThan">
      <formula>0</formula>
    </cfRule>
  </conditionalFormatting>
  <conditionalFormatting sqref="E143">
    <cfRule type="cellIs" dxfId="3" priority="54" operator="greaterThanOrEqual">
      <formula>0</formula>
    </cfRule>
    <cfRule type="cellIs" dxfId="4" priority="53" operator="lessThan">
      <formula>0</formula>
    </cfRule>
  </conditionalFormatting>
  <conditionalFormatting sqref="E163">
    <cfRule type="cellIs" dxfId="3" priority="56" operator="greaterThanOrEqual">
      <formula>0</formula>
    </cfRule>
    <cfRule type="cellIs" dxfId="4" priority="55" operator="lessThan">
      <formula>0</formula>
    </cfRule>
  </conditionalFormatting>
  <conditionalFormatting sqref="E170">
    <cfRule type="cellIs" dxfId="3" priority="48" operator="greaterThanOrEqual">
      <formula>0</formula>
    </cfRule>
    <cfRule type="cellIs" dxfId="4" priority="47"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50" operator="greaterThanOrEqual">
      <formula>0</formula>
    </cfRule>
    <cfRule type="cellIs" dxfId="4" priority="49" operator="lessThan">
      <formula>0</formula>
    </cfRule>
  </conditionalFormatting>
  <conditionalFormatting sqref="C57:C66">
    <cfRule type="cellIs" dxfId="0" priority="79" operator="equal">
      <formula>0</formula>
    </cfRule>
    <cfRule type="cellIs" dxfId="1" priority="78" operator="greaterThan">
      <formula>0</formula>
    </cfRule>
  </conditionalFormatting>
  <conditionalFormatting sqref="C68:C69">
    <cfRule type="cellIs" dxfId="0" priority="77" operator="equal">
      <formula>0</formula>
    </cfRule>
    <cfRule type="cellIs" dxfId="1" priority="76" operator="greaterThan">
      <formula>0</formula>
    </cfRule>
  </conditionalFormatting>
  <conditionalFormatting sqref="C70:C74">
    <cfRule type="cellIs" dxfId="0" priority="65" operator="equal">
      <formula>0</formula>
    </cfRule>
    <cfRule type="cellIs" dxfId="1" priority="64" operator="greaterThan">
      <formula>0</formula>
    </cfRule>
  </conditionalFormatting>
  <conditionalFormatting sqref="C78:C79">
    <cfRule type="cellIs" dxfId="0" priority="34" operator="equal">
      <formula>0</formula>
    </cfRule>
    <cfRule type="cellIs" dxfId="1" priority="33" operator="greaterThan">
      <formula>0</formula>
    </cfRule>
  </conditionalFormatting>
  <conditionalFormatting sqref="C80:C84">
    <cfRule type="cellIs" dxfId="0" priority="63" operator="equal">
      <formula>0</formula>
    </cfRule>
    <cfRule type="cellIs" dxfId="1" priority="62" operator="greaterThan">
      <formula>0</formula>
    </cfRule>
  </conditionalFormatting>
  <conditionalFormatting sqref="C88:C89">
    <cfRule type="cellIs" dxfId="5" priority="19" operator="equal">
      <formula>0</formula>
    </cfRule>
  </conditionalFormatting>
  <conditionalFormatting sqref="C92:C94">
    <cfRule type="cellIs" dxfId="0" priority="61" operator="equal">
      <formula>0</formula>
    </cfRule>
    <cfRule type="cellIs" dxfId="1" priority="60" operator="greaterThan">
      <formula>0</formula>
    </cfRule>
  </conditionalFormatting>
  <conditionalFormatting sqref="C98:C107">
    <cfRule type="cellIs" dxfId="1" priority="44" operator="lessThan">
      <formula>0</formula>
    </cfRule>
    <cfRule type="cellIs" dxfId="2" priority="43" operator="greaterThanOrEqual">
      <formula>0</formula>
    </cfRule>
  </conditionalFormatting>
  <conditionalFormatting sqref="E118:E127">
    <cfRule type="cellIs" dxfId="0" priority="42" operator="equal">
      <formula>0</formula>
    </cfRule>
    <cfRule type="cellIs" dxfId="1" priority="41" operator="greaterThan">
      <formula>0</formula>
    </cfRule>
  </conditionalFormatting>
  <conditionalFormatting sqref="E145:E154">
    <cfRule type="cellIs" dxfId="0" priority="40" operator="equal">
      <formula>0</formula>
    </cfRule>
    <cfRule type="cellIs" dxfId="1" priority="39" operator="greaterThan">
      <formula>0</formula>
    </cfRule>
  </conditionalFormatting>
  <conditionalFormatting sqref="E156:E157">
    <cfRule type="cellIs" dxfId="5" priority="3" operator="equal">
      <formula>0</formula>
    </cfRule>
  </conditionalFormatting>
  <conditionalFormatting sqref="E172:E181">
    <cfRule type="cellIs" dxfId="0" priority="38" operator="equal">
      <formula>0</formula>
    </cfRule>
    <cfRule type="cellIs" dxfId="1" priority="37" operator="greaterThan">
      <formula>0</formula>
    </cfRule>
  </conditionalFormatting>
  <conditionalFormatting sqref="C47:C55 C85 C95:C96">
    <cfRule type="cellIs" dxfId="0" priority="81" operator="equal">
      <formula>0</formula>
    </cfRule>
  </conditionalFormatting>
  <conditionalFormatting sqref="C47:C55 C85 C95:C96 E144 E155 E158:E162">
    <cfRule type="cellIs" dxfId="1" priority="80" operator="greaterThan">
      <formula>0</formula>
    </cfRule>
  </conditionalFormatting>
  <conditionalFormatting sqref="E117 E128 E131:E135">
    <cfRule type="cellIs" dxfId="0" priority="69" operator="equal">
      <formula>0</formula>
    </cfRule>
    <cfRule type="cellIs" dxfId="1" priority="68" operator="greaterThan">
      <formula>0</formula>
    </cfRule>
  </conditionalFormatting>
  <conditionalFormatting sqref="E144 E155 E158:E162">
    <cfRule type="cellIs" dxfId="2" priority="57" operator="equal">
      <formula>0</formula>
    </cfRule>
  </conditionalFormatting>
  <conditionalFormatting sqref="E171 E182 E185:E189">
    <cfRule type="cellIs" dxfId="2" priority="52" operator="equal">
      <formula>0</formula>
    </cfRule>
    <cfRule type="cellIs" dxfId="1" priority="51" operator="greaterThan">
      <formula>0</formula>
    </cfRule>
  </conditionalFormatting>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80" workbookViewId="0">
      <selection activeCell="C91" sqref="C87:C91"/>
    </sheetView>
  </sheetViews>
  <sheetFormatPr defaultColWidth="9" defaultRowHeight="17.6"/>
  <cols>
    <col min="1" max="1" width="20.625" customWidth="1"/>
    <col min="2" max="2" width="30" customWidth="1"/>
    <col min="3" max="3" width="33.25" customWidth="1"/>
    <col min="4" max="8" width="20.625" customWidth="1"/>
  </cols>
  <sheetData>
    <row r="1" ht="24.75" customHeight="1" spans="1:9">
      <c r="A1" s="1" t="str">
        <f>"Forecasts For the Year "&amp;IF(Main!B2,TEXT(EDATE(Main!B3,24),"mmmm yyyy"),TEXT(Main!B3+((Main!B5-Main!B3)*24+24),"mmmm yyyy"))&amp;" to "&amp;IF(Main!B2,TEXT(EDATE(Main!B3,27)-1,"mmmm yyyy"),TEXT(Main!B3+((Main!B5-Main!B3)*27+26),"mmmm yyyy"))</f>
        <v>Forecasts For the Year January 2027 to April 2027</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20431.32</v>
      </c>
      <c r="D3" s="7"/>
      <c r="E3" s="7"/>
      <c r="F3" s="7"/>
      <c r="G3" s="7"/>
      <c r="H3" s="41"/>
      <c r="I3" s="41"/>
    </row>
    <row r="4" ht="24.75" customHeight="1" spans="1:9">
      <c r="A4" s="8" t="s">
        <v>47</v>
      </c>
      <c r="B4" s="9"/>
      <c r="C4" s="10">
        <f ca="1">SUM(C2:G3)</f>
        <v>20737.64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IF(Main!B2,TEXT(EDATE(Main!B3,24),"dd mmmm yyyy"),TEXT(Main!B3+((Main!B5-Main!B3)*24+24),"dd mmmm yyyy"))&amp;" - "&amp;IF(Main!B2,TEXT(EDATE(Main!B3,25)-1,"dd mmmm yyyy"),TEXT(Main!B3+((Main!B5-Main!B3)*25+24),"dd mmmm yyyy"))&amp;" / "&amp;" (Revenue / Deferred Debts Or Expenses)"</f>
        <v>20 January 2027 - 19 February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IF(Main!B2,TEXT(EDATE(Main!B3,25),"dd mmmm yyyy"),TEXT(Main!B3+((Main!B5-Main!B3)*25+25),"dd mmmm yyyy"))&amp;" - "&amp;IF(Main!B2,TEXT(EDATE(Main!B3,26)-1,"dd mmmm yyyy"),TEXT(Main!B3+((Main!B5-Main!B3)*26+25),"dd mmmm yyyy"))&amp;" / "&amp;" (Revenue / Deferred Debts Or Expenses)"</f>
        <v>20 February 2027 - 19 March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IF(Main!B2,TEXT(EDATE(Main!B3,26),"dd mmmm yyyy"),TEXT(Main!B3+((Main!B5-Main!B3)*26+26),"dd mmmm yyyy"))&amp;" - "&amp;IF(Main!B2,TEXT(EDATE(Main!B3,27)-1,"dd mmmm yyyy"),TEXT(Main!B3+((Main!B5-Main!B3)*27+26),"dd mmmm yyyy"))&amp;" / "&amp;" (Revenue / Deferred Debts Or Expenses)"</f>
        <v>20 March 2027 - 19 April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"&amp;IF(Main!B2,TEXT(EDATE(Main!B3,24),"mmmm yyyy"),TEXT(Main!B3+((Main!B5-Main!B3)*24+24),"mmmm yyyy"))&amp;" to "&amp;IF(Main!B2,TEXT(EDATE(Main!B3,27)-1,"mmmm yyyy"),TEXT(Main!B3+((Main!B5-Main!B3)*27+26),"mmmm yyyy"))</f>
        <v>Fixed Expense For the Year January 2027 to April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INDIRECT("'"&amp;INDIRECT("Main!B30")&amp;"'!C98")+SUM(E118+E145+E172)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INDIRECT("'"&amp;INDIRECT("Main!B30")&amp;"'!C99")+SUM(E119+E146+E173)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INDIRECT("'"&amp;INDIRECT("Main!B30")&amp;"'!C100")+SUM(E120+E147+E174)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INDIRECT("'"&amp;INDIRECT("Main!B30")&amp;"'!C101")+SUM(E121+E148+E175)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INDIRECT("'"&amp;INDIRECT("Main!B30")&amp;"'!C102")+SUM(E122+E149+E176)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INDIRECT("'"&amp;INDIRECT("Main!B30")&amp;"'!C103")+SUM(E123+E150+E177)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INDIRECT("'"&amp;INDIRECT("Main!B30")&amp;"'!C104")+SUM(E124+E151+E178)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INDIRECT("'"&amp;INDIRECT("Main!B30")&amp;"'!C105")+SUM(E125+E152+E179)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INDIRECT("'"&amp;INDIRECT("Main!B30")&amp;"'!C106")+SUM(E126+E153+E180)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INDIRECT("'"&amp;INDIRECT("Main!B30")&amp;"'!C107")+SUM(E127+E154+E181)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"&amp;IF(Main!B2,TEXT(EDATE(Main!B3,24),"mmmm dd yyyy"),TEXT(Main!B3+((Main!B5-Main!B3)*24+24),"mmmm dd yyyy"))&amp;" to "&amp;IF(Main!B2,TEXT(EDATE(Main!B3,25)-1,"mmmm dd yyyy"),TEXT(Main!B3+((Main!B5-Main!B3)*25+24),"mmmm dd yyyy"))</f>
        <v>Debts Or Credits For the Comming January 20 2027 to February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"&amp;IF(Main!B2,TEXT(EDATE(Main!B3,24)-1,"mmmm yyyy"),TEXT(Main!B3+((Main!B5-Main!B3)*24+23),"mmmm yyyy"))</f>
        <v>Balance Brought Forward From January 2027</v>
      </c>
      <c r="B116" s="57"/>
      <c r="C116" s="58"/>
      <c r="D116" s="58"/>
      <c r="E116" s="71" cm="1">
        <f ca="1" t="array" ref="E116">INDIRECT("'"&amp;INDIRECT("Main!B30")&amp;"'!E190")</f>
        <v>17781.32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7" customHeight="1" spans="1:9">
      <c r="A129" s="63"/>
      <c r="B129" s="64"/>
      <c r="C129" s="73" t="s">
        <v>128</v>
      </c>
      <c r="D129" s="74"/>
      <c r="E129" s="87">
        <v>419</v>
      </c>
      <c r="F129" s="14"/>
      <c r="G129" s="14"/>
      <c r="H129" s="14"/>
      <c r="I129" s="48"/>
    </row>
    <row r="130" ht="28"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18808.32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"&amp;IF(Main!B2,TEXT(EDATE(Main!B3,25),"mmmm dd yyyy"),TEXT(Main!B3+((Main!B5-Main!B3)*25+25),"dd mmmm yyyy"))&amp;" to "&amp;IF(Main!B2,TEXT(EDATE(Main!B3,26)-1,"mmmm dd yyyy"),TEXT(Main!B3+((Main!B5-Main!B3)*26+25),"mmmm dd yyyy"))</f>
        <v>Debts Or Credits For the Comming February 20 2027 to March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"&amp;IF(Main!B2,TEXT(EDATE(Main!B3,25)-1,"mmmm yyyy"),TEXT(Main!B3+((Main!B5-Main!B3)*25+24),"mmmm yyyy"))</f>
        <v>Balance Brought Forward From February 2027</v>
      </c>
      <c r="B143" s="57"/>
      <c r="C143" s="58"/>
      <c r="D143" s="58"/>
      <c r="E143" s="89">
        <f ca="1">E136</f>
        <v>18808.32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90" customHeight="1" spans="1:9">
      <c r="A156" s="63"/>
      <c r="B156" s="64"/>
      <c r="C156" s="73" t="s">
        <v>141</v>
      </c>
      <c r="D156" s="74"/>
      <c r="E156" s="87">
        <v>1100</v>
      </c>
      <c r="F156" s="14"/>
      <c r="G156" s="14"/>
      <c r="H156" s="14"/>
      <c r="I156" s="48"/>
    </row>
    <row r="157" ht="28"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19404.32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"&amp;IF(Main!B2,TEXT(EDATE(Main!B3,26),"mmmm dd yyyy"),TEXT(Main!B3+((Main!B5-Main!B3)*26+26),"mmmm dd yyyy"))&amp;" to "&amp;IF(Main!B2,TEXT(EDATE(Main!B3,27)-1,"mmmm dd yyyy"),TEXT(Main!B3+((Main!B5-Main!B3)*27+26),"mmmm dd yyyy"))</f>
        <v>Debts Or Credits For the Comming March 20 2027 to April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"&amp;IF(Main!B2,TEXT(EDATE(Main!B3,26)-1,"mmmm yyyy"),TEXT(Main!B3+((Main!B5-Main!B3)*26+25),"mmmm yyyy"))</f>
        <v>Balance Brought Forward From March 2027</v>
      </c>
      <c r="B170" s="57"/>
      <c r="C170" s="58"/>
      <c r="D170" s="58"/>
      <c r="E170" s="92">
        <f ca="1">E163</f>
        <v>19404.32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128</v>
      </c>
      <c r="D183" s="74"/>
      <c r="E183" s="87">
        <v>419</v>
      </c>
      <c r="F183" s="14"/>
      <c r="G183" s="14"/>
      <c r="H183" s="14"/>
      <c r="I183" s="48"/>
    </row>
    <row r="184" ht="29"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20431.32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3" operator="equal">
      <formula>0</formula>
    </cfRule>
    <cfRule type="cellIs" dxfId="1" priority="22" operator="greater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6" operator="equal">
      <formula>0</formula>
    </cfRule>
    <cfRule type="cellIs" dxfId="1" priority="5" operator="greaterThan">
      <formula>0</formula>
    </cfRule>
  </conditionalFormatting>
  <conditionalFormatting sqref="C90">
    <cfRule type="cellIs" dxfId="0" priority="8" operator="equal">
      <formula>0</formula>
    </cfRule>
    <cfRule type="cellIs" dxfId="1" priority="7"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5" operator="greaterThanOrEqual">
      <formula>0</formula>
    </cfRule>
    <cfRule type="cellIs" dxfId="1" priority="24"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9"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28" workbookViewId="0">
      <selection activeCell="C52" sqref="C52"/>
    </sheetView>
  </sheetViews>
  <sheetFormatPr defaultColWidth="9" defaultRowHeight="17.6"/>
  <cols>
    <col min="1" max="1" width="20.625" customWidth="1"/>
    <col min="2" max="2" width="26.5" customWidth="1"/>
    <col min="3" max="3" width="31.5" customWidth="1"/>
    <col min="4" max="9" width="20.625" customWidth="1"/>
    <col min="11" max="11" width="20.625" customWidth="1"/>
  </cols>
  <sheetData>
    <row r="1" ht="24.75" customHeight="1" spans="1:9">
      <c r="A1" s="1" t="str">
        <f>"Forecasts For the Year "&amp;IF(Main!B2,TEXT(EDATE(Main!B3,27),"mmmm yyyy"),TEXT(Main!B3+((Main!B5-Main!B3)*27+27),"mmmm yyyy"))&amp;" to "&amp;IF(Main!B2,TEXT(EDATE(Main!B3,30)-1,"mmmm yyyy"),TEXT(Main!B3+((Main!B5-Main!B3)*30+29),"mmmm yyyy"))</f>
        <v>Forecasts For the Year April 2027 to July 2027</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24164.32</v>
      </c>
      <c r="D3" s="7"/>
      <c r="E3" s="7"/>
      <c r="F3" s="7"/>
      <c r="G3" s="7"/>
      <c r="H3" s="41"/>
      <c r="I3" s="41"/>
    </row>
    <row r="4" ht="24.75" customHeight="1" spans="1:9">
      <c r="A4" s="8" t="s">
        <v>47</v>
      </c>
      <c r="B4" s="9"/>
      <c r="C4" s="10">
        <f ca="1">SUM(C2:G3)</f>
        <v>24470.64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IF(Main!B2,TEXT(EDATE(Main!B3,27),"dd mmmm yyyy"),TEXT(Main!B3+((Main!B5-Main!B3)*27+27),"dd mmmm yyyy"))&amp;" - "&amp;IF(Main!B2,TEXT(EDATE(Main!B3,28)-1,"dd mmmm yyyy"),TEXT(Main!B3+((Main!B5-Main!B3)*28+27),"dd mmmm yyyy"))&amp;" / "&amp;" (Revenue / Deferred Debts Or Expenses)"</f>
        <v>20 April 2027 - 19 May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IF(Main!B2,TEXT(EDATE(Main!B3,28),"dd mmmm yyyy"),TEXT(Main!B3+((Main!B5-Main!B3)*28+28),"dd mmmm yyyy"))&amp;" - "&amp;IF(Main!B2,TEXT(EDATE(Main!B3,29)-1,"dd mmmm yyyy"),TEXT(Main!B3+((Main!B5-Main!B3)*29+28),"dd mmmm yyyy"))&amp;" / "&amp;" (Revenue / Deferred Debts Or Expenses)"</f>
        <v>20 May 2027 - 19 June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97" t="s">
        <v>97</v>
      </c>
      <c r="C23" s="98"/>
      <c r="D23" s="99" t="s">
        <v>142</v>
      </c>
      <c r="E23" s="100"/>
      <c r="F23" s="7">
        <v>1083</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IF(Main!B2,TEXT(EDATE(Main!B3,29),"dd mmmm yyyy"),TEXT(Main!B3+((Main!B5-Main!B3)*29+29),"dd mmmm yyyy"))&amp;" - "&amp;IF(Main!B2,TEXT(EDATE(Main!B3,30)-1,"dd mmmm yyyy"),TEXT(Main!B3+((Main!B5-Main!B3)*30+29),"dd mmmm yyyy"))&amp;" / "&amp;" (Revenue / Deferred Debts Or Expenses)"</f>
        <v>20 June 2027 - 19 July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"&amp;IF(Main!B2,TEXT(EDATE(Main!B3,27),"mmmm yyyy"),TEXT(Main!B3+((Main!B5-Main!B3)*27+27),"mmmm yyyy"))&amp;" to "&amp;IF(Main!B2,TEXT(EDATE(Main!B3,30)-1,"mmmm yyyy"),TEXT(Main!B3+((Main!B5-Main!B3)*30+29),"mmmm yyyy"))</f>
        <v>Fixed Expense For the Year April 2027 to July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INDIRECT("'"&amp;INDIRECT("Main!B33")&amp;"'!C98")+SUM(E118+E145+E172)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INDIRECT("'"&amp;INDIRECT("Main!B33")&amp;"'!C99")+SUM(E119+E146+E173)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INDIRECT("'"&amp;INDIRECT("Main!B33")&amp;"'!C100")+SUM(E120+E147+E174)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INDIRECT("'"&amp;INDIRECT("Main!B33")&amp;"'!C101")+SUM(E121+E148+E175)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INDIRECT("'"&amp;INDIRECT("Main!B33")&amp;"'!C102")+SUM(E122+E149+E176)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INDIRECT("'"&amp;INDIRECT("Main!B33")&amp;"'!C103")+SUM(E123+E150+E177)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INDIRECT("'"&amp;INDIRECT("Main!B33")&amp;"'!C104")+SUM(E124+E151+E178)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INDIRECT("'"&amp;INDIRECT("Main!B33")&amp;"'!C105")+SUM(E125+E152+E179)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INDIRECT("'"&amp;INDIRECT("Main!B33")&amp;"'!C106")+SUM(E126+E153+E180)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INDIRECT("'"&amp;INDIRECT("Main!B33")&amp;"'!C107")+SUM(E127+E154+E181)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"&amp;IF(Main!B2,TEXT(EDATE(Main!B3,27),"mmmm dd yyyy"),TEXT(Main!B3+((Main!B5-Main!B3)*27+27),"mmmm dd yyyy"))&amp;" to "&amp;IF(Main!B2,TEXT(EDATE(Main!B3,28)-1,"mmmm dd yyyy"),TEXT(Main!B3+((Main!B5-Main!B3)*28+27),"mmmm dd yyyy"))</f>
        <v>Debts Or Credits For the Comming April 20 2027 to May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"&amp;IF(Main!B2,TEXT(EDATE(Main!B3,27)-1,"mmmm yyyy"),TEXT(Main!B3+((Main!B5-Main!B3)*27+26),"mmmm yyyy"))</f>
        <v>Balance Brought Forward From April 2027</v>
      </c>
      <c r="B116" s="57"/>
      <c r="C116" s="58"/>
      <c r="D116" s="58"/>
      <c r="E116" s="71" cm="1">
        <f ca="1" t="array" ref="E116">INDIRECT("'"&amp;INDIRECT("Main!B33")&amp;"'!E190")</f>
        <v>20431.32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3.95" customHeight="1" spans="1:9">
      <c r="A129" s="63"/>
      <c r="B129" s="64"/>
      <c r="C129" s="73" t="s">
        <v>128</v>
      </c>
      <c r="D129" s="74"/>
      <c r="E129" s="87">
        <v>419</v>
      </c>
      <c r="F129" s="14"/>
      <c r="G129" s="14"/>
      <c r="H129" s="14"/>
      <c r="I129" s="48"/>
    </row>
    <row r="130" ht="63.9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21458.32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"&amp;IF(Main!B2,TEXT(EDATE(Main!B3,28),"mmmm dd yyyy"),TEXT(Main!B3+((Main!B5-Main!B3)*28+28),"dd mmmm yyyy"))&amp;" to "&amp;IF(Main!B2,TEXT(EDATE(Main!B3,29)-1,"mmmm dd yyyy"),TEXT(Main!B3+((Main!B5-Main!B3)*29+28),"mmmm dd yyyy"))</f>
        <v>Debts Or Credits For the Comming May 20 2027 to June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"&amp;IF(Main!B2,TEXT(EDATE(Main!B3,28)-1,"mmmm yyyy"),TEXT(Main!B3+((Main!B5-Main!B3)*28+27),"mmmm yyyy"))</f>
        <v>Balance Brought Forward From May 2027</v>
      </c>
      <c r="B143" s="57"/>
      <c r="C143" s="58"/>
      <c r="D143" s="58"/>
      <c r="E143" s="89">
        <f ca="1">E136</f>
        <v>21458.32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93" customHeight="1" spans="1:9">
      <c r="A156" s="63"/>
      <c r="B156" s="64"/>
      <c r="C156" s="73" t="s">
        <v>141</v>
      </c>
      <c r="D156" s="74"/>
      <c r="E156" s="87">
        <v>1100</v>
      </c>
      <c r="F156" s="14"/>
      <c r="G156" s="14"/>
      <c r="H156" s="14"/>
      <c r="I156" s="48"/>
    </row>
    <row r="157" ht="32"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23137.32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"&amp;IF(Main!B2,TEXT(EDATE(Main!B3,29),"mmmm dd yyyy"),TEXT(Main!B3+((Main!B5-Main!B3)*29+29),"mmmm dd yyyy"))&amp;" to "&amp;IF(Main!B2,TEXT(EDATE(Main!B3,30)-1,"mmmm dd yyyy"),TEXT(Main!B3+((Main!B5-Main!B3)*30+29),"mmmm dd yyyy"))</f>
        <v>Debts Or Credits For the Comming June 20 2027 to July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"&amp;IF(Main!B2,TEXT(EDATE(Main!B3,29)-1,"mmmm yyyy"),TEXT(Main!B3+((Main!B5-Main!B3)*29+28),"mmmm yyyy"))</f>
        <v>Balance Brought Forward From June 2027</v>
      </c>
      <c r="B170" s="57"/>
      <c r="C170" s="58"/>
      <c r="D170" s="58"/>
      <c r="E170" s="92">
        <f ca="1">E163</f>
        <v>23137.32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1" customHeight="1" spans="1:9">
      <c r="A183" s="63"/>
      <c r="B183" s="64"/>
      <c r="C183" s="73" t="s">
        <v>128</v>
      </c>
      <c r="D183" s="74"/>
      <c r="E183" s="87">
        <v>419</v>
      </c>
      <c r="F183" s="14"/>
      <c r="G183" s="14"/>
      <c r="H183" s="14"/>
      <c r="I183" s="48"/>
    </row>
    <row r="184" ht="78"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24164.32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36" operator="equal">
      <formula>0</formula>
    </cfRule>
    <cfRule type="cellIs" dxfId="1" priority="35" operator="greaterThan">
      <formula>0</formula>
    </cfRule>
  </conditionalFormatting>
  <conditionalFormatting sqref="C75">
    <cfRule type="cellIs" dxfId="0" priority="81" operator="equal">
      <formula>0</formula>
    </cfRule>
    <cfRule type="cellIs" dxfId="1" priority="80" operator="greaterThan">
      <formula>0</formula>
    </cfRule>
  </conditionalFormatting>
  <conditionalFormatting sqref="C77">
    <cfRule type="cellIs" dxfId="0" priority="79" operator="equal">
      <formula>0</formula>
    </cfRule>
    <cfRule type="cellIs" dxfId="1" priority="78" operator="greaterThan">
      <formula>0</formula>
    </cfRule>
  </conditionalFormatting>
  <conditionalFormatting sqref="C87">
    <cfRule type="cellIs" dxfId="0" priority="2" operator="equal">
      <formula>0</formula>
    </cfRule>
    <cfRule type="cellIs" dxfId="1" priority="1" operator="greaterThan">
      <formula>0</formula>
    </cfRule>
  </conditionalFormatting>
  <conditionalFormatting sqref="C90">
    <cfRule type="cellIs" dxfId="0" priority="4" operator="equal">
      <formula>0</formula>
    </cfRule>
    <cfRule type="cellIs" dxfId="1" priority="3" operator="greaterThan">
      <formula>0</formula>
    </cfRule>
  </conditionalFormatting>
  <conditionalFormatting sqref="C91">
    <cfRule type="cellIs" dxfId="0" priority="7" operator="equal">
      <formula>0</formula>
    </cfRule>
    <cfRule type="cellIs" dxfId="1" priority="6" operator="greaterThan">
      <formula>0</formula>
    </cfRule>
  </conditionalFormatting>
  <conditionalFormatting sqref="C108">
    <cfRule type="cellIs" dxfId="0" priority="34" operator="greaterThanOrEqual">
      <formula>0</formula>
    </cfRule>
    <cfRule type="cellIs" dxfId="1" priority="33" operator="lessThan">
      <formula>0</formula>
    </cfRule>
  </conditionalFormatting>
  <conditionalFormatting sqref="C109">
    <cfRule type="cellIs" dxfId="0" priority="32" operator="greaterThanOrEqual">
      <formula>0</formula>
    </cfRule>
    <cfRule type="cellIs" dxfId="1" priority="31" operator="lessThan">
      <formula>0</formula>
    </cfRule>
  </conditionalFormatting>
  <conditionalFormatting sqref="E116">
    <cfRule type="cellIs" dxfId="3" priority="42" operator="greaterThanOrEqual">
      <formula>0</formula>
    </cfRule>
    <cfRule type="cellIs" dxfId="4" priority="41" operator="lessThan">
      <formula>0</formula>
    </cfRule>
  </conditionalFormatting>
  <conditionalFormatting sqref="E136">
    <cfRule type="cellIs" dxfId="3" priority="73" operator="greaterThanOrEqual">
      <formula>0</formula>
    </cfRule>
    <cfRule type="cellIs" dxfId="4" priority="72" operator="lessThan">
      <formula>0</formula>
    </cfRule>
  </conditionalFormatting>
  <conditionalFormatting sqref="E143">
    <cfRule type="cellIs" dxfId="3" priority="60" operator="greaterThanOrEqual">
      <formula>0</formula>
    </cfRule>
    <cfRule type="cellIs" dxfId="4" priority="59" operator="lessThan">
      <formula>0</formula>
    </cfRule>
  </conditionalFormatting>
  <conditionalFormatting sqref="E156">
    <cfRule type="cellIs" dxfId="5" priority="11" operator="equal">
      <formula>0</formula>
    </cfRule>
  </conditionalFormatting>
  <conditionalFormatting sqref="E157">
    <cfRule type="cellIs" dxfId="5" priority="12" operator="equal">
      <formula>0</formula>
    </cfRule>
  </conditionalFormatting>
  <conditionalFormatting sqref="E163">
    <cfRule type="cellIs" dxfId="3" priority="62" operator="greaterThanOrEqual">
      <formula>0</formula>
    </cfRule>
    <cfRule type="cellIs" dxfId="4" priority="61" operator="lessThan">
      <formula>0</formula>
    </cfRule>
  </conditionalFormatting>
  <conditionalFormatting sqref="E170">
    <cfRule type="cellIs" dxfId="3" priority="54" operator="greaterThanOrEqual">
      <formula>0</formula>
    </cfRule>
    <cfRule type="cellIs" dxfId="4" priority="53" operator="lessThan">
      <formula>0</formula>
    </cfRule>
  </conditionalFormatting>
  <conditionalFormatting sqref="E190">
    <cfRule type="cellIs" dxfId="3" priority="56" operator="greaterThanOrEqual">
      <formula>0</formula>
    </cfRule>
    <cfRule type="cellIs" dxfId="4" priority="55" operator="lessThan">
      <formula>0</formula>
    </cfRule>
  </conditionalFormatting>
  <conditionalFormatting sqref="C47:C51">
    <cfRule type="cellIs" dxfId="0" priority="9" operator="equal">
      <formula>0</formula>
    </cfRule>
    <cfRule type="cellIs" dxfId="1" priority="8" operator="greaterThan">
      <formula>0</formula>
    </cfRule>
  </conditionalFormatting>
  <conditionalFormatting sqref="C57:C66">
    <cfRule type="cellIs" dxfId="0" priority="85" operator="equal">
      <formula>0</formula>
    </cfRule>
    <cfRule type="cellIs" dxfId="1" priority="84" operator="greaterThan">
      <formula>0</formula>
    </cfRule>
  </conditionalFormatting>
  <conditionalFormatting sqref="C68:C69">
    <cfRule type="cellIs" dxfId="0" priority="83" operator="equal">
      <formula>0</formula>
    </cfRule>
    <cfRule type="cellIs" dxfId="1" priority="82" operator="greaterThan">
      <formula>0</formula>
    </cfRule>
  </conditionalFormatting>
  <conditionalFormatting sqref="C70:C74">
    <cfRule type="cellIs" dxfId="0" priority="71" operator="equal">
      <formula>0</formula>
    </cfRule>
    <cfRule type="cellIs" dxfId="1" priority="70" operator="greaterThan">
      <formula>0</formula>
    </cfRule>
  </conditionalFormatting>
  <conditionalFormatting sqref="C78:C79">
    <cfRule type="cellIs" dxfId="0" priority="40" operator="equal">
      <formula>0</formula>
    </cfRule>
    <cfRule type="cellIs" dxfId="1" priority="39" operator="greaterThan">
      <formula>0</formula>
    </cfRule>
  </conditionalFormatting>
  <conditionalFormatting sqref="C80:C84">
    <cfRule type="cellIs" dxfId="0" priority="69" operator="equal">
      <formula>0</formula>
    </cfRule>
    <cfRule type="cellIs" dxfId="1" priority="68" operator="greaterThan">
      <formula>0</formula>
    </cfRule>
  </conditionalFormatting>
  <conditionalFormatting sqref="C88:C89">
    <cfRule type="cellIs" dxfId="5" priority="5" operator="equal">
      <formula>0</formula>
    </cfRule>
  </conditionalFormatting>
  <conditionalFormatting sqref="C92:C94">
    <cfRule type="cellIs" dxfId="0" priority="67" operator="equal">
      <formula>0</formula>
    </cfRule>
    <cfRule type="cellIs" dxfId="1" priority="66" operator="greaterThan">
      <formula>0</formula>
    </cfRule>
  </conditionalFormatting>
  <conditionalFormatting sqref="C98:C107">
    <cfRule type="cellIs" dxfId="1" priority="50" operator="lessThan">
      <formula>0</formula>
    </cfRule>
    <cfRule type="cellIs" dxfId="2" priority="49" operator="greaterThanOrEqual">
      <formula>0</formula>
    </cfRule>
  </conditionalFormatting>
  <conditionalFormatting sqref="E118:E127">
    <cfRule type="cellIs" dxfId="0" priority="48" operator="equal">
      <formula>0</formula>
    </cfRule>
    <cfRule type="cellIs" dxfId="1" priority="47" operator="greaterThan">
      <formula>0</formula>
    </cfRule>
  </conditionalFormatting>
  <conditionalFormatting sqref="E129:E130">
    <cfRule type="cellIs" dxfId="5" priority="13" operator="equal">
      <formula>0</formula>
    </cfRule>
  </conditionalFormatting>
  <conditionalFormatting sqref="E145:E154">
    <cfRule type="cellIs" dxfId="0" priority="46" operator="equal">
      <formula>0</formula>
    </cfRule>
    <cfRule type="cellIs" dxfId="1" priority="45" operator="greaterThan">
      <formula>0</formula>
    </cfRule>
  </conditionalFormatting>
  <conditionalFormatting sqref="E172:E181">
    <cfRule type="cellIs" dxfId="0" priority="44" operator="equal">
      <formula>0</formula>
    </cfRule>
    <cfRule type="cellIs" dxfId="1" priority="43" operator="greaterThan">
      <formula>0</formula>
    </cfRule>
  </conditionalFormatting>
  <conditionalFormatting sqref="E183:E184">
    <cfRule type="cellIs" dxfId="5" priority="10" operator="equal">
      <formula>0</formula>
    </cfRule>
  </conditionalFormatting>
  <conditionalFormatting sqref="C52:C55 C85 C95:C96 E144 E155 E158:E162">
    <cfRule type="cellIs" dxfId="1" priority="86" operator="greaterThan">
      <formula>0</formula>
    </cfRule>
  </conditionalFormatting>
  <conditionalFormatting sqref="C52:C55 C85 C95:C96">
    <cfRule type="cellIs" dxfId="0" priority="87" operator="equal">
      <formula>0</formula>
    </cfRule>
  </conditionalFormatting>
  <conditionalFormatting sqref="E117 E128 E131:E135">
    <cfRule type="cellIs" dxfId="0" priority="75" operator="equal">
      <formula>0</formula>
    </cfRule>
    <cfRule type="cellIs" dxfId="1" priority="74" operator="greaterThan">
      <formula>0</formula>
    </cfRule>
  </conditionalFormatting>
  <conditionalFormatting sqref="E144 E155 E158:E162">
    <cfRule type="cellIs" dxfId="2" priority="63" operator="equal">
      <formula>0</formula>
    </cfRule>
  </conditionalFormatting>
  <conditionalFormatting sqref="E171 E182 E185:E189">
    <cfRule type="cellIs" dxfId="2" priority="58" operator="equal">
      <formula>0</formula>
    </cfRule>
    <cfRule type="cellIs" dxfId="1" priority="57" operator="greaterThan">
      <formula>0</formula>
    </cfRule>
  </conditionalFormatting>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95" workbookViewId="0">
      <selection activeCell="D53" sqref="D53"/>
    </sheetView>
  </sheetViews>
  <sheetFormatPr defaultColWidth="9" defaultRowHeight="17.6"/>
  <cols>
    <col min="1" max="2" width="20.625" customWidth="1"/>
    <col min="3" max="3" width="30.25" customWidth="1"/>
    <col min="4" max="8" width="20.625" customWidth="1"/>
  </cols>
  <sheetData>
    <row r="1" ht="24.75" customHeight="1" spans="1:9">
      <c r="A1" s="1" t="str">
        <f>"Forecasts For the Year "&amp;IF(Main!B2,TEXT(EDATE(Main!B3,30),"mmmm yyyy"),TEXT(Main!B3+((Main!B5-Main!B3)*30+30),"mmmm yyyy"))&amp;" to "&amp;IF(Main!B2,TEXT(EDATE(Main!B3,33)-1,"mmmm yyyy"),TEXT(Main!B3+((Main!B5-Main!B3)*33+32),"mmmm yyyy"))</f>
        <v>Forecasts For the Year July 2027 to October 2027</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26393.32</v>
      </c>
      <c r="D3" s="7"/>
      <c r="E3" s="7"/>
      <c r="F3" s="7"/>
      <c r="G3" s="7"/>
      <c r="H3" s="41"/>
      <c r="I3" s="41"/>
    </row>
    <row r="4" ht="24.75" customHeight="1" spans="1:9">
      <c r="A4" s="8" t="s">
        <v>47</v>
      </c>
      <c r="B4" s="9"/>
      <c r="C4" s="10">
        <f ca="1">SUM(C2:G3)</f>
        <v>26699.64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IF(Main!B2,TEXT(EDATE(Main!B3,30),"dd mmmm yyyy"),TEXT(Main!B3+((Main!B5-Main!B3)*30+30),"dd mmmm yyyy"))&amp;" - "&amp;IF(Main!B2,TEXT(EDATE(Main!B3,31)-1,"dd mmmm yyyy"),TEXT(Main!B3+((Main!B5-Main!B3)*31+30),"dd mmmm yyyy"))&amp;" / "&amp;" (Revenue / Deferred Debts Or Expenses)"</f>
        <v>20 July 2027 - 19 August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IF(Main!B2,TEXT(EDATE(Main!B3,31),"dd mmmm yyyy"),TEXT(Main!B3+((Main!B5-Main!B3)*31+31),"dd mmmm yyyy"))&amp;" - "&amp;IF(Main!B2,TEXT(EDATE(Main!B3,32)-1,"dd mmmm yyyy"),TEXT(Main!B3+((Main!B5-Main!B3)*32+31),"dd mmmm yyyy"))&amp;" / "&amp;" (Revenue / Deferred Debts Or Expenses)"</f>
        <v>20 August 2027 - 19 September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IF(Main!B2,TEXT(EDATE(Main!B3,32),"dd mmmm yyyy"),TEXT(Main!B3+((Main!B5-Main!B3)*32+32),"dd mmmm yyyy"))&amp;" - "&amp;IF(Main!B2,TEXT(EDATE(Main!B3,33)-1,"dd mmmm yyyy"),TEXT(Main!B3+((Main!B5-Main!B3)*33+32),"dd mmmm yyyy"))&amp;" / "&amp;" (Revenue / Deferred Debts Or Expenses)"</f>
        <v>20 September 2027 - 19 October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"&amp;IF(Main!B2,TEXT(EDATE(Main!B3,30),"mmmm yyyy"),TEXT(Main!B3+((Main!B5-Main!B3)*30+30),"mmmm yyyy"))&amp;" to "&amp;IF(Main!B2,TEXT(EDATE(Main!B3,33)-1,"mmmm yyyy"),TEXT(Main!B3+((Main!B5-Main!B3)*33+32),"mmmm yyyy"))</f>
        <v>Fixed Expense For the Year July 2027 to October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55.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46"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INDIRECT("'"&amp;INDIRECT("Main!B36")&amp;"'!C98")+SUM(E118+E145+E172)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INDIRECT("'"&amp;INDIRECT("Main!B36")&amp;"'!C99")+SUM(E119+E146+E173)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INDIRECT("'"&amp;INDIRECT("Main!B36")&amp;"'!C100")+SUM(E120+E147+E174)</f>
        <v>0</v>
      </c>
      <c r="D100" s="14"/>
      <c r="E100" s="14"/>
      <c r="F100" s="14"/>
      <c r="G100" s="14"/>
      <c r="H100" s="14"/>
      <c r="I100" s="48"/>
    </row>
    <row r="101" ht="46"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INDIRECT("'"&amp;INDIRECT("Main!B36")&amp;"'!C101")+SUM(E121+E148+E175)</f>
        <v>0</v>
      </c>
      <c r="D101" s="14"/>
      <c r="E101" s="14"/>
      <c r="F101" s="14"/>
      <c r="G101" s="14"/>
      <c r="H101" s="14"/>
      <c r="I101" s="48"/>
    </row>
    <row r="102" ht="49"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INDIRECT("'"&amp;INDIRECT("Main!B36")&amp;"'!C102")+SUM(E122+E149+E176)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INDIRECT("'"&amp;INDIRECT("Main!B36")&amp;"'!C103")+SUM(E123+E150+E177)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INDIRECT("'"&amp;INDIRECT("Main!B36")&amp;"'!C104")+SUM(E124+E151+E178)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INDIRECT("'"&amp;INDIRECT("Main!B36")&amp;"'!C105")+SUM(E125+E152+E179)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INDIRECT("'"&amp;INDIRECT("Main!B36")&amp;"'!C106")+SUM(E126+E153+E180)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INDIRECT("'"&amp;INDIRECT("Main!B36")&amp;"'!C107")+SUM(E127+E154+E181)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"&amp;IF(Main!B2,TEXT(EDATE(Main!B3,30),"mmmm dd yyyy"),TEXT(Main!B3+((Main!B5-Main!B3)*30+30),"mmmm dd yyyy"))&amp;" to "&amp;IF(Main!B2,TEXT(EDATE(Main!B3,31)-1,"mmmm dd yyyy"),TEXT(Main!B3+((Main!B5-Main!B3)*31+30),"mmmm dd yyyy"))</f>
        <v>Debts Or Credits For the Comming July 20 2027 to August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"&amp;IF(Main!B2,TEXT(EDATE(Main!B3,30)-1,"mmmm yyyy"),TEXT(Main!B3+((Main!B5-Main!B3)*30+29),"mmmm yyyy"))</f>
        <v>Balance Brought Forward From July 2027</v>
      </c>
      <c r="B116" s="57"/>
      <c r="C116" s="58"/>
      <c r="D116" s="58"/>
      <c r="E116" s="71" cm="1">
        <f ca="1" t="array" ref="E116">INDIRECT("'"&amp;INDIRECT("Main!B36")&amp;"'!E190")</f>
        <v>24164.32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5.1" customHeight="1" spans="1:9">
      <c r="A129" s="63"/>
      <c r="B129" s="64"/>
      <c r="C129" s="73" t="s">
        <v>143</v>
      </c>
      <c r="D129" s="74"/>
      <c r="E129" s="87">
        <v>940</v>
      </c>
      <c r="F129" s="14"/>
      <c r="G129" s="14"/>
      <c r="H129" s="14"/>
      <c r="I129" s="48"/>
    </row>
    <row r="130" ht="65.1"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24920.32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"&amp;IF(Main!B2,TEXT(EDATE(Main!B3,31),"mmmm dd yyyy"),TEXT(Main!B3+((Main!B5-Main!B3)*31+31),"dd mmmm yyyy"))&amp;" to "&amp;IF(Main!B2,TEXT(EDATE(Main!B3,32)-1,"mmmm dd yyyy"),TEXT(Main!B3+((Main!B5-Main!B3)*32+31),"mmmm dd yyyy"))</f>
        <v>Debts Or Credits For the Comming August 20 2027 to September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"&amp;IF(Main!B2,TEXT(EDATE(Main!B3,31)-1,"mmmm yyyy"),TEXT(Main!B3+((Main!B5-Main!B3)*31+30),"mmmm yyyy"))</f>
        <v>Balance Brought Forward From August 2027</v>
      </c>
      <c r="B143" s="57"/>
      <c r="C143" s="58"/>
      <c r="D143" s="58"/>
      <c r="E143" s="89">
        <f ca="1">E136</f>
        <v>24920.32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05.95" customHeight="1" spans="1:9">
      <c r="A156" s="63"/>
      <c r="B156" s="64"/>
      <c r="C156" s="73" t="s">
        <v>144</v>
      </c>
      <c r="D156" s="74"/>
      <c r="E156" s="87">
        <v>579</v>
      </c>
      <c r="F156" s="14"/>
      <c r="G156" s="14"/>
      <c r="H156" s="14"/>
      <c r="I156" s="48"/>
    </row>
    <row r="157" ht="105.95"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25787.32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"&amp;IF(Main!B2,TEXT(EDATE(Main!B3,32),"mmmm dd yyyy"),TEXT(Main!B3+((Main!B5-Main!B3)*32+32),"mmmm dd yyyy"))&amp;" to "&amp;IF(Main!B2,TEXT(EDATE(Main!B3,33)-1,"mmmm dd yyyy"),TEXT(Main!B3+((Main!B5-Main!B3)*33+32),"mmmm dd yyyy"))</f>
        <v>Debts Or Credits For the Comming September 20 2027 to October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"&amp;IF(Main!B2,TEXT(EDATE(Main!B3,32)-1,"mmmm yyyy"),TEXT(Main!B3+((Main!B5-Main!B3)*32+31),"mmmm yyyy"))</f>
        <v>Balance Brought Forward From September 2027</v>
      </c>
      <c r="B170" s="57"/>
      <c r="C170" s="58"/>
      <c r="D170" s="58"/>
      <c r="E170" s="92">
        <f ca="1">E163</f>
        <v>25787.32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4" customHeight="1" spans="1:9">
      <c r="A183" s="63"/>
      <c r="B183" s="64"/>
      <c r="C183" s="73" t="s">
        <v>147</v>
      </c>
      <c r="D183" s="74"/>
      <c r="E183" s="87">
        <v>1090</v>
      </c>
      <c r="F183" s="14"/>
      <c r="G183" s="14"/>
      <c r="H183" s="14"/>
      <c r="I183" s="48"/>
    </row>
    <row r="184" ht="66"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26393.32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1" operator="equal">
      <formula>0</formula>
    </cfRule>
    <cfRule type="cellIs" dxfId="1" priority="70" operator="greaterThan">
      <formula>0</formula>
    </cfRule>
  </conditionalFormatting>
  <conditionalFormatting sqref="C77">
    <cfRule type="cellIs" dxfId="0" priority="69" operator="equal">
      <formula>0</formula>
    </cfRule>
    <cfRule type="cellIs" dxfId="1" priority="68"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28" operator="equal">
      <formula>0</formula>
    </cfRule>
    <cfRule type="cellIs" dxfId="1" priority="27"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3" operator="greaterThanOrEqual">
      <formula>0</formula>
    </cfRule>
    <cfRule type="cellIs" dxfId="4" priority="62"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57:C66">
    <cfRule type="cellIs" dxfId="0" priority="75" operator="equal">
      <formula>0</formula>
    </cfRule>
    <cfRule type="cellIs" dxfId="1" priority="74" operator="greaterThan">
      <formula>0</formula>
    </cfRule>
  </conditionalFormatting>
  <conditionalFormatting sqref="C68:C69">
    <cfRule type="cellIs" dxfId="0" priority="73" operator="equal">
      <formula>0</formula>
    </cfRule>
    <cfRule type="cellIs" dxfId="1" priority="72" operator="greaterThan">
      <formula>0</formula>
    </cfRule>
  </conditionalFormatting>
  <conditionalFormatting sqref="C70:C74">
    <cfRule type="cellIs" dxfId="0" priority="61" operator="equal">
      <formula>0</formula>
    </cfRule>
    <cfRule type="cellIs" dxfId="1" priority="60" operator="greaterThan">
      <formula>0</formula>
    </cfRule>
  </conditionalFormatting>
  <conditionalFormatting sqref="C78:C79">
    <cfRule type="cellIs" dxfId="0" priority="30" operator="equal">
      <formula>0</formula>
    </cfRule>
    <cfRule type="cellIs" dxfId="1" priority="29" operator="greaterThan">
      <formula>0</formula>
    </cfRule>
  </conditionalFormatting>
  <conditionalFormatting sqref="C80:C84">
    <cfRule type="cellIs" dxfId="0" priority="59" operator="equal">
      <formula>0</formula>
    </cfRule>
    <cfRule type="cellIs" dxfId="1" priority="58" operator="greaterThan">
      <formula>0</formula>
    </cfRule>
  </conditionalFormatting>
  <conditionalFormatting sqref="C88:C89">
    <cfRule type="cellIs" dxfId="5" priority="19" operator="equal">
      <formula>0</formula>
    </cfRule>
  </conditionalFormatting>
  <conditionalFormatting sqref="C92:C94">
    <cfRule type="cellIs" dxfId="0" priority="57" operator="equal">
      <formula>0</formula>
    </cfRule>
    <cfRule type="cellIs" dxfId="1" priority="56"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8:E127">
    <cfRule type="cellIs" dxfId="0" priority="38" operator="equal">
      <formula>0</formula>
    </cfRule>
    <cfRule type="cellIs" dxfId="1" priority="37" operator="greaterThan">
      <formula>0</formula>
    </cfRule>
  </conditionalFormatting>
  <conditionalFormatting sqref="E145:E154">
    <cfRule type="cellIs" dxfId="0" priority="36" operator="equal">
      <formula>0</formula>
    </cfRule>
    <cfRule type="cellIs" dxfId="1" priority="35" operator="greaterThan">
      <formula>0</formula>
    </cfRule>
  </conditionalFormatting>
  <conditionalFormatting sqref="E156:E157">
    <cfRule type="cellIs" dxfId="5" priority="3" operator="equal">
      <formula>0</formula>
    </cfRule>
  </conditionalFormatting>
  <conditionalFormatting sqref="E172:E181">
    <cfRule type="cellIs" dxfId="0" priority="34" operator="equal">
      <formula>0</formula>
    </cfRule>
    <cfRule type="cellIs" dxfId="1" priority="33" operator="greaterThan">
      <formula>0</formula>
    </cfRule>
  </conditionalFormatting>
  <conditionalFormatting sqref="C47:C55 C85 C95:C96">
    <cfRule type="cellIs" dxfId="0" priority="77" operator="equal">
      <formula>0</formula>
    </cfRule>
  </conditionalFormatting>
  <conditionalFormatting sqref="C47:C55 C85 C95:C96 E144 E155 E158:E162">
    <cfRule type="cellIs" dxfId="1" priority="76" operator="greaterThan">
      <formula>0</formula>
    </cfRule>
  </conditionalFormatting>
  <conditionalFormatting sqref="E117 E128 E131:E135">
    <cfRule type="cellIs" dxfId="0" priority="65" operator="equal">
      <formula>0</formula>
    </cfRule>
    <cfRule type="cellIs" dxfId="1" priority="64" operator="greaterThan">
      <formula>0</formula>
    </cfRule>
  </conditionalFormatting>
  <conditionalFormatting sqref="E144 E155 E158:E162">
    <cfRule type="cellIs" dxfId="2" priority="53" operator="equal">
      <formula>0</formula>
    </cfRule>
  </conditionalFormatting>
  <conditionalFormatting sqref="E171 E182 E185:E189">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43" workbookViewId="0">
      <selection activeCell="D52" sqref="D52"/>
    </sheetView>
  </sheetViews>
  <sheetFormatPr defaultColWidth="9" defaultRowHeight="17.6"/>
  <cols>
    <col min="1" max="1" width="20.625" customWidth="1"/>
    <col min="2" max="2" width="26" customWidth="1"/>
    <col min="3" max="3" width="33" customWidth="1"/>
    <col min="4" max="7" width="20.625" customWidth="1"/>
    <col min="9" max="10" width="20.625" customWidth="1"/>
  </cols>
  <sheetData>
    <row r="1" ht="24.75" customHeight="1" spans="1:9">
      <c r="A1" s="1" t="str">
        <f>"Forecasts For the Year "&amp;IF(Main!B2,TEXT(EDATE(Main!B3,33),"mmmm yyyy"),TEXT(Main!B3+((Main!B5-Main!B3)*33+33),"mmmm yyyy"))&amp;" to "&amp;IF(Main!B2,TEXT(EDATE(Main!B3,36)-1,"mmmm yyyy"),TEXT(Main!B3+((Main!B5-Main!B3)*36+35),"mmmm yyyy"))</f>
        <v>Forecasts For the Year October 2027 to January 2028</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29043.32</v>
      </c>
      <c r="D3" s="7"/>
      <c r="E3" s="7"/>
      <c r="F3" s="7"/>
      <c r="G3" s="7"/>
      <c r="H3" s="41"/>
      <c r="I3" s="41"/>
    </row>
    <row r="4" ht="24.75" customHeight="1" spans="1:9">
      <c r="A4" s="8" t="s">
        <v>47</v>
      </c>
      <c r="B4" s="9"/>
      <c r="C4" s="10">
        <f ca="1">SUM(C2:G3)</f>
        <v>29349.64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IF(Main!B2,TEXT(EDATE(Main!B3,33),"dd mmmm yyyy"),TEXT(Main!B3+((Main!B5-Main!B3)*33+33),"dd mmmm yyyy"))&amp;" - "&amp;IF(Main!B2,TEXT(EDATE(Main!B3,34)-1,"dd mmmm yyyy"),TEXT(Main!B3+((Main!B5-Main!B3)*34+33),"dd mmmm yyyy"))&amp;" / "&amp;" (Revenue / Deferred Debts Or Expenses)"</f>
        <v>20 October 2027 - 19 November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IF(Main!B2,TEXT(EDATE(Main!B3,34),"dd mmmm yyyy"),TEXT(Main!B3+((Main!B5-Main!B3)*34+34),"dd mmmm yyyy"))&amp;" - "&amp;IF(Main!B2,TEXT(EDATE(Main!B3,35)-1,"dd mmmm yyyy"),TEXT(Main!B3+((Main!B5-Main!B3)*35+34),"dd mmmm yyyy"))&amp;" / "&amp;" (Revenue / Deferred Debts Or Expenses)"</f>
        <v>20 November 2027 - 19 December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IF(Main!B2,TEXT(EDATE(Main!B3,35),"dd mmmm yyyy"),TEXT(Main!B3+((Main!B5-Main!B3)*35+35),"dd mmmm yyyy"))&amp;" - "&amp;IF(Main!B2,TEXT(EDATE(Main!B3,36)-1,"dd mmmm yyyy"),TEXT(Main!B3+((Main!B5-Main!B3)*36+35),"dd mmmm yyyy"))&amp;" / "&amp;" (Revenue / Deferred Debts Or Expenses)"</f>
        <v>20 December 2027 - 19 January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"&amp;IF(Main!B2,TEXT(EDATE(Main!B3,33),"mmmm yyyy"),TEXT(Main!B3+((Main!B5-Main!B3)*33+33),"mmmm yyyy"))&amp;" to "&amp;IF(Main!B2,TEXT(EDATE(Main!B3,36)-1,"mmmm yyyy"),TEXT(Main!B3+((Main!B5-Main!B3)*36+35),"mmmm yyyy"))</f>
        <v>Fixed Expense For the Year October 2027 to January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INDIRECT("'"&amp;INDIRECT("Main!B39")&amp;"'!C98")+SUM(E118+E145+E172)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INDIRECT("'"&amp;INDIRECT("Main!B39")&amp;"'!C99")+SUM(E119+E146+E173)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INDIRECT("'"&amp;INDIRECT("Main!B39")&amp;"'!C100")+SUM(E120+E147+E174)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INDIRECT("'"&amp;INDIRECT("Main!B39")&amp;"'!C101")+SUM(E121+E148+E175)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INDIRECT("'"&amp;INDIRECT("Main!B39")&amp;"'!C102")+SUM(E122+E149+E176)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INDIRECT("'"&amp;INDIRECT("Main!B39")&amp;"'!C103")+SUM(E123+E150+E177)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INDIRECT("'"&amp;INDIRECT("Main!B39")&amp;"'!C104")+SUM(E124+E151+E178)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INDIRECT("'"&amp;INDIRECT("Main!B39")&amp;"'!C105")+SUM(E125+E152+E179)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INDIRECT("'"&amp;INDIRECT("Main!B39")&amp;"'!C106")+SUM(E126+E153+E180)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INDIRECT("'"&amp;INDIRECT("Main!B39")&amp;"'!C107")+SUM(E127+E154+E181)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"&amp;IF(Main!B2,TEXT(EDATE(Main!B3,33),"mmmm dd yyyy"),TEXT(Main!B3+((Main!B5-Main!B3)*33+33),"mmmm dd yyyy"))&amp;" to "&amp;IF(Main!B2,TEXT(EDATE(Main!B3,34)-1,"mmmm dd yyyy"),TEXT(Main!B3+((Main!B5-Main!B3)*34+33),"mmmm dd yyyy"))</f>
        <v>Debts Or Credits For the Comming October 20 2027 to November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"&amp;IF(Main!B2,TEXT(EDATE(Main!B3,33)-1,"mmmm yyyy"),TEXT(Main!B3+((Main!B5-Main!B3)*33+32),"mmmm yyyy"))</f>
        <v>Balance Brought Forward From October 2027</v>
      </c>
      <c r="B116" s="57"/>
      <c r="C116" s="58"/>
      <c r="D116" s="58"/>
      <c r="E116" s="71" cm="1">
        <f ca="1" t="array" ref="E116">INDIRECT("'"&amp;INDIRECT("Main!B39")&amp;"'!E190")</f>
        <v>26393.32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0" customHeight="1" spans="1:9">
      <c r="A129" s="63"/>
      <c r="B129" s="64"/>
      <c r="C129" s="73" t="s">
        <v>128</v>
      </c>
      <c r="D129" s="74"/>
      <c r="E129" s="87">
        <v>419</v>
      </c>
      <c r="F129" s="14"/>
      <c r="G129" s="14"/>
      <c r="H129" s="14"/>
      <c r="I129" s="48"/>
    </row>
    <row r="130" ht="83.1"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27420.32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"&amp;IF(Main!B2,TEXT(EDATE(Main!B3,34),"mmmm dd yyyy"),TEXT(Main!B3+((Main!B5-Main!B3)*34+34),"dd mmmm yyyy"))&amp;" to "&amp;IF(Main!B2,TEXT(EDATE(Main!B3,35)-1,"mmmm dd yyyy"),TEXT(Main!B3+((Main!B5-Main!B3)*35+34),"mmmm dd yyyy"))</f>
        <v>Debts Or Credits For the Comming November 20 2027 to December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"&amp;IF(Main!B2,TEXT(EDATE(Main!B3,34)-1,"mmmm yyyy"),TEXT(Main!B3+((Main!B5-Main!B3)*34+33),"mmmm yyyy"))</f>
        <v>Balance Brought Forward From November 2027</v>
      </c>
      <c r="B143" s="57"/>
      <c r="C143" s="58"/>
      <c r="D143" s="58"/>
      <c r="E143" s="89">
        <f ca="1">E136</f>
        <v>27420.32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14.95" customHeight="1" spans="1:9">
      <c r="A156" s="63"/>
      <c r="B156" s="64"/>
      <c r="C156" s="73" t="s">
        <v>141</v>
      </c>
      <c r="D156" s="74"/>
      <c r="E156" s="87">
        <v>1100</v>
      </c>
      <c r="F156" s="14"/>
      <c r="G156" s="14"/>
      <c r="H156" s="14"/>
      <c r="I156" s="48"/>
    </row>
    <row r="157" ht="114.95"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28016.32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"&amp;IF(Main!B2,TEXT(EDATE(Main!B3,35),"mmmm dd yyyy"),TEXT(Main!B3+((Main!B5-Main!B3)*35+35),"mmmm dd yyyy"))&amp;" to "&amp;IF(Main!B2,TEXT(EDATE(Main!B3,36)-1,"mmmm dd yyyy"),TEXT(Main!B3+((Main!B5-Main!B3)*36+35),"mmmm dd yyyy"))</f>
        <v>Debts Or Credits For the Comming December 20 2027 to January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"&amp;IF(Main!B2,TEXT(EDATE(Main!B3,35)-1,"mmmm yyyy"),TEXT(Main!B3+((Main!B5-Main!B3)*35+34),"mmmm yyyy"))</f>
        <v>Balance Brought Forward From December 2027</v>
      </c>
      <c r="B170" s="57"/>
      <c r="C170" s="58"/>
      <c r="D170" s="58"/>
      <c r="E170" s="92">
        <f ca="1">E163</f>
        <v>28016.32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84.95" customHeight="1" spans="1:9">
      <c r="A183" s="63"/>
      <c r="B183" s="64"/>
      <c r="C183" s="73" t="s">
        <v>128</v>
      </c>
      <c r="D183" s="74"/>
      <c r="E183" s="87">
        <v>419</v>
      </c>
      <c r="F183" s="14"/>
      <c r="G183" s="14"/>
      <c r="H183" s="14"/>
      <c r="I183" s="48"/>
    </row>
    <row r="184" ht="46"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29043.32</v>
      </c>
      <c r="F190" s="14"/>
      <c r="G190" s="14"/>
      <c r="H190" s="14"/>
      <c r="I190" s="48"/>
    </row>
    <row r="19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5" operator="equal">
      <formula>0</formula>
    </cfRule>
    <cfRule type="cellIs" dxfId="1" priority="24" operator="greater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15" operator="equal">
      <formula>0</formula>
    </cfRule>
    <cfRule type="cellIs" dxfId="1" priority="14" operator="greaterThan">
      <formula>0</formula>
    </cfRule>
  </conditionalFormatting>
  <conditionalFormatting sqref="C90">
    <cfRule type="cellIs" dxfId="0" priority="17" operator="equal">
      <formula>0</formula>
    </cfRule>
    <cfRule type="cellIs" dxfId="1" priority="16"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3" operator="greaterThanOrEqual">
      <formula>0</formula>
    </cfRule>
    <cfRule type="cellIs" dxfId="1" priority="22"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18"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4"/>
  <sheetViews>
    <sheetView topLeftCell="A35" workbookViewId="0">
      <selection activeCell="D48" sqref="D48"/>
    </sheetView>
  </sheetViews>
  <sheetFormatPr defaultColWidth="9" defaultRowHeight="17.6"/>
  <cols>
    <col min="1" max="2" width="20.625" customWidth="1"/>
    <col min="3" max="3" width="28.75" customWidth="1"/>
    <col min="4" max="8" width="20.625" customWidth="1"/>
  </cols>
  <sheetData>
    <row r="1" ht="24.75" customHeight="1" spans="1:9">
      <c r="A1" s="1" t="str">
        <f>"Forecasts For the Year "&amp;IF(Main!B2,TEXT(EDATE(Main!B3,36),"mmmm yyyy"),TEXT(Main!B3+((Main!B5-Main!B3)*36+36),"mmmm yyyy"))&amp;" to "&amp;IF(Main!B2,TEXT(EDATE(Main!B3,39)-1,"mmmm yyyy"),TEXT(Main!B3+((Main!B5-Main!B3)*39+38),"mmmm yyyy"))</f>
        <v>Forecasts For the Year January 2028 to April 2028</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31362.32</v>
      </c>
      <c r="D3" s="7"/>
      <c r="E3" s="7"/>
      <c r="F3" s="7"/>
      <c r="G3" s="7"/>
      <c r="H3" s="41"/>
      <c r="I3" s="41"/>
    </row>
    <row r="4" ht="24.75" customHeight="1" spans="1:9">
      <c r="A4" s="8" t="s">
        <v>47</v>
      </c>
      <c r="B4" s="9"/>
      <c r="C4" s="10">
        <f ca="1">SUM(C2:G3)</f>
        <v>31668.64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IF(Main!B2,TEXT(EDATE(Main!B3,36),"dd mmmm yyyy"),TEXT(Main!B3+((Main!B5-Main!B3)*36+36),"dd mmmm yyyy"))&amp;" - "&amp;IF(Main!B2,TEXT(EDATE(Main!B3,37)-1,"dd mmmm yyyy"),TEXT(Main!B3+((Main!B5-Main!B3)*37+36),"dd mmmm yyyy"))&amp;" / "&amp;" (Revenue / Deferred Debts Or Expenses)"</f>
        <v>20 January 2028 - 19 February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IF(Main!B2,TEXT(EDATE(Main!B3,37),"dd mmmm yyyy"),TEXT(Main!B3+((Main!B5-Main!B3)*37+37),"dd mmmm yyyy"))&amp;" - "&amp;IF(Main!B2,TEXT(EDATE(Main!B3,38)-1,"dd mmmm yyyy"),TEXT(Main!B3+((Main!B5-Main!B3)*38+37),"dd mmmm yyyy"))&amp;" / "&amp;" (Revenue / Deferred Debts Or Expenses)"</f>
        <v>20 February 2028 - 19 March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IF(Main!B2,TEXT(EDATE(Main!B3,38),"dd mmmm yyyy"),TEXT(Main!B3+((Main!B5-Main!B3)*38+38),"dd mmmm yyyy"))&amp;" - "&amp;IF(Main!B2,TEXT(EDATE(Main!B3,39)-1,"dd mmmm yyyy"),TEXT(Main!B3+((Main!B5-Main!B3)*39+38),"dd mmmm yyyy"))&amp;" / "&amp;" (Revenue / Deferred Debts Or Expenses)"</f>
        <v>20 March 2028 - 19 April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"&amp;IF(Main!B2,TEXT(EDATE(Main!B3,36),"mmmm yyyy"),TEXT(Main!B3+((Main!B5-Main!B3)*36+36),"mmmm yyyy"))&amp;" to "&amp;IF(Main!B2,TEXT(EDATE(Main!B3,39)-1,"mmmm yyyy"),TEXT(Main!B3+((Main!B5-Main!B3)*39+38),"mmmm yyyy"))</f>
        <v>Fixed Expense For the Year January 2028 to April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INDIRECT("'"&amp;INDIRECT("Main!B42")&amp;"'!C98")+SUM(E118+E145+E172)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INDIRECT("'"&amp;INDIRECT("Main!B42")&amp;"'!C99")+SUM(E119+E146+E173)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INDIRECT("'"&amp;INDIRECT("Main!B42")&amp;"'!C100")+SUM(E120+E147+E174)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INDIRECT("'"&amp;INDIRECT("Main!B42")&amp;"'!C101")+SUM(E121+E148+E175)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INDIRECT("'"&amp;INDIRECT("Main!B42")&amp;"'!C102")+SUM(E122+E149+E176)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INDIRECT("'"&amp;INDIRECT("Main!B42")&amp;"'!C103")+SUM(E123+E150+E177)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INDIRECT("'"&amp;INDIRECT("Main!B42")&amp;"'!C104")+SUM(E124+E151+E178)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INDIRECT("'"&amp;INDIRECT("Main!B42")&amp;"'!C105")+SUM(E125+E152+E179)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INDIRECT("'"&amp;INDIRECT("Main!B42")&amp;"'!C106")+SUM(E126+E153+E180)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INDIRECT("'"&amp;INDIRECT("Main!B42")&amp;"'!C107")+SUM(E127+E154+E181)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"&amp;IF(Main!B2,TEXT(EDATE(Main!B3,36),"mmmm dd yyyy"),TEXT(Main!B3+((Main!B5-Main!B3)*36+36),"mmmm dd yyyy"))&amp;" to "&amp;IF(Main!B2,TEXT(EDATE(Main!B3,37)-1,"mmmm dd yyyy"),TEXT(Main!B3+((Main!B5-Main!B3)*37+36),"mmmm dd yyyy"))</f>
        <v>Debts Or Credits For the Comming January 20 2028 to February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"&amp;IF(Main!B2,TEXT(EDATE(Main!B3,37)-1,"mmmm yyyy"),TEXT(Main!B3+((Main!B5-Main!B3)*37+36),"mmmm yyyy"))</f>
        <v>Balance Brought Forward From February 2028</v>
      </c>
      <c r="B116" s="57"/>
      <c r="C116" s="58"/>
      <c r="D116" s="58"/>
      <c r="E116" s="71" cm="1">
        <f ca="1" t="array" ref="E116">INDIRECT("'"&amp;INDIRECT("Main!B42")&amp;"'!E190")</f>
        <v>29043.32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7" customHeight="1" spans="1:9">
      <c r="A129" s="63"/>
      <c r="B129" s="64"/>
      <c r="C129" s="73" t="s">
        <v>138</v>
      </c>
      <c r="D129" s="74"/>
      <c r="E129" s="87">
        <v>890</v>
      </c>
      <c r="F129" s="14"/>
      <c r="G129" s="14"/>
      <c r="H129" s="14"/>
      <c r="I129" s="48"/>
    </row>
    <row r="130" ht="32"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29849.32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"&amp;IF(Main!B2,TEXT(EDATE(Main!B3,37),"mmmm dd yyyy"),TEXT(Main!B3+((Main!B5-Main!B3)*37+37),"dd mmmm yyyy"))&amp;" to "&amp;IF(Main!B2,TEXT(EDATE(Main!B3,38)-1,"mmmm dd yyyy"),TEXT(Main!B3+((Main!B5-Main!B3)*38+37),"mmmm dd yyyy"))</f>
        <v>Debts Or Credits For the Comming February 20 2028 to March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"&amp;IF(Main!B2,TEXT(EDATE(Main!B3,37)-1,"mmmm yyyy"),TEXT(Main!B3+((Main!B5-Main!B3)*37+36),"mmmm yyyy"))</f>
        <v>Balance Brought Forward From February 2028</v>
      </c>
      <c r="B143" s="57"/>
      <c r="C143" s="58"/>
      <c r="D143" s="58"/>
      <c r="E143" s="89">
        <f ca="1">E136</f>
        <v>29849.32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8" customHeight="1" spans="1:9">
      <c r="A156" s="63"/>
      <c r="B156" s="64"/>
      <c r="C156" s="73" t="s">
        <v>144</v>
      </c>
      <c r="D156" s="74"/>
      <c r="E156" s="87">
        <v>579</v>
      </c>
      <c r="F156" s="14"/>
      <c r="G156" s="14"/>
      <c r="H156" s="14"/>
      <c r="I156" s="48"/>
    </row>
    <row r="157" ht="78"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30716.32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"&amp;IF(Main!B2,TEXT(EDATE(Main!B3,38),"mmmm dd yyyy"),TEXT(Main!B3+((Main!B5-Main!B3)*38+38),"mmmm dd yyyy"))&amp;" to "&amp;IF(Main!B2,TEXT(EDATE(Main!B3,39)-1,"mmmm dd yyyy"),TEXT(Main!B3+((Main!B5-Main!B3)*39+38),"mmmm dd yyyy"))</f>
        <v>Debts Or Credits For the Comming March 20 2028 to April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"&amp;IF(Main!B2,TEXT(EDATE(Main!B3,38)-1,"mmmm yyyy"),TEXT(Main!B3+((Main!B5-Main!B3)*38+37),"mmmm yyyy"))</f>
        <v>Balance Brought Forward From March 2028</v>
      </c>
      <c r="B170" s="57"/>
      <c r="C170" s="58"/>
      <c r="D170" s="58"/>
      <c r="E170" s="92">
        <f ca="1">E163</f>
        <v>30716.32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84" customHeight="1" spans="1:9">
      <c r="A183" s="63"/>
      <c r="B183" s="64"/>
      <c r="C183" s="73" t="s">
        <v>147</v>
      </c>
      <c r="D183" s="74"/>
      <c r="E183" s="87">
        <v>1050</v>
      </c>
      <c r="F183" s="14"/>
      <c r="G183" s="14"/>
      <c r="H183" s="14"/>
      <c r="I183" s="48"/>
    </row>
    <row r="184" ht="84"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31362.32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row r="194" ht="24.75" customHeight="1"/>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1" operator="equal">
      <formula>0</formula>
    </cfRule>
    <cfRule type="cellIs" dxfId="1" priority="70" operator="greaterThan">
      <formula>0</formula>
    </cfRule>
  </conditionalFormatting>
  <conditionalFormatting sqref="C77">
    <cfRule type="cellIs" dxfId="0" priority="69" operator="equal">
      <formula>0</formula>
    </cfRule>
    <cfRule type="cellIs" dxfId="1" priority="68"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28" operator="equal">
      <formula>0</formula>
    </cfRule>
    <cfRule type="cellIs" dxfId="1" priority="27"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3" operator="greaterThanOrEqual">
      <formula>0</formula>
    </cfRule>
    <cfRule type="cellIs" dxfId="4" priority="62"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57:C66">
    <cfRule type="cellIs" dxfId="0" priority="75" operator="equal">
      <formula>0</formula>
    </cfRule>
    <cfRule type="cellIs" dxfId="1" priority="74" operator="greaterThan">
      <formula>0</formula>
    </cfRule>
  </conditionalFormatting>
  <conditionalFormatting sqref="C68:C69">
    <cfRule type="cellIs" dxfId="0" priority="73" operator="equal">
      <formula>0</formula>
    </cfRule>
    <cfRule type="cellIs" dxfId="1" priority="72" operator="greaterThan">
      <formula>0</formula>
    </cfRule>
  </conditionalFormatting>
  <conditionalFormatting sqref="C70:C74">
    <cfRule type="cellIs" dxfId="0" priority="61" operator="equal">
      <formula>0</formula>
    </cfRule>
    <cfRule type="cellIs" dxfId="1" priority="60" operator="greaterThan">
      <formula>0</formula>
    </cfRule>
  </conditionalFormatting>
  <conditionalFormatting sqref="C78:C79">
    <cfRule type="cellIs" dxfId="0" priority="30" operator="equal">
      <formula>0</formula>
    </cfRule>
    <cfRule type="cellIs" dxfId="1" priority="29" operator="greaterThan">
      <formula>0</formula>
    </cfRule>
  </conditionalFormatting>
  <conditionalFormatting sqref="C80:C84">
    <cfRule type="cellIs" dxfId="0" priority="59" operator="equal">
      <formula>0</formula>
    </cfRule>
    <cfRule type="cellIs" dxfId="1" priority="58" operator="greaterThan">
      <formula>0</formula>
    </cfRule>
  </conditionalFormatting>
  <conditionalFormatting sqref="C88:C89">
    <cfRule type="cellIs" dxfId="5" priority="19" operator="equal">
      <formula>0</formula>
    </cfRule>
  </conditionalFormatting>
  <conditionalFormatting sqref="C92:C94">
    <cfRule type="cellIs" dxfId="0" priority="57" operator="equal">
      <formula>0</formula>
    </cfRule>
    <cfRule type="cellIs" dxfId="1" priority="56"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8:E127">
    <cfRule type="cellIs" dxfId="0" priority="38" operator="equal">
      <formula>0</formula>
    </cfRule>
    <cfRule type="cellIs" dxfId="1" priority="37" operator="greaterThan">
      <formula>0</formula>
    </cfRule>
  </conditionalFormatting>
  <conditionalFormatting sqref="E145:E154">
    <cfRule type="cellIs" dxfId="0" priority="36" operator="equal">
      <formula>0</formula>
    </cfRule>
    <cfRule type="cellIs" dxfId="1" priority="35" operator="greaterThan">
      <formula>0</formula>
    </cfRule>
  </conditionalFormatting>
  <conditionalFormatting sqref="E156:E157">
    <cfRule type="cellIs" dxfId="5" priority="3" operator="equal">
      <formula>0</formula>
    </cfRule>
  </conditionalFormatting>
  <conditionalFormatting sqref="E172:E181">
    <cfRule type="cellIs" dxfId="0" priority="34" operator="equal">
      <formula>0</formula>
    </cfRule>
    <cfRule type="cellIs" dxfId="1" priority="33" operator="greaterThan">
      <formula>0</formula>
    </cfRule>
  </conditionalFormatting>
  <conditionalFormatting sqref="C47:C55 C85 C95:C96">
    <cfRule type="cellIs" dxfId="0" priority="77" operator="equal">
      <formula>0</formula>
    </cfRule>
  </conditionalFormatting>
  <conditionalFormatting sqref="C47:C55 C85 C95:C96 E144 E155 E158:E162">
    <cfRule type="cellIs" dxfId="1" priority="76" operator="greaterThan">
      <formula>0</formula>
    </cfRule>
  </conditionalFormatting>
  <conditionalFormatting sqref="E117 E128 E131:E135">
    <cfRule type="cellIs" dxfId="0" priority="65" operator="equal">
      <formula>0</formula>
    </cfRule>
    <cfRule type="cellIs" dxfId="1" priority="64" operator="greaterThan">
      <formula>0</formula>
    </cfRule>
  </conditionalFormatting>
  <conditionalFormatting sqref="E144 E155 E158:E162">
    <cfRule type="cellIs" dxfId="2" priority="53" operator="equal">
      <formula>0</formula>
    </cfRule>
  </conditionalFormatting>
  <conditionalFormatting sqref="E171 E182 E185:E189">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3" workbookViewId="0">
      <selection activeCell="D48" sqref="D48"/>
    </sheetView>
  </sheetViews>
  <sheetFormatPr defaultColWidth="9" defaultRowHeight="17.6"/>
  <cols>
    <col min="1" max="2" width="20.625" customWidth="1"/>
    <col min="3" max="3" width="35.25" customWidth="1"/>
    <col min="4" max="9" width="20.625" customWidth="1"/>
  </cols>
  <sheetData>
    <row r="1" ht="24.75" customHeight="1" spans="1:9">
      <c r="A1" s="1" t="str">
        <f>"Forecasts For the Year "&amp;IF(Main!B2,TEXT(EDATE(Main!B3,39),"mmmm yyyy"),TEXT(Main!B3+((Main!B5-Main!B3)*39+39),"mmmm yyyy"))&amp;" to "&amp;IF(Main!B2,TEXT(EDATE(Main!B3,42)-1,"mmmm yyyy"),TEXT(Main!B3+((Main!B5-Main!B3)*42+41),"mmmm yyyy"))</f>
        <v>Forecasts For the Year April 2028 to July 2028</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35095.32</v>
      </c>
      <c r="D3" s="7"/>
      <c r="E3" s="7"/>
      <c r="F3" s="7"/>
      <c r="G3" s="7"/>
      <c r="H3" s="41"/>
      <c r="I3" s="41"/>
    </row>
    <row r="4" ht="24.75" customHeight="1" spans="1:9">
      <c r="A4" s="8" t="s">
        <v>47</v>
      </c>
      <c r="B4" s="9"/>
      <c r="C4" s="10">
        <f ca="1">SUM(C2:G3)</f>
        <v>35401.64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IF(Main!B2,TEXT(EDATE(Main!B3,39),"dd mmmm yyyy"),TEXT(Main!B3+((Main!B5-Main!B3)*39+39),"dd mmmm yyyy"))&amp;" - "&amp;IF(Main!B2,TEXT(EDATE(Main!B3,40)-1,"dd mmmm yyyy"),TEXT(Main!B3+((Main!B5-Main!B3)*40+39),"dd mmmm yyyy"))&amp;" / "&amp;" (Revenue / Deferred Debts Or Expenses)"</f>
        <v>20 April 2028 - 19 May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IF(Main!B2,TEXT(EDATE(Main!B3,40),"dd mmmm yyyy"),TEXT(Main!B3+((Main!B5-Main!B3)*40+40),"dd mmmm yyyy"))&amp;" - "&amp;IF(Main!B2,TEXT(EDATE(Main!B3,41)-1,"dd mmmm yyyy"),TEXT(Main!B3+((Main!B5-Main!B3)*41+40),"dd mmmm yyyy"))&amp;" / "&amp;" (Revenue / Deferred Debts Or Expenses)"</f>
        <v>20 May 2028 - 19 June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97" t="s">
        <v>97</v>
      </c>
      <c r="C23" s="98"/>
      <c r="D23" s="99" t="s">
        <v>142</v>
      </c>
      <c r="E23" s="100"/>
      <c r="F23" s="7">
        <v>1083</v>
      </c>
      <c r="G23" s="7"/>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IF(Main!B2,TEXT(EDATE(Main!B3,41),"dd mmmm yyyy"),TEXT(Main!B3+((Main!B5-Main!B3)*41+41),"dd mmmm yyyy"))&amp;" - "&amp;IF(Main!B2,TEXT(EDATE(Main!B3,42)-1,"dd mmmm yyyy"),TEXT(Main!B3+((Main!B5-Main!B3)*42+41),"dd mmmm yyyy"))&amp;" / "&amp;" (Revenue / Deferred Debts Or Expenses)"</f>
        <v>20 June 2028 - 19 July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"&amp;IF(Main!B2,TEXT(EDATE(Main!B3,39),"mmmm yyyy"),TEXT(Main!B3+((Main!B5-Main!B3)*39+39),"mmmm yyyy"))&amp;" to "&amp;IF(Main!B2,TEXT(EDATE(Main!B3,42)-1,"mmmm yyyy"),TEXT(Main!B3+((Main!B5-Main!B3)*42+41),"mmmm yyyy"))</f>
        <v>Fixed Expense For the Year April 2028 to July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INDIRECT("'"&amp;INDIRECT("Main!B45")&amp;"'!C98")+SUM(E118+E145+E172)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INDIRECT("'"&amp;INDIRECT("Main!B45")&amp;"'!C99")+SUM(E119+E146+E173)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INDIRECT("'"&amp;INDIRECT("Main!B45")&amp;"'!C100")+SUM(E120+E147+E174)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INDIRECT("'"&amp;INDIRECT("Main!B45")&amp;"'!C101")+SUM(E121+E148+E175)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INDIRECT("'"&amp;INDIRECT("Main!B45")&amp;"'!C102")+SUM(E122+E149+E176)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INDIRECT("'"&amp;INDIRECT("Main!B45")&amp;"'!C103")+SUM(E123+E150+E177)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INDIRECT("'"&amp;INDIRECT("Main!B45")&amp;"'!C104")+SUM(E124+E151+E178)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INDIRECT("'"&amp;INDIRECT("Main!B45")&amp;"'!C105")+SUM(E125+E152+E179)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INDIRECT("'"&amp;INDIRECT("Main!B45")&amp;"'!C105")+SUM(E125+E152+E179)</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INDIRECT("'"&amp;INDIRECT("Main!B45")&amp;"'!C107")+SUM(E127+E154+E181)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"&amp;IF(Main!B2,TEXT(EDATE(Main!B3,39),"mmmm dd yyyy"),TEXT(Main!B3+((Main!B5-Main!B3)*39+39),"mmmm dd yyyy"))&amp;" to "&amp;IF(Main!B2,TEXT(EDATE(Main!B3,40)-1,"mmmm dd yyyy"),TEXT(Main!B3+((Main!B5-Main!B3)*40+39),"mmmm dd yyyy"))</f>
        <v>Debts Or Credits For the Comming April 20 2028 to May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"&amp;IF(Main!B2,TEXT(EDATE(Main!B3,39)-1,"mmmm yyyy"),TEXT(Main!B3+((Main!B5-Main!B3)*39+38),"mmmm yyyy"))</f>
        <v>Balance Brought Forward From April 2028</v>
      </c>
      <c r="B116" s="57"/>
      <c r="C116" s="58"/>
      <c r="D116" s="58"/>
      <c r="E116" s="71" cm="1">
        <f ca="1" t="array" ref="E116">INDIRECT("'"&amp;INDIRECT("Main!B45")&amp;"'!E190")</f>
        <v>31362.32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77" customHeight="1" spans="1:9">
      <c r="A129" s="63"/>
      <c r="B129" s="64"/>
      <c r="C129" s="73" t="s">
        <v>128</v>
      </c>
      <c r="D129" s="74"/>
      <c r="E129" s="87">
        <v>419</v>
      </c>
      <c r="F129" s="14"/>
      <c r="G129" s="14"/>
      <c r="H129" s="14"/>
      <c r="I129" s="48"/>
    </row>
    <row r="130" ht="24.7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32389.32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"&amp;IF(Main!B2,TEXT(EDATE(Main!B3,40),"mmmm dd yyyy"),TEXT(Main!B3+((Main!B5-Main!B3)*40+40),"dd mmmm yyyy"))&amp;" to "&amp;IF(Main!B2,TEXT(EDATE(Main!B3,41)-1,"mmmm dd yyyy"),TEXT(Main!B3+((Main!B5-Main!B3)*41+40),"mmmm dd yyyy"))</f>
        <v>Debts Or Credits For the Comming May 20 2028 to June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"&amp;IF(Main!B2,TEXT(EDATE(Main!B3,40)-1,"mmmm yyyy"),TEXT(Main!B3+((Main!B5-Main!B3)*40+39),"mmmm yyyy"))</f>
        <v>Balance Brought Forward From May 2028</v>
      </c>
      <c r="B143" s="57"/>
      <c r="C143" s="58"/>
      <c r="D143" s="58"/>
      <c r="E143" s="89">
        <f ca="1">E136</f>
        <v>32389.32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1" customHeight="1" spans="1:9">
      <c r="A156" s="63"/>
      <c r="B156" s="64"/>
      <c r="C156" s="73" t="s">
        <v>141</v>
      </c>
      <c r="D156" s="74"/>
      <c r="E156" s="87">
        <v>1100</v>
      </c>
      <c r="F156" s="14"/>
      <c r="G156" s="14"/>
      <c r="H156" s="14"/>
      <c r="I156" s="48"/>
    </row>
    <row r="157" ht="24.75"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34068.32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"&amp;IF(Main!B2,TEXT(EDATE(Main!B3,41),"mmmm dd yyyy"),TEXT(Main!B3+((Main!B5-Main!B3)*41+41),"mmmm dd yyyy"))&amp;" to "&amp;IF(Main!B2,TEXT(EDATE(Main!B3,42)-1,"mmmm dd yyyy"),TEXT(Main!B3+((Main!B5-Main!B3)*42+41),"mmmm dd yyyy"))</f>
        <v>Debts Or Credits For the Comming June 20 2028 to July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"&amp;IF(Main!B2,TEXT(EDATE(Main!B3,41)-1,"mmmm yyyy"),TEXT(Main!B3+((Main!B5-Main!B3)*41+40),"mmmm yyyy"))</f>
        <v>Balance Brought Forward From June 2028</v>
      </c>
      <c r="B170" s="57"/>
      <c r="C170" s="58"/>
      <c r="D170" s="58"/>
      <c r="E170" s="92">
        <f ca="1">E163</f>
        <v>34068.32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67" customHeight="1" spans="1:9">
      <c r="A183" s="63"/>
      <c r="B183" s="64"/>
      <c r="C183" s="73" t="s">
        <v>128</v>
      </c>
      <c r="D183" s="74"/>
      <c r="E183" s="87">
        <v>419</v>
      </c>
      <c r="F183" s="14"/>
      <c r="G183" s="14"/>
      <c r="H183" s="14"/>
      <c r="I183" s="48"/>
    </row>
    <row r="184" ht="24.75"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35095.32</v>
      </c>
      <c r="F190" s="14"/>
      <c r="G190" s="14"/>
      <c r="H190" s="14"/>
      <c r="I190" s="48"/>
    </row>
    <row r="19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0" operator="equal">
      <formula>0</formula>
    </cfRule>
    <cfRule type="cellIs" dxfId="1" priority="9" operator="greaterThan">
      <formula>0</formula>
    </cfRule>
  </conditionalFormatting>
  <conditionalFormatting sqref="C75">
    <cfRule type="cellIs" dxfId="0" priority="55" operator="equal">
      <formula>0</formula>
    </cfRule>
    <cfRule type="cellIs" dxfId="1" priority="54" operator="greaterThan">
      <formula>0</formula>
    </cfRule>
  </conditionalFormatting>
  <conditionalFormatting sqref="C77">
    <cfRule type="cellIs" dxfId="0" priority="53" operator="equal">
      <formula>0</formula>
    </cfRule>
    <cfRule type="cellIs" dxfId="1" priority="52" operator="greaterThan">
      <formula>0</formula>
    </cfRule>
  </conditionalFormatting>
  <conditionalFormatting sqref="C108">
    <cfRule type="cellIs" dxfId="0" priority="8" operator="greaterThanOrEqual">
      <formula>0</formula>
    </cfRule>
    <cfRule type="cellIs" dxfId="1" priority="7" operator="lessThan">
      <formula>0</formula>
    </cfRule>
  </conditionalFormatting>
  <conditionalFormatting sqref="C109">
    <cfRule type="cellIs" dxfId="0" priority="6" operator="greaterThanOrEqual">
      <formula>0</formula>
    </cfRule>
    <cfRule type="cellIs" dxfId="1" priority="5" operator="lessThan">
      <formula>0</formula>
    </cfRule>
  </conditionalFormatting>
  <conditionalFormatting sqref="E116">
    <cfRule type="cellIs" dxfId="3" priority="16" operator="greaterThanOrEqual">
      <formula>0</formula>
    </cfRule>
    <cfRule type="cellIs" dxfId="4" priority="15" operator="lessThan">
      <formula>0</formula>
    </cfRule>
  </conditionalFormatting>
  <conditionalFormatting sqref="E136">
    <cfRule type="cellIs" dxfId="3" priority="47" operator="greaterThanOrEqual">
      <formula>0</formula>
    </cfRule>
    <cfRule type="cellIs" dxfId="4" priority="46" operator="lessThan">
      <formula>0</formula>
    </cfRule>
  </conditionalFormatting>
  <conditionalFormatting sqref="E143">
    <cfRule type="cellIs" dxfId="3" priority="34" operator="greaterThanOrEqual">
      <formula>0</formula>
    </cfRule>
    <cfRule type="cellIs" dxfId="4" priority="33"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36" operator="greaterThanOrEqual">
      <formula>0</formula>
    </cfRule>
    <cfRule type="cellIs" dxfId="4" priority="35" operator="lessThan">
      <formula>0</formula>
    </cfRule>
  </conditionalFormatting>
  <conditionalFormatting sqref="E170">
    <cfRule type="cellIs" dxfId="3" priority="28" operator="greaterThanOrEqual">
      <formula>0</formula>
    </cfRule>
    <cfRule type="cellIs" dxfId="4" priority="27" operator="lessThan">
      <formula>0</formula>
    </cfRule>
  </conditionalFormatting>
  <conditionalFormatting sqref="E190">
    <cfRule type="cellIs" dxfId="3" priority="30" operator="greaterThanOrEqual">
      <formula>0</formula>
    </cfRule>
    <cfRule type="cellIs" dxfId="4" priority="29" operator="lessThan">
      <formula>0</formula>
    </cfRule>
  </conditionalFormatting>
  <conditionalFormatting sqref="C57:C66">
    <cfRule type="cellIs" dxfId="0" priority="59" operator="equal">
      <formula>0</formula>
    </cfRule>
    <cfRule type="cellIs" dxfId="1" priority="58" operator="greaterThan">
      <formula>0</formula>
    </cfRule>
  </conditionalFormatting>
  <conditionalFormatting sqref="C68:C69">
    <cfRule type="cellIs" dxfId="0" priority="57" operator="equal">
      <formula>0</formula>
    </cfRule>
    <cfRule type="cellIs" dxfId="1" priority="56" operator="greaterThan">
      <formula>0</formula>
    </cfRule>
  </conditionalFormatting>
  <conditionalFormatting sqref="C70:C74">
    <cfRule type="cellIs" dxfId="0" priority="45" operator="equal">
      <formula>0</formula>
    </cfRule>
    <cfRule type="cellIs" dxfId="1" priority="44" operator="greaterThan">
      <formula>0</formula>
    </cfRule>
  </conditionalFormatting>
  <conditionalFormatting sqref="C78:C79">
    <cfRule type="cellIs" dxfId="0" priority="14" operator="equal">
      <formula>0</formula>
    </cfRule>
    <cfRule type="cellIs" dxfId="1" priority="13" operator="greaterThan">
      <formula>0</formula>
    </cfRule>
  </conditionalFormatting>
  <conditionalFormatting sqref="C80:C84">
    <cfRule type="cellIs" dxfId="0" priority="43" operator="equal">
      <formula>0</formula>
    </cfRule>
    <cfRule type="cellIs" dxfId="1" priority="42" operator="greaterThan">
      <formula>0</formula>
    </cfRule>
  </conditionalFormatting>
  <conditionalFormatting sqref="C87:C89">
    <cfRule type="cellIs" dxfId="0" priority="51" operator="equal">
      <formula>0</formula>
    </cfRule>
    <cfRule type="cellIs" dxfId="1" priority="50" operator="greaterThan">
      <formula>0</formula>
    </cfRule>
  </conditionalFormatting>
  <conditionalFormatting sqref="C90:C91">
    <cfRule type="cellIs" dxfId="0" priority="12" operator="equal">
      <formula>0</formula>
    </cfRule>
    <cfRule type="cellIs" dxfId="1" priority="11" operator="greaterThan">
      <formula>0</formula>
    </cfRule>
  </conditionalFormatting>
  <conditionalFormatting sqref="C92:C94">
    <cfRule type="cellIs" dxfId="0" priority="41" operator="equal">
      <formula>0</formula>
    </cfRule>
    <cfRule type="cellIs" dxfId="1" priority="40" operator="greaterThan">
      <formula>0</formula>
    </cfRule>
  </conditionalFormatting>
  <conditionalFormatting sqref="C98:C107">
    <cfRule type="cellIs" dxfId="1" priority="24" operator="lessThan">
      <formula>0</formula>
    </cfRule>
    <cfRule type="cellIs" dxfId="2" priority="23" operator="greaterThanOrEqual">
      <formula>0</formula>
    </cfRule>
  </conditionalFormatting>
  <conditionalFormatting sqref="E118:E127">
    <cfRule type="cellIs" dxfId="0" priority="22" operator="equal">
      <formula>0</formula>
    </cfRule>
    <cfRule type="cellIs" dxfId="1" priority="21" operator="greaterThan">
      <formula>0</formula>
    </cfRule>
  </conditionalFormatting>
  <conditionalFormatting sqref="E129:E130">
    <cfRule type="cellIs" dxfId="5" priority="4" operator="equal">
      <formula>0</formula>
    </cfRule>
  </conditionalFormatting>
  <conditionalFormatting sqref="E145:E154">
    <cfRule type="cellIs" dxfId="0" priority="20" operator="equal">
      <formula>0</formula>
    </cfRule>
    <cfRule type="cellIs" dxfId="1" priority="19" operator="greaterThan">
      <formula>0</formula>
    </cfRule>
  </conditionalFormatting>
  <conditionalFormatting sqref="E172:E181">
    <cfRule type="cellIs" dxfId="0" priority="18" operator="equal">
      <formula>0</formula>
    </cfRule>
    <cfRule type="cellIs" dxfId="1" priority="17" operator="greaterThan">
      <formula>0</formula>
    </cfRule>
  </conditionalFormatting>
  <conditionalFormatting sqref="E183:E184">
    <cfRule type="cellIs" dxfId="5" priority="1" operator="equal">
      <formula>0</formula>
    </cfRule>
  </conditionalFormatting>
  <conditionalFormatting sqref="C47:C55 C85 C95:C96">
    <cfRule type="cellIs" dxfId="0" priority="61" operator="equal">
      <formula>0</formula>
    </cfRule>
  </conditionalFormatting>
  <conditionalFormatting sqref="C47:C55 C85 C95:C96 E144 E155 E158:E162">
    <cfRule type="cellIs" dxfId="1" priority="60" operator="greaterThan">
      <formula>0</formula>
    </cfRule>
  </conditionalFormatting>
  <conditionalFormatting sqref="E117 E128 E131:E135">
    <cfRule type="cellIs" dxfId="0" priority="49" operator="equal">
      <formula>0</formula>
    </cfRule>
    <cfRule type="cellIs" dxfId="1" priority="48" operator="greaterThan">
      <formula>0</formula>
    </cfRule>
  </conditionalFormatting>
  <conditionalFormatting sqref="E144 E155 E158:E162">
    <cfRule type="cellIs" dxfId="2" priority="37" operator="equal">
      <formula>0</formula>
    </cfRule>
  </conditionalFormatting>
  <conditionalFormatting sqref="E171 E182 E185:E189">
    <cfRule type="cellIs" dxfId="2" priority="32" operator="equal">
      <formula>0</formula>
    </cfRule>
    <cfRule type="cellIs" dxfId="1" priority="31" operator="greaterThan">
      <formula>0</formula>
    </cfRule>
  </conditionalFormatting>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4" workbookViewId="0">
      <selection activeCell="D48" sqref="D48"/>
    </sheetView>
  </sheetViews>
  <sheetFormatPr defaultColWidth="9" defaultRowHeight="17.6"/>
  <cols>
    <col min="1" max="2" width="20.625" customWidth="1"/>
    <col min="3" max="3" width="24.75" customWidth="1"/>
    <col min="4" max="8" width="20.625" customWidth="1"/>
  </cols>
  <sheetData>
    <row r="1" ht="24.75" customHeight="1" spans="1:9">
      <c r="A1" s="1" t="str">
        <f>"Forecasts For the Year "&amp;IF(Main!B2,TEXT(EDATE(Main!B3,42),"mmmm yyyy"),TEXT(Main!B3+((Main!B5-Main!B3)*42+42),"mmmm yyyy"))&amp;" to "&amp;IF(Main!B2,TEXT(EDATE(Main!B3,45)-1,"mmmm yyyy"),TEXT(Main!B3+((Main!B5-Main!B3)*45+44),"mmmm yyyy"))</f>
        <v>Forecasts For the Year July 2028 to October 2028</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37524.32</v>
      </c>
      <c r="D3" s="7"/>
      <c r="E3" s="7"/>
      <c r="F3" s="7"/>
      <c r="G3" s="7"/>
      <c r="H3" s="41"/>
      <c r="I3" s="41"/>
    </row>
    <row r="4" ht="24.75" customHeight="1" spans="1:9">
      <c r="A4" s="8" t="s">
        <v>47</v>
      </c>
      <c r="B4" s="9"/>
      <c r="C4" s="10">
        <f ca="1">SUM(C2:G3)</f>
        <v>37830.64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IF(Main!B2,TEXT(EDATE(Main!B3,42),"dd mmmm yyyy"),TEXT(Main!B3+((Main!B5-Main!B3)*42+42),"dd mmmm yyyy"))&amp;" - "&amp;IF(Main!B2,TEXT(EDATE(Main!B3,43)-1,"dd mmmm yyyy"),TEXT(Main!B3+((Main!B5-Main!B3)*43+42),"dd mmmm yyyy"))&amp;" / "&amp;" (Revenue / Deferred Debts Or Expenses)"</f>
        <v>20 July 2028 - 19 August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IF(Main!B2,TEXT(EDATE(Main!B3,43),"dd mmmm yyyy"),TEXT(Main!B3+((Main!B5-Main!B3)*43+43),"dd mmmm yyyy"))&amp;" - "&amp;IF(Main!B2,TEXT(EDATE(Main!B3,44)-1,"dd mmmm yyyy"),TEXT(Main!B3+((Main!B5-Main!B3)*44+43),"dd mmmm yyyy"))&amp;" / "&amp;" (Revenue / Deferred Debts Or Expenses)"</f>
        <v>20 August 2028 - 19 September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22"/>
      <c r="C23" s="23"/>
      <c r="D23" s="24"/>
      <c r="E23" s="42"/>
      <c r="F23" s="43">
        <v>0</v>
      </c>
      <c r="G23" s="44"/>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IF(Main!B2,TEXT(EDATE(Main!B3,44),"dd mmmm yyyy"),TEXT(Main!B3+((Main!B5-Main!B3)*44+44),"dd mmmm yyyy"))&amp;" - "&amp;IF(Main!B2,TEXT(EDATE(Main!B3,45)-1,"dd mmmm yyyy"),TEXT(Main!B3+((Main!B5-Main!B3)*45+44),"dd mmmm yyyy"))&amp;" / "&amp;" (Revenue / Deferred Debts Or Expenses)"</f>
        <v>20 September 2028 - 19 October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"&amp;IF(Main!B2,TEXT(EDATE(Main!B3,42),"mmmm yyyy"),TEXT(Main!B3+((Main!B5-Main!B3)*42+42),"mmmm yyyy"))&amp;" to "&amp;IF(Main!B2,TEXT(EDATE(Main!B3,45)-1,"mmmm yyyy"),TEXT(Main!B3+((Main!B5-Main!B3)*45+44),"mmmm yyyy"))</f>
        <v>Fixed Expense For the Year July 2028 to October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INDIRECT("'"&amp;INDIRECT("Main!B48")&amp;"'!C98")+SUM(E118+E145+E172)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INDIRECT("'"&amp;INDIRECT("Main!B48")&amp;"'!C99")+SUM(E119+E146+E173)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INDIRECT("'"&amp;INDIRECT("Main!B48")&amp;"'!C100")+SUM(E120+E147+E174)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INDIRECT("'"&amp;INDIRECT("Main!B48")&amp;"'!C101")+SUM(E121+E148+E175)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
        <v>148</v>
      </c>
      <c r="C102" s="37" cm="1">
        <f ca="1" t="array" ref="C102">INDIRECT("'"&amp;INDIRECT("Main!B48")&amp;"'!C102")+SUM(E122+E149+E176)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INDIRECT("'"&amp;INDIRECT("Main!B48")&amp;"'!C103")+SUM(E123+E150+E177)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INDIRECT("'"&amp;INDIRECT("Main!B48")&amp;"'!C104")+SUM(E124+E151+E178)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INDIRECT("'"&amp;INDIRECT("Main!B48")&amp;"'!C105")+SUM(E125+E152+E179)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INDIRECT("'"&amp;INDIRECT("Main!B48")&amp;"'!C106")+SUM(E126+E153+E180)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INDIRECT("'"&amp;INDIRECT("Main!B48")&amp;"'!C107")+SUM(E127+E154+E181)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"&amp;IF(Main!B2,TEXT(EDATE(Main!B3,42),"mmmm dd yyyy"),TEXT(Main!B3+((Main!B5-Main!B3)*42+42),"mmmm dd yyyy"))&amp;" to "&amp;IF(Main!B2,TEXT(EDATE(Main!B3,43)-1,"mmmm dd yyyy"),TEXT(Main!B3+((Main!B5-Main!B3)*43+42),"mmmm dd yyyy"))</f>
        <v>Debts Or Credits For the Comming July 20 2028 to August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"&amp;IF(Main!B2,TEXT(EDATE(Main!B3,42)-1,"mmmm yyyy"),TEXT(Main!B3+((Main!B5-Main!B3)*42+41),"mmmm yyyy"))</f>
        <v>Balance Brought Forward From July 2028</v>
      </c>
      <c r="B116" s="57"/>
      <c r="C116" s="58"/>
      <c r="D116" s="58"/>
      <c r="E116" s="71" cm="1">
        <f ca="1" t="array" ref="E116">INDIRECT("'"&amp;INDIRECT("Main!B48")&amp;"'!E190")</f>
        <v>35095.32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80" customHeight="1" spans="1:9">
      <c r="A129" s="63"/>
      <c r="B129" s="64"/>
      <c r="C129" s="73" t="s">
        <v>138</v>
      </c>
      <c r="D129" s="74"/>
      <c r="E129" s="87">
        <v>890</v>
      </c>
      <c r="F129" s="14"/>
      <c r="G129" s="14"/>
      <c r="H129" s="14"/>
      <c r="I129" s="48"/>
    </row>
    <row r="130" ht="24.75"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35901.32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"&amp;IF(Main!B2,TEXT(EDATE(Main!B3,43),"mmmm dd yyyy"),TEXT(Main!B3+((Main!B5-Main!B3)*43+43),"dd mmmm yyyy"))&amp;" to "&amp;IF(Main!B2,TEXT(EDATE(Main!B3,44)-1,"mmmm dd yyyy"),TEXT(Main!B3+((Main!B5-Main!B3)*44+43),"mmmm dd yyyy"))</f>
        <v>Debts Or Credits For the Comming August 20 2028 to September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"&amp;IF(Main!B2,TEXT(EDATE(Main!B3,43)-1,"mmmm yyyy"),TEXT(Main!B3+((Main!B5-Main!B3)*43+42),"mmmm yyyy"))</f>
        <v>Balance Brought Forward From August 2028</v>
      </c>
      <c r="B143" s="57"/>
      <c r="C143" s="58"/>
      <c r="D143" s="58"/>
      <c r="E143" s="89">
        <f ca="1">E136</f>
        <v>35901.32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8" customHeight="1" spans="1:9">
      <c r="A156" s="63"/>
      <c r="B156" s="64"/>
      <c r="C156" s="73" t="s">
        <v>144</v>
      </c>
      <c r="D156" s="74"/>
      <c r="E156" s="87">
        <v>579</v>
      </c>
      <c r="F156" s="14"/>
      <c r="G156" s="14"/>
      <c r="H156" s="14"/>
      <c r="I156" s="48"/>
    </row>
    <row r="157" ht="24.75"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36768.32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"&amp;IF(Main!B2,TEXT(EDATE(Main!B3,44),"mmmm dd yyyy"),TEXT(Main!B3+((Main!B5-Main!B3)*44+44),"mmmm dd yyyy"))&amp;" to "&amp;IF(Main!B2,TEXT(EDATE(Main!B3,45)-1,"mmmm dd yyyy"),TEXT(Main!B3+((Main!B5-Main!B3)*45+44),"mmmm dd yyyy"))</f>
        <v>Debts Or Credits For the Comming September 20 2028 to October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"&amp;IF(Main!B2,TEXT(EDATE(Main!B3,44)-1,"mmmm yyyy"),TEXT(Main!B3+((Main!B5-Main!B3)*44+43),"mmmm yyyy"))</f>
        <v>Balance Brought Forward From September 2028</v>
      </c>
      <c r="B170" s="57"/>
      <c r="C170" s="58"/>
      <c r="D170" s="58"/>
      <c r="E170" s="92">
        <f ca="1">E163</f>
        <v>36768.32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3" customHeight="1" spans="1:9">
      <c r="A183" s="63"/>
      <c r="B183" s="64"/>
      <c r="C183" s="73" t="s">
        <v>143</v>
      </c>
      <c r="D183" s="74"/>
      <c r="E183" s="87">
        <v>940</v>
      </c>
      <c r="F183" s="14"/>
      <c r="G183" s="14"/>
      <c r="H183" s="14"/>
      <c r="I183" s="48"/>
    </row>
    <row r="184" ht="24.75"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37524.32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1" operator="equal">
      <formula>0</formula>
    </cfRule>
    <cfRule type="cellIs" dxfId="1" priority="10" operator="greaterThan">
      <formula>0</formula>
    </cfRule>
  </conditionalFormatting>
  <conditionalFormatting sqref="C75">
    <cfRule type="cellIs" dxfId="0" priority="56" operator="equal">
      <formula>0</formula>
    </cfRule>
    <cfRule type="cellIs" dxfId="1" priority="55" operator="greaterThan">
      <formula>0</formula>
    </cfRule>
  </conditionalFormatting>
  <conditionalFormatting sqref="C77">
    <cfRule type="cellIs" dxfId="0" priority="54" operator="equal">
      <formula>0</formula>
    </cfRule>
    <cfRule type="cellIs" dxfId="1" priority="53" operator="greaterThan">
      <formula>0</formula>
    </cfRule>
  </conditionalFormatting>
  <conditionalFormatting sqref="C108">
    <cfRule type="cellIs" dxfId="0" priority="9" operator="greaterThanOrEqual">
      <formula>0</formula>
    </cfRule>
    <cfRule type="cellIs" dxfId="1" priority="8" operator="lessThan">
      <formula>0</formula>
    </cfRule>
  </conditionalFormatting>
  <conditionalFormatting sqref="C109">
    <cfRule type="cellIs" dxfId="0" priority="7" operator="greaterThanOrEqual">
      <formula>0</formula>
    </cfRule>
    <cfRule type="cellIs" dxfId="1" priority="6" operator="lessThan">
      <formula>0</formula>
    </cfRule>
  </conditionalFormatting>
  <conditionalFormatting sqref="E116">
    <cfRule type="cellIs" dxfId="3" priority="17" operator="greaterThanOrEqual">
      <formula>0</formula>
    </cfRule>
    <cfRule type="cellIs" dxfId="4" priority="16"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48" operator="greaterThanOrEqual">
      <formula>0</formula>
    </cfRule>
    <cfRule type="cellIs" dxfId="4" priority="47" operator="lessThan">
      <formula>0</formula>
    </cfRule>
  </conditionalFormatting>
  <conditionalFormatting sqref="E143">
    <cfRule type="cellIs" dxfId="3" priority="35" operator="greaterThanOrEqual">
      <formula>0</formula>
    </cfRule>
    <cfRule type="cellIs" dxfId="4" priority="34" operator="lessThan">
      <formula>0</formula>
    </cfRule>
  </conditionalFormatting>
  <conditionalFormatting sqref="E163">
    <cfRule type="cellIs" dxfId="3" priority="37" operator="greaterThanOrEqual">
      <formula>0</formula>
    </cfRule>
    <cfRule type="cellIs" dxfId="4" priority="36" operator="lessThan">
      <formula>0</formula>
    </cfRule>
  </conditionalFormatting>
  <conditionalFormatting sqref="E170">
    <cfRule type="cellIs" dxfId="3" priority="29" operator="greaterThanOrEqual">
      <formula>0</formula>
    </cfRule>
    <cfRule type="cellIs" dxfId="4" priority="28"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31" operator="greaterThanOrEqual">
      <formula>0</formula>
    </cfRule>
    <cfRule type="cellIs" dxfId="4" priority="30" operator="lessThan">
      <formula>0</formula>
    </cfRule>
  </conditionalFormatting>
  <conditionalFormatting sqref="C57:C66">
    <cfRule type="cellIs" dxfId="0" priority="60" operator="equal">
      <formula>0</formula>
    </cfRule>
    <cfRule type="cellIs" dxfId="1" priority="59" operator="greaterThan">
      <formula>0</formula>
    </cfRule>
  </conditionalFormatting>
  <conditionalFormatting sqref="C68:C69">
    <cfRule type="cellIs" dxfId="0" priority="58" operator="equal">
      <formula>0</formula>
    </cfRule>
    <cfRule type="cellIs" dxfId="1" priority="57" operator="greaterThan">
      <formula>0</formula>
    </cfRule>
  </conditionalFormatting>
  <conditionalFormatting sqref="C70:C74">
    <cfRule type="cellIs" dxfId="0" priority="46" operator="equal">
      <formula>0</formula>
    </cfRule>
    <cfRule type="cellIs" dxfId="1" priority="45" operator="greaterThan">
      <formula>0</formula>
    </cfRule>
  </conditionalFormatting>
  <conditionalFormatting sqref="C78:C79">
    <cfRule type="cellIs" dxfId="0" priority="15" operator="equal">
      <formula>0</formula>
    </cfRule>
    <cfRule type="cellIs" dxfId="1" priority="14" operator="greaterThan">
      <formula>0</formula>
    </cfRule>
  </conditionalFormatting>
  <conditionalFormatting sqref="C80:C84">
    <cfRule type="cellIs" dxfId="0" priority="44" operator="equal">
      <formula>0</formula>
    </cfRule>
    <cfRule type="cellIs" dxfId="1" priority="43" operator="greaterThan">
      <formula>0</formula>
    </cfRule>
  </conditionalFormatting>
  <conditionalFormatting sqref="C87:C89">
    <cfRule type="cellIs" dxfId="0" priority="52" operator="equal">
      <formula>0</formula>
    </cfRule>
    <cfRule type="cellIs" dxfId="1" priority="51" operator="greaterThan">
      <formula>0</formula>
    </cfRule>
  </conditionalFormatting>
  <conditionalFormatting sqref="C90:C91">
    <cfRule type="cellIs" dxfId="0" priority="13" operator="equal">
      <formula>0</formula>
    </cfRule>
    <cfRule type="cellIs" dxfId="1" priority="12" operator="greaterThan">
      <formula>0</formula>
    </cfRule>
  </conditionalFormatting>
  <conditionalFormatting sqref="C92:C94">
    <cfRule type="cellIs" dxfId="0" priority="42" operator="equal">
      <formula>0</formula>
    </cfRule>
    <cfRule type="cellIs" dxfId="1" priority="41" operator="greaterThan">
      <formula>0</formula>
    </cfRule>
  </conditionalFormatting>
  <conditionalFormatting sqref="C98:C107">
    <cfRule type="cellIs" dxfId="1" priority="25" operator="lessThan">
      <formula>0</formula>
    </cfRule>
    <cfRule type="cellIs" dxfId="2" priority="24" operator="greaterThanOrEqual">
      <formula>0</formula>
    </cfRule>
  </conditionalFormatting>
  <conditionalFormatting sqref="E118:E127">
    <cfRule type="cellIs" dxfId="0" priority="23" operator="equal">
      <formula>0</formula>
    </cfRule>
    <cfRule type="cellIs" dxfId="1" priority="22" operator="greaterThan">
      <formula>0</formula>
    </cfRule>
  </conditionalFormatting>
  <conditionalFormatting sqref="E145:E154">
    <cfRule type="cellIs" dxfId="0" priority="21" operator="equal">
      <formula>0</formula>
    </cfRule>
    <cfRule type="cellIs" dxfId="1" priority="20" operator="greaterThan">
      <formula>0</formula>
    </cfRule>
  </conditionalFormatting>
  <conditionalFormatting sqref="E156:E157">
    <cfRule type="cellIs" dxfId="5" priority="3" operator="equal">
      <formula>0</formula>
    </cfRule>
  </conditionalFormatting>
  <conditionalFormatting sqref="E172:E181">
    <cfRule type="cellIs" dxfId="0" priority="19" operator="equal">
      <formula>0</formula>
    </cfRule>
    <cfRule type="cellIs" dxfId="1" priority="18" operator="greaterThan">
      <formula>0</formula>
    </cfRule>
  </conditionalFormatting>
  <conditionalFormatting sqref="C47:C55 C85 C95:C96">
    <cfRule type="cellIs" dxfId="0" priority="62" operator="equal">
      <formula>0</formula>
    </cfRule>
  </conditionalFormatting>
  <conditionalFormatting sqref="C47:C55 C85 C95:C96 E144 E155 E158:E162">
    <cfRule type="cellIs" dxfId="1" priority="61" operator="greaterThan">
      <formula>0</formula>
    </cfRule>
  </conditionalFormatting>
  <conditionalFormatting sqref="E117 E128 E131:E135">
    <cfRule type="cellIs" dxfId="0" priority="50" operator="equal">
      <formula>0</formula>
    </cfRule>
    <cfRule type="cellIs" dxfId="1" priority="49" operator="greaterThan">
      <formula>0</formula>
    </cfRule>
  </conditionalFormatting>
  <conditionalFormatting sqref="E144 E155 E158:E162">
    <cfRule type="cellIs" dxfId="2" priority="38" operator="equal">
      <formula>0</formula>
    </cfRule>
  </conditionalFormatting>
  <conditionalFormatting sqref="E171 E182 E185:E189">
    <cfRule type="cellIs" dxfId="2" priority="33" operator="equal">
      <formula>0</formula>
    </cfRule>
    <cfRule type="cellIs" dxfId="1" priority="32" operator="greaterThan">
      <formula>0</formula>
    </cfRule>
  </conditionalFormatting>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85" workbookViewId="0">
      <selection activeCell="F113" sqref="F113"/>
    </sheetView>
  </sheetViews>
  <sheetFormatPr defaultColWidth="9" defaultRowHeight="17.6"/>
  <cols>
    <col min="1" max="1" width="20.625" customWidth="1"/>
    <col min="2" max="2" width="24.625" customWidth="1"/>
    <col min="3" max="3" width="35" customWidth="1"/>
    <col min="4" max="8" width="20.625" customWidth="1"/>
    <col min="10" max="10" width="20.625" customWidth="1"/>
  </cols>
  <sheetData>
    <row r="1" ht="24.75" customHeight="1" spans="1:9">
      <c r="A1" s="1" t="str">
        <f>"Forecasts For the Year "&amp;IF(Main!B2,TEXT(EDATE(Main!B3,45),"mmmm yyyy"),TEXT(Main!B3+((Main!B5-Main!B3)*45+45),"mmmm yyyy"))&amp;" to "&amp;IF(Main!B2,TEXT(EDATE(Main!B3,48)-1,"mmmm yyyy"),TEXT(Main!B3+((Main!B5-Main!B3)*48+47),"mmmm yyyy"))</f>
        <v>Forecasts For the Year October 2028 to January 2029</v>
      </c>
      <c r="B1" s="1"/>
      <c r="C1" s="1"/>
      <c r="D1" s="1"/>
      <c r="E1" s="1"/>
      <c r="F1" s="1"/>
      <c r="G1" s="1"/>
      <c r="H1" s="41"/>
      <c r="I1" s="41"/>
    </row>
    <row r="2" ht="24.75" customHeight="1" spans="1:9">
      <c r="A2" s="2" t="s">
        <v>33</v>
      </c>
      <c r="B2" s="3" t="s">
        <v>94</v>
      </c>
      <c r="C2" s="4" cm="1">
        <f ca="1" t="array" ref="C2">INDIRECT("'"&amp;Main!B9&amp;"'!$C$16")</f>
        <v>306.32</v>
      </c>
      <c r="D2" s="4"/>
      <c r="E2" s="4"/>
      <c r="F2" s="4"/>
      <c r="G2" s="4"/>
      <c r="H2" s="41"/>
      <c r="I2" s="41"/>
    </row>
    <row r="3" ht="24.75" customHeight="1" spans="1:9">
      <c r="A3" s="5"/>
      <c r="B3" s="6" t="s">
        <v>95</v>
      </c>
      <c r="C3" s="7">
        <f ca="1">E190</f>
        <v>40174.32</v>
      </c>
      <c r="D3" s="7"/>
      <c r="E3" s="7"/>
      <c r="F3" s="7"/>
      <c r="G3" s="7"/>
      <c r="H3" s="41"/>
      <c r="I3" s="41"/>
    </row>
    <row r="4" ht="24.75" customHeight="1" spans="1:9">
      <c r="A4" s="8" t="s">
        <v>47</v>
      </c>
      <c r="B4" s="9"/>
      <c r="C4" s="10">
        <f ca="1">SUM(C2:G3)</f>
        <v>40480.64</v>
      </c>
      <c r="D4" s="10"/>
      <c r="E4" s="10"/>
      <c r="F4" s="10"/>
      <c r="G4" s="10"/>
      <c r="H4" s="14"/>
      <c r="I4" s="48"/>
    </row>
    <row r="5" ht="24.75" customHeight="1" spans="1:9">
      <c r="A5" s="11" t="s">
        <v>96</v>
      </c>
      <c r="B5" s="11"/>
      <c r="C5" s="12">
        <f ca="1">C108</f>
        <v>-333730.02</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IF(Main!B2,TEXT(EDATE(Main!B3,45),"dd mmmm yyyy"),TEXT(Main!B3+((Main!B5-Main!B3)*45+45),"dd mmmm yyyy"))&amp;" - "&amp;IF(Main!B2,TEXT(EDATE(Main!B3,46)-1,"dd mmmm yyyy"),TEXT(Main!B3+((Main!B5-Main!B3)*46+45),"dd mmmm yyyy"))&amp;" / "&amp;" (Revenue / Deferred Debts Or Expenses)"</f>
        <v>20 October 2028 - 19 November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IF(Main!B2,TEXT(EDATE(Main!B3,46),"dd mmmm yyyy"),TEXT(Main!B3+((Main!B5-Main!B3)*46+46),"dd mmmm yyyy"))&amp;" - "&amp;IF(Main!B2,TEXT(EDATE(Main!B3,47)-1,"dd mmmm yyyy"),TEXT(Main!B3+((Main!B5-Main!B3)*47+46),"dd mmmm yyyy"))&amp;" / "&amp;" (Revenue / Deferred Debts Or Expenses)"</f>
        <v>20 November 2028 - 19 December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22"/>
      <c r="C23" s="23"/>
      <c r="D23" s="24"/>
      <c r="E23" s="42"/>
      <c r="F23" s="43">
        <v>0</v>
      </c>
      <c r="G23" s="44"/>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IF(Main!B2,TEXT(EDATE(Main!B3,47),"dd mmmm yyyy"),TEXT(Main!B3+((Main!B5-Main!B3)*47+47),"dd mmmm yyyy"))&amp;" - "&amp;IF(Main!B2,TEXT(EDATE(Main!B3,48)-1,"dd mmmm yyyy"),TEXT(Main!B3+((Main!B5-Main!B3)*48+47),"dd mmmm yyyy"))&amp;" / "&amp;" (Revenue / Deferred Debts Or Expenses)"</f>
        <v>20 December 2028 - 19 January 2029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"&amp;IF(Main!B2,TEXT(EDATE(Main!B3,45),"mmmm yyyy"),TEXT(Main!B3+((Main!B5-Main!B3)*45+45),"mmmm yyyy"))&amp;" to "&amp;IF(Main!B2,TEXT(EDATE(Main!B3,48)-1,"mmmm yyyy"),TEXT(Main!B3+((Main!B5-Main!B3)*48+47),"mmmm yyyy"))</f>
        <v>Fixed Expense For the Year October 2028 to January 2029</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33" t="s">
        <v>61</v>
      </c>
      <c r="B56" s="34"/>
      <c r="C56" s="3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33" t="s">
        <v>62</v>
      </c>
      <c r="B67" s="34"/>
      <c r="C67" s="3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33" t="s">
        <v>67</v>
      </c>
      <c r="B76" s="34"/>
      <c r="C76" s="3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33" t="s">
        <v>69</v>
      </c>
      <c r="B86" s="34"/>
      <c r="C86" s="3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40.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35.2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33" t="s">
        <v>79</v>
      </c>
      <c r="B97" s="34"/>
      <c r="C97" s="3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INDIRECT("'"&amp;INDIRECT("Main!B51")&amp;"'!C98")+SUM(E118+E145+E172)</f>
        <v>-5970</v>
      </c>
      <c r="D98" s="14"/>
      <c r="E98" s="69"/>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INDIRECT("'"&amp;INDIRECT("Main!B51")&amp;"'!C99")+SUM(E119+E146+E173)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INDIRECT("'"&amp;INDIRECT("Main!B51")&amp;"'!C100")+SUM(E120+E147+E174)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INDIRECT("'"&amp;INDIRECT("Main!B51")&amp;"'!C101")+SUM(E121+E148+E175)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INDIRECT("'"&amp;INDIRECT("Main!B51")&amp;"'!C102")+SUM(E122+E149+E176)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INDIRECT("'"&amp;INDIRECT("Main!B51")&amp;"'!C103")+SUM(E123+E150+E177)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INDIRECT("'"&amp;INDIRECT("Main!B51")&amp;"'!C104")+SUM(E124+E151+E178)</f>
        <v>-527.51</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INDIRECT("'"&amp;INDIRECT("Main!B51")&amp;"'!C105")+SUM(E125+E152+E179)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INDIRECT("'"&amp;INDIRECT("Main!B51")&amp;"'!C106")+SUM(E126+E153+E180)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INDIRECT("'"&amp;INDIRECT("Main!B51")&amp;"'!C107")+SUM(E127+E154+E181)</f>
        <v>0</v>
      </c>
      <c r="D107" s="14"/>
      <c r="E107" s="14"/>
      <c r="F107" s="14"/>
      <c r="G107" s="14"/>
      <c r="H107" s="14"/>
      <c r="I107" s="48"/>
    </row>
    <row r="108" ht="24.75" customHeight="1" spans="1:9">
      <c r="A108" s="50"/>
      <c r="B108" s="40" t="s">
        <v>87</v>
      </c>
      <c r="C108" s="37">
        <f ca="1">SUM(C98:C107)</f>
        <v>-333730.02</v>
      </c>
      <c r="D108" s="14"/>
      <c r="E108" s="14"/>
      <c r="F108" s="14"/>
      <c r="G108" s="14"/>
      <c r="H108" s="14"/>
      <c r="I108" s="48"/>
    </row>
    <row r="109" ht="24.75" customHeight="1" spans="1:9">
      <c r="A109" s="50"/>
      <c r="B109" s="40" t="s">
        <v>88</v>
      </c>
      <c r="C109" s="37">
        <f ca="1">C108-C96</f>
        <v>-334069.02</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"&amp;IF(Main!B2,TEXT(EDATE(Main!B3,45),"mmmm dd yyyy"),TEXT(Main!B3+((Main!B5-Main!B3)*45+45),"mmmm dd yyyy"))&amp;" to "&amp;IF(Main!B2,TEXT(EDATE(Main!B3,46)-1,"mmmm dd yyyy"),TEXT(Main!B3+((Main!B5-Main!B3)*46+45),"mmmm dd yyyy"))</f>
        <v>Debts Or Credits For the Comming October 20 2028 to November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"&amp;IF(Main!B2,TEXT(EDATE(Main!B3,45)-1,"mmmm yyyy"),TEXT(Main!B3+((Main!B5-Main!B3)*45+44),"mmmm yyyy"))</f>
        <v>Balance Brought Forward From October 2028</v>
      </c>
      <c r="B116" s="57"/>
      <c r="C116" s="58"/>
      <c r="D116" s="58"/>
      <c r="E116" s="71" cm="1">
        <f ca="1" t="array" ref="E116">INDIRECT("'"&amp;INDIRECT("Main!B51")&amp;"'!E190")</f>
        <v>37524.32</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3" customHeight="1" spans="1:9">
      <c r="A129" s="63"/>
      <c r="B129" s="64"/>
      <c r="C129" s="73" t="s">
        <v>128</v>
      </c>
      <c r="D129" s="74"/>
      <c r="E129" s="87">
        <v>419</v>
      </c>
      <c r="F129" s="14"/>
      <c r="G129" s="14"/>
      <c r="H129" s="14"/>
      <c r="I129" s="48"/>
    </row>
    <row r="130" ht="24.7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38551.32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"&amp;IF(Main!B2,TEXT(EDATE(Main!B3,46),"mmmm dd yyyy"),TEXT(Main!B3+((Main!B5-Main!B3)*46+46),"dd mmmm yyyy"))&amp;" to "&amp;IF(Main!B2,TEXT(EDATE(Main!B3,47)-1,"mmmm dd yyyy"),TEXT(Main!B3+((Main!B5-Main!B3)*47+46),"mmmm dd yyyy"))</f>
        <v>Debts Or Credits For the Comming November 20 2028 to December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"&amp;IF(Main!B2,TEXT(EDATE(Main!B3,46)-1,"mmmm yyyy"),TEXT(Main!B3+((Main!B5-Main!B3)*46+45),"mmmm yyyy"))</f>
        <v>Balance Brought Forward From November 2028</v>
      </c>
      <c r="B143" s="57"/>
      <c r="C143" s="58"/>
      <c r="D143" s="58"/>
      <c r="E143" s="89">
        <f ca="1">E136</f>
        <v>38551.32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5" customHeight="1" spans="1:9">
      <c r="A156" s="63"/>
      <c r="B156" s="64"/>
      <c r="C156" s="73" t="s">
        <v>141</v>
      </c>
      <c r="D156" s="74"/>
      <c r="E156" s="87">
        <v>1100</v>
      </c>
      <c r="F156" s="14"/>
      <c r="G156" s="14"/>
      <c r="H156" s="14"/>
      <c r="I156" s="48"/>
    </row>
    <row r="157" ht="24.75"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39147.32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"&amp;IF(Main!B2,TEXT(EDATE(Main!B3,47),"mmmm dd yyyy"),TEXT(Main!B3+((Main!B5-Main!B3)*47+47),"mmmm dd yyyy"))&amp;" to "&amp;IF(Main!B2,TEXT(EDATE(Main!B3,48)-1,"mmmm dd yyyy"),TEXT(Main!B3+((Main!B5-Main!B3)*48+47),"mmmm dd yyyy"))</f>
        <v>Debts Or Credits For the Comming December 20 2028 to January 19 2029</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"&amp;IF(Main!B2,TEXT(EDATE(Main!B3,47)-1,"mmmm yyyy"),TEXT(Main!B3+((Main!B5-Main!B3)*47+46),"mmmm yyyy"))</f>
        <v>Balance Brought Forward From December 2028</v>
      </c>
      <c r="B170" s="57"/>
      <c r="C170" s="58"/>
      <c r="D170" s="58"/>
      <c r="E170" s="92">
        <f ca="1">E163</f>
        <v>39147.32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32" customHeight="1" spans="1:9">
      <c r="A182" s="63"/>
      <c r="B182" s="64"/>
      <c r="C182" s="67" t="s">
        <v>91</v>
      </c>
      <c r="D182" s="62"/>
      <c r="E182" s="72"/>
      <c r="F182" s="14"/>
      <c r="G182" s="14"/>
      <c r="H182" s="14"/>
      <c r="I182" s="48"/>
    </row>
    <row r="183" ht="56" customHeight="1" spans="1:9">
      <c r="A183" s="63"/>
      <c r="B183" s="64"/>
      <c r="C183" s="73" t="s">
        <v>128</v>
      </c>
      <c r="D183" s="74"/>
      <c r="E183" s="87">
        <v>419</v>
      </c>
      <c r="F183" s="14"/>
      <c r="G183" s="14"/>
      <c r="H183" s="14"/>
      <c r="I183" s="48"/>
    </row>
    <row r="184" ht="24.75"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40174.32</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69">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1" operator="equal">
      <formula>0</formula>
    </cfRule>
    <cfRule type="cellIs" dxfId="1" priority="10" operator="greaterThan">
      <formula>0</formula>
    </cfRule>
  </conditionalFormatting>
  <conditionalFormatting sqref="C75">
    <cfRule type="cellIs" dxfId="0" priority="56" operator="equal">
      <formula>0</formula>
    </cfRule>
    <cfRule type="cellIs" dxfId="1" priority="55" operator="greaterThan">
      <formula>0</formula>
    </cfRule>
  </conditionalFormatting>
  <conditionalFormatting sqref="C77">
    <cfRule type="cellIs" dxfId="0" priority="54" operator="equal">
      <formula>0</formula>
    </cfRule>
    <cfRule type="cellIs" dxfId="1" priority="53" operator="greaterThan">
      <formula>0</formula>
    </cfRule>
  </conditionalFormatting>
  <conditionalFormatting sqref="C108">
    <cfRule type="cellIs" dxfId="0" priority="9" operator="greaterThanOrEqual">
      <formula>0</formula>
    </cfRule>
    <cfRule type="cellIs" dxfId="1" priority="8" operator="lessThan">
      <formula>0</formula>
    </cfRule>
  </conditionalFormatting>
  <conditionalFormatting sqref="C109">
    <cfRule type="cellIs" dxfId="0" priority="7" operator="greaterThanOrEqual">
      <formula>0</formula>
    </cfRule>
    <cfRule type="cellIs" dxfId="1" priority="6" operator="lessThan">
      <formula>0</formula>
    </cfRule>
  </conditionalFormatting>
  <conditionalFormatting sqref="E116">
    <cfRule type="cellIs" dxfId="3" priority="17" operator="greaterThanOrEqual">
      <formula>0</formula>
    </cfRule>
    <cfRule type="cellIs" dxfId="4" priority="16" operator="lessThan">
      <formula>0</formula>
    </cfRule>
  </conditionalFormatting>
  <conditionalFormatting sqref="E136">
    <cfRule type="cellIs" dxfId="3" priority="48" operator="greaterThanOrEqual">
      <formula>0</formula>
    </cfRule>
    <cfRule type="cellIs" dxfId="4" priority="47" operator="lessThan">
      <formula>0</formula>
    </cfRule>
  </conditionalFormatting>
  <conditionalFormatting sqref="E143">
    <cfRule type="cellIs" dxfId="3" priority="35" operator="greaterThanOrEqual">
      <formula>0</formula>
    </cfRule>
    <cfRule type="cellIs" dxfId="4" priority="34"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37" operator="greaterThanOrEqual">
      <formula>0</formula>
    </cfRule>
    <cfRule type="cellIs" dxfId="4" priority="36" operator="lessThan">
      <formula>0</formula>
    </cfRule>
  </conditionalFormatting>
  <conditionalFormatting sqref="E170">
    <cfRule type="cellIs" dxfId="3" priority="29" operator="greaterThanOrEqual">
      <formula>0</formula>
    </cfRule>
    <cfRule type="cellIs" dxfId="4" priority="28" operator="lessThan">
      <formula>0</formula>
    </cfRule>
  </conditionalFormatting>
  <conditionalFormatting sqref="E190">
    <cfRule type="cellIs" dxfId="3" priority="31" operator="greaterThanOrEqual">
      <formula>0</formula>
    </cfRule>
    <cfRule type="cellIs" dxfId="4" priority="30" operator="lessThan">
      <formula>0</formula>
    </cfRule>
  </conditionalFormatting>
  <conditionalFormatting sqref="C57:C66">
    <cfRule type="cellIs" dxfId="0" priority="60" operator="equal">
      <formula>0</formula>
    </cfRule>
    <cfRule type="cellIs" dxfId="1" priority="59" operator="greaterThan">
      <formula>0</formula>
    </cfRule>
  </conditionalFormatting>
  <conditionalFormatting sqref="C68:C69">
    <cfRule type="cellIs" dxfId="0" priority="58" operator="equal">
      <formula>0</formula>
    </cfRule>
    <cfRule type="cellIs" dxfId="1" priority="57" operator="greaterThan">
      <formula>0</formula>
    </cfRule>
  </conditionalFormatting>
  <conditionalFormatting sqref="C70:C74">
    <cfRule type="cellIs" dxfId="0" priority="46" operator="equal">
      <formula>0</formula>
    </cfRule>
    <cfRule type="cellIs" dxfId="1" priority="45" operator="greaterThan">
      <formula>0</formula>
    </cfRule>
  </conditionalFormatting>
  <conditionalFormatting sqref="C78:C79">
    <cfRule type="cellIs" dxfId="0" priority="15" operator="equal">
      <formula>0</formula>
    </cfRule>
    <cfRule type="cellIs" dxfId="1" priority="14" operator="greaterThan">
      <formula>0</formula>
    </cfRule>
  </conditionalFormatting>
  <conditionalFormatting sqref="C80:C84">
    <cfRule type="cellIs" dxfId="0" priority="44" operator="equal">
      <formula>0</formula>
    </cfRule>
    <cfRule type="cellIs" dxfId="1" priority="43" operator="greaterThan">
      <formula>0</formula>
    </cfRule>
  </conditionalFormatting>
  <conditionalFormatting sqref="C87:C89">
    <cfRule type="cellIs" dxfId="0" priority="52" operator="equal">
      <formula>0</formula>
    </cfRule>
    <cfRule type="cellIs" dxfId="1" priority="51" operator="greaterThan">
      <formula>0</formula>
    </cfRule>
  </conditionalFormatting>
  <conditionalFormatting sqref="C90:C91">
    <cfRule type="cellIs" dxfId="0" priority="13" operator="equal">
      <formula>0</formula>
    </cfRule>
    <cfRule type="cellIs" dxfId="1" priority="12" operator="greaterThan">
      <formula>0</formula>
    </cfRule>
  </conditionalFormatting>
  <conditionalFormatting sqref="C92:C94">
    <cfRule type="cellIs" dxfId="0" priority="42" operator="equal">
      <formula>0</formula>
    </cfRule>
    <cfRule type="cellIs" dxfId="1" priority="41" operator="greaterThan">
      <formula>0</formula>
    </cfRule>
  </conditionalFormatting>
  <conditionalFormatting sqref="C98:C107">
    <cfRule type="cellIs" dxfId="1" priority="25" operator="lessThan">
      <formula>0</formula>
    </cfRule>
    <cfRule type="cellIs" dxfId="2" priority="24" operator="greaterThanOrEqual">
      <formula>0</formula>
    </cfRule>
  </conditionalFormatting>
  <conditionalFormatting sqref="E118:E127">
    <cfRule type="cellIs" dxfId="0" priority="23" operator="equal">
      <formula>0</formula>
    </cfRule>
    <cfRule type="cellIs" dxfId="1" priority="22" operator="greaterThan">
      <formula>0</formula>
    </cfRule>
  </conditionalFormatting>
  <conditionalFormatting sqref="E129:E130">
    <cfRule type="cellIs" dxfId="5" priority="4" operator="equal">
      <formula>0</formula>
    </cfRule>
  </conditionalFormatting>
  <conditionalFormatting sqref="E145:E154">
    <cfRule type="cellIs" dxfId="0" priority="21" operator="equal">
      <formula>0</formula>
    </cfRule>
    <cfRule type="cellIs" dxfId="1" priority="20" operator="greaterThan">
      <formula>0</formula>
    </cfRule>
  </conditionalFormatting>
  <conditionalFormatting sqref="E172:E181">
    <cfRule type="cellIs" dxfId="0" priority="19" operator="equal">
      <formula>0</formula>
    </cfRule>
    <cfRule type="cellIs" dxfId="1" priority="18" operator="greaterThan">
      <formula>0</formula>
    </cfRule>
  </conditionalFormatting>
  <conditionalFormatting sqref="E183:E184">
    <cfRule type="cellIs" dxfId="5" priority="1" operator="equal">
      <formula>0</formula>
    </cfRule>
  </conditionalFormatting>
  <conditionalFormatting sqref="C47:C55 C85 C95:C96">
    <cfRule type="cellIs" dxfId="0" priority="62" operator="equal">
      <formula>0</formula>
    </cfRule>
  </conditionalFormatting>
  <conditionalFormatting sqref="C47:C55 C85 C95:C96 E144 E155 E158:E162">
    <cfRule type="cellIs" dxfId="1" priority="61" operator="greaterThan">
      <formula>0</formula>
    </cfRule>
  </conditionalFormatting>
  <conditionalFormatting sqref="E117 E128 E131:E135">
    <cfRule type="cellIs" dxfId="0" priority="50" operator="equal">
      <formula>0</formula>
    </cfRule>
    <cfRule type="cellIs" dxfId="1" priority="49" operator="greaterThan">
      <formula>0</formula>
    </cfRule>
  </conditionalFormatting>
  <conditionalFormatting sqref="E144 E155 E158:E162">
    <cfRule type="cellIs" dxfId="2" priority="38" operator="equal">
      <formula>0</formula>
    </cfRule>
  </conditionalFormatting>
  <conditionalFormatting sqref="E171 E182 E185:E189">
    <cfRule type="cellIs" dxfId="2" priority="33" operator="equal">
      <formula>0</formula>
    </cfRule>
    <cfRule type="cellIs" dxfId="1" priority="32" operator="greaterThan">
      <formula>0</formula>
    </cfRule>
  </conditionalFormatting>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8" master="" otherUserPermission="visible"/>
  <rangeList sheetStid="3" master="" otherUserPermission="visible"/>
  <rangeList sheetStid="1" master="" otherUserPermission="visible"/>
  <rangeList sheetStid="2" master="" otherUserPermission="visible"/>
  <rangeList sheetStid="4" master="" otherUserPermission="visible"/>
  <rangeList sheetStid="5" master="" otherUserPermission="visible"/>
  <rangeList sheetStid="6" master="" otherUserPermission="visible"/>
  <rangeList sheetStid="7" master="" otherUserPermission="visible"/>
  <rangeList sheetStid="8" master="" otherUserPermission="visible"/>
  <rangeList sheetStid="9" master="" otherUserPermission="visible"/>
  <rangeList sheetStid="10" master="" otherUserPermission="visible"/>
  <rangeList sheetStid="11" master="" otherUserPermission="visible"/>
  <rangeList sheetStid="12" master="" otherUserPermission="visible"/>
  <rangeList sheetStid="13" master="" otherUserPermission="visible"/>
  <rangeList sheetStid="14" master="" otherUserPermission="visible"/>
  <rangeList sheetStid="15" master="" otherUserPermission="visible"/>
  <rangeList sheetStid="16" master="" otherUserPermission="visible"/>
  <rangeList sheetStid="17"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18</vt:i4>
      </vt:variant>
    </vt:vector>
  </HeadingPairs>
  <TitlesOfParts>
    <vt:vector size="18" baseType="lpstr">
      <vt:lpstr>Cover Page</vt:lpstr>
      <vt:lpstr>Main</vt:lpstr>
      <vt:lpstr>January 2025 - March 2025</vt:lpstr>
      <vt:lpstr>April 2025 - June 2025</vt:lpstr>
      <vt:lpstr>July 2025 - September 2025</vt:lpstr>
      <vt:lpstr>October 2025 - December 2025</vt:lpstr>
      <vt:lpstr>January 2026 - March 2026</vt:lpstr>
      <vt:lpstr>April 2026 - June 2026</vt:lpstr>
      <vt:lpstr>July 2026 - September 2026</vt:lpstr>
      <vt:lpstr>October 2026 - December 2026</vt:lpstr>
      <vt:lpstr>January 2027 - March 2027</vt:lpstr>
      <vt:lpstr>April 2027 - June 2027</vt:lpstr>
      <vt:lpstr>July 2027 - September 2027</vt:lpstr>
      <vt:lpstr>October 2027 - December 2027</vt:lpstr>
      <vt:lpstr>January 2028 - March 2028</vt:lpstr>
      <vt:lpstr>April 2028 - June 2028</vt:lpstr>
      <vt:lpstr>July 2028 - September 2028</vt:lpstr>
      <vt:lpstr>October 2028 - December 2028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 Lun Alan Tang</cp:lastModifiedBy>
  <dcterms:created xsi:type="dcterms:W3CDTF">2025-03-31T21:27:00Z</dcterms:created>
  <dcterms:modified xsi:type="dcterms:W3CDTF">2025-06-19T22:57:46Z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DBAFD8BFD032A37AC13AC567BB79F506_42</vt:lpwstr>
  </property>
  <property fmtid="{D5CDD505-2E9C-101B-9397-08002B2CF9AE}" pid="3" name="KSOProductBuildVer">
    <vt:lpwstr>1033-6.11.0.8608</vt:lpwstr>
  </property>
</Properties>
</file>