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School:work/GradSchool/Year 1/Courses/EOSC573/Project/eosc573/data/"/>
    </mc:Choice>
  </mc:AlternateContent>
  <xr:revisionPtr revIDLastSave="0" documentId="13_ncr:1_{8E2821E6-04AE-4248-9592-62E734791947}" xr6:coauthVersionLast="45" xr6:coauthVersionMax="45" xr10:uidLastSave="{00000000-0000-0000-0000-000000000000}"/>
  <bookViews>
    <workbookView xWindow="6120" yWindow="460" windowWidth="22400" windowHeight="16680" activeTab="2" xr2:uid="{0D48336A-9344-BE4D-81A2-EFF2F9B1002C}"/>
  </bookViews>
  <sheets>
    <sheet name="Species counts" sheetId="1" r:id="rId1"/>
    <sheet name="Conversion factors" sheetId="2" r:id="rId2"/>
    <sheet name="Biomass" sheetId="3" r:id="rId3"/>
    <sheet name="Size structure" sheetId="4" r:id="rId4"/>
    <sheet name="Key Table" sheetId="5" r:id="rId5"/>
    <sheet name="Diversity and Evenness" sheetId="6" r:id="rId6"/>
    <sheet name="Sheet1" sheetId="7" r:id="rId7"/>
  </sheets>
  <definedNames>
    <definedName name="_xlnm._FilterDatabase" localSheetId="0" hidden="1">'Species counts'!$AE$131:$AE$156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3" l="1"/>
  <c r="AB18" i="3"/>
  <c r="AC18" i="3"/>
  <c r="AA18" i="3"/>
  <c r="AB17" i="3"/>
  <c r="AC17" i="3"/>
  <c r="AD17" i="3"/>
  <c r="AA17" i="3"/>
  <c r="AA16" i="3"/>
  <c r="AA15" i="3"/>
  <c r="AB15" i="3"/>
  <c r="AC15" i="3"/>
  <c r="AD15" i="3"/>
  <c r="AB14" i="3"/>
  <c r="AC14" i="3"/>
  <c r="AD14" i="3"/>
  <c r="AA14" i="3"/>
  <c r="AF4" i="3"/>
  <c r="AB16" i="3"/>
  <c r="AC16" i="3"/>
  <c r="AD16" i="3"/>
  <c r="O39" i="3" l="1"/>
  <c r="N39" i="3"/>
  <c r="M39" i="3"/>
  <c r="L39" i="3"/>
  <c r="M38" i="3" l="1"/>
  <c r="L38" i="3"/>
  <c r="I25" i="2"/>
  <c r="L27" i="3"/>
  <c r="AC6" i="3"/>
  <c r="J27" i="3"/>
  <c r="AA6" i="3" s="1"/>
  <c r="K21" i="3"/>
  <c r="AB11" i="3" l="1"/>
  <c r="AD9" i="3"/>
  <c r="AD10" i="3"/>
  <c r="AD12" i="3"/>
  <c r="AC7" i="3"/>
  <c r="AA7" i="3"/>
  <c r="AB7" i="3"/>
  <c r="AJ64" i="1"/>
  <c r="AJ63" i="1"/>
  <c r="AJ71" i="1"/>
  <c r="AJ69" i="1"/>
  <c r="AJ68" i="1"/>
  <c r="AJ67" i="1"/>
  <c r="AJ66" i="1"/>
  <c r="AJ65" i="1"/>
  <c r="AH63" i="1"/>
  <c r="AR44" i="1"/>
  <c r="AP44" i="1"/>
  <c r="AO44" i="1"/>
  <c r="AR37" i="1"/>
  <c r="AR36" i="1"/>
  <c r="AR43" i="1"/>
  <c r="AR42" i="1"/>
  <c r="AR41" i="1"/>
  <c r="AR40" i="1"/>
  <c r="AR39" i="1"/>
  <c r="AR38" i="1"/>
  <c r="AP37" i="1"/>
  <c r="AO37" i="1"/>
  <c r="AO43" i="1"/>
  <c r="AO36" i="1"/>
  <c r="N38" i="3"/>
  <c r="M6" i="3"/>
  <c r="M7" i="3"/>
  <c r="M8" i="3"/>
  <c r="AD4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38" i="3" s="1"/>
  <c r="M22" i="3"/>
  <c r="M23" i="3"/>
  <c r="AD5" i="3" s="1"/>
  <c r="M24" i="3"/>
  <c r="M25" i="3"/>
  <c r="M26" i="3"/>
  <c r="AD8" i="3" s="1"/>
  <c r="M27" i="3"/>
  <c r="AD6" i="3" s="1"/>
  <c r="M28" i="3"/>
  <c r="M29" i="3"/>
  <c r="AD7" i="3" s="1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AC9" i="3" s="1"/>
  <c r="L20" i="3"/>
  <c r="AC10" i="3" s="1"/>
  <c r="L21" i="3"/>
  <c r="AC11" i="3" s="1"/>
  <c r="L22" i="3"/>
  <c r="AC5" i="3" s="1"/>
  <c r="L23" i="3"/>
  <c r="L24" i="3"/>
  <c r="L25" i="3"/>
  <c r="AC12" i="3" s="1"/>
  <c r="L26" i="3"/>
  <c r="AC8" i="3" s="1"/>
  <c r="L28" i="3"/>
  <c r="L2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AB9" i="3" s="1"/>
  <c r="K20" i="3"/>
  <c r="AB10" i="3" s="1"/>
  <c r="K22" i="3"/>
  <c r="K23" i="3"/>
  <c r="K24" i="3"/>
  <c r="K25" i="3"/>
  <c r="AB12" i="3" s="1"/>
  <c r="K26" i="3"/>
  <c r="AB8" i="3" s="1"/>
  <c r="K27" i="3"/>
  <c r="K28" i="3"/>
  <c r="K2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AA9" i="3" s="1"/>
  <c r="J20" i="3"/>
  <c r="AA10" i="3" s="1"/>
  <c r="J21" i="3"/>
  <c r="AA11" i="3" s="1"/>
  <c r="J22" i="3"/>
  <c r="J23" i="3"/>
  <c r="J24" i="3"/>
  <c r="J25" i="3"/>
  <c r="AA12" i="3" s="1"/>
  <c r="J26" i="3"/>
  <c r="AA8" i="3" s="1"/>
  <c r="J28" i="3"/>
  <c r="J29" i="3"/>
  <c r="J5" i="3"/>
  <c r="G31" i="3"/>
  <c r="I31" i="3"/>
  <c r="H31" i="3"/>
  <c r="F31" i="3"/>
  <c r="I3" i="2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/>
  <c r="I18" i="2"/>
  <c r="J18" i="2" s="1"/>
  <c r="I19" i="2"/>
  <c r="J19" i="2" s="1"/>
  <c r="I20" i="2"/>
  <c r="J20" i="2" s="1"/>
  <c r="I21" i="2"/>
  <c r="J21" i="2" s="1"/>
  <c r="I22" i="2"/>
  <c r="J22" i="2"/>
  <c r="I23" i="2"/>
  <c r="J23" i="2" s="1"/>
  <c r="I24" i="2"/>
  <c r="J24" i="2" s="1"/>
  <c r="J25" i="2"/>
  <c r="I27" i="2"/>
  <c r="J27" i="2"/>
  <c r="I28" i="2"/>
  <c r="J28" i="2" s="1"/>
  <c r="AA5" i="3" l="1"/>
  <c r="AA4" i="3"/>
  <c r="AB4" i="3"/>
  <c r="AB5" i="3"/>
  <c r="AC4" i="3"/>
  <c r="AH12" i="3" s="1"/>
  <c r="AD11" i="3"/>
  <c r="AI8" i="3" s="1"/>
  <c r="AI5" i="3"/>
  <c r="AI4" i="3"/>
  <c r="AI6" i="3"/>
  <c r="AI12" i="3"/>
  <c r="AI7" i="3"/>
  <c r="AI9" i="3"/>
  <c r="AI10" i="3"/>
  <c r="AI11" i="3"/>
  <c r="AH11" i="3"/>
  <c r="AB6" i="3"/>
  <c r="K31" i="3"/>
  <c r="Q20" i="3" s="1"/>
  <c r="AH10" i="3"/>
  <c r="AH9" i="3"/>
  <c r="AH7" i="3"/>
  <c r="AH6" i="3"/>
  <c r="AH8" i="3"/>
  <c r="AH4" i="3"/>
  <c r="AH5" i="3"/>
  <c r="L31" i="3"/>
  <c r="R13" i="3" s="1"/>
  <c r="R20" i="3"/>
  <c r="R6" i="3"/>
  <c r="R8" i="3"/>
  <c r="R24" i="3"/>
  <c r="J31" i="3"/>
  <c r="P10" i="3" s="1"/>
  <c r="M31" i="3"/>
  <c r="X143" i="1"/>
  <c r="X145" i="1" s="1"/>
  <c r="R12" i="3" l="1"/>
  <c r="AF10" i="3"/>
  <c r="AF6" i="3"/>
  <c r="AF11" i="3"/>
  <c r="AF5" i="3"/>
  <c r="R26" i="3"/>
  <c r="AG11" i="3"/>
  <c r="R10" i="3"/>
  <c r="AF7" i="3"/>
  <c r="R27" i="3"/>
  <c r="R16" i="3"/>
  <c r="AF12" i="3"/>
  <c r="R9" i="3"/>
  <c r="R5" i="3"/>
  <c r="AF8" i="3"/>
  <c r="R19" i="3"/>
  <c r="R28" i="3"/>
  <c r="AF9" i="3"/>
  <c r="R18" i="3"/>
  <c r="R7" i="3"/>
  <c r="R4" i="3"/>
  <c r="R21" i="3"/>
  <c r="R11" i="3"/>
  <c r="R23" i="3"/>
  <c r="R15" i="3"/>
  <c r="R25" i="3"/>
  <c r="R22" i="3"/>
  <c r="R17" i="3"/>
  <c r="R14" i="3"/>
  <c r="AG12" i="3"/>
  <c r="AG5" i="3"/>
  <c r="AG4" i="3"/>
  <c r="AG10" i="3"/>
  <c r="AG6" i="3"/>
  <c r="AG8" i="3"/>
  <c r="AG7" i="3"/>
  <c r="AG9" i="3"/>
  <c r="S5" i="3"/>
  <c r="S13" i="3"/>
  <c r="S21" i="3"/>
  <c r="S4" i="3"/>
  <c r="S6" i="3"/>
  <c r="S14" i="3"/>
  <c r="S22" i="3"/>
  <c r="S24" i="3"/>
  <c r="S25" i="3"/>
  <c r="S19" i="3"/>
  <c r="S7" i="3"/>
  <c r="S15" i="3"/>
  <c r="S23" i="3"/>
  <c r="S16" i="3"/>
  <c r="S17" i="3"/>
  <c r="S27" i="3"/>
  <c r="S12" i="3"/>
  <c r="S28" i="3"/>
  <c r="S8" i="3"/>
  <c r="S9" i="3"/>
  <c r="S10" i="3"/>
  <c r="S18" i="3"/>
  <c r="S26" i="3"/>
  <c r="S11" i="3"/>
  <c r="S20" i="3"/>
  <c r="P18" i="3"/>
  <c r="P26" i="3"/>
  <c r="P11" i="3"/>
  <c r="P19" i="3"/>
  <c r="P27" i="3"/>
  <c r="P13" i="3"/>
  <c r="P4" i="3"/>
  <c r="P14" i="3"/>
  <c r="P8" i="3"/>
  <c r="P16" i="3"/>
  <c r="P12" i="3"/>
  <c r="P28" i="3"/>
  <c r="P5" i="3"/>
  <c r="P21" i="3"/>
  <c r="P6" i="3"/>
  <c r="P22" i="3"/>
  <c r="P17" i="3"/>
  <c r="P7" i="3"/>
  <c r="P15" i="3"/>
  <c r="P23" i="3"/>
  <c r="P24" i="3"/>
  <c r="P9" i="3"/>
  <c r="P25" i="3"/>
  <c r="Q11" i="3"/>
  <c r="Q19" i="3"/>
  <c r="Q27" i="3"/>
  <c r="Q12" i="3"/>
  <c r="Q28" i="3"/>
  <c r="Q6" i="3"/>
  <c r="Q22" i="3"/>
  <c r="Q7" i="3"/>
  <c r="Q23" i="3"/>
  <c r="Q9" i="3"/>
  <c r="Q10" i="3"/>
  <c r="Q5" i="3"/>
  <c r="Q13" i="3"/>
  <c r="Q21" i="3"/>
  <c r="Q4" i="3"/>
  <c r="Q14" i="3"/>
  <c r="Q15" i="3"/>
  <c r="Q25" i="3"/>
  <c r="Q26" i="3"/>
  <c r="Q8" i="3"/>
  <c r="Q16" i="3"/>
  <c r="Q24" i="3"/>
  <c r="Q17" i="3"/>
  <c r="Q18" i="3"/>
  <c r="P20" i="3"/>
  <c r="Y143" i="1"/>
  <c r="Z143" i="1"/>
  <c r="AF60" i="1"/>
  <c r="AF61" i="1"/>
  <c r="AA145" i="1"/>
  <c r="AP43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Z150" i="1"/>
  <c r="Z151" i="1"/>
  <c r="Z152" i="1"/>
  <c r="Z153" i="1"/>
  <c r="Z154" i="1"/>
  <c r="Z155" i="1"/>
  <c r="Y148" i="1"/>
  <c r="Y14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18" i="1"/>
  <c r="E113" i="1"/>
  <c r="D113" i="1"/>
  <c r="Y145" i="1"/>
  <c r="Z148" i="1" s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18" i="1"/>
  <c r="G146" i="1"/>
  <c r="I146" i="1"/>
  <c r="K146" i="1"/>
  <c r="M146" i="1"/>
  <c r="O146" i="1"/>
  <c r="Q146" i="1"/>
  <c r="S146" i="1"/>
  <c r="U146" i="1"/>
  <c r="E146" i="1"/>
  <c r="C147" i="1"/>
  <c r="C146" i="1"/>
  <c r="AI63" i="1" l="1"/>
  <c r="AH61" i="1"/>
  <c r="Z149" i="1"/>
  <c r="Z147" i="1"/>
  <c r="E147" i="1"/>
  <c r="Y155" i="1"/>
  <c r="Y151" i="1"/>
  <c r="Y154" i="1"/>
  <c r="Y152" i="1"/>
  <c r="Y149" i="1"/>
  <c r="Y153" i="1"/>
  <c r="Y150" i="1"/>
  <c r="Y73" i="1"/>
  <c r="C69" i="1"/>
  <c r="AH53" i="1"/>
  <c r="AJ70" i="1" s="1"/>
  <c r="D68" i="1"/>
  <c r="E68" i="1" s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C36" i="1"/>
  <c r="C7" i="1"/>
  <c r="D7" i="1" s="1"/>
  <c r="E7" i="1" s="1"/>
  <c r="AQ8" i="1" s="1"/>
  <c r="AO41" i="1"/>
  <c r="AP41" i="1" s="1"/>
  <c r="AO42" i="1"/>
  <c r="AP42" i="1" s="1"/>
  <c r="AO40" i="1"/>
  <c r="AP40" i="1" s="1"/>
  <c r="AO39" i="1"/>
  <c r="AP39" i="1" s="1"/>
  <c r="AO38" i="1"/>
  <c r="AP38" i="1" s="1"/>
  <c r="AP3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7" i="1"/>
  <c r="AP28" i="1"/>
  <c r="AP29" i="1"/>
  <c r="AP30" i="1"/>
  <c r="AP31" i="1"/>
  <c r="AP32" i="1"/>
  <c r="AP8" i="1"/>
  <c r="AH60" i="1"/>
  <c r="AF59" i="1"/>
  <c r="AH59" i="1" s="1"/>
  <c r="Y74" i="1"/>
  <c r="Y75" i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Y107" i="1" s="1"/>
  <c r="X88" i="1"/>
  <c r="Y88" i="1" s="1"/>
  <c r="Y108" i="1" s="1"/>
  <c r="X89" i="1"/>
  <c r="Y89" i="1" s="1"/>
  <c r="Y109" i="1" s="1"/>
  <c r="X90" i="1"/>
  <c r="Y90" i="1" s="1"/>
  <c r="X91" i="1"/>
  <c r="Y91" i="1" s="1"/>
  <c r="X92" i="1"/>
  <c r="Y92" i="1" s="1"/>
  <c r="X93" i="1"/>
  <c r="Y93" i="1" s="1"/>
  <c r="Y110" i="1" s="1"/>
  <c r="X94" i="1"/>
  <c r="Y94" i="1" s="1"/>
  <c r="Y106" i="1" s="1"/>
  <c r="X95" i="1"/>
  <c r="Y95" i="1" s="1"/>
  <c r="Y104" i="1" s="1"/>
  <c r="X96" i="1"/>
  <c r="Y96" i="1" s="1"/>
  <c r="X97" i="1"/>
  <c r="Y97" i="1" s="1"/>
  <c r="Y105" i="1" s="1"/>
  <c r="X76" i="1"/>
  <c r="Y76" i="1" s="1"/>
  <c r="G147" i="1" l="1"/>
  <c r="I147" i="1" s="1"/>
  <c r="K147" i="1" s="1"/>
  <c r="M147" i="1" s="1"/>
  <c r="O147" i="1" s="1"/>
  <c r="Q147" i="1" s="1"/>
  <c r="S147" i="1" s="1"/>
  <c r="U147" i="1" s="1"/>
  <c r="AA73" i="1"/>
  <c r="AR26" i="1"/>
  <c r="AR14" i="1"/>
  <c r="AR22" i="1"/>
  <c r="AR16" i="1"/>
  <c r="AR24" i="1"/>
  <c r="AR32" i="1"/>
  <c r="AR8" i="1"/>
  <c r="AR13" i="1"/>
  <c r="AR15" i="1"/>
  <c r="AR23" i="1"/>
  <c r="AR31" i="1"/>
  <c r="AR9" i="1"/>
  <c r="AR17" i="1"/>
  <c r="AR25" i="1"/>
  <c r="AR21" i="1"/>
  <c r="AR12" i="1"/>
  <c r="AR10" i="1"/>
  <c r="AR29" i="1"/>
  <c r="AR20" i="1"/>
  <c r="AR30" i="1"/>
  <c r="AR19" i="1"/>
  <c r="AR11" i="1"/>
  <c r="AR18" i="1"/>
  <c r="AR27" i="1"/>
  <c r="AR28" i="1"/>
  <c r="D35" i="1"/>
  <c r="E35" i="1" s="1"/>
  <c r="AA78" i="1"/>
  <c r="AA86" i="1"/>
  <c r="AA94" i="1"/>
  <c r="AA87" i="1"/>
  <c r="AA79" i="1"/>
  <c r="AA80" i="1"/>
  <c r="AA96" i="1"/>
  <c r="AA81" i="1"/>
  <c r="AA89" i="1"/>
  <c r="AA97" i="1"/>
  <c r="AA82" i="1"/>
  <c r="AA90" i="1"/>
  <c r="AA75" i="1"/>
  <c r="AA83" i="1"/>
  <c r="AA91" i="1"/>
  <c r="AA76" i="1"/>
  <c r="AA84" i="1"/>
  <c r="AA92" i="1"/>
  <c r="AA85" i="1"/>
  <c r="AA93" i="1"/>
  <c r="AA95" i="1"/>
  <c r="AA88" i="1"/>
  <c r="AA74" i="1"/>
  <c r="AA77" i="1"/>
  <c r="Y102" i="1"/>
  <c r="Y103" i="1"/>
  <c r="X100" i="1"/>
  <c r="AP34" i="1"/>
  <c r="AR34" i="1" s="1"/>
  <c r="U99" i="1"/>
  <c r="S99" i="1"/>
  <c r="Q101" i="1"/>
  <c r="E99" i="1"/>
  <c r="G99" i="1"/>
  <c r="I99" i="1"/>
  <c r="K99" i="1"/>
  <c r="M99" i="1"/>
  <c r="O99" i="1"/>
  <c r="Q99" i="1"/>
  <c r="C99" i="1"/>
  <c r="C100" i="1" s="1"/>
  <c r="AO34" i="1"/>
  <c r="O62" i="1"/>
  <c r="O63" i="1" s="1"/>
  <c r="E62" i="1"/>
  <c r="G62" i="1"/>
  <c r="I62" i="1"/>
  <c r="K62" i="1"/>
  <c r="M62" i="1"/>
  <c r="Q62" i="1"/>
  <c r="S62" i="1"/>
  <c r="U62" i="1"/>
  <c r="W62" i="1"/>
  <c r="Y62" i="1"/>
  <c r="AA62" i="1"/>
  <c r="C62" i="1"/>
  <c r="C63" i="1" s="1"/>
  <c r="AC59" i="1"/>
  <c r="AC28" i="1"/>
  <c r="AC29" i="1"/>
  <c r="E30" i="1"/>
  <c r="G30" i="1"/>
  <c r="I30" i="1"/>
  <c r="K30" i="1"/>
  <c r="M30" i="1"/>
  <c r="O30" i="1"/>
  <c r="Q30" i="1"/>
  <c r="S30" i="1"/>
  <c r="U30" i="1"/>
  <c r="W30" i="1"/>
  <c r="Y30" i="1"/>
  <c r="AA30" i="1"/>
  <c r="C30" i="1"/>
  <c r="Z90" i="1" l="1"/>
  <c r="Z89" i="1"/>
  <c r="Z97" i="1"/>
  <c r="Z82" i="1"/>
  <c r="AS41" i="1"/>
  <c r="AS8" i="1"/>
  <c r="AS16" i="1"/>
  <c r="AW16" i="1" s="1"/>
  <c r="AS14" i="1"/>
  <c r="AW14" i="1" s="1"/>
  <c r="AS27" i="1"/>
  <c r="AW27" i="1" s="1"/>
  <c r="AS10" i="1"/>
  <c r="AW10" i="1" s="1"/>
  <c r="AS18" i="1"/>
  <c r="AW18" i="1" s="1"/>
  <c r="AS17" i="1"/>
  <c r="AW17" i="1" s="1"/>
  <c r="AS30" i="1"/>
  <c r="AW30" i="1" s="1"/>
  <c r="AS24" i="1"/>
  <c r="AW24" i="1" s="1"/>
  <c r="AS23" i="1"/>
  <c r="AW23" i="1" s="1"/>
  <c r="AS31" i="1"/>
  <c r="AW31" i="1" s="1"/>
  <c r="AS32" i="1"/>
  <c r="AW32" i="1" s="1"/>
  <c r="AS25" i="1"/>
  <c r="AW25" i="1" s="1"/>
  <c r="AS13" i="1"/>
  <c r="AW13" i="1" s="1"/>
  <c r="AS26" i="1"/>
  <c r="AW26" i="1" s="1"/>
  <c r="AS21" i="1"/>
  <c r="AW21" i="1" s="1"/>
  <c r="AS12" i="1"/>
  <c r="AW12" i="1" s="1"/>
  <c r="AS20" i="1"/>
  <c r="AW20" i="1" s="1"/>
  <c r="AS28" i="1"/>
  <c r="AS29" i="1"/>
  <c r="AW29" i="1" s="1"/>
  <c r="Z80" i="1"/>
  <c r="AS43" i="1"/>
  <c r="Z79" i="1"/>
  <c r="Z95" i="1"/>
  <c r="Z76" i="1"/>
  <c r="Z87" i="1"/>
  <c r="Y100" i="1"/>
  <c r="Z92" i="1"/>
  <c r="Z74" i="1"/>
  <c r="Z73" i="1"/>
  <c r="Z75" i="1"/>
  <c r="Z84" i="1"/>
  <c r="Z77" i="1"/>
  <c r="Z88" i="1"/>
  <c r="Z83" i="1"/>
  <c r="AS44" i="1"/>
  <c r="Z78" i="1"/>
  <c r="Z96" i="1"/>
  <c r="AS9" i="1"/>
  <c r="AW9" i="1" s="1"/>
  <c r="Z86" i="1"/>
  <c r="Z91" i="1"/>
  <c r="AS37" i="1"/>
  <c r="AS38" i="1"/>
  <c r="AS36" i="1"/>
  <c r="AS22" i="1"/>
  <c r="AW22" i="1" s="1"/>
  <c r="AS42" i="1"/>
  <c r="Z94" i="1"/>
  <c r="AS11" i="1"/>
  <c r="AW11" i="1" s="1"/>
  <c r="AS15" i="1"/>
  <c r="AW15" i="1" s="1"/>
  <c r="AS40" i="1"/>
  <c r="Z93" i="1"/>
  <c r="Z81" i="1"/>
  <c r="AS39" i="1"/>
  <c r="AS19" i="1"/>
  <c r="AW19" i="1" s="1"/>
  <c r="Z85" i="1"/>
  <c r="E100" i="1"/>
  <c r="G100" i="1" s="1"/>
  <c r="I100" i="1" s="1"/>
  <c r="K100" i="1" s="1"/>
  <c r="M100" i="1" s="1"/>
  <c r="O100" i="1" s="1"/>
  <c r="Q100" i="1" s="1"/>
  <c r="S100" i="1" s="1"/>
  <c r="U100" i="1" s="1"/>
  <c r="D43" i="1"/>
  <c r="D40" i="1"/>
  <c r="D39" i="1"/>
  <c r="D41" i="1"/>
  <c r="D49" i="1"/>
  <c r="D59" i="1"/>
  <c r="D42" i="1"/>
  <c r="E63" i="1"/>
  <c r="F50" i="1" s="1"/>
  <c r="D50" i="1"/>
  <c r="D60" i="1"/>
  <c r="D56" i="1"/>
  <c r="D48" i="1"/>
  <c r="D57" i="1"/>
  <c r="D47" i="1"/>
  <c r="D58" i="1"/>
  <c r="D46" i="1"/>
  <c r="D55" i="1"/>
  <c r="D45" i="1"/>
  <c r="D52" i="1"/>
  <c r="D44" i="1"/>
  <c r="D54" i="1"/>
  <c r="D53" i="1"/>
  <c r="D51" i="1"/>
  <c r="AC58" i="1"/>
  <c r="AF58" i="1" s="1"/>
  <c r="AH58" i="1" s="1"/>
  <c r="AC40" i="1"/>
  <c r="AF40" i="1" s="1"/>
  <c r="AH40" i="1" s="1"/>
  <c r="AC41" i="1"/>
  <c r="AF41" i="1" s="1"/>
  <c r="AH41" i="1" s="1"/>
  <c r="AC42" i="1"/>
  <c r="AF42" i="1" s="1"/>
  <c r="AH42" i="1" s="1"/>
  <c r="AC43" i="1"/>
  <c r="AF43" i="1" s="1"/>
  <c r="AH43" i="1" s="1"/>
  <c r="AC44" i="1"/>
  <c r="AF44" i="1" s="1"/>
  <c r="AH44" i="1" s="1"/>
  <c r="AC45" i="1"/>
  <c r="AF45" i="1" s="1"/>
  <c r="AH45" i="1" s="1"/>
  <c r="AC46" i="1"/>
  <c r="AF46" i="1" s="1"/>
  <c r="AH46" i="1" s="1"/>
  <c r="AC47" i="1"/>
  <c r="AF47" i="1" s="1"/>
  <c r="AH47" i="1" s="1"/>
  <c r="AC48" i="1"/>
  <c r="AF48" i="1" s="1"/>
  <c r="AH48" i="1" s="1"/>
  <c r="AC49" i="1"/>
  <c r="AF49" i="1" s="1"/>
  <c r="AH49" i="1" s="1"/>
  <c r="AC50" i="1"/>
  <c r="AF50" i="1" s="1"/>
  <c r="AH50" i="1" s="1"/>
  <c r="AC51" i="1"/>
  <c r="AC52" i="1"/>
  <c r="AF52" i="1" s="1"/>
  <c r="AH52" i="1" s="1"/>
  <c r="AC53" i="1"/>
  <c r="AC54" i="1"/>
  <c r="AF54" i="1" s="1"/>
  <c r="AH54" i="1" s="1"/>
  <c r="AC55" i="1"/>
  <c r="AF55" i="1" s="1"/>
  <c r="AH55" i="1" s="1"/>
  <c r="AC56" i="1"/>
  <c r="AF56" i="1" s="1"/>
  <c r="AH56" i="1" s="1"/>
  <c r="AC57" i="1"/>
  <c r="AF57" i="1" s="1"/>
  <c r="AH57" i="1" s="1"/>
  <c r="AC39" i="1"/>
  <c r="C32" i="1"/>
  <c r="F44" i="1" l="1"/>
  <c r="Z103" i="1"/>
  <c r="AA100" i="1"/>
  <c r="F51" i="1"/>
  <c r="F58" i="1"/>
  <c r="F47" i="1"/>
  <c r="AW28" i="1"/>
  <c r="AW8" i="1"/>
  <c r="AF39" i="1"/>
  <c r="AH39" i="1" s="1"/>
  <c r="AD39" i="1"/>
  <c r="Z102" i="1"/>
  <c r="AH69" i="1"/>
  <c r="AF51" i="1"/>
  <c r="AH51" i="1" s="1"/>
  <c r="Z106" i="1"/>
  <c r="Z105" i="1"/>
  <c r="Z104" i="1"/>
  <c r="Z109" i="1"/>
  <c r="Z108" i="1"/>
  <c r="Z110" i="1"/>
  <c r="Z107" i="1"/>
  <c r="AH66" i="1"/>
  <c r="AH65" i="1"/>
  <c r="AH67" i="1"/>
  <c r="AH68" i="1"/>
  <c r="F41" i="1"/>
  <c r="F56" i="1"/>
  <c r="F48" i="1"/>
  <c r="F45" i="1"/>
  <c r="F55" i="1"/>
  <c r="F52" i="1"/>
  <c r="F53" i="1"/>
  <c r="F60" i="1"/>
  <c r="F43" i="1"/>
  <c r="F39" i="1"/>
  <c r="F49" i="1"/>
  <c r="F57" i="1"/>
  <c r="F46" i="1"/>
  <c r="F59" i="1"/>
  <c r="F54" i="1"/>
  <c r="F42" i="1"/>
  <c r="F40" i="1"/>
  <c r="G63" i="1"/>
  <c r="AI56" i="1" l="1"/>
  <c r="AK56" i="1" s="1"/>
  <c r="AI39" i="1"/>
  <c r="AK39" i="1" s="1"/>
  <c r="AI45" i="1"/>
  <c r="AK45" i="1" s="1"/>
  <c r="AI49" i="1"/>
  <c r="AK49" i="1" s="1"/>
  <c r="AI42" i="1"/>
  <c r="AK42" i="1" s="1"/>
  <c r="AI57" i="1"/>
  <c r="AK57" i="1" s="1"/>
  <c r="AI40" i="1"/>
  <c r="AK40" i="1" s="1"/>
  <c r="AI47" i="1"/>
  <c r="AK47" i="1" s="1"/>
  <c r="AI51" i="1"/>
  <c r="AK51" i="1" s="1"/>
  <c r="AH71" i="1"/>
  <c r="AI53" i="1"/>
  <c r="AK53" i="1" s="1"/>
  <c r="AI60" i="1"/>
  <c r="AK60" i="1" s="1"/>
  <c r="AI59" i="1"/>
  <c r="AK59" i="1" s="1"/>
  <c r="AI52" i="1"/>
  <c r="AK52" i="1" s="1"/>
  <c r="AI48" i="1"/>
  <c r="AK48" i="1" s="1"/>
  <c r="AI55" i="1"/>
  <c r="AK55" i="1" s="1"/>
  <c r="AI43" i="1"/>
  <c r="AK43" i="1" s="1"/>
  <c r="AI50" i="1"/>
  <c r="AK50" i="1" s="1"/>
  <c r="AI46" i="1"/>
  <c r="AK46" i="1" s="1"/>
  <c r="AI41" i="1"/>
  <c r="AK41" i="1" s="1"/>
  <c r="AI54" i="1"/>
  <c r="AK54" i="1" s="1"/>
  <c r="AI58" i="1"/>
  <c r="AK58" i="1" s="1"/>
  <c r="AI44" i="1"/>
  <c r="AK44" i="1" s="1"/>
  <c r="I63" i="1"/>
  <c r="H39" i="1"/>
  <c r="H41" i="1"/>
  <c r="H45" i="1"/>
  <c r="H46" i="1"/>
  <c r="H49" i="1"/>
  <c r="H51" i="1"/>
  <c r="H53" i="1"/>
  <c r="H59" i="1"/>
  <c r="H60" i="1"/>
  <c r="H40" i="1"/>
  <c r="H56" i="1"/>
  <c r="H58" i="1"/>
  <c r="H42" i="1"/>
  <c r="H48" i="1"/>
  <c r="H52" i="1"/>
  <c r="H47" i="1"/>
  <c r="H44" i="1"/>
  <c r="H55" i="1"/>
  <c r="H43" i="1"/>
  <c r="H57" i="1"/>
  <c r="H50" i="1"/>
  <c r="H54" i="1"/>
  <c r="AI70" i="1" l="1"/>
  <c r="AI64" i="1"/>
  <c r="AI65" i="1"/>
  <c r="AI69" i="1"/>
  <c r="AI71" i="1"/>
  <c r="AI67" i="1"/>
  <c r="AI66" i="1"/>
  <c r="AI68" i="1"/>
  <c r="K63" i="1"/>
  <c r="J42" i="1"/>
  <c r="J50" i="1"/>
  <c r="J58" i="1"/>
  <c r="J43" i="1"/>
  <c r="J46" i="1"/>
  <c r="J54" i="1"/>
  <c r="J47" i="1"/>
  <c r="J55" i="1"/>
  <c r="J44" i="1"/>
  <c r="J45" i="1"/>
  <c r="J39" i="1"/>
  <c r="J40" i="1"/>
  <c r="J48" i="1"/>
  <c r="J56" i="1"/>
  <c r="J60" i="1"/>
  <c r="J53" i="1"/>
  <c r="J41" i="1"/>
  <c r="J49" i="1"/>
  <c r="J57" i="1"/>
  <c r="J51" i="1"/>
  <c r="J59" i="1"/>
  <c r="J52" i="1"/>
  <c r="AC27" i="1"/>
  <c r="AF27" i="1" s="1"/>
  <c r="AC26" i="1"/>
  <c r="AF26" i="1" s="1"/>
  <c r="AC25" i="1"/>
  <c r="AF25" i="1" s="1"/>
  <c r="AC24" i="1"/>
  <c r="AF24" i="1" s="1"/>
  <c r="AC23" i="1"/>
  <c r="AF23" i="1" s="1"/>
  <c r="AC22" i="1"/>
  <c r="AF22" i="1" s="1"/>
  <c r="AC20" i="1"/>
  <c r="AF20" i="1" s="1"/>
  <c r="AC19" i="1"/>
  <c r="AF19" i="1" s="1"/>
  <c r="AC18" i="1"/>
  <c r="AF18" i="1" s="1"/>
  <c r="AC17" i="1"/>
  <c r="AF17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C31" i="1"/>
  <c r="AF33" i="1" l="1"/>
  <c r="M63" i="1"/>
  <c r="L40" i="1"/>
  <c r="L48" i="1"/>
  <c r="L56" i="1"/>
  <c r="L43" i="1"/>
  <c r="L44" i="1"/>
  <c r="L52" i="1"/>
  <c r="L60" i="1"/>
  <c r="L53" i="1"/>
  <c r="L39" i="1"/>
  <c r="L45" i="1"/>
  <c r="L46" i="1"/>
  <c r="L54" i="1"/>
  <c r="L51" i="1"/>
  <c r="L47" i="1"/>
  <c r="L55" i="1"/>
  <c r="L41" i="1"/>
  <c r="L49" i="1"/>
  <c r="L57" i="1"/>
  <c r="L42" i="1"/>
  <c r="L50" i="1"/>
  <c r="L58" i="1"/>
  <c r="L59" i="1"/>
  <c r="D27" i="1"/>
  <c r="D29" i="1"/>
  <c r="D28" i="1"/>
  <c r="D9" i="1"/>
  <c r="AD59" i="1"/>
  <c r="D14" i="1"/>
  <c r="D13" i="1"/>
  <c r="D24" i="1"/>
  <c r="D12" i="1"/>
  <c r="D11" i="1"/>
  <c r="D18" i="1"/>
  <c r="D10" i="1"/>
  <c r="D20" i="1"/>
  <c r="D19" i="1"/>
  <c r="D25" i="1"/>
  <c r="D17" i="1"/>
  <c r="D16" i="1"/>
  <c r="D23" i="1"/>
  <c r="D15" i="1"/>
  <c r="D26" i="1"/>
  <c r="D22" i="1"/>
  <c r="E31" i="1"/>
  <c r="F17" i="1" l="1"/>
  <c r="F28" i="1"/>
  <c r="F29" i="1"/>
  <c r="F9" i="1"/>
  <c r="G31" i="1" s="1"/>
  <c r="H28" i="1" s="1"/>
  <c r="AD44" i="1"/>
  <c r="AD52" i="1"/>
  <c r="AD54" i="1"/>
  <c r="AD47" i="1"/>
  <c r="AD45" i="1"/>
  <c r="AD53" i="1"/>
  <c r="AD46" i="1"/>
  <c r="AD55" i="1"/>
  <c r="AD40" i="1"/>
  <c r="AD48" i="1"/>
  <c r="AD49" i="1"/>
  <c r="AD57" i="1"/>
  <c r="AD42" i="1"/>
  <c r="AD51" i="1"/>
  <c r="AD56" i="1"/>
  <c r="AD41" i="1"/>
  <c r="AD50" i="1"/>
  <c r="AD43" i="1"/>
  <c r="AD58" i="1"/>
  <c r="F26" i="1"/>
  <c r="F27" i="1"/>
  <c r="F15" i="1"/>
  <c r="F23" i="1"/>
  <c r="F16" i="1"/>
  <c r="F24" i="1"/>
  <c r="F25" i="1"/>
  <c r="F22" i="1"/>
  <c r="F10" i="1"/>
  <c r="F18" i="1"/>
  <c r="F20" i="1"/>
  <c r="F14" i="1"/>
  <c r="F11" i="1"/>
  <c r="F19" i="1"/>
  <c r="F12" i="1"/>
  <c r="F13" i="1"/>
  <c r="H15" i="1" l="1"/>
  <c r="H27" i="1"/>
  <c r="H22" i="1"/>
  <c r="H24" i="1"/>
  <c r="H16" i="1"/>
  <c r="H23" i="1"/>
  <c r="H9" i="1"/>
  <c r="H13" i="1"/>
  <c r="H26" i="1"/>
  <c r="I31" i="1"/>
  <c r="J27" i="1" s="1"/>
  <c r="H14" i="1"/>
  <c r="H20" i="1"/>
  <c r="H10" i="1"/>
  <c r="H29" i="1"/>
  <c r="H17" i="1"/>
  <c r="H19" i="1"/>
  <c r="H11" i="1"/>
  <c r="H18" i="1"/>
  <c r="H12" i="1"/>
  <c r="H25" i="1"/>
  <c r="J17" i="1"/>
  <c r="J26" i="1" l="1"/>
  <c r="J24" i="1"/>
  <c r="J11" i="1"/>
  <c r="J19" i="1"/>
  <c r="J25" i="1"/>
  <c r="J23" i="1"/>
  <c r="J18" i="1"/>
  <c r="J12" i="1"/>
  <c r="J14" i="1"/>
  <c r="J20" i="1"/>
  <c r="J15" i="1"/>
  <c r="J9" i="1"/>
  <c r="K31" i="1"/>
  <c r="L16" i="1" s="1"/>
  <c r="J22" i="1"/>
  <c r="J10" i="1"/>
  <c r="J13" i="1"/>
  <c r="J16" i="1"/>
  <c r="L11" i="1" l="1"/>
  <c r="L18" i="1"/>
  <c r="L20" i="1"/>
  <c r="L10" i="1"/>
  <c r="L26" i="1"/>
  <c r="L12" i="1"/>
  <c r="L17" i="1"/>
  <c r="L15" i="1"/>
  <c r="L9" i="1"/>
  <c r="L23" i="1"/>
  <c r="L22" i="1"/>
  <c r="M31" i="1"/>
  <c r="O31" i="1" s="1"/>
  <c r="P20" i="1" s="1"/>
  <c r="L24" i="1"/>
  <c r="L27" i="1"/>
  <c r="L19" i="1"/>
  <c r="L14" i="1"/>
  <c r="L25" i="1"/>
  <c r="L13" i="1"/>
  <c r="N18" i="1" l="1"/>
  <c r="N22" i="1"/>
  <c r="P23" i="1"/>
  <c r="N20" i="1"/>
  <c r="P10" i="1"/>
  <c r="N25" i="1"/>
  <c r="N17" i="1"/>
  <c r="N16" i="1"/>
  <c r="N23" i="1"/>
  <c r="N11" i="1"/>
  <c r="P27" i="1"/>
  <c r="P17" i="1"/>
  <c r="P11" i="1"/>
  <c r="N27" i="1"/>
  <c r="N19" i="1"/>
  <c r="N15" i="1"/>
  <c r="N14" i="1"/>
  <c r="N10" i="1"/>
  <c r="P21" i="1"/>
  <c r="P12" i="1"/>
  <c r="N12" i="1"/>
  <c r="P25" i="1"/>
  <c r="P13" i="1"/>
  <c r="P24" i="1"/>
  <c r="N26" i="1"/>
  <c r="N13" i="1"/>
  <c r="P22" i="1"/>
  <c r="P26" i="1"/>
  <c r="P16" i="1"/>
  <c r="Q31" i="1"/>
  <c r="S31" i="1" s="1"/>
  <c r="U31" i="1" s="1"/>
  <c r="P9" i="1"/>
  <c r="P15" i="1"/>
  <c r="N24" i="1"/>
  <c r="N9" i="1"/>
  <c r="P14" i="1"/>
  <c r="P18" i="1"/>
  <c r="P19" i="1"/>
  <c r="R21" i="1" l="1"/>
  <c r="R14" i="1"/>
  <c r="R9" i="1"/>
  <c r="R15" i="1"/>
  <c r="R16" i="1"/>
  <c r="R20" i="1"/>
  <c r="R23" i="1"/>
  <c r="R10" i="1"/>
  <c r="R11" i="1"/>
  <c r="R17" i="1"/>
  <c r="R12" i="1"/>
  <c r="R18" i="1"/>
  <c r="R24" i="1"/>
  <c r="R26" i="1"/>
  <c r="R19" i="1"/>
  <c r="R25" i="1"/>
  <c r="R13" i="1"/>
  <c r="R22" i="1"/>
  <c r="R27" i="1"/>
  <c r="T11" i="1"/>
  <c r="T14" i="1"/>
  <c r="T26" i="1"/>
  <c r="T16" i="1"/>
  <c r="T13" i="1"/>
  <c r="T21" i="1"/>
  <c r="T18" i="1"/>
  <c r="T19" i="1"/>
  <c r="T22" i="1"/>
  <c r="T20" i="1"/>
  <c r="T25" i="1"/>
  <c r="T10" i="1"/>
  <c r="T23" i="1"/>
  <c r="T9" i="1"/>
  <c r="T12" i="1"/>
  <c r="T15" i="1"/>
  <c r="T27" i="1"/>
  <c r="T24" i="1"/>
  <c r="T17" i="1"/>
  <c r="V9" i="1" l="1"/>
  <c r="V27" i="1"/>
  <c r="V14" i="1"/>
  <c r="V12" i="1"/>
  <c r="V15" i="1"/>
  <c r="V25" i="1"/>
  <c r="V22" i="1"/>
  <c r="V17" i="1"/>
  <c r="V20" i="1"/>
  <c r="V10" i="1"/>
  <c r="V18" i="1"/>
  <c r="V24" i="1"/>
  <c r="V16" i="1"/>
  <c r="V19" i="1"/>
  <c r="V26" i="1"/>
  <c r="V13" i="1"/>
  <c r="W31" i="1"/>
  <c r="V11" i="1"/>
  <c r="V21" i="1"/>
  <c r="V23" i="1"/>
  <c r="X9" i="1" l="1"/>
  <c r="X13" i="1"/>
  <c r="X17" i="1"/>
  <c r="X11" i="1"/>
  <c r="X10" i="1"/>
  <c r="X14" i="1"/>
  <c r="X25" i="1"/>
  <c r="X22" i="1"/>
  <c r="X15" i="1"/>
  <c r="X26" i="1"/>
  <c r="X18" i="1"/>
  <c r="X19" i="1"/>
  <c r="X21" i="1"/>
  <c r="Y31" i="1"/>
  <c r="X27" i="1"/>
  <c r="X23" i="1"/>
  <c r="X12" i="1"/>
  <c r="X16" i="1"/>
  <c r="X20" i="1"/>
  <c r="X24" i="1"/>
  <c r="Z12" i="1" l="1"/>
  <c r="Z20" i="1"/>
  <c r="Z9" i="1"/>
  <c r="Z14" i="1"/>
  <c r="Z22" i="1"/>
  <c r="Z23" i="1"/>
  <c r="Z19" i="1"/>
  <c r="Z13" i="1"/>
  <c r="Z21" i="1"/>
  <c r="Z25" i="1"/>
  <c r="Z27" i="1"/>
  <c r="Z17" i="1"/>
  <c r="Z15" i="1"/>
  <c r="Z16" i="1"/>
  <c r="Z24" i="1"/>
  <c r="Z11" i="1"/>
  <c r="Z10" i="1"/>
  <c r="Z18" i="1"/>
  <c r="Z26" i="1"/>
  <c r="AA31" i="1"/>
  <c r="AD28" i="1" l="1"/>
  <c r="AD29" i="1"/>
  <c r="AB9" i="1"/>
  <c r="AD17" i="1"/>
  <c r="AD21" i="1"/>
  <c r="AD25" i="1"/>
  <c r="AB16" i="1"/>
  <c r="AB20" i="1"/>
  <c r="AB22" i="1"/>
  <c r="AB13" i="1"/>
  <c r="AB15" i="1"/>
  <c r="AB12" i="1"/>
  <c r="AD26" i="1"/>
  <c r="AB17" i="1"/>
  <c r="AD13" i="1"/>
  <c r="AD9" i="1"/>
  <c r="AB23" i="1"/>
  <c r="AB27" i="1"/>
  <c r="AB19" i="1"/>
  <c r="AD22" i="1"/>
  <c r="AD20" i="1"/>
  <c r="AB10" i="1"/>
  <c r="AD23" i="1"/>
  <c r="AD14" i="1"/>
  <c r="AD12" i="1"/>
  <c r="AD27" i="1"/>
  <c r="AD18" i="1"/>
  <c r="AB14" i="1"/>
  <c r="AB11" i="1"/>
  <c r="AD24" i="1"/>
  <c r="AD15" i="1"/>
  <c r="AD19" i="1"/>
  <c r="AD10" i="1"/>
  <c r="AB24" i="1"/>
  <c r="AB26" i="1"/>
  <c r="AD16" i="1"/>
  <c r="AD11" i="1"/>
  <c r="AB25" i="1"/>
  <c r="AB21" i="1"/>
  <c r="AB18" i="1"/>
</calcChain>
</file>

<file path=xl/sharedStrings.xml><?xml version="1.0" encoding="utf-8"?>
<sst xmlns="http://schemas.openxmlformats.org/spreadsheetml/2006/main" count="972" uniqueCount="283">
  <si>
    <t>Zoplankton data sheet</t>
  </si>
  <si>
    <t>RARE SPECIES (1/1)</t>
  </si>
  <si>
    <t>D1 - ZOOP 5</t>
  </si>
  <si>
    <t>D2 - ZOOP EXTRA</t>
  </si>
  <si>
    <t>N1 - Dock 2C</t>
  </si>
  <si>
    <t>Themisto pacifica</t>
  </si>
  <si>
    <t>Primno abyssalis</t>
  </si>
  <si>
    <t>Cyphocaris challengerii</t>
  </si>
  <si>
    <t>Total individuals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</si>
  <si>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</si>
  <si>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</si>
  <si>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</si>
  <si>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</si>
  <si>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</si>
  <si>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</si>
  <si>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</si>
  <si>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</si>
  <si>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</si>
  <si>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</si>
  <si>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</si>
  <si>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</si>
  <si>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Calanus pacificus</t>
  </si>
  <si>
    <t>Eucalanus bungii</t>
  </si>
  <si>
    <t>Calanus marshallae</t>
  </si>
  <si>
    <t>Metridia pacifica</t>
  </si>
  <si>
    <t xml:space="preserve">Pseudocalanus cf. minutus </t>
  </si>
  <si>
    <t>Euphausia pacifica</t>
  </si>
  <si>
    <t>Copepod nauplius</t>
  </si>
  <si>
    <t>Decapod larva</t>
  </si>
  <si>
    <t>P13</t>
  </si>
  <si>
    <t>% P1</t>
  </si>
  <si>
    <t>% P3</t>
  </si>
  <si>
    <t>% P4</t>
  </si>
  <si>
    <t>% P5</t>
  </si>
  <si>
    <t>% P6</t>
  </si>
  <si>
    <t>% P7</t>
  </si>
  <si>
    <t>% P8</t>
  </si>
  <si>
    <t>% P9</t>
  </si>
  <si>
    <t>% P10</t>
  </si>
  <si>
    <t>% P11</t>
  </si>
  <si>
    <t>% P12</t>
  </si>
  <si>
    <t>% P13</t>
  </si>
  <si>
    <t>Sample Individuals</t>
  </si>
  <si>
    <t>Oithona similis</t>
  </si>
  <si>
    <t>Paraeuchaeta elongata</t>
  </si>
  <si>
    <t>Ctenocalanus vanus</t>
  </si>
  <si>
    <t>Neocalanus plumchrus</t>
  </si>
  <si>
    <t>Paracalanus parvus</t>
  </si>
  <si>
    <t>% at P2</t>
  </si>
  <si>
    <t>Ostracoda</t>
  </si>
  <si>
    <t>Barnacle larvae</t>
  </si>
  <si>
    <r>
      <t>D1 (120m) - 1/</t>
    </r>
    <r>
      <rPr>
        <b/>
        <u/>
        <sz val="16"/>
        <color theme="1"/>
        <rFont val="Calibri (Body)"/>
      </rPr>
      <t>16</t>
    </r>
    <r>
      <rPr>
        <b/>
        <u/>
        <sz val="16"/>
        <color theme="1"/>
        <rFont val="Calibri"/>
        <family val="2"/>
        <scheme val="minor"/>
      </rPr>
      <t xml:space="preserve"> sample</t>
    </r>
  </si>
  <si>
    <t>Unknown</t>
  </si>
  <si>
    <t>Parasagitta elegans</t>
  </si>
  <si>
    <t>Total #</t>
  </si>
  <si>
    <t>Proportion</t>
  </si>
  <si>
    <t>Name</t>
  </si>
  <si>
    <t>W = aL^b</t>
  </si>
  <si>
    <t>Where W is dry weight, L is length, and a&amp;b are constants</t>
  </si>
  <si>
    <t>Abundance (whole sample)</t>
  </si>
  <si>
    <t>Density (whole sample)</t>
  </si>
  <si>
    <t>Volume filtered</t>
  </si>
  <si>
    <t>Relative abundance</t>
  </si>
  <si>
    <t>Amphipods</t>
  </si>
  <si>
    <t>Decapods</t>
  </si>
  <si>
    <t>Oikopleuria</t>
  </si>
  <si>
    <t>Copepods</t>
  </si>
  <si>
    <t># species</t>
  </si>
  <si>
    <t>Euphausia pacifica - 3 in 1/4 sample</t>
  </si>
  <si>
    <t>Cirripedia larvae</t>
  </si>
  <si>
    <t>Othiona similis</t>
  </si>
  <si>
    <t>Gatropoda</t>
  </si>
  <si>
    <t>Okiopleuria</t>
  </si>
  <si>
    <t>Fish Egg or Larva</t>
  </si>
  <si>
    <t>Gastropoda</t>
  </si>
  <si>
    <t>Microcalanus</t>
  </si>
  <si>
    <t>Acartia sp.</t>
  </si>
  <si>
    <t>Fish egg or larvae</t>
  </si>
  <si>
    <t>Cyphocaris challengeri</t>
  </si>
  <si>
    <t>*</t>
  </si>
  <si>
    <t>COUNT</t>
  </si>
  <si>
    <t xml:space="preserve"> ---&gt;</t>
  </si>
  <si>
    <t>SECOND</t>
  </si>
  <si>
    <t>and 1 Hyperiid in 1/3 of 1/16</t>
  </si>
  <si>
    <t>SECOND COUNT D1</t>
  </si>
  <si>
    <t>SAMPLE 1/16</t>
  </si>
  <si>
    <t>TOTAL</t>
  </si>
  <si>
    <t xml:space="preserve">Sample individuals </t>
  </si>
  <si>
    <t>SR (30m)  1/16 of sample</t>
  </si>
  <si>
    <t>Total</t>
  </si>
  <si>
    <t>% comp</t>
  </si>
  <si>
    <t>total (whole sample)</t>
  </si>
  <si>
    <t>Whole sample</t>
  </si>
  <si>
    <t>Cirripedians</t>
  </si>
  <si>
    <t>Gastropods</t>
  </si>
  <si>
    <t>Appendicularia</t>
  </si>
  <si>
    <t>Malacostraca</t>
  </si>
  <si>
    <t>Relative abundance (%)</t>
  </si>
  <si>
    <t>Fish</t>
  </si>
  <si>
    <t>Abundance</t>
  </si>
  <si>
    <t>Abundance sorted</t>
  </si>
  <si>
    <t>vbovb</t>
  </si>
  <si>
    <t>kjvb</t>
  </si>
  <si>
    <t>flow:</t>
  </si>
  <si>
    <t>Flow</t>
  </si>
  <si>
    <t>flow</t>
  </si>
  <si>
    <t>m^3</t>
  </si>
  <si>
    <t>Density (ind/m^3)</t>
  </si>
  <si>
    <t>Density (idv/m^3)</t>
  </si>
  <si>
    <t>D1</t>
  </si>
  <si>
    <t>N1</t>
  </si>
  <si>
    <t>SR</t>
  </si>
  <si>
    <t>Average Density</t>
  </si>
  <si>
    <t>Cirripedia</t>
  </si>
  <si>
    <t xml:space="preserve">Paracalanus/Clausocalanus </t>
  </si>
  <si>
    <t>Gammarid</t>
  </si>
  <si>
    <t>D2 (60m)  1/8x1/2 of sample</t>
  </si>
  <si>
    <t>Eggs</t>
  </si>
  <si>
    <t>D2</t>
  </si>
  <si>
    <t>Euphasiids</t>
  </si>
  <si>
    <t>N1 (30m) 1/3 of 1/16 of SAMPLE</t>
  </si>
  <si>
    <t>khv</t>
  </si>
  <si>
    <t>Corycaeus sp.</t>
  </si>
  <si>
    <t>Lindley 1998</t>
  </si>
  <si>
    <t>From Muxagata &amp; Williams 2011</t>
  </si>
  <si>
    <t>Use same as barnacle larvae</t>
  </si>
  <si>
    <t>mm</t>
  </si>
  <si>
    <t>Paracalanus/Clausocalanus </t>
  </si>
  <si>
    <t>Pseudocalanus cf. minutus </t>
  </si>
  <si>
    <t>Acartia spp.</t>
  </si>
  <si>
    <t>logDW = BlogPL + loga</t>
  </si>
  <si>
    <t>W = αL^β</t>
  </si>
  <si>
    <t>ugC/ind</t>
  </si>
  <si>
    <t>DW/ind (ug DW)</t>
  </si>
  <si>
    <t>Mean PL or TL (um)</t>
  </si>
  <si>
    <t>carbon dw conversion factor</t>
  </si>
  <si>
    <t>Log/ln alpha</t>
  </si>
  <si>
    <t>beta</t>
  </si>
  <si>
    <t>Uye  1982</t>
  </si>
  <si>
    <t xml:space="preserve">Ueda et al. 2008, Chisholm &amp; Roff 1990, 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</si>
  <si>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</si>
  <si>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D1 density</t>
  </si>
  <si>
    <t>D2 density</t>
  </si>
  <si>
    <t>N1 density</t>
  </si>
  <si>
    <t>SR density</t>
  </si>
  <si>
    <t>Carbon conversions</t>
  </si>
  <si>
    <t>DW conversions</t>
  </si>
  <si>
    <t>Biomass table</t>
  </si>
  <si>
    <t>1x1.5</t>
  </si>
  <si>
    <t>unidentified gammarid</t>
  </si>
  <si>
    <t>2x0.7</t>
  </si>
  <si>
    <t>3x1</t>
  </si>
  <si>
    <t>5x1</t>
  </si>
  <si>
    <t>1 x 1</t>
  </si>
  <si>
    <t>lots of "small" metridia</t>
  </si>
  <si>
    <t>1-2 mostly with exceptions at 3</t>
  </si>
  <si>
    <t>small small</t>
  </si>
  <si>
    <t>Themisto</t>
  </si>
  <si>
    <t>5, 7, 5, 13</t>
  </si>
  <si>
    <t>w</t>
  </si>
  <si>
    <t>l</t>
  </si>
  <si>
    <t>samll small</t>
  </si>
  <si>
    <t>1.5,2</t>
  </si>
  <si>
    <t>6,6,2,2,5,2,4</t>
  </si>
  <si>
    <t>Cyphocaris</t>
  </si>
  <si>
    <t>beeger</t>
  </si>
  <si>
    <t>Lengths in mm</t>
  </si>
  <si>
    <t>Size structure information</t>
  </si>
  <si>
    <t>Often with short A1, not always</t>
  </si>
  <si>
    <t>Bent gonadal segment</t>
  </si>
  <si>
    <t>Spines on P2-P4</t>
  </si>
  <si>
    <t>Head and eyespot re characteristic. Often has long setae.</t>
  </si>
  <si>
    <t>Cuticular lenses are distinctive, large gonadal segment</t>
  </si>
  <si>
    <t>Beak-like rostrum is characteristic.</t>
  </si>
  <si>
    <t>Additional identifiers</t>
  </si>
  <si>
    <t>0.7-0.9mm</t>
  </si>
  <si>
    <t>0.7-1.8mm</t>
  </si>
  <si>
    <t>0.8-2.0mm</t>
  </si>
  <si>
    <t>1.0-1.4mm</t>
  </si>
  <si>
    <t>1-1.3mm</t>
  </si>
  <si>
    <t>1.0-1.5mm</t>
  </si>
  <si>
    <t>0.7-1.2mm</t>
  </si>
  <si>
    <t>Total length range</t>
  </si>
  <si>
    <t>2 filaments</t>
  </si>
  <si>
    <t>2 filaments or spines</t>
  </si>
  <si>
    <t>2 thin filaments</t>
  </si>
  <si>
    <t>2 thin filaments or none</t>
  </si>
  <si>
    <t>Small point</t>
  </si>
  <si>
    <t>Pointed</t>
  </si>
  <si>
    <t>Rostrum</t>
  </si>
  <si>
    <t>Four</t>
  </si>
  <si>
    <t>Three</t>
  </si>
  <si>
    <t>Five</t>
  </si>
  <si>
    <t># urosomal segments</t>
  </si>
  <si>
    <t>Uniramus</t>
  </si>
  <si>
    <t>Uniramus on one side</t>
  </si>
  <si>
    <t>On gngst</t>
  </si>
  <si>
    <t>PR uni or biramus</t>
  </si>
  <si>
    <t>No</t>
  </si>
  <si>
    <t>Yes</t>
  </si>
  <si>
    <t>P5 presence</t>
  </si>
  <si>
    <t>Small and round</t>
  </si>
  <si>
    <t>Round</t>
  </si>
  <si>
    <t>Spines, can be rounded</t>
  </si>
  <si>
    <t>Small rounded</t>
  </si>
  <si>
    <t>Posterio-lateral corners</t>
  </si>
  <si>
    <t>Blunted</t>
  </si>
  <si>
    <t>Blunted, 2 cuticular lenses</t>
  </si>
  <si>
    <t>Rounded</t>
  </si>
  <si>
    <t>Head shape</t>
  </si>
  <si>
    <t>Small copepods (&lt;2mm)</t>
  </si>
  <si>
    <t>Adapted from Gardner &amp; Szabdo + infosheets provided by Brian Hunt</t>
  </si>
  <si>
    <t>p5 denticulate</t>
  </si>
  <si>
    <t>p5 not denticulate</t>
  </si>
  <si>
    <t>Distinctive rounded head + long tail</t>
  </si>
  <si>
    <t>Very distinctive head shape</t>
  </si>
  <si>
    <t>5 pairs of biramus legs</t>
  </si>
  <si>
    <t>Long setae, egg sacks, distinctive colouring</t>
  </si>
  <si>
    <t>2.5mm-3.0mm</t>
  </si>
  <si>
    <t>2.0mm-2.7mm</t>
  </si>
  <si>
    <t>2-4mm</t>
  </si>
  <si>
    <t>5-7mm</t>
  </si>
  <si>
    <t>4-5mm</t>
  </si>
  <si>
    <t>6-9mm</t>
  </si>
  <si>
    <t>Total length</t>
  </si>
  <si>
    <t>Single</t>
  </si>
  <si>
    <t>Bi</t>
  </si>
  <si>
    <t>Biramus</t>
  </si>
  <si>
    <t>Angular or knobbed</t>
  </si>
  <si>
    <t>Rounded, large</t>
  </si>
  <si>
    <t>Triangle</t>
  </si>
  <si>
    <t>Medium-large copepods (&gt;2mm)</t>
  </si>
  <si>
    <t>Keys Table</t>
  </si>
  <si>
    <t>SR mgC/m^3</t>
  </si>
  <si>
    <t>N1 mgC/m^3</t>
  </si>
  <si>
    <t>D2 mgC/m^3</t>
  </si>
  <si>
    <t>D1 mgC/m^3</t>
  </si>
  <si>
    <t>% cont to biomass</t>
  </si>
  <si>
    <t>biomass</t>
  </si>
  <si>
    <t>density</t>
  </si>
  <si>
    <t>Biomass w euphausiids</t>
  </si>
  <si>
    <t>Biomass w/o euphausiids</t>
  </si>
  <si>
    <t>Euphasia</t>
  </si>
  <si>
    <t>biomass % comp</t>
  </si>
  <si>
    <t>0.0419052940354798/2</t>
  </si>
  <si>
    <t>0-0.5mm</t>
  </si>
  <si>
    <t>Proportion of each group in size classes</t>
  </si>
  <si>
    <t>6mm</t>
  </si>
  <si>
    <t>4.5mm</t>
  </si>
  <si>
    <t>3mm</t>
  </si>
  <si>
    <t>0.8mm</t>
  </si>
  <si>
    <t>1.2mm</t>
  </si>
  <si>
    <t>2.8mm</t>
  </si>
  <si>
    <t>2.4mm</t>
  </si>
  <si>
    <t>1.1mm</t>
  </si>
  <si>
    <t>0.6mm</t>
  </si>
  <si>
    <t>7mm</t>
  </si>
  <si>
    <t>0.9mm</t>
  </si>
  <si>
    <t>12mm</t>
  </si>
  <si>
    <t>5mm</t>
  </si>
  <si>
    <t>0.25mm</t>
  </si>
  <si>
    <t>0.5mm</t>
  </si>
  <si>
    <t>0.7mm</t>
  </si>
  <si>
    <t>1.0mm</t>
  </si>
  <si>
    <t>0.51-1.0mm</t>
  </si>
  <si>
    <t>1.01-1.5mm</t>
  </si>
  <si>
    <t>0.20mm</t>
  </si>
  <si>
    <t>1.51-3mm</t>
  </si>
  <si>
    <t>3.1mm</t>
  </si>
  <si>
    <t>&gt;3mm</t>
  </si>
  <si>
    <t>Euphausiacea</t>
  </si>
  <si>
    <t>Larvacea</t>
  </si>
  <si>
    <t>Decapoda</t>
  </si>
  <si>
    <t>Copepoda</t>
  </si>
  <si>
    <t>Amphipoda</t>
  </si>
  <si>
    <t>Order</t>
  </si>
  <si>
    <t>Shannon-Weaver Diversity Index</t>
  </si>
  <si>
    <t>Pielou's eveness</t>
  </si>
  <si>
    <t>Biovolume</t>
  </si>
  <si>
    <t>Microcalanus sp.</t>
  </si>
  <si>
    <t>Paracalanus/Clausocalanus</t>
  </si>
  <si>
    <t>Aerial biomass (mgC/m^2)</t>
  </si>
  <si>
    <t>Proportion of biomass in size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</si>
</sst>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u/>
      <sz val="11"/>
      <color theme="1"/>
      <name val="Lucida Grande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0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6" fillId="3" borderId="0" xfId="0" applyFont="1" applyFill="1"/>
    <xf numFmtId="16" fontId="1" fillId="0" borderId="0" xfId="0" applyNumberFormat="1" applyFont="1" applyFill="1"/>
    <xf numFmtId="2" fontId="0" fillId="0" borderId="0" xfId="0" applyNumberFormat="1"/>
    <xf numFmtId="164" fontId="0" fillId="0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 applyFill="1"/>
    <xf numFmtId="2" fontId="5" fillId="0" borderId="0" xfId="0" applyNumberFormat="1" applyFont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3" fillId="0" borderId="1" xfId="0" applyFont="1" applyBorder="1"/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8" fillId="8" borderId="0" xfId="0" applyFont="1" applyFill="1"/>
    <xf numFmtId="0" fontId="0" fillId="8" borderId="0" xfId="0" applyFill="1"/>
    <xf numFmtId="2" fontId="0" fillId="8" borderId="0" xfId="0" applyNumberFormat="1" applyFill="1"/>
    <xf numFmtId="0" fontId="15" fillId="8" borderId="0" xfId="0" applyFont="1" applyFill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9" fillId="2" borderId="1" xfId="0" applyFont="1" applyFill="1" applyBorder="1"/>
    <xf numFmtId="2" fontId="18" fillId="0" borderId="1" xfId="0" applyNumberFormat="1" applyFont="1" applyBorder="1"/>
    <xf numFmtId="0" fontId="19" fillId="2" borderId="2" xfId="0" applyFont="1" applyFill="1" applyBorder="1"/>
    <xf numFmtId="0" fontId="19" fillId="2" borderId="3" xfId="0" applyFont="1" applyFill="1" applyBorder="1"/>
    <xf numFmtId="0" fontId="20" fillId="0" borderId="4" xfId="0" applyFont="1" applyFill="1" applyBorder="1"/>
    <xf numFmtId="0" fontId="21" fillId="0" borderId="0" xfId="0" applyFont="1"/>
    <xf numFmtId="2" fontId="16" fillId="0" borderId="0" xfId="0" applyNumberFormat="1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counts'!$AX$8:$AX$32</c:f>
              <c:numCache>
                <c:formatCode>General</c:formatCode>
                <c:ptCount val="25"/>
                <c:pt idx="0">
                  <c:v>0.27176566314076483</c:v>
                </c:pt>
                <c:pt idx="1">
                  <c:v>0.11228641171684296</c:v>
                </c:pt>
                <c:pt idx="2">
                  <c:v>0.10089503661513426</c:v>
                </c:pt>
                <c:pt idx="3">
                  <c:v>8.6248982912937339E-2</c:v>
                </c:pt>
                <c:pt idx="4">
                  <c:v>6.346623270951994E-2</c:v>
                </c:pt>
                <c:pt idx="5">
                  <c:v>6.0211554109031729E-2</c:v>
                </c:pt>
                <c:pt idx="6">
                  <c:v>5.0447518307567128E-2</c:v>
                </c:pt>
                <c:pt idx="7">
                  <c:v>4.8820179007323022E-2</c:v>
                </c:pt>
                <c:pt idx="8">
                  <c:v>3.0919446704637917E-2</c:v>
                </c:pt>
                <c:pt idx="9">
                  <c:v>3.0919446704637917E-2</c:v>
                </c:pt>
                <c:pt idx="10">
                  <c:v>2.9292107404393818E-2</c:v>
                </c:pt>
                <c:pt idx="11">
                  <c:v>1.9528071602929211E-2</c:v>
                </c:pt>
                <c:pt idx="12">
                  <c:v>1.627339300244101E-2</c:v>
                </c:pt>
                <c:pt idx="13">
                  <c:v>1.627339300244101E-2</c:v>
                </c:pt>
                <c:pt idx="14">
                  <c:v>1.4646053702196909E-2</c:v>
                </c:pt>
                <c:pt idx="15">
                  <c:v>1.1391375101708708E-2</c:v>
                </c:pt>
                <c:pt idx="16">
                  <c:v>9.7640358014646055E-3</c:v>
                </c:pt>
                <c:pt idx="17">
                  <c:v>9.7640358014646055E-3</c:v>
                </c:pt>
                <c:pt idx="18">
                  <c:v>8.1366965012205049E-3</c:v>
                </c:pt>
                <c:pt idx="19">
                  <c:v>6.5093572009764034E-3</c:v>
                </c:pt>
                <c:pt idx="20">
                  <c:v>1.6273393002441008E-3</c:v>
                </c:pt>
                <c:pt idx="21">
                  <c:v>4.0683482506102521E-4</c:v>
                </c:pt>
                <c:pt idx="22">
                  <c:v>3.0512611879576892E-4</c:v>
                </c:pt>
                <c:pt idx="23">
                  <c:v>1.017087062652563E-4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D049-A6C3-68EDC58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5151"/>
        <c:axId val="1785777231"/>
      </c:lineChart>
      <c:catAx>
        <c:axId val="1820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7231"/>
        <c:crosses val="autoZero"/>
        <c:auto val="1"/>
        <c:lblAlgn val="ctr"/>
        <c:lblOffset val="100"/>
        <c:noMultiLvlLbl val="0"/>
      </c:catAx>
      <c:valAx>
        <c:axId val="1785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by group</a:t>
            </a:r>
            <a:r>
              <a:rPr lang="en-GB" baseline="0"/>
              <a:t>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Biomass!$Z$4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Biomass!$AA$4:$AD$4</c:f>
              <c:numCache>
                <c:formatCode>General</c:formatCode>
                <c:ptCount val="4"/>
                <c:pt idx="0">
                  <c:v>3.9537362158622598</c:v>
                </c:pt>
                <c:pt idx="1">
                  <c:v>11.788729471383128</c:v>
                </c:pt>
                <c:pt idx="2">
                  <c:v>1.8083197935547439</c:v>
                </c:pt>
                <c:pt idx="3">
                  <c:v>5.6710669332178982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6842-A7F4-742048E43237}"/>
            </c:ext>
          </c:extLst>
        </c:ser>
        <c:ser>
          <c:idx val="1"/>
          <c:order val="1"/>
          <c:tx>
            <c:strRef>
              <c:f>Biomass!$Z$5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Biomass!$AA$5:$AD$5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0.15419535062520831</c:v>
                </c:pt>
                <c:pt idx="3">
                  <c:v>1.7463255680468801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1-6842-A7F4-742048E43237}"/>
            </c:ext>
          </c:extLst>
        </c:ser>
        <c:ser>
          <c:idx val="2"/>
          <c:order val="2"/>
          <c:tx>
            <c:strRef>
              <c:f>Biomass!$Z$6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Biomass!$AA$6:$AD$6</c:f>
              <c:numCache>
                <c:formatCode>General</c:formatCode>
                <c:ptCount val="4"/>
                <c:pt idx="0">
                  <c:v>0.60882366849085556</c:v>
                </c:pt>
                <c:pt idx="1">
                  <c:v>3.7198057907299087</c:v>
                </c:pt>
                <c:pt idx="2">
                  <c:v>0.85525870178189567</c:v>
                </c:pt>
                <c:pt idx="3">
                  <c:v>0.15826403435471756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1-6842-A7F4-742048E43237}"/>
            </c:ext>
          </c:extLst>
        </c:ser>
        <c:ser>
          <c:idx val="3"/>
          <c:order val="3"/>
          <c:tx>
            <c:strRef>
              <c:f>Biomass!$Z$7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Biomass!$AA$7:$AD$7</c:f>
              <c:numCache>
                <c:formatCode>General</c:formatCode>
                <c:ptCount val="4"/>
                <c:pt idx="0">
                  <c:v>1.3384682672744423E-2</c:v>
                </c:pt>
                <c:pt idx="1">
                  <c:v>0.15333386749495512</c:v>
                </c:pt>
                <c:pt idx="2">
                  <c:v>5.1279363134199805E-3</c:v>
                </c:pt>
                <c:pt idx="3">
                  <c:v>4.9580813507559905E-2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1-6842-A7F4-742048E43237}"/>
            </c:ext>
          </c:extLst>
        </c:ser>
        <c:ser>
          <c:idx val="4"/>
          <c:order val="4"/>
          <c:tx>
            <c:strRef>
              <c:f>Biomass!$Z$8</c:f>
              <c:strCache>
                <c:ptCount val="1"/>
                <c:pt idx="0">
                  <c:v>Cirripedians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Biomass!$AA$8:$AD$8</c:f>
              <c:numCache>
                <c:formatCode>General</c:formatCode>
                <c:ptCount val="4"/>
                <c:pt idx="0">
                  <c:v>0.20723636634625675</c:v>
                </c:pt>
                <c:pt idx="1">
                  <c:v>4.493800804843926</c:v>
                </c:pt>
                <c:pt idx="2">
                  <c:v>0.35728355426421593</c:v>
                </c:pt>
                <c:pt idx="3">
                  <c:v>2.5973615705609583E-2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1-6842-A7F4-742048E43237}"/>
            </c:ext>
          </c:extLst>
        </c:ser>
        <c:ser>
          <c:idx val="5"/>
          <c:order val="5"/>
          <c:tx>
            <c:strRef>
              <c:f>Biomass!$Z$9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Biomass!$AA$9:$AD$9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1.7950235094022005E-3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1-6842-A7F4-742048E43237}"/>
            </c:ext>
          </c:extLst>
        </c:ser>
        <c:ser>
          <c:idx val="6"/>
          <c:order val="6"/>
          <c:tx>
            <c:strRef>
              <c:f>Biomass!$Z$10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Biomass!$AA$10:$AD$10</c:f>
              <c:numCache>
                <c:formatCode>General</c:formatCode>
                <c:ptCount val="4"/>
                <c:pt idx="0">
                  <c:v>0.4732800224027135</c:v>
                </c:pt>
                <c:pt idx="1">
                  <c:v>0.90364309234967188</c:v>
                </c:pt>
                <c:pt idx="2">
                  <c:v>0.1511024375545561</c:v>
                </c:pt>
                <c:pt idx="3">
                  <c:v>9.6116712442646855E-4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1-6842-A7F4-742048E43237}"/>
            </c:ext>
          </c:extLst>
        </c:ser>
        <c:ser>
          <c:idx val="7"/>
          <c:order val="7"/>
          <c:tx>
            <c:strRef>
              <c:f>Biomass!$Z$11</c:f>
              <c:strCache>
                <c:ptCount val="1"/>
                <c:pt idx="0">
                  <c:v>Euphasia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Biomass!$AA$11:$AD$11</c:f>
              <c:numCache>
                <c:formatCode>General</c:formatCode>
                <c:ptCount val="4"/>
                <c:pt idx="0">
                  <c:v>0</c:v>
                </c:pt>
                <c:pt idx="1">
                  <c:v>4.979807027899497</c:v>
                </c:pt>
                <c:pt idx="2">
                  <c:v>0</c:v>
                </c:pt>
                <c:pt idx="3">
                  <c:v>20.373710975575772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E1-6842-A7F4-742048E43237}"/>
            </c:ext>
          </c:extLst>
        </c:ser>
        <c:ser>
          <c:idx val="8"/>
          <c:order val="8"/>
          <c:tx>
            <c:strRef>
              <c:f>Biomass!$Z$12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Biomass!$AA$12:$AD$12</c:f>
              <c:numCache>
                <c:formatCode>General</c:formatCode>
                <c:ptCount val="4"/>
                <c:pt idx="0">
                  <c:v>1.0496037056445357E-2</c:v>
                </c:pt>
                <c:pt idx="1">
                  <c:v>1.0020147623125886E-3</c:v>
                </c:pt>
                <c:pt idx="2">
                  <c:v>3.1834809697824486E-3</c:v>
                </c:pt>
                <c:pt idx="3">
                  <c:v>8.5264074356664824E-4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1-6842-A7F4-742048E4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981088"/>
        <c:axId val="1099399568"/>
      </c:barChart>
      <c:catAx>
        <c:axId val="10519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99568"/>
        <c:crosses val="autoZero"/>
        <c:auto val="1"/>
        <c:lblAlgn val="ctr"/>
        <c:lblOffset val="100"/>
        <c:noMultiLvlLbl val="0"/>
      </c:catAx>
      <c:valAx>
        <c:axId val="1099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biomass comp at each site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Biomass!$AE$4</c:f>
              <c:strCache>
                <c:ptCount val="1"/>
                <c:pt idx="0">
                  <c:v>Copepoda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Biomass!$AF$4:$AI$4</c:f>
              <c:numCache>
                <c:formatCode>General</c:formatCode>
                <c:ptCount val="4"/>
                <c:pt idx="0">
                  <c:v>0.75066802733411198</c:v>
                </c:pt>
                <c:pt idx="1">
                  <c:v>0.45271406331875363</c:v>
                </c:pt>
                <c:pt idx="2">
                  <c:v>0.54231080589121239</c:v>
                </c:pt>
                <c:pt idx="3">
                  <c:v>0.20233193738883115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0E45-B75F-CCE8D1EF05D3}"/>
            </c:ext>
          </c:extLst>
        </c:ser>
        <c:ser>
          <c:idx val="1"/>
          <c:order val="1"/>
          <c:tx>
            <c:strRef>
              <c:f>Biomass!$AE$5</c:f>
              <c:strCache>
                <c:ptCount val="1"/>
                <c:pt idx="0">
                  <c:v>Amphipoda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Biomass!$AF$5:$AI$5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4.6242818974985278E-2</c:v>
                </c:pt>
                <c:pt idx="3">
                  <c:v>6.2305283936066026E-2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0E45-B75F-CCE8D1EF05D3}"/>
            </c:ext>
          </c:extLst>
        </c:ser>
        <c:ser>
          <c:idx val="2"/>
          <c:order val="2"/>
          <c:tx>
            <c:strRef>
              <c:f>Biomass!$AE$6</c:f>
              <c:strCache>
                <c:ptCount val="1"/>
                <c:pt idx="0">
                  <c:v>Decapoda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Biomass!$AF$6:$AI$6</c:f>
              <c:numCache>
                <c:formatCode>General</c:formatCode>
                <c:ptCount val="4"/>
                <c:pt idx="0">
                  <c:v>0.11559305863319377</c:v>
                </c:pt>
                <c:pt idx="1">
                  <c:v>0.14284901510089432</c:v>
                </c:pt>
                <c:pt idx="2">
                  <c:v>0.25649005085381243</c:v>
                </c:pt>
                <c:pt idx="3">
                  <c:v>5.6465333714184477E-3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0E45-B75F-CCE8D1EF05D3}"/>
            </c:ext>
          </c:extLst>
        </c:ser>
        <c:ser>
          <c:idx val="3"/>
          <c:order val="3"/>
          <c:tx>
            <c:strRef>
              <c:f>Biomass!$AE$7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Biomass!$AF$7:$AI$7</c:f>
              <c:numCache>
                <c:formatCode>General</c:formatCode>
                <c:ptCount val="4"/>
                <c:pt idx="0">
                  <c:v>2.5412553569284851E-3</c:v>
                </c:pt>
                <c:pt idx="1">
                  <c:v>5.8883697659300113E-3</c:v>
                </c:pt>
                <c:pt idx="2">
                  <c:v>1.5378559061298102E-3</c:v>
                </c:pt>
                <c:pt idx="3">
                  <c:v>1.7689408664070647E-3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E45-B75F-CCE8D1EF05D3}"/>
            </c:ext>
          </c:extLst>
        </c:ser>
        <c:ser>
          <c:idx val="4"/>
          <c:order val="4"/>
          <c:tx>
            <c:strRef>
              <c:f>Biomass!$AE$8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Biomass!$AF$8:$AI$8</c:f>
              <c:numCache>
                <c:formatCode>General</c:formatCode>
                <c:ptCount val="4"/>
                <c:pt idx="0">
                  <c:v>3.9346508169389088E-2</c:v>
                </c:pt>
                <c:pt idx="1">
                  <c:v>0.17257218659945123</c:v>
                </c:pt>
                <c:pt idx="2">
                  <c:v>0.10714848830129664</c:v>
                </c:pt>
                <c:pt idx="3">
                  <c:v>9.266848810981996E-4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E-0E45-B75F-CCE8D1EF05D3}"/>
            </c:ext>
          </c:extLst>
        </c:ser>
        <c:ser>
          <c:idx val="5"/>
          <c:order val="5"/>
          <c:tx>
            <c:strRef>
              <c:f>Biomass!$AE$9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6.4042725750331259E-5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E-0E45-B75F-CCE8D1EF05D3}"/>
            </c:ext>
          </c:extLst>
        </c:ser>
        <c:ser>
          <c:idx val="6"/>
          <c:order val="6"/>
          <c:tx>
            <c:strRef>
              <c:f>Biomass!$AE$10</c:f>
              <c:strCache>
                <c:ptCount val="1"/>
                <c:pt idx="0">
                  <c:v>Larvacea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Biomass!$AF$10:$AI$10</c:f>
              <c:numCache>
                <c:formatCode>General</c:formatCode>
                <c:ptCount val="4"/>
                <c:pt idx="0">
                  <c:v>8.9858341931951066E-2</c:v>
                </c:pt>
                <c:pt idx="1">
                  <c:v>3.4701953006946597E-2</c:v>
                </c:pt>
                <c:pt idx="2">
                  <c:v>4.5315261700063433E-2</c:v>
                </c:pt>
                <c:pt idx="3">
                  <c:v>3.4292454793741868E-5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E-0E45-B75F-CCE8D1EF05D3}"/>
            </c:ext>
          </c:extLst>
        </c:ser>
        <c:ser>
          <c:idx val="7"/>
          <c:order val="7"/>
          <c:tx>
            <c:strRef>
              <c:f>Biomass!$AE$11</c:f>
              <c:strCache>
                <c:ptCount val="1"/>
                <c:pt idx="0">
                  <c:v>Euphausiacea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Biomass!$AF$11:$AI$11</c:f>
              <c:numCache>
                <c:formatCode>General</c:formatCode>
                <c:ptCount val="4"/>
                <c:pt idx="0">
                  <c:v>0</c:v>
                </c:pt>
                <c:pt idx="1">
                  <c:v>0.1912359325588259</c:v>
                </c:pt>
                <c:pt idx="2">
                  <c:v>0</c:v>
                </c:pt>
                <c:pt idx="3">
                  <c:v>0.72689186391762006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0E45-B75F-CCE8D1EF05D3}"/>
            </c:ext>
          </c:extLst>
        </c:ser>
        <c:ser>
          <c:idx val="8"/>
          <c:order val="8"/>
          <c:tx>
            <c:strRef>
              <c:f>Biomass!$AE$12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Biomass!$AF$12:$AI$12</c:f>
              <c:numCache>
                <c:formatCode>General</c:formatCode>
                <c:ptCount val="4"/>
                <c:pt idx="0">
                  <c:v>1.9928085744256602E-3</c:v>
                </c:pt>
                <c:pt idx="1">
                  <c:v>3.8479649198251115E-5</c:v>
                </c:pt>
                <c:pt idx="2">
                  <c:v>9.5471837249996503E-4</c:v>
                </c:pt>
                <c:pt idx="3">
                  <c:v>3.0420458015050013E-5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BE-0E45-B75F-CCE8D1E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470112"/>
        <c:axId val="1056909568"/>
      </c:barChart>
      <c:catAx>
        <c:axId val="1137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9568"/>
        <c:crosses val="autoZero"/>
        <c:auto val="1"/>
        <c:lblAlgn val="ctr"/>
        <c:lblOffset val="100"/>
        <c:noMultiLvlLbl val="0"/>
      </c:catAx>
      <c:valAx>
        <c:axId val="1056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structure'!$K$5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structure'!$L$5:$O$5</c:f>
              <c:numCache>
                <c:formatCode>0.00</c:formatCode>
                <c:ptCount val="4"/>
                <c:pt idx="0">
                  <c:v>15.86826347</c:v>
                </c:pt>
                <c:pt idx="1">
                  <c:v>45.42533873</c:v>
                </c:pt>
                <c:pt idx="2">
                  <c:v>38.933333330000004</c:v>
                </c:pt>
                <c:pt idx="3">
                  <c:v>7.6484947109999997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D34B-8B17-5A40CD071F2E}"/>
            </c:ext>
          </c:extLst>
        </c:ser>
        <c:ser>
          <c:idx val="1"/>
          <c:order val="1"/>
          <c:tx>
            <c:strRef>
              <c:f>'Size structure'!$K$6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structure'!$L$6:$O$6</c:f>
              <c:numCache>
                <c:formatCode>0.00</c:formatCode>
                <c:ptCount val="4"/>
                <c:pt idx="0">
                  <c:v>33.233532930000003</c:v>
                </c:pt>
                <c:pt idx="1">
                  <c:v>17.600223490000001</c:v>
                </c:pt>
                <c:pt idx="2">
                  <c:v>21.2991274</c:v>
                </c:pt>
                <c:pt idx="3">
                  <c:v>24.89829129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D34B-8B17-5A40CD071F2E}"/>
            </c:ext>
          </c:extLst>
        </c:ser>
        <c:ser>
          <c:idx val="2"/>
          <c:order val="2"/>
          <c:tx>
            <c:strRef>
              <c:f>'Size structure'!$K$7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structure'!$L$7:$O$7</c:f>
              <c:numCache>
                <c:formatCode>0.00</c:formatCode>
                <c:ptCount val="4"/>
                <c:pt idx="0">
                  <c:v>41.616766470000002</c:v>
                </c:pt>
                <c:pt idx="1">
                  <c:v>30.507054060000002</c:v>
                </c:pt>
                <c:pt idx="2">
                  <c:v>32.266666669999999</c:v>
                </c:pt>
                <c:pt idx="3">
                  <c:v>20.341741249999998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D34B-8B17-5A40CD071F2E}"/>
            </c:ext>
          </c:extLst>
        </c:ser>
        <c:ser>
          <c:idx val="3"/>
          <c:order val="3"/>
          <c:tx>
            <c:strRef>
              <c:f>'Size structure'!$K$8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structure'!$L$8:$O$8</c:f>
              <c:numCache>
                <c:formatCode>0.00</c:formatCode>
                <c:ptCount val="4"/>
                <c:pt idx="0">
                  <c:v>5.9880239519999998</c:v>
                </c:pt>
                <c:pt idx="1">
                  <c:v>4.1905294040000003</c:v>
                </c:pt>
                <c:pt idx="2">
                  <c:v>7.733333333</c:v>
                </c:pt>
                <c:pt idx="3">
                  <c:v>40.856387310000002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1-D34B-8B17-5A40CD071F2E}"/>
            </c:ext>
          </c:extLst>
        </c:ser>
        <c:ser>
          <c:idx val="4"/>
          <c:order val="4"/>
          <c:tx>
            <c:strRef>
              <c:f>'Size structure'!$K$9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structure'!$L$9:$O$9</c:f>
              <c:numCache>
                <c:formatCode>0.00</c:formatCode>
                <c:ptCount val="4"/>
                <c:pt idx="0">
                  <c:v>2.0958083830000001</c:v>
                </c:pt>
                <c:pt idx="1">
                  <c:v>0.41207311600000002</c:v>
                </c:pt>
                <c:pt idx="2">
                  <c:v>1.066666667</c:v>
                </c:pt>
                <c:pt idx="3">
                  <c:v>4.6277461349999998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1-D34B-8B17-5A40CD07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00783"/>
        <c:axId val="428026111"/>
      </c:barChart>
      <c:catAx>
        <c:axId val="426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6111"/>
        <c:crosses val="autoZero"/>
        <c:auto val="1"/>
        <c:lblAlgn val="ctr"/>
        <c:lblOffset val="100"/>
        <c:noMultiLvlLbl val="0"/>
      </c:catAx>
      <c:valAx>
        <c:axId val="428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counts'!$AL$39:$AL$60</c:f>
              <c:numCache>
                <c:formatCode>General</c:formatCode>
                <c:ptCount val="22"/>
                <c:pt idx="0">
                  <c:v>0.44419611677608606</c:v>
                </c:pt>
                <c:pt idx="1">
                  <c:v>0.13409694091353541</c:v>
                </c:pt>
                <c:pt idx="2">
                  <c:v>8.3810588070959632E-2</c:v>
                </c:pt>
                <c:pt idx="3">
                  <c:v>6.7048470456767706E-2</c:v>
                </c:pt>
                <c:pt idx="4">
                  <c:v>6.5372258695348517E-2</c:v>
                </c:pt>
                <c:pt idx="5">
                  <c:v>5.6991199888252547E-2</c:v>
                </c:pt>
                <c:pt idx="6">
                  <c:v>3.0171811705545469E-2</c:v>
                </c:pt>
                <c:pt idx="7">
                  <c:v>3.0171811705545469E-2</c:v>
                </c:pt>
                <c:pt idx="8">
                  <c:v>2.514317642128789E-2</c:v>
                </c:pt>
                <c:pt idx="9">
                  <c:v>1.8438329375611118E-2</c:v>
                </c:pt>
                <c:pt idx="10">
                  <c:v>1.3409694091353541E-2</c:v>
                </c:pt>
                <c:pt idx="11">
                  <c:v>8.3810588070959632E-3</c:v>
                </c:pt>
                <c:pt idx="12">
                  <c:v>8.3810588070959632E-3</c:v>
                </c:pt>
                <c:pt idx="13">
                  <c:v>5.0286352842575776E-3</c:v>
                </c:pt>
                <c:pt idx="14">
                  <c:v>3.3524235228383852E-3</c:v>
                </c:pt>
                <c:pt idx="15">
                  <c:v>3.3524235228383852E-3</c:v>
                </c:pt>
                <c:pt idx="16">
                  <c:v>1.6762117614191926E-3</c:v>
                </c:pt>
                <c:pt idx="17">
                  <c:v>5.5873725380639757E-4</c:v>
                </c:pt>
                <c:pt idx="18">
                  <c:v>4.1905294035479815E-4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C440-BA73-92172B4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79871"/>
        <c:axId val="1779205967"/>
      </c:lineChart>
      <c:catAx>
        <c:axId val="182757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5967"/>
        <c:crosses val="autoZero"/>
        <c:auto val="1"/>
        <c:lblAlgn val="ctr"/>
        <c:lblOffset val="100"/>
        <c:noMultiLvlLbl val="0"/>
      </c:catAx>
      <c:valAx>
        <c:axId val="177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counts'!$AF$102:$AF$126</c:f>
              <c:numCache>
                <c:formatCode>General</c:formatCode>
                <c:ptCount val="25"/>
                <c:pt idx="0">
                  <c:v>0.27245508982035926</c:v>
                </c:pt>
                <c:pt idx="1">
                  <c:v>0.21556886227544911</c:v>
                </c:pt>
                <c:pt idx="2">
                  <c:v>8.9820359281437126E-2</c:v>
                </c:pt>
                <c:pt idx="3">
                  <c:v>8.3832335329341312E-2</c:v>
                </c:pt>
                <c:pt idx="4">
                  <c:v>7.1856287425149698E-2</c:v>
                </c:pt>
                <c:pt idx="5">
                  <c:v>5.9880239520958084E-2</c:v>
                </c:pt>
                <c:pt idx="6">
                  <c:v>5.089820359281437E-2</c:v>
                </c:pt>
                <c:pt idx="7">
                  <c:v>3.2934131736526949E-2</c:v>
                </c:pt>
                <c:pt idx="8">
                  <c:v>2.3952095808383232E-2</c:v>
                </c:pt>
                <c:pt idx="9">
                  <c:v>2.0958083832335328E-2</c:v>
                </c:pt>
                <c:pt idx="10">
                  <c:v>1.7964071856287425E-2</c:v>
                </c:pt>
                <c:pt idx="11">
                  <c:v>1.7964071856287425E-2</c:v>
                </c:pt>
                <c:pt idx="12">
                  <c:v>1.4970059880239521E-2</c:v>
                </c:pt>
                <c:pt idx="13">
                  <c:v>1.1976047904191616E-2</c:v>
                </c:pt>
                <c:pt idx="14">
                  <c:v>8.9820359281437123E-3</c:v>
                </c:pt>
                <c:pt idx="15">
                  <c:v>2.9940119760479039E-3</c:v>
                </c:pt>
                <c:pt idx="16">
                  <c:v>2.9940119760479039E-3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1449-9E97-43BD5B1B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1791"/>
        <c:axId val="1823918959"/>
      </c:lineChart>
      <c:catAx>
        <c:axId val="18237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8959"/>
        <c:crosses val="autoZero"/>
        <c:auto val="1"/>
        <c:lblAlgn val="ctr"/>
        <c:lblOffset val="100"/>
        <c:noMultiLvlLbl val="0"/>
      </c:catAx>
      <c:valAx>
        <c:axId val="18239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counts'!$AS$57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counts'!$AT$57:$AW$57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FC4D-A513-EEDABFBECEC3}"/>
            </c:ext>
          </c:extLst>
        </c:ser>
        <c:ser>
          <c:idx val="1"/>
          <c:order val="1"/>
          <c:tx>
            <c:strRef>
              <c:f>'Species counts'!$AS$58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counts'!$AT$58:$AW$58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FC4D-A513-EEDABFBECEC3}"/>
            </c:ext>
          </c:extLst>
        </c:ser>
        <c:ser>
          <c:idx val="2"/>
          <c:order val="2"/>
          <c:tx>
            <c:strRef>
              <c:f>'Species counts'!$AS$59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counts'!$AT$59:$AW$59</c:f>
              <c:numCache>
                <c:formatCode>General</c:formatCode>
                <c:ptCount val="4"/>
                <c:pt idx="0">
                  <c:v>0</c:v>
                </c:pt>
                <c:pt idx="1">
                  <c:v>5.5873725380639755E-2</c:v>
                </c:pt>
                <c:pt idx="2" formatCode="0.00">
                  <c:v>0.53333333333333333</c:v>
                </c:pt>
                <c:pt idx="3" formatCode="0.00">
                  <c:v>0.8136696501220505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D-FC4D-A513-EEDABFBECEC3}"/>
            </c:ext>
          </c:extLst>
        </c:ser>
        <c:ser>
          <c:idx val="3"/>
          <c:order val="3"/>
          <c:tx>
            <c:strRef>
              <c:f>'Species counts'!$AS$60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counts'!$AT$60:$AW$60</c:f>
              <c:numCache>
                <c:formatCode>General</c:formatCode>
                <c:ptCount val="4"/>
                <c:pt idx="0">
                  <c:v>1.4970059880239521</c:v>
                </c:pt>
                <c:pt idx="1">
                  <c:v>0.50286352842575777</c:v>
                </c:pt>
                <c:pt idx="2" formatCode="0.00">
                  <c:v>5.0666666666666664</c:v>
                </c:pt>
                <c:pt idx="3" formatCode="0.00">
                  <c:v>27.176566314076485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D-FC4D-A513-EEDABFBECEC3}"/>
            </c:ext>
          </c:extLst>
        </c:ser>
        <c:ser>
          <c:idx val="4"/>
          <c:order val="4"/>
          <c:tx>
            <c:strRef>
              <c:f>'Species counts'!$AS$61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counts'!$AT$61:$AW$61</c:f>
              <c:numCache>
                <c:formatCode>General</c:formatCode>
                <c:ptCount val="4"/>
                <c:pt idx="0">
                  <c:v>8.9820359281437128</c:v>
                </c:pt>
                <c:pt idx="1">
                  <c:v>3.0171811705545468</c:v>
                </c:pt>
                <c:pt idx="2" formatCode="0.00">
                  <c:v>2.6666666666666665</c:v>
                </c:pt>
                <c:pt idx="3" formatCode="0.00">
                  <c:v>1.9528071602929211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D-FC4D-A513-EEDABFBECEC3}"/>
            </c:ext>
          </c:extLst>
        </c:ser>
        <c:ser>
          <c:idx val="5"/>
          <c:order val="5"/>
          <c:tx>
            <c:strRef>
              <c:f>'Species counts'!$AS$62</c:f>
              <c:strCache>
                <c:ptCount val="1"/>
                <c:pt idx="0">
                  <c:v>Acartia sp.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counts'!$AT$62:$AW$62</c:f>
              <c:numCache>
                <c:formatCode>General</c:formatCode>
                <c:ptCount val="4"/>
                <c:pt idx="0">
                  <c:v>27.245508982035929</c:v>
                </c:pt>
                <c:pt idx="1">
                  <c:v>13.409694091353542</c:v>
                </c:pt>
                <c:pt idx="2" formatCode="0.00">
                  <c:v>22.666666666666668</c:v>
                </c:pt>
                <c:pt idx="3" formatCode="0.00">
                  <c:v>6.3466232709519934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D-FC4D-A513-EEDABFBECEC3}"/>
            </c:ext>
          </c:extLst>
        </c:ser>
        <c:ser>
          <c:idx val="6"/>
          <c:order val="6"/>
          <c:tx>
            <c:strRef>
              <c:f>'Species counts'!$AS$63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counts'!$AT$63:$AW$63</c:f>
              <c:numCache>
                <c:formatCode>General</c:formatCode>
                <c:ptCount val="4"/>
                <c:pt idx="0">
                  <c:v>2.3952095808383231</c:v>
                </c:pt>
                <c:pt idx="1">
                  <c:v>2.5143176421287889</c:v>
                </c:pt>
                <c:pt idx="2" formatCode="0.00">
                  <c:v>0</c:v>
                </c:pt>
                <c:pt idx="3" formatCode="0.00">
                  <c:v>5.044751830756713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D-FC4D-A513-EEDABFBECEC3}"/>
            </c:ext>
          </c:extLst>
        </c:ser>
        <c:ser>
          <c:idx val="7"/>
          <c:order val="7"/>
          <c:tx>
            <c:strRef>
              <c:f>'Species counts'!$AS$64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counts'!$AT$64:$AW$64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0.33524235228383853</c:v>
                </c:pt>
                <c:pt idx="2" formatCode="0.00">
                  <c:v>1.3333333333333333</c:v>
                </c:pt>
                <c:pt idx="3" formatCode="0.00">
                  <c:v>8.624898291293734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8D-FC4D-A513-EEDABFBECEC3}"/>
            </c:ext>
          </c:extLst>
        </c:ser>
        <c:ser>
          <c:idx val="8"/>
          <c:order val="8"/>
          <c:tx>
            <c:strRef>
              <c:f>'Species counts'!$AS$65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counts'!$AT$65:$AW$65</c:f>
              <c:numCache>
                <c:formatCode>General</c:formatCode>
                <c:ptCount val="4"/>
                <c:pt idx="0">
                  <c:v>3.2934131736526946</c:v>
                </c:pt>
                <c:pt idx="1">
                  <c:v>5.6991199888252551</c:v>
                </c:pt>
                <c:pt idx="2" formatCode="0.00">
                  <c:v>6.4</c:v>
                </c:pt>
                <c:pt idx="3" formatCode="0.00">
                  <c:v>4.8820179007323024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FC4D-A513-EEDABFBECEC3}"/>
            </c:ext>
          </c:extLst>
        </c:ser>
        <c:ser>
          <c:idx val="9"/>
          <c:order val="9"/>
          <c:tx>
            <c:strRef>
              <c:f>'Species counts'!$AS$66</c:f>
              <c:strCache>
                <c:ptCount val="1"/>
                <c:pt idx="0">
                  <c:v>Pseudocalanus cf. minutus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counts'!$AT$66:$AW$66</c:f>
              <c:numCache>
                <c:formatCode>General</c:formatCode>
                <c:ptCount val="4"/>
                <c:pt idx="0">
                  <c:v>5.9880239520958085</c:v>
                </c:pt>
                <c:pt idx="1">
                  <c:v>8.3810588070959628</c:v>
                </c:pt>
                <c:pt idx="2" formatCode="0.00">
                  <c:v>1.0666666666666667</c:v>
                </c:pt>
                <c:pt idx="3" formatCode="0.00">
                  <c:v>6.0211554109031731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8D-FC4D-A513-EEDABFBECEC3}"/>
            </c:ext>
          </c:extLst>
        </c:ser>
        <c:ser>
          <c:idx val="10"/>
          <c:order val="10"/>
          <c:tx>
            <c:strRef>
              <c:f>'Species counts'!$AS$67</c:f>
              <c:strCache>
                <c:ptCount val="1"/>
                <c:pt idx="0">
                  <c:v>Paracalanus parvus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counts'!$AT$67:$AW$67</c:f>
              <c:numCache>
                <c:formatCode>General</c:formatCode>
                <c:ptCount val="4"/>
                <c:pt idx="0">
                  <c:v>5.0898203592814371</c:v>
                </c:pt>
                <c:pt idx="1">
                  <c:v>3.0171811705545468</c:v>
                </c:pt>
                <c:pt idx="2" formatCode="0.00">
                  <c:v>2.1333333333333333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D-FC4D-A513-EEDABFBECEC3}"/>
            </c:ext>
          </c:extLst>
        </c:ser>
        <c:ser>
          <c:idx val="11"/>
          <c:order val="11"/>
          <c:tx>
            <c:strRef>
              <c:f>'Species counts'!$AS$68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counts'!$AT$68:$AW$68</c:f>
              <c:numCache>
                <c:formatCode>General</c:formatCode>
                <c:ptCount val="4"/>
                <c:pt idx="0">
                  <c:v>21.556886227544911</c:v>
                </c:pt>
                <c:pt idx="1">
                  <c:v>6.7048470456767708</c:v>
                </c:pt>
                <c:pt idx="2" formatCode="0.00">
                  <c:v>8.5333333333333332</c:v>
                </c:pt>
                <c:pt idx="3" formatCode="0.00">
                  <c:v>10.089503661513426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D-FC4D-A513-EEDABFBECEC3}"/>
            </c:ext>
          </c:extLst>
        </c:ser>
        <c:ser>
          <c:idx val="12"/>
          <c:order val="12"/>
          <c:tx>
            <c:strRef>
              <c:f>'Species counts'!$AS$69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counts'!$AT$69:$AW$69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6.5372258695348515</c:v>
                </c:pt>
                <c:pt idx="2" formatCode="0.00">
                  <c:v>5.333333333333333</c:v>
                </c:pt>
                <c:pt idx="3" formatCode="0.00">
                  <c:v>11.228641171684297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D-FC4D-A513-EEDABFBECEC3}"/>
            </c:ext>
          </c:extLst>
        </c:ser>
        <c:ser>
          <c:idx val="13"/>
          <c:order val="13"/>
          <c:tx>
            <c:strRef>
              <c:f>'Species counts'!$AS$70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counts'!$AT$70:$AW$70</c:f>
              <c:numCache>
                <c:formatCode>General</c:formatCode>
                <c:ptCount val="4"/>
                <c:pt idx="0">
                  <c:v>2.0958083832335328</c:v>
                </c:pt>
                <c:pt idx="1">
                  <c:v>0.33524235228383853</c:v>
                </c:pt>
                <c:pt idx="2" formatCode="0.00">
                  <c:v>0.26666666666666666</c:v>
                </c:pt>
                <c:pt idx="3" formatCode="0.00">
                  <c:v>1.1391375101708707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D-FC4D-A513-EEDABFBECEC3}"/>
            </c:ext>
          </c:extLst>
        </c:ser>
        <c:ser>
          <c:idx val="14"/>
          <c:order val="14"/>
          <c:tx>
            <c:strRef>
              <c:f>'Species counts'!$AS$71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counts'!$AT$71:$AW$71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8D-FC4D-A513-EEDABFBECEC3}"/>
            </c:ext>
          </c:extLst>
        </c:ser>
        <c:ser>
          <c:idx val="15"/>
          <c:order val="15"/>
          <c:tx>
            <c:strRef>
              <c:f>'Species counts'!$AS$72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counts'!$AT$72:$AW$72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 formatCode="0.00">
                  <c:v>1.3333333333333333</c:v>
                </c:pt>
                <c:pt idx="3" formatCode="0.00">
                  <c:v>1.017087062652563E-2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8D-FC4D-A513-EEDABFBECEC3}"/>
            </c:ext>
          </c:extLst>
        </c:ser>
        <c:ser>
          <c:idx val="16"/>
          <c:order val="16"/>
          <c:tx>
            <c:strRef>
              <c:f>'Species counts'!$AS$73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counts'!$AT$73:$AW$73</c:f>
              <c:numCache>
                <c:formatCode>General</c:formatCode>
                <c:ptCount val="4"/>
                <c:pt idx="0">
                  <c:v>0</c:v>
                </c:pt>
                <c:pt idx="1">
                  <c:v>2.0957038071952497E-2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8D-FC4D-A513-EEDABFBECEC3}"/>
            </c:ext>
          </c:extLst>
        </c:ser>
        <c:ser>
          <c:idx val="17"/>
          <c:order val="17"/>
          <c:tx>
            <c:strRef>
              <c:f>'Species counts'!$AS$74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counts'!$AT$74:$AW$74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3.0512611879576892E-2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8D-FC4D-A513-EEDABFBECEC3}"/>
            </c:ext>
          </c:extLst>
        </c:ser>
        <c:ser>
          <c:idx val="18"/>
          <c:order val="18"/>
          <c:tx>
            <c:strRef>
              <c:f>'Species counts'!$AS$75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counts'!$AT$75:$AW$75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0.26666666666666666</c:v>
                </c:pt>
                <c:pt idx="3" formatCode="0.00">
                  <c:v>4.0683482506102521E-2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8D-FC4D-A513-EEDABFBECEC3}"/>
            </c:ext>
          </c:extLst>
        </c:ser>
        <c:ser>
          <c:idx val="19"/>
          <c:order val="19"/>
          <c:tx>
            <c:strRef>
              <c:f>'Species counts'!$AS$76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counts'!$AT$76:$AW$76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1.4646053702196908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8D-FC4D-A513-EEDABFBECEC3}"/>
            </c:ext>
          </c:extLst>
        </c:ser>
        <c:ser>
          <c:idx val="20"/>
          <c:order val="20"/>
          <c:tx>
            <c:strRef>
              <c:f>'Species counts'!$AS$77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counts'!$AT$77:$AW$77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 formatCode="0.00">
                  <c:v>5.0666666666666664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8D-FC4D-A513-EEDABFBECEC3}"/>
            </c:ext>
          </c:extLst>
        </c:ser>
        <c:ser>
          <c:idx val="21"/>
          <c:order val="21"/>
          <c:tx>
            <c:strRef>
              <c:f>'Species counts'!$AS$78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counts'!$AT$78:$AW$78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 formatCode="0.00">
                  <c:v>33.6</c:v>
                </c:pt>
                <c:pt idx="3" formatCode="0.00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8D-FC4D-A513-EEDABFBECEC3}"/>
            </c:ext>
          </c:extLst>
        </c:ser>
        <c:ser>
          <c:idx val="22"/>
          <c:order val="22"/>
          <c:tx>
            <c:strRef>
              <c:f>'Species counts'!$AS$79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counts'!$AT$79:$AW$79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 formatCode="0.00">
                  <c:v>2.9333333333333331</c:v>
                </c:pt>
                <c:pt idx="3" formatCode="0.00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8D-FC4D-A513-EEDABFBECEC3}"/>
            </c:ext>
          </c:extLst>
        </c:ser>
        <c:ser>
          <c:idx val="23"/>
          <c:order val="23"/>
          <c:tx>
            <c:strRef>
              <c:f>'Species counts'!$AS$80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counts'!$AT$80:$AW$80</c:f>
              <c:numCache>
                <c:formatCode>General</c:formatCode>
                <c:ptCount val="4"/>
                <c:pt idx="0">
                  <c:v>1.1976047904191616</c:v>
                </c:pt>
                <c:pt idx="1">
                  <c:v>1.843832937561112</c:v>
                </c:pt>
                <c:pt idx="2" formatCode="0.00">
                  <c:v>0.53333333333333333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8D-FC4D-A513-EEDABFBECEC3}"/>
            </c:ext>
          </c:extLst>
        </c:ser>
        <c:ser>
          <c:idx val="24"/>
          <c:order val="24"/>
          <c:tx>
            <c:strRef>
              <c:f>'Species counts'!$AS$81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counts'!$AT$81:$AW$81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 formatCode="0.00">
                  <c:v>0.26666666666666666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8D-FC4D-A513-EEDABFBECEC3}"/>
            </c:ext>
          </c:extLst>
        </c:ser>
        <c:ser>
          <c:idx val="25"/>
          <c:order val="25"/>
          <c:tx>
            <c:strRef>
              <c:f>'Species counts'!$AS$82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counts'!$AT$82:$AW$82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1.8324607329842932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BC47-95B8-D0CDDB5B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16463"/>
        <c:axId val="1880657599"/>
      </c:barChart>
      <c:catAx>
        <c:axId val="1880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57599"/>
        <c:crosses val="autoZero"/>
        <c:auto val="1"/>
        <c:lblAlgn val="ctr"/>
        <c:lblOffset val="100"/>
        <c:noMultiLvlLbl val="0"/>
      </c:catAx>
      <c:valAx>
        <c:axId val="1880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counts'!$AS$51:$AS$54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counts'!$AT$51:$AT$54</c:f>
              <c:numCache>
                <c:formatCode>General</c:formatCode>
                <c:ptCount val="4"/>
                <c:pt idx="0">
                  <c:v>1168.1600000000001</c:v>
                </c:pt>
                <c:pt idx="1">
                  <c:v>4780.63</c:v>
                </c:pt>
                <c:pt idx="2">
                  <c:v>502.5</c:v>
                </c:pt>
                <c:pt idx="3">
                  <c:v>419.01373970081164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9E47-85D6-C2F56B1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407887"/>
        <c:axId val="1883176799"/>
      </c:barChart>
      <c:catAx>
        <c:axId val="182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6799"/>
        <c:crosses val="autoZero"/>
        <c:auto val="1"/>
        <c:lblAlgn val="ctr"/>
        <c:lblOffset val="100"/>
        <c:noMultiLvlLbl val="0"/>
      </c:catAx>
      <c:valAx>
        <c:axId val="188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comp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counts'!$AX$58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counts'!$AY$58:$BB$58</c:f>
              <c:numCache>
                <c:formatCode>General</c:formatCode>
                <c:ptCount val="4"/>
                <c:pt idx="0">
                  <c:v>78.143712574850298</c:v>
                </c:pt>
                <c:pt idx="1">
                  <c:v>50.174605391814502</c:v>
                </c:pt>
                <c:pt idx="2" formatCode="0.00">
                  <c:v>55.733333333333334</c:v>
                </c:pt>
                <c:pt idx="3">
                  <c:v>85.435313262815299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3C44-A4BF-99247C690F05}"/>
            </c:ext>
          </c:extLst>
        </c:ser>
        <c:ser>
          <c:idx val="1"/>
          <c:order val="1"/>
          <c:tx>
            <c:strRef>
              <c:f>'Species counts'!$AX$59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counts'!$AY$59:$BB$59</c:f>
              <c:numCache>
                <c:formatCode>General</c:formatCode>
                <c:ptCount val="4"/>
                <c:pt idx="0">
                  <c:v>0</c:v>
                </c:pt>
                <c:pt idx="1">
                  <c:v>4.1905294035479816E-2</c:v>
                </c:pt>
                <c:pt idx="2">
                  <c:v>0.26666666666666666</c:v>
                </c:pt>
                <c:pt idx="3">
                  <c:v>3.5801464605370219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3C44-A4BF-99247C690F05}"/>
            </c:ext>
          </c:extLst>
        </c:ser>
        <c:ser>
          <c:idx val="2"/>
          <c:order val="2"/>
          <c:tx>
            <c:strRef>
              <c:f>'Species counts'!$AX$60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counts'!$AY$60:$BB$60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>
                  <c:v>2.9333333333333331</c:v>
                </c:pt>
                <c:pt idx="3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3C44-A4BF-99247C690F05}"/>
            </c:ext>
          </c:extLst>
        </c:ser>
        <c:ser>
          <c:idx val="3"/>
          <c:order val="3"/>
          <c:tx>
            <c:strRef>
              <c:f>'Species counts'!$AX$61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counts'!$AY$61:$BB$61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>
                  <c:v>0.26666666666666666</c:v>
                </c:pt>
                <c:pt idx="3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3C44-A4BF-99247C690F05}"/>
            </c:ext>
          </c:extLst>
        </c:ser>
        <c:ser>
          <c:idx val="4"/>
          <c:order val="4"/>
          <c:tx>
            <c:strRef>
              <c:f>'Species counts'!$AX$62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counts'!$AY$62:$BB$62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>
                  <c:v>33.6</c:v>
                </c:pt>
                <c:pt idx="3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1-3C44-A4BF-99247C690F05}"/>
            </c:ext>
          </c:extLst>
        </c:ser>
        <c:ser>
          <c:idx val="5"/>
          <c:order val="5"/>
          <c:tx>
            <c:strRef>
              <c:f>'Species counts'!$AX$63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counts'!$AY$63:$BB$63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1-3C44-A4BF-99247C690F05}"/>
            </c:ext>
          </c:extLst>
        </c:ser>
        <c:ser>
          <c:idx val="6"/>
          <c:order val="6"/>
          <c:tx>
            <c:strRef>
              <c:f>'Species counts'!$AX$64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counts'!$AY$64:$BB$64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>
                  <c:v>1.3333333333333333</c:v>
                </c:pt>
                <c:pt idx="3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1-3C44-A4BF-99247C690F05}"/>
            </c:ext>
          </c:extLst>
        </c:ser>
        <c:ser>
          <c:idx val="7"/>
          <c:order val="7"/>
          <c:tx>
            <c:strRef>
              <c:f>'Species counts'!$AX$65</c:f>
              <c:strCache>
                <c:ptCount val="1"/>
                <c:pt idx="0">
                  <c:v>Euphasiids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counts'!$AY$65:$BB$65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1-3C44-A4BF-99247C690F05}"/>
            </c:ext>
          </c:extLst>
        </c:ser>
        <c:ser>
          <c:idx val="8"/>
          <c:order val="8"/>
          <c:tx>
            <c:strRef>
              <c:f>'Species counts'!$AX$66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counts'!$AY$66:$BB$66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>
                  <c:v>5.0666666666666664</c:v>
                </c:pt>
                <c:pt idx="3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1-3C44-A4BF-99247C6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22687"/>
        <c:axId val="1839759663"/>
      </c:barChart>
      <c:catAx>
        <c:axId val="18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663"/>
        <c:crosses val="autoZero"/>
        <c:auto val="1"/>
        <c:lblAlgn val="ctr"/>
        <c:lblOffset val="100"/>
        <c:noMultiLvlLbl val="0"/>
      </c:catAx>
      <c:valAx>
        <c:axId val="183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counts'!$AE$132:$AE$156</c:f>
              <c:numCache>
                <c:formatCode>General</c:formatCode>
                <c:ptCount val="25"/>
                <c:pt idx="0">
                  <c:v>33.6</c:v>
                </c:pt>
                <c:pt idx="1">
                  <c:v>22.666666666666668</c:v>
                </c:pt>
                <c:pt idx="2">
                  <c:v>8.5333333333333332</c:v>
                </c:pt>
                <c:pt idx="3">
                  <c:v>6.4</c:v>
                </c:pt>
                <c:pt idx="4">
                  <c:v>5.333333333333333</c:v>
                </c:pt>
                <c:pt idx="5">
                  <c:v>5.0666666666666664</c:v>
                </c:pt>
                <c:pt idx="6">
                  <c:v>5.0666666666666664</c:v>
                </c:pt>
                <c:pt idx="7">
                  <c:v>2.9333333333333331</c:v>
                </c:pt>
                <c:pt idx="8">
                  <c:v>2.6666666666666665</c:v>
                </c:pt>
                <c:pt idx="9">
                  <c:v>2.1333333333333333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1.0666666666666667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EE43-9646-341FF66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64464"/>
        <c:axId val="2024983616"/>
      </c:lineChart>
      <c:catAx>
        <c:axId val="20286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3616"/>
        <c:crosses val="autoZero"/>
        <c:auto val="1"/>
        <c:lblAlgn val="ctr"/>
        <c:lblOffset val="100"/>
        <c:noMultiLvlLbl val="0"/>
      </c:catAx>
      <c:valAx>
        <c:axId val="2024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contribution to biomass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Biomass!$O$4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0.49247935989416786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9A46-896B-1D97A10C331D}"/>
            </c:ext>
          </c:extLst>
        </c:ser>
        <c:ser>
          <c:idx val="1"/>
          <c:order val="1"/>
          <c:tx>
            <c:strRef>
              <c:f>Biomass!$O$5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9A46-896B-1D97A10C331D}"/>
            </c:ext>
          </c:extLst>
        </c:ser>
        <c:ser>
          <c:idx val="2"/>
          <c:order val="2"/>
          <c:tx>
            <c:strRef>
              <c:f>Biomass!$O$6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Biomass!$P$6:$S$6</c:f>
              <c:numCache>
                <c:formatCode>General</c:formatCode>
                <c:ptCount val="4"/>
                <c:pt idx="0">
                  <c:v>0</c:v>
                </c:pt>
                <c:pt idx="1">
                  <c:v>0.44073910238931113</c:v>
                </c:pt>
                <c:pt idx="2">
                  <c:v>3.4628829739834086</c:v>
                </c:pt>
                <c:pt idx="3">
                  <c:v>0.52570502286238074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9A46-896B-1D97A10C331D}"/>
            </c:ext>
          </c:extLst>
        </c:ser>
        <c:ser>
          <c:idx val="3"/>
          <c:order val="3"/>
          <c:tx>
            <c:strRef>
              <c:f>Biomass!$O$7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Biomass!$P$7:$S$7</c:f>
              <c:numCache>
                <c:formatCode>General</c:formatCode>
                <c:ptCount val="4"/>
                <c:pt idx="0">
                  <c:v>5.5714147945389882</c:v>
                </c:pt>
                <c:pt idx="1">
                  <c:v>1.6308169213793617</c:v>
                </c:pt>
                <c:pt idx="2">
                  <c:v>13.525163914957997</c:v>
                </c:pt>
                <c:pt idx="3">
                  <c:v>7.2188781305712881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9A46-896B-1D97A10C331D}"/>
            </c:ext>
          </c:extLst>
        </c:ser>
        <c:ser>
          <c:idx val="4"/>
          <c:order val="4"/>
          <c:tx>
            <c:strRef>
              <c:f>Biomass!$O$8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Biomass!$P$8:$S$8</c:f>
              <c:numCache>
                <c:formatCode>General</c:formatCode>
                <c:ptCount val="4"/>
                <c:pt idx="0">
                  <c:v>1.8300758950827631</c:v>
                </c:pt>
                <c:pt idx="1">
                  <c:v>0.53568417487687847</c:v>
                </c:pt>
                <c:pt idx="2">
                  <c:v>0.38970976979292549</c:v>
                </c:pt>
                <c:pt idx="3">
                  <c:v>2.8397940325845677E-2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9A46-896B-1D97A10C331D}"/>
            </c:ext>
          </c:extLst>
        </c:ser>
        <c:ser>
          <c:idx val="5"/>
          <c:order val="5"/>
          <c:tx>
            <c:strRef>
              <c:f>Biomass!$O$9</c:f>
              <c:strCache>
                <c:ptCount val="1"/>
                <c:pt idx="0">
                  <c:v>Acartia spp.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Biomass!$P$9:$S$9</c:f>
              <c:numCache>
                <c:formatCode>General</c:formatCode>
                <c:ptCount val="4"/>
                <c:pt idx="0">
                  <c:v>20.33328845687533</c:v>
                </c:pt>
                <c:pt idx="1">
                  <c:v>8.7205661748492265</c:v>
                </c:pt>
                <c:pt idx="2">
                  <c:v>12.133290690792123</c:v>
                </c:pt>
                <c:pt idx="3">
                  <c:v>0.33805595192880483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9A46-896B-1D97A10C331D}"/>
            </c:ext>
          </c:extLst>
        </c:ser>
        <c:ser>
          <c:idx val="6"/>
          <c:order val="6"/>
          <c:tx>
            <c:strRef>
              <c:f>Biomass!$O$10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Biomass!$P$10:$S$10</c:f>
              <c:numCache>
                <c:formatCode>General</c:formatCode>
                <c:ptCount val="4"/>
                <c:pt idx="0">
                  <c:v>13.623607212714154</c:v>
                </c:pt>
                <c:pt idx="1">
                  <c:v>12.46183083205449</c:v>
                </c:pt>
                <c:pt idx="2">
                  <c:v>0</c:v>
                </c:pt>
                <c:pt idx="3">
                  <c:v>2.0479604760444827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4-9A46-896B-1D97A10C331D}"/>
            </c:ext>
          </c:extLst>
        </c:ser>
        <c:ser>
          <c:idx val="7"/>
          <c:order val="7"/>
          <c:tx>
            <c:strRef>
              <c:f>Biomass!$O$11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Biomass!$P$11:$S$11</c:f>
              <c:numCache>
                <c:formatCode>General</c:formatCode>
                <c:ptCount val="4"/>
                <c:pt idx="0">
                  <c:v>3.9434584091595846</c:v>
                </c:pt>
                <c:pt idx="1">
                  <c:v>3.8476514730853224</c:v>
                </c:pt>
                <c:pt idx="2">
                  <c:v>12.596233901698849</c:v>
                </c:pt>
                <c:pt idx="3">
                  <c:v>8.1079466905282338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4-9A46-896B-1D97A10C331D}"/>
            </c:ext>
          </c:extLst>
        </c:ser>
        <c:ser>
          <c:idx val="8"/>
          <c:order val="8"/>
          <c:tx>
            <c:strRef>
              <c:f>Biomass!$O$12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Biomass!$P$12:$S$12</c:f>
              <c:numCache>
                <c:formatCode>General</c:formatCode>
                <c:ptCount val="4"/>
                <c:pt idx="0">
                  <c:v>4.3257558693049258</c:v>
                </c:pt>
                <c:pt idx="1">
                  <c:v>6.5228396606792076</c:v>
                </c:pt>
                <c:pt idx="2">
                  <c:v>6.029398793323149</c:v>
                </c:pt>
                <c:pt idx="3">
                  <c:v>0.45766565810975385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4-9A46-896B-1D97A10C331D}"/>
            </c:ext>
          </c:extLst>
        </c:ser>
        <c:ser>
          <c:idx val="9"/>
          <c:order val="9"/>
          <c:tx>
            <c:strRef>
              <c:f>Biomass!$O$13</c:f>
              <c:strCache>
                <c:ptCount val="1"/>
                <c:pt idx="0">
                  <c:v>Pseudocalanus cf. minutus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Biomass!$P$13:$S$13</c:f>
              <c:numCache>
                <c:formatCode>General</c:formatCode>
                <c:ptCount val="4"/>
                <c:pt idx="0">
                  <c:v>3.9603622728772443</c:v>
                </c:pt>
                <c:pt idx="1">
                  <c:v>4.8301808185023907</c:v>
                </c:pt>
                <c:pt idx="2">
                  <c:v>0.5060091356232348</c:v>
                </c:pt>
                <c:pt idx="3">
                  <c:v>0.28422638621539636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4-9A46-896B-1D97A10C331D}"/>
            </c:ext>
          </c:extLst>
        </c:ser>
        <c:ser>
          <c:idx val="10"/>
          <c:order val="10"/>
          <c:tx>
            <c:strRef>
              <c:f>Biomass!$O$14</c:f>
              <c:strCache>
                <c:ptCount val="1"/>
                <c:pt idx="0">
                  <c:v>Paracalanus/Clausocalanus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Biomass!$P$14:$S$14</c:f>
              <c:numCache>
                <c:formatCode>General</c:formatCode>
                <c:ptCount val="4"/>
                <c:pt idx="0">
                  <c:v>2.6775256640204899</c:v>
                </c:pt>
                <c:pt idx="1">
                  <c:v>1.3830748735255729</c:v>
                </c:pt>
                <c:pt idx="2">
                  <c:v>0.80494861091151493</c:v>
                </c:pt>
                <c:pt idx="3">
                  <c:v>0.11609033701902156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4-9A46-896B-1D97A10C331D}"/>
            </c:ext>
          </c:extLst>
        </c:ser>
        <c:ser>
          <c:idx val="11"/>
          <c:order val="11"/>
          <c:tx>
            <c:strRef>
              <c:f>Biomass!$O$15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Biomass!$P$15:$S$15</c:f>
              <c:numCache>
                <c:formatCode>General</c:formatCode>
                <c:ptCount val="4"/>
                <c:pt idx="0">
                  <c:v>14.257304182358078</c:v>
                </c:pt>
                <c:pt idx="1">
                  <c:v>3.8641446548019123</c:v>
                </c:pt>
                <c:pt idx="2">
                  <c:v>4.0480730849858784</c:v>
                </c:pt>
                <c:pt idx="3">
                  <c:v>0.47627124176633978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4-9A46-896B-1D97A10C331D}"/>
            </c:ext>
          </c:extLst>
        </c:ser>
        <c:ser>
          <c:idx val="12"/>
          <c:order val="12"/>
          <c:tx>
            <c:strRef>
              <c:f>Biomass!$O$16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Biomass!$P$16:$S$16</c:f>
              <c:numCache>
                <c:formatCode>General</c:formatCode>
                <c:ptCount val="4"/>
                <c:pt idx="0">
                  <c:v>0.21117793225682699</c:v>
                </c:pt>
                <c:pt idx="1">
                  <c:v>0.66965382741004709</c:v>
                </c:pt>
                <c:pt idx="2">
                  <c:v>0.44969776164082093</c:v>
                </c:pt>
                <c:pt idx="3">
                  <c:v>9.4211544513672904E-2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4-9A46-896B-1D97A10C331D}"/>
            </c:ext>
          </c:extLst>
        </c:ser>
        <c:ser>
          <c:idx val="13"/>
          <c:order val="13"/>
          <c:tx>
            <c:strRef>
              <c:f>Biomass!$O$17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Biomass!$P$17:$S$17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0.80453391629055315</c:v>
                </c:pt>
                <c:pt idx="2">
                  <c:v>0.52676794986939734</c:v>
                </c:pt>
                <c:pt idx="3">
                  <c:v>0.22391422574410264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B4-9A46-896B-1D97A10C331D}"/>
            </c:ext>
          </c:extLst>
        </c:ser>
        <c:ser>
          <c:idx val="14"/>
          <c:order val="14"/>
          <c:tx>
            <c:strRef>
              <c:f>Biomass!$O$18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Biomass!$P$18:$S$18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6.3899324976821967E-3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B4-9A46-896B-1D97A10C331D}"/>
            </c:ext>
          </c:extLst>
        </c:ser>
        <c:ser>
          <c:idx val="15"/>
          <c:order val="15"/>
          <c:tx>
            <c:strRef>
              <c:f>Biomass!$O$19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Biomass!$P$19:$S$19</c:f>
              <c:numCache>
                <c:formatCode>General</c:formatCode>
                <c:ptCount val="4"/>
                <c:pt idx="0">
                  <c:v>8.4671746936741599</c:v>
                </c:pt>
                <c:pt idx="1">
                  <c:v>3.4422764025390511</c:v>
                </c:pt>
                <c:pt idx="2">
                  <c:v>4.5076555425028051</c:v>
                </c:pt>
                <c:pt idx="3">
                  <c:v>3.4215669109101811E-3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B4-9A46-896B-1D97A10C331D}"/>
            </c:ext>
          </c:extLst>
        </c:ser>
        <c:ser>
          <c:idx val="16"/>
          <c:order val="16"/>
          <c:tx>
            <c:strRef>
              <c:f>Biomass!$O$20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Biomass!$P$20:$S$20</c:f>
              <c:numCache>
                <c:formatCode>General</c:formatCode>
                <c:ptCount val="4"/>
                <c:pt idx="0">
                  <c:v>0</c:v>
                </c:pt>
                <c:pt idx="1">
                  <c:v>18.969737462125565</c:v>
                </c:pt>
                <c:pt idx="2">
                  <c:v>0</c:v>
                </c:pt>
                <c:pt idx="3">
                  <c:v>72.526424962853199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9A46-896B-1D97A10C331D}"/>
            </c:ext>
          </c:extLst>
        </c:ser>
        <c:ser>
          <c:idx val="17"/>
          <c:order val="17"/>
          <c:tx>
            <c:strRef>
              <c:f>Biomass!$O$21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Biomass!$P$21:$S$21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0.15140359262745753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4-9A46-896B-1D97A10C331D}"/>
            </c:ext>
          </c:extLst>
        </c:ser>
        <c:ser>
          <c:idx val="18"/>
          <c:order val="18"/>
          <c:tx>
            <c:strRef>
              <c:f>Biomass!$O$22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Biomass!$P$22:$S$22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4.5999226625508927</c:v>
                </c:pt>
                <c:pt idx="3">
                  <c:v>6.983205804670331E-2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B4-9A46-896B-1D97A10C331D}"/>
            </c:ext>
          </c:extLst>
        </c:ser>
        <c:ser>
          <c:idx val="19"/>
          <c:order val="19"/>
          <c:tx>
            <c:strRef>
              <c:f>Biomass!$O$23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Biomass!$P$23:$S$23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5.99534170352013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B4-9A46-896B-1D97A10C331D}"/>
            </c:ext>
          </c:extLst>
        </c:ser>
        <c:ser>
          <c:idx val="20"/>
          <c:order val="20"/>
          <c:tx>
            <c:strRef>
              <c:f>Biomass!$O$24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Biomass!$P$24:$S$24</c:f>
              <c:numCache>
                <c:formatCode>General</c:formatCode>
                <c:ptCount val="4"/>
                <c:pt idx="0">
                  <c:v>0.18777842955851501</c:v>
                </c:pt>
                <c:pt idx="1">
                  <c:v>3.8170067369581568E-3</c:v>
                </c:pt>
                <c:pt idx="2">
                  <c:v>9.496892221021204E-2</c:v>
                </c:pt>
                <c:pt idx="3">
                  <c:v>3.0352342282017799E-3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B4-9A46-896B-1D97A10C331D}"/>
            </c:ext>
          </c:extLst>
        </c:ser>
        <c:ser>
          <c:idx val="21"/>
          <c:order val="21"/>
          <c:tx>
            <c:strRef>
              <c:f>Biomass!$O$25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Biomass!$P$25:$S$25</c:f>
              <c:numCache>
                <c:formatCode>General</c:formatCode>
                <c:ptCount val="4"/>
                <c:pt idx="0">
                  <c:v>3.7075440197704652</c:v>
                </c:pt>
                <c:pt idx="1">
                  <c:v>17.118378482817445</c:v>
                </c:pt>
                <c:pt idx="2">
                  <c:v>10.658406440615584</c:v>
                </c:pt>
                <c:pt idx="3">
                  <c:v>9.2460990182160072E-2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B4-9A46-896B-1D97A10C331D}"/>
            </c:ext>
          </c:extLst>
        </c:ser>
        <c:ser>
          <c:idx val="22"/>
          <c:order val="22"/>
          <c:tx>
            <c:strRef>
              <c:f>Biomass!$O$26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Biomass!$P$26:$S$26</c:f>
              <c:numCache>
                <c:formatCode>General</c:formatCode>
                <c:ptCount val="4"/>
                <c:pt idx="0">
                  <c:v>10.892106395247842</c:v>
                </c:pt>
                <c:pt idx="1">
                  <c:v>14.169974632532062</c:v>
                </c:pt>
                <c:pt idx="2">
                  <c:v>25.513894347131078</c:v>
                </c:pt>
                <c:pt idx="3">
                  <c:v>0.56338899799384523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B4-9A46-896B-1D97A10C331D}"/>
            </c:ext>
          </c:extLst>
        </c:ser>
        <c:ser>
          <c:idx val="23"/>
          <c:order val="23"/>
          <c:tx>
            <c:strRef>
              <c:f>Biomass!$O$27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Biomass!$P$27:$S$27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B4-9A46-896B-1D97A10C331D}"/>
            </c:ext>
          </c:extLst>
        </c:ser>
        <c:ser>
          <c:idx val="24"/>
          <c:order val="24"/>
          <c:tx>
            <c:strRef>
              <c:f>Biomass!$O$28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Biomass!$P$28:$S$28</c:f>
              <c:numCache>
                <c:formatCode>General</c:formatCode>
                <c:ptCount val="4"/>
                <c:pt idx="0">
                  <c:v>0.23945749037572481</c:v>
                </c:pt>
                <c:pt idx="1">
                  <c:v>0.58409958340465062</c:v>
                </c:pt>
                <c:pt idx="2">
                  <c:v>0.15297549741011446</c:v>
                </c:pt>
                <c:pt idx="3">
                  <c:v>0.17649799561621782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B4-9A46-896B-1D97A1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74064"/>
        <c:axId val="1026174032"/>
      </c:barChart>
      <c:catAx>
        <c:axId val="1101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4032"/>
        <c:crosses val="autoZero"/>
        <c:auto val="1"/>
        <c:lblAlgn val="ctr"/>
        <c:lblOffset val="100"/>
        <c:noMultiLvlLbl val="0"/>
      </c:catAx>
      <c:valAx>
        <c:axId val="1026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Biomass!$K$39</c:f>
              <c:strCache>
                <c:ptCount val="1"/>
                <c:pt idx="0">
                  <c:v>Aerial biomass (mgC/m^2)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Biomass!$L$39:$O$39</c:f>
              <c:numCache>
                <c:formatCode>General</c:formatCode>
                <c:ptCount val="4"/>
                <c:pt idx="0">
                  <c:v>167.6875839433082</c:v>
                </c:pt>
                <c:pt idx="1">
                  <c:v>787.53968596171194</c:v>
                </c:pt>
                <c:pt idx="2">
                  <c:v>194.94685040627164</c:v>
                </c:pt>
                <c:pt idx="3">
                  <c:v>3369.3991020162143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3843-9E9F-59AC750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61824"/>
        <c:axId val="1059519104"/>
      </c:barChart>
      <c:catAx>
        <c:axId val="10243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9104"/>
        <c:crosses val="autoZero"/>
        <c:auto val="1"/>
        <c:lblAlgn val="ctr"/>
        <c:lblOffset val="100"/>
        <c:noMultiLvlLbl val="0"/>
      </c:catAx>
      <c:valAx>
        <c:axId val="1059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135465</xdr:colOff>
      <xdr:row>8</xdr:row>
      <xdr:rowOff>33866</xdr:rowOff>
    </xdr:from>
    <xdr:to>
      <xdr:col>58</xdr:col>
      <xdr:colOff>660398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602E-D913-8F46-96FB-084BE93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486303</xdr:colOff>
      <xdr:row>47</xdr:row>
      <xdr:rowOff>103849</xdr:rowOff>
    </xdr:from>
    <xdr:to>
      <xdr:col>42</xdr:col>
      <xdr:colOff>939800</xdr:colOff>
      <xdr:row>63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DAA8A-FFB1-DC4D-B2BD-F23F8144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1751651</xdr:colOff>
      <xdr:row>89</xdr:row>
      <xdr:rowOff>162917</xdr:rowOff>
    </xdr:from>
    <xdr:to>
      <xdr:col>34</xdr:col>
      <xdr:colOff>1209931</xdr:colOff>
      <xdr:row>103</xdr:row>
      <xdr:rowOff>87335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50331-A191-CC4C-978C-DE47764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1322187</xdr:colOff>
      <xdr:row>83</xdr:row>
      <xdr:rowOff>193382</xdr:rowOff>
    </xdr:from>
    <xdr:to>
      <xdr:col>47</xdr:col>
      <xdr:colOff>713805</xdr:colOff>
      <xdr:row>119</xdr:row>
      <xdr:rowOff>147190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0852B-99B4-B34D-9A0E-DE0D388A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439739</xdr:colOff>
      <xdr:row>37</xdr:row>
      <xdr:rowOff>181239</xdr:rowOff>
    </xdr:from>
    <xdr:to>
      <xdr:col>54</xdr:col>
      <xdr:colOff>738982</xdr:colOff>
      <xdr:row>53</xdr:row>
      <xdr:rowOff>164569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A3982-51E5-854F-B9A2-D4D5948A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18130</xdr:colOff>
      <xdr:row>69</xdr:row>
      <xdr:rowOff>199209</xdr:rowOff>
    </xdr:from>
    <xdr:to>
      <xdr:col>58</xdr:col>
      <xdr:colOff>189553</xdr:colOff>
      <xdr:row>91</xdr:row>
      <xdr:rowOff>56865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368E-D77F-BC48-839D-938F769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645583</xdr:colOff>
      <xdr:row>131</xdr:row>
      <xdr:rowOff>67734</xdr:rowOff>
    </xdr:from>
    <xdr:to>
      <xdr:col>34</xdr:col>
      <xdr:colOff>95250</xdr:colOff>
      <xdr:row>144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FA1E0-5273-1844-AB97-DEFE3111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776156</xdr:colOff>
      <xdr:row>20</xdr:row>
      <xdr:rowOff>44933</xdr:rowOff>
    </xdr:from>
    <xdr:to>
      <xdr:col>24</xdr:col>
      <xdr:colOff>470733</xdr:colOff>
      <xdr:row>38</xdr:row>
      <xdr:rowOff>212468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5BF9-0EA6-A44A-864A-CC093049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567197</xdr:colOff>
      <xdr:row>39</xdr:row>
      <xdr:rowOff>111649</xdr:rowOff>
    </xdr:from>
    <xdr:to>
      <xdr:col>20</xdr:col>
      <xdr:colOff>69779</xdr:colOff>
      <xdr:row>64</xdr:row>
      <xdr:rowOff>71642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D71D-721D-7F4C-9B9A-9F4EBDE6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468780</xdr:colOff>
      <xdr:row>22</xdr:row>
      <xdr:rowOff>178548</xdr:rowOff>
    </xdr:from>
    <xdr:to>
      <xdr:col>33</xdr:col>
      <xdr:colOff>74707</xdr:colOff>
      <xdr:row>41</xdr:row>
      <xdr:rowOff>112060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D2523-0906-2247-897E-7330E745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470773</xdr:colOff>
      <xdr:row>13</xdr:row>
      <xdr:rowOff>81928</xdr:rowOff>
    </xdr:from>
    <xdr:to>
      <xdr:col>39</xdr:col>
      <xdr:colOff>112184</xdr:colOff>
      <xdr:row>26</xdr:row>
      <xdr:rowOff>152151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39970-D0DA-B04D-916A-4F87CC3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1872437</xdr:colOff>
      <xdr:row>11</xdr:row>
      <xdr:rowOff>196360</xdr:rowOff>
    </xdr:from>
    <xdr:to>
      <xdr:col>17</xdr:col>
      <xdr:colOff>60245</xdr:colOff>
      <xdr:row>31</xdr:row>
      <xdr:rowOff>167704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CD89E-BD41-274D-A350-22902EC2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B82-79E4-D240-B699-0988FDB4B051}">
  <dimension ref="A1:BO156"/>
  <sheetViews>
    <sheetView topLeftCell="AI41" zoomScale="40" zoomScaleNormal="100" workbookViewId="0">
      <selection activeCell="BB106" sqref="BB106"/>
    </sheetView>
  </sheetViews>
  <sheetFormatPr baseColWidth="10" defaultRowHeight="16"/>
  <cols>
    <col min="2" max="2" width="38.33203125" customWidth="1"/>
    <col min="3" max="3" width="6.5" customWidth="1"/>
    <col min="4" max="4" width="17.1640625" customWidth="1"/>
    <col min="5" max="5" width="14" customWidth="1"/>
    <col min="6" max="6" width="13.1640625" customWidth="1"/>
    <col min="7" max="7" width="8.6640625" customWidth="1"/>
    <col min="8" max="8" width="10.83203125" customWidth="1"/>
    <col min="9" max="9" width="9.1640625" customWidth="1"/>
    <col min="10" max="10" width="10.6640625" customWidth="1"/>
    <col min="11" max="11" width="6.6640625" customWidth="1"/>
    <col min="12" max="12" width="9.5" customWidth="1"/>
    <col min="13" max="13" width="6.6640625" customWidth="1"/>
    <col min="14" max="14" width="8.33203125" customWidth="1"/>
    <col min="15" max="15" width="6.6640625" customWidth="1"/>
    <col min="16" max="16" width="8.83203125" customWidth="1"/>
    <col min="17" max="17" width="10.5" customWidth="1"/>
    <col min="18" max="18" width="16" customWidth="1"/>
    <col min="19" max="19" width="7.83203125" customWidth="1"/>
    <col min="20" max="20" width="12" customWidth="1"/>
    <col min="21" max="21" width="6.6640625" customWidth="1"/>
    <col min="22" max="22" width="12" customWidth="1"/>
    <col min="23" max="23" width="22.33203125" customWidth="1"/>
    <col min="24" max="24" width="15" customWidth="1"/>
    <col min="25" max="25" width="15.33203125" customWidth="1"/>
    <col min="26" max="26" width="20.6640625" customWidth="1"/>
    <col min="27" max="27" width="17.1640625" customWidth="1"/>
    <col min="28" max="28" width="12.83203125" customWidth="1"/>
    <col min="29" max="29" width="8.5" customWidth="1"/>
    <col min="31" max="31" width="24.6640625" customWidth="1"/>
    <col min="32" max="32" width="25.1640625" customWidth="1"/>
    <col min="33" max="33" width="21.33203125" customWidth="1"/>
    <col min="34" max="34" width="20.6640625" customWidth="1"/>
    <col min="35" max="35" width="17.6640625" customWidth="1"/>
    <col min="37" max="37" width="9.33203125" customWidth="1"/>
    <col min="39" max="39" width="9" customWidth="1"/>
    <col min="40" max="40" width="25.5" customWidth="1"/>
    <col min="41" max="41" width="8.33203125" customWidth="1"/>
    <col min="42" max="42" width="17.33203125" customWidth="1"/>
    <col min="43" max="43" width="20.5" customWidth="1"/>
    <col min="44" max="44" width="22" customWidth="1"/>
    <col min="45" max="45" width="25.5" customWidth="1"/>
    <col min="46" max="46" width="22.1640625" customWidth="1"/>
    <col min="49" max="49" width="14.33203125" customWidth="1"/>
  </cols>
  <sheetData>
    <row r="1" spans="2:50">
      <c r="B1" t="s">
        <v>0</v>
      </c>
    </row>
    <row r="2" spans="2:50">
      <c r="C2" s="1" t="s">
        <v>2</v>
      </c>
      <c r="E2" s="1"/>
      <c r="F2" s="1"/>
      <c r="G2" s="1" t="s">
        <v>3</v>
      </c>
      <c r="H2" s="1"/>
      <c r="I2" s="1" t="s">
        <v>4</v>
      </c>
      <c r="J2" s="1"/>
    </row>
    <row r="3" spans="2:50">
      <c r="C3" s="1" t="s">
        <v>2</v>
      </c>
      <c r="D3" s="1" t="s">
        <v>1</v>
      </c>
      <c r="E3" s="1"/>
      <c r="F3" s="1"/>
      <c r="G3" s="1" t="s">
        <v>3</v>
      </c>
      <c r="H3" s="1" t="s">
        <v>1</v>
      </c>
      <c r="J3" s="1" t="s">
        <v>1</v>
      </c>
      <c r="O3" s="1"/>
    </row>
    <row r="4" spans="2:50">
      <c r="C4" t="s">
        <v>5</v>
      </c>
      <c r="D4">
        <v>4</v>
      </c>
      <c r="G4" t="s">
        <v>5</v>
      </c>
    </row>
    <row r="5" spans="2:50">
      <c r="C5" t="s">
        <v>6</v>
      </c>
      <c r="D5">
        <v>3</v>
      </c>
      <c r="G5" t="s">
        <v>6</v>
      </c>
      <c r="AF5" t="s">
        <v>57</v>
      </c>
      <c r="AG5" t="s">
        <v>58</v>
      </c>
    </row>
    <row r="6" spans="2:50">
      <c r="C6" t="s">
        <v>103</v>
      </c>
      <c r="E6" s="1" t="s">
        <v>106</v>
      </c>
      <c r="G6" s="6" t="s">
        <v>7</v>
      </c>
      <c r="H6">
        <v>1</v>
      </c>
    </row>
    <row r="7" spans="2:50" ht="21">
      <c r="B7" s="2" t="s">
        <v>51</v>
      </c>
      <c r="C7">
        <f>59250-54803</f>
        <v>4447</v>
      </c>
      <c r="D7">
        <f>(C7*26873)/999999</f>
        <v>119.5043505043505</v>
      </c>
      <c r="E7">
        <f>D7*PI()*(0.5^2)^2</f>
        <v>23.464624351030452</v>
      </c>
      <c r="AC7" s="9"/>
      <c r="AD7" s="9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92</v>
      </c>
      <c r="AQ7" s="9" t="s">
        <v>61</v>
      </c>
      <c r="AR7" s="9" t="s">
        <v>108</v>
      </c>
      <c r="AS7" s="9" t="s">
        <v>97</v>
      </c>
      <c r="AT7" s="9"/>
      <c r="AU7" s="9" t="s">
        <v>100</v>
      </c>
      <c r="AX7" t="s">
        <v>101</v>
      </c>
    </row>
    <row r="8" spans="2:50">
      <c r="B8" s="5"/>
      <c r="C8" s="4" t="s">
        <v>9</v>
      </c>
      <c r="D8" s="4" t="s">
        <v>30</v>
      </c>
      <c r="E8" s="4" t="s">
        <v>10</v>
      </c>
      <c r="F8" s="4" t="s">
        <v>48</v>
      </c>
      <c r="G8" s="4" t="s">
        <v>11</v>
      </c>
      <c r="H8" s="4" t="s">
        <v>31</v>
      </c>
      <c r="I8" s="4" t="s">
        <v>12</v>
      </c>
      <c r="J8" s="4" t="s">
        <v>32</v>
      </c>
      <c r="K8" s="4" t="s">
        <v>13</v>
      </c>
      <c r="L8" s="4" t="s">
        <v>33</v>
      </c>
      <c r="M8" s="4" t="s">
        <v>14</v>
      </c>
      <c r="N8" s="4" t="s">
        <v>34</v>
      </c>
      <c r="O8" s="4" t="s">
        <v>15</v>
      </c>
      <c r="P8" s="4" t="s">
        <v>35</v>
      </c>
      <c r="Q8" s="4" t="s">
        <v>16</v>
      </c>
      <c r="R8" s="4" t="s">
        <v>36</v>
      </c>
      <c r="S8" s="4" t="s">
        <v>17</v>
      </c>
      <c r="T8" s="4" t="s">
        <v>37</v>
      </c>
      <c r="U8" s="4" t="s">
        <v>18</v>
      </c>
      <c r="V8" s="4" t="s">
        <v>38</v>
      </c>
      <c r="W8" s="4" t="s">
        <v>19</v>
      </c>
      <c r="X8" s="4" t="s">
        <v>39</v>
      </c>
      <c r="Y8" s="4" t="s">
        <v>20</v>
      </c>
      <c r="Z8" s="4" t="s">
        <v>40</v>
      </c>
      <c r="AA8" s="4" t="s">
        <v>29</v>
      </c>
      <c r="AB8" s="4" t="s">
        <v>41</v>
      </c>
      <c r="AC8" s="12" t="s">
        <v>54</v>
      </c>
      <c r="AD8" s="13" t="s">
        <v>55</v>
      </c>
      <c r="AE8" s="4" t="s">
        <v>56</v>
      </c>
      <c r="AF8" s="9" t="s">
        <v>59</v>
      </c>
      <c r="AG8" s="9"/>
      <c r="AH8" s="9"/>
      <c r="AI8" s="9"/>
      <c r="AJ8" s="9"/>
      <c r="AK8" s="9"/>
      <c r="AL8" s="9" t="s">
        <v>84</v>
      </c>
      <c r="AM8" s="9"/>
      <c r="AN8" s="5" t="s">
        <v>44</v>
      </c>
      <c r="AO8" s="9">
        <v>1</v>
      </c>
      <c r="AP8" s="11">
        <f>AO8*16</f>
        <v>16</v>
      </c>
      <c r="AQ8">
        <f>E7</f>
        <v>23.464624351030452</v>
      </c>
      <c r="AR8" s="17">
        <f>AP8/AQ$8</f>
        <v>0.68187752595738271</v>
      </c>
      <c r="AS8" s="17">
        <f>100*AP8/AP$34</f>
        <v>0.16273393002441008</v>
      </c>
      <c r="AU8" s="17">
        <v>848</v>
      </c>
      <c r="AW8">
        <f t="shared" ref="AW8:AW32" si="0">AS8/100</f>
        <v>1.6273393002441008E-3</v>
      </c>
      <c r="AX8">
        <v>0.27176566314076483</v>
      </c>
    </row>
    <row r="9" spans="2:50">
      <c r="B9" s="5" t="s">
        <v>21</v>
      </c>
      <c r="C9" s="3">
        <v>3</v>
      </c>
      <c r="D9">
        <f>C9/C$31</f>
        <v>8.8235294117647065E-2</v>
      </c>
      <c r="E9" s="3">
        <v>1</v>
      </c>
      <c r="F9">
        <f>(C9+E9)/E$31</f>
        <v>5.5555555555555552E-2</v>
      </c>
      <c r="G9" s="3">
        <v>2</v>
      </c>
      <c r="H9">
        <f>(C9+E9+G9)/G$31</f>
        <v>5.4054054054054057E-2</v>
      </c>
      <c r="I9" s="3">
        <v>4</v>
      </c>
      <c r="J9">
        <f>(C9+E9+G9+I9)/I$31</f>
        <v>6.4935064935064929E-2</v>
      </c>
      <c r="K9" s="3">
        <v>3</v>
      </c>
      <c r="L9">
        <f>SUM(C9,E9,G9,I9,K9)/K$31</f>
        <v>6.7010309278350513E-2</v>
      </c>
      <c r="M9" s="3">
        <v>7</v>
      </c>
      <c r="N9">
        <f>SUM(K9,I9,G9,E9,C9,M9)/M$31</f>
        <v>8.5470085470085472E-2</v>
      </c>
      <c r="O9" s="3">
        <v>7</v>
      </c>
      <c r="P9">
        <f>SUM(M9,O9,K9,I9,G9,E9,C9)/O$31</f>
        <v>9.4736842105263161E-2</v>
      </c>
      <c r="Q9" s="3">
        <v>3</v>
      </c>
      <c r="R9">
        <f>SUM(Q9,O9,M9,K9,I9,G9,E9,C9)/Q$31</f>
        <v>9.2592592592592587E-2</v>
      </c>
      <c r="S9" s="3">
        <v>7</v>
      </c>
      <c r="T9">
        <f>SUM(S9,Q9,O9,M9,K9,I9,G9,E9,C9)/S$31</f>
        <v>0.1</v>
      </c>
      <c r="U9" s="3">
        <v>9</v>
      </c>
      <c r="V9">
        <f>SUM(U9,S9,Q9,O9,M9,K9,I9,G9,E9,C9)/U$31</f>
        <v>0.1111111111111111</v>
      </c>
      <c r="W9" s="3">
        <v>7</v>
      </c>
      <c r="X9">
        <f>SUM(W9,U9,S9,Q9,O9,M9,K9,I9,G9,E9,C9)/W$31</f>
        <v>0.11521739130434783</v>
      </c>
      <c r="Y9" s="3">
        <v>11</v>
      </c>
      <c r="Z9">
        <f>SUM(Y9,W9,U9,S9,Q9,O9,M9,K9,I9,G9,E9,C9)/Y$31</f>
        <v>0.12573673870333987</v>
      </c>
      <c r="AA9" s="3">
        <v>10</v>
      </c>
      <c r="AB9">
        <f>SUM(AA9,Y9,W9,U9,S9,Q9,O9,M9,K9,I9,G9,E9,C9)/AA$31</f>
        <v>0.13097345132743363</v>
      </c>
      <c r="AC9" s="12">
        <f>SUM(AA9,Y9,W9,U9,S9,Q9,O9,M9,K9,I9,G9,E9,C9)</f>
        <v>74</v>
      </c>
      <c r="AD9" s="13">
        <f>AC9/AA$31</f>
        <v>0.13097345132743363</v>
      </c>
      <c r="AE9" s="4" t="s">
        <v>21</v>
      </c>
      <c r="AF9" s="8">
        <f>AC9*8</f>
        <v>592</v>
      </c>
      <c r="AG9" s="8"/>
      <c r="AH9" s="8"/>
      <c r="AI9" s="18"/>
      <c r="AJ9" s="8"/>
      <c r="AK9" s="8"/>
      <c r="AL9" s="16" t="s">
        <v>85</v>
      </c>
      <c r="AM9" s="8"/>
      <c r="AN9" s="5" t="s">
        <v>46</v>
      </c>
      <c r="AO9" s="8">
        <v>0</v>
      </c>
      <c r="AP9" s="11">
        <f t="shared" ref="AP9:AP32" si="1">AO9*16</f>
        <v>0</v>
      </c>
      <c r="AR9" s="17">
        <f t="shared" ref="AR9:AR32" si="2">AP9/AQ$8</f>
        <v>0</v>
      </c>
      <c r="AS9" s="17">
        <f t="shared" ref="AS9:AS32" si="3">100*AP9/AP$34</f>
        <v>0</v>
      </c>
      <c r="AU9" s="17">
        <v>160</v>
      </c>
      <c r="AW9">
        <f t="shared" si="0"/>
        <v>0</v>
      </c>
      <c r="AX9">
        <v>0.11228641171684296</v>
      </c>
    </row>
    <row r="10" spans="2:50">
      <c r="B10" s="5" t="s">
        <v>22</v>
      </c>
      <c r="C10" s="3"/>
      <c r="D10">
        <f t="shared" ref="D10:D29" si="4">C10/C$31</f>
        <v>0</v>
      </c>
      <c r="E10" s="3"/>
      <c r="F10">
        <f t="shared" ref="F10:F29" si="5">(C10+E10)/E$31</f>
        <v>0</v>
      </c>
      <c r="G10" s="3"/>
      <c r="H10">
        <f t="shared" ref="H10:H29" si="6">(C10+E10+G10)/G$31</f>
        <v>0</v>
      </c>
      <c r="I10" s="3"/>
      <c r="J10">
        <f t="shared" ref="J10:J27" si="7">(C10+E10+G10+I10)/I$31</f>
        <v>0</v>
      </c>
      <c r="K10" s="3">
        <v>2</v>
      </c>
      <c r="L10">
        <f t="shared" ref="L10:L25" si="8">SUM(C10,E10,G10,I10,K10)/K$31</f>
        <v>1.0309278350515464E-2</v>
      </c>
      <c r="M10" s="3"/>
      <c r="N10">
        <f t="shared" ref="N10:N27" si="9">SUM(K10,I10,G10,E10,C10,M10)/M$31</f>
        <v>8.5470085470085479E-3</v>
      </c>
      <c r="O10" s="3"/>
      <c r="P10">
        <f t="shared" ref="P10:P27" si="10">SUM(M10,O10,K10,I10,G10,E10,C10)/O$31</f>
        <v>7.0175438596491229E-3</v>
      </c>
      <c r="Q10" s="3"/>
      <c r="R10">
        <f t="shared" ref="R10:R27" si="11">SUM(Q10,O10,M10,K10,I10,G10,E10,C10)/Q$31</f>
        <v>6.1728395061728392E-3</v>
      </c>
      <c r="S10" s="3"/>
      <c r="T10">
        <f t="shared" ref="T10:T26" si="12">SUM(S10,Q10,O10,M10,K10,I10,G10,E10,C10)/S$31</f>
        <v>5.4054054054054057E-3</v>
      </c>
      <c r="U10" s="3">
        <v>1</v>
      </c>
      <c r="V10">
        <f t="shared" ref="V10:V27" si="13">SUM(U10,S10,Q10,O10,M10,K10,I10,G10,E10,C10)/U$31</f>
        <v>7.246376811594203E-3</v>
      </c>
      <c r="W10" s="3">
        <v>2</v>
      </c>
      <c r="X10">
        <f t="shared" ref="X10:X27" si="14">SUM(W10,U10,S10,Q10,O10,M10,K10,I10,G10,E10,C10)/W$31</f>
        <v>1.0869565217391304E-2</v>
      </c>
      <c r="Y10" s="3"/>
      <c r="Z10">
        <f t="shared" ref="Z10:Z27" si="15">SUM(Y10,W10,U10,S10,Q10,O10,M10,K10,I10,G10,E10,C10)/Y$31</f>
        <v>9.823182711198428E-3</v>
      </c>
      <c r="AA10" s="3"/>
      <c r="AB10">
        <f t="shared" ref="AB10:AB27" si="16">SUM(AA10,Y10,W10,U10,S10,Q10,O10,M10,K10,I10,G10,E10,C10)/AA$31</f>
        <v>8.8495575221238937E-3</v>
      </c>
      <c r="AC10" s="12">
        <f>SUM(C10,E10,G10,I10,K10,M10,O10,Q10,S10,W10,U10,Y10,AA10)</f>
        <v>5</v>
      </c>
      <c r="AD10" s="13">
        <f t="shared" ref="AD10:AD29" si="17">AC10/AA$31</f>
        <v>8.8495575221238937E-3</v>
      </c>
      <c r="AE10" s="4" t="s">
        <v>22</v>
      </c>
      <c r="AF10" s="8">
        <f t="shared" ref="AF10:AF27" si="18">AC10*8</f>
        <v>40</v>
      </c>
      <c r="AG10" s="8"/>
      <c r="AH10" s="8"/>
      <c r="AI10" s="18"/>
      <c r="AJ10" s="8"/>
      <c r="AK10" s="8"/>
      <c r="AL10" s="8"/>
      <c r="AM10" s="8"/>
      <c r="AN10" s="5" t="s">
        <v>22</v>
      </c>
      <c r="AO10" s="8">
        <v>5</v>
      </c>
      <c r="AP10" s="11">
        <f t="shared" si="1"/>
        <v>80</v>
      </c>
      <c r="AR10" s="17">
        <f t="shared" si="2"/>
        <v>3.4093876297869135</v>
      </c>
      <c r="AS10" s="17">
        <f t="shared" si="3"/>
        <v>0.8136696501220505</v>
      </c>
      <c r="AU10" s="17">
        <v>192</v>
      </c>
      <c r="AW10">
        <f t="shared" si="0"/>
        <v>8.1366965012205049E-3</v>
      </c>
      <c r="AX10">
        <v>0.10089503661513426</v>
      </c>
    </row>
    <row r="11" spans="2:50">
      <c r="B11" s="5" t="s">
        <v>23</v>
      </c>
      <c r="C11" s="3">
        <v>4</v>
      </c>
      <c r="D11">
        <f t="shared" si="4"/>
        <v>0.11764705882352941</v>
      </c>
      <c r="E11" s="3">
        <v>1</v>
      </c>
      <c r="F11">
        <f t="shared" si="5"/>
        <v>6.9444444444444448E-2</v>
      </c>
      <c r="G11" s="3">
        <v>1</v>
      </c>
      <c r="H11">
        <f t="shared" si="6"/>
        <v>5.4054054054054057E-2</v>
      </c>
      <c r="I11" s="3">
        <v>6</v>
      </c>
      <c r="J11">
        <f t="shared" si="7"/>
        <v>7.792207792207792E-2</v>
      </c>
      <c r="K11" s="3"/>
      <c r="L11">
        <f t="shared" si="8"/>
        <v>6.1855670103092786E-2</v>
      </c>
      <c r="M11" s="3">
        <v>2</v>
      </c>
      <c r="N11">
        <f t="shared" si="9"/>
        <v>5.9829059829059832E-2</v>
      </c>
      <c r="O11" s="3">
        <v>2</v>
      </c>
      <c r="P11">
        <f t="shared" si="10"/>
        <v>5.6140350877192984E-2</v>
      </c>
      <c r="Q11" s="3">
        <v>2</v>
      </c>
      <c r="R11">
        <f t="shared" si="11"/>
        <v>5.5555555555555552E-2</v>
      </c>
      <c r="S11" s="3">
        <v>3</v>
      </c>
      <c r="T11">
        <f t="shared" si="12"/>
        <v>5.675675675675676E-2</v>
      </c>
      <c r="U11" s="3">
        <v>2</v>
      </c>
      <c r="V11">
        <f t="shared" si="13"/>
        <v>5.5555555555555552E-2</v>
      </c>
      <c r="W11" s="3"/>
      <c r="X11">
        <f t="shared" si="14"/>
        <v>0.05</v>
      </c>
      <c r="Y11" s="3">
        <v>5</v>
      </c>
      <c r="Z11">
        <f t="shared" si="15"/>
        <v>5.50098231827112E-2</v>
      </c>
      <c r="AA11" s="3">
        <v>2</v>
      </c>
      <c r="AB11">
        <f t="shared" si="16"/>
        <v>5.3097345132743362E-2</v>
      </c>
      <c r="AC11" s="12">
        <f>SUM(C11,E11,G11,K11,I11,M11,O11,Q11,S11,U11,W11,Y11,AA11)</f>
        <v>30</v>
      </c>
      <c r="AD11" s="13">
        <f t="shared" si="17"/>
        <v>5.3097345132743362E-2</v>
      </c>
      <c r="AE11" s="4" t="s">
        <v>23</v>
      </c>
      <c r="AF11" s="8">
        <f t="shared" si="18"/>
        <v>240</v>
      </c>
      <c r="AG11" s="8"/>
      <c r="AH11" s="8"/>
      <c r="AI11" s="18"/>
      <c r="AJ11" s="8"/>
      <c r="AK11" s="8"/>
      <c r="AM11" s="8"/>
      <c r="AN11" s="4" t="s">
        <v>24</v>
      </c>
      <c r="AO11" s="8">
        <v>167</v>
      </c>
      <c r="AP11" s="11">
        <f t="shared" si="1"/>
        <v>2672</v>
      </c>
      <c r="AR11" s="17">
        <f t="shared" si="2"/>
        <v>113.8735468348829</v>
      </c>
      <c r="AS11" s="17">
        <f t="shared" si="3"/>
        <v>27.176566314076485</v>
      </c>
      <c r="AU11" s="17">
        <v>480</v>
      </c>
      <c r="AW11">
        <f t="shared" si="0"/>
        <v>0.27176566314076483</v>
      </c>
      <c r="AX11">
        <v>8.6248982912937339E-2</v>
      </c>
    </row>
    <row r="12" spans="2:50">
      <c r="B12" s="5" t="s">
        <v>24</v>
      </c>
      <c r="C12" s="3">
        <v>4</v>
      </c>
      <c r="D12">
        <f t="shared" si="4"/>
        <v>0.11764705882352941</v>
      </c>
      <c r="E12" s="3">
        <v>9</v>
      </c>
      <c r="F12">
        <f t="shared" si="5"/>
        <v>0.18055555555555555</v>
      </c>
      <c r="G12" s="3">
        <v>8</v>
      </c>
      <c r="H12">
        <f t="shared" si="6"/>
        <v>0.1891891891891892</v>
      </c>
      <c r="I12" s="3">
        <v>4</v>
      </c>
      <c r="J12">
        <f t="shared" si="7"/>
        <v>0.16233766233766234</v>
      </c>
      <c r="K12" s="3">
        <v>11</v>
      </c>
      <c r="L12">
        <f t="shared" si="8"/>
        <v>0.18556701030927836</v>
      </c>
      <c r="M12" s="3">
        <v>12</v>
      </c>
      <c r="N12">
        <f t="shared" si="9"/>
        <v>0.20512820512820512</v>
      </c>
      <c r="O12" s="3">
        <v>13</v>
      </c>
      <c r="P12">
        <f t="shared" si="10"/>
        <v>0.21403508771929824</v>
      </c>
      <c r="Q12" s="3">
        <v>10</v>
      </c>
      <c r="R12">
        <f t="shared" si="11"/>
        <v>0.2191358024691358</v>
      </c>
      <c r="S12" s="3">
        <v>13</v>
      </c>
      <c r="T12">
        <f t="shared" si="12"/>
        <v>0.22702702702702704</v>
      </c>
      <c r="U12" s="3">
        <v>14</v>
      </c>
      <c r="V12">
        <f t="shared" si="13"/>
        <v>0.23671497584541062</v>
      </c>
      <c r="W12" s="3">
        <v>18</v>
      </c>
      <c r="X12">
        <f t="shared" si="14"/>
        <v>0.25217391304347825</v>
      </c>
      <c r="Y12" s="3">
        <v>10</v>
      </c>
      <c r="Z12">
        <f t="shared" si="15"/>
        <v>0.2475442043222004</v>
      </c>
      <c r="AA12" s="3">
        <v>12</v>
      </c>
      <c r="AB12">
        <f t="shared" si="16"/>
        <v>0.24424778761061947</v>
      </c>
      <c r="AC12" s="12">
        <f>SUM(C12,E12,G12,I12,K12,M12,O12,Q12,S12,U12,W12,Y12,AA12)</f>
        <v>138</v>
      </c>
      <c r="AD12" s="13">
        <f t="shared" si="17"/>
        <v>0.24424778761061947</v>
      </c>
      <c r="AE12" s="4" t="s">
        <v>24</v>
      </c>
      <c r="AF12" s="8">
        <f t="shared" si="18"/>
        <v>1104</v>
      </c>
      <c r="AG12" s="8"/>
      <c r="AH12" s="8"/>
      <c r="AI12" s="18"/>
      <c r="AJ12" s="8"/>
      <c r="AK12" s="8"/>
      <c r="AL12" s="8"/>
      <c r="AM12" s="8"/>
      <c r="AN12" s="4" t="s">
        <v>70</v>
      </c>
      <c r="AO12" s="8">
        <v>12</v>
      </c>
      <c r="AP12" s="11">
        <f t="shared" si="1"/>
        <v>192</v>
      </c>
      <c r="AR12" s="17">
        <f t="shared" si="2"/>
        <v>8.1825303114885912</v>
      </c>
      <c r="AS12" s="17">
        <f t="shared" si="3"/>
        <v>1.9528071602929211</v>
      </c>
      <c r="AU12" s="17">
        <v>592</v>
      </c>
      <c r="AW12">
        <f t="shared" si="0"/>
        <v>1.9528071602929211E-2</v>
      </c>
      <c r="AX12">
        <v>6.346623270951994E-2</v>
      </c>
    </row>
    <row r="13" spans="2:50">
      <c r="B13" s="5" t="s">
        <v>45</v>
      </c>
      <c r="C13" s="3">
        <v>3</v>
      </c>
      <c r="D13">
        <f t="shared" si="4"/>
        <v>8.8235294117647065E-2</v>
      </c>
      <c r="E13" s="3">
        <v>1</v>
      </c>
      <c r="F13">
        <f t="shared" si="5"/>
        <v>5.5555555555555552E-2</v>
      </c>
      <c r="G13" s="3">
        <v>3</v>
      </c>
      <c r="H13">
        <f t="shared" si="6"/>
        <v>6.3063063063063057E-2</v>
      </c>
      <c r="I13" s="3">
        <v>2</v>
      </c>
      <c r="J13">
        <f t="shared" si="7"/>
        <v>5.844155844155844E-2</v>
      </c>
      <c r="K13" s="3">
        <v>3</v>
      </c>
      <c r="L13">
        <f t="shared" si="8"/>
        <v>6.1855670103092786E-2</v>
      </c>
      <c r="M13" s="3">
        <v>1</v>
      </c>
      <c r="N13">
        <f t="shared" si="9"/>
        <v>5.5555555555555552E-2</v>
      </c>
      <c r="O13" s="3"/>
      <c r="P13">
        <f t="shared" si="10"/>
        <v>4.5614035087719301E-2</v>
      </c>
      <c r="Q13" s="3">
        <v>1</v>
      </c>
      <c r="R13">
        <f t="shared" si="11"/>
        <v>4.3209876543209874E-2</v>
      </c>
      <c r="S13" s="3">
        <v>3</v>
      </c>
      <c r="T13">
        <f t="shared" si="12"/>
        <v>4.5945945945945948E-2</v>
      </c>
      <c r="U13" s="3">
        <v>4</v>
      </c>
      <c r="V13">
        <f t="shared" si="13"/>
        <v>5.0724637681159424E-2</v>
      </c>
      <c r="W13" s="3">
        <v>4</v>
      </c>
      <c r="X13">
        <f t="shared" si="14"/>
        <v>5.434782608695652E-2</v>
      </c>
      <c r="Y13" s="3">
        <v>5</v>
      </c>
      <c r="Z13">
        <f t="shared" si="15"/>
        <v>5.8939096267190572E-2</v>
      </c>
      <c r="AA13" s="3">
        <v>8</v>
      </c>
      <c r="AB13">
        <f t="shared" si="16"/>
        <v>6.7256637168141592E-2</v>
      </c>
      <c r="AC13" s="12">
        <f>SUM(C13,E13,G13,I13,K13,M13,O13,Q13,S13,U13,W13,Y13,AA13)</f>
        <v>38</v>
      </c>
      <c r="AD13" s="13">
        <f t="shared" si="17"/>
        <v>6.7256637168141592E-2</v>
      </c>
      <c r="AE13" s="4" t="s">
        <v>45</v>
      </c>
      <c r="AF13" s="8">
        <f t="shared" si="18"/>
        <v>304</v>
      </c>
      <c r="AG13" s="8"/>
      <c r="AH13" s="8"/>
      <c r="AI13" s="18"/>
      <c r="AJ13" s="8"/>
      <c r="AK13" s="8"/>
      <c r="AL13" s="8"/>
      <c r="AM13" s="8"/>
      <c r="AN13" s="4" t="s">
        <v>76</v>
      </c>
      <c r="AO13" s="8">
        <v>39</v>
      </c>
      <c r="AP13" s="11">
        <f t="shared" si="1"/>
        <v>624</v>
      </c>
      <c r="AR13" s="17">
        <f t="shared" si="2"/>
        <v>26.593223512337925</v>
      </c>
      <c r="AS13" s="17">
        <f t="shared" si="3"/>
        <v>6.3466232709519934</v>
      </c>
      <c r="AU13" s="17">
        <v>304</v>
      </c>
      <c r="AW13">
        <f t="shared" si="0"/>
        <v>6.346623270951994E-2</v>
      </c>
      <c r="AX13">
        <v>6.0211554109031729E-2</v>
      </c>
    </row>
    <row r="14" spans="2:50">
      <c r="B14" s="5" t="s">
        <v>25</v>
      </c>
      <c r="C14" s="3">
        <v>5</v>
      </c>
      <c r="D14">
        <f t="shared" si="4"/>
        <v>0.14705882352941177</v>
      </c>
      <c r="E14" s="3">
        <v>7</v>
      </c>
      <c r="F14">
        <f t="shared" si="5"/>
        <v>0.16666666666666666</v>
      </c>
      <c r="G14" s="3">
        <v>5</v>
      </c>
      <c r="H14">
        <f t="shared" si="6"/>
        <v>0.15315315315315314</v>
      </c>
      <c r="I14" s="3">
        <v>6</v>
      </c>
      <c r="J14">
        <f t="shared" si="7"/>
        <v>0.14935064935064934</v>
      </c>
      <c r="K14" s="3">
        <v>7</v>
      </c>
      <c r="L14">
        <f t="shared" si="8"/>
        <v>0.15463917525773196</v>
      </c>
      <c r="M14" s="3">
        <v>7</v>
      </c>
      <c r="N14">
        <f t="shared" si="9"/>
        <v>0.15811965811965811</v>
      </c>
      <c r="O14" s="3">
        <v>5</v>
      </c>
      <c r="P14">
        <f t="shared" si="10"/>
        <v>0.14736842105263157</v>
      </c>
      <c r="Q14" s="3">
        <v>4</v>
      </c>
      <c r="R14">
        <f t="shared" si="11"/>
        <v>0.1419753086419753</v>
      </c>
      <c r="S14" s="3">
        <v>9</v>
      </c>
      <c r="T14">
        <f t="shared" si="12"/>
        <v>0.14864864864864866</v>
      </c>
      <c r="U14" s="3">
        <v>3</v>
      </c>
      <c r="V14">
        <f t="shared" si="13"/>
        <v>0.14009661835748793</v>
      </c>
      <c r="W14" s="3">
        <v>2</v>
      </c>
      <c r="X14">
        <f t="shared" si="14"/>
        <v>0.13043478260869565</v>
      </c>
      <c r="Y14" s="3">
        <v>4</v>
      </c>
      <c r="Z14">
        <f t="shared" si="15"/>
        <v>0.12573673870333987</v>
      </c>
      <c r="AA14" s="3">
        <v>7</v>
      </c>
      <c r="AB14">
        <f t="shared" si="16"/>
        <v>0.1256637168141593</v>
      </c>
      <c r="AC14" s="12">
        <f>SUM(C14,E14,G14,I14,K14,M14,O14,Q14,S14,U14,W14,Y14,AA14)</f>
        <v>71</v>
      </c>
      <c r="AD14" s="13">
        <f t="shared" si="17"/>
        <v>0.1256637168141593</v>
      </c>
      <c r="AE14" s="4" t="s">
        <v>25</v>
      </c>
      <c r="AF14" s="8">
        <f>AC14*8</f>
        <v>568</v>
      </c>
      <c r="AG14" s="8"/>
      <c r="AH14" s="8"/>
      <c r="AI14" s="18"/>
      <c r="AJ14" s="8"/>
      <c r="AK14" s="8"/>
      <c r="AL14" s="8"/>
      <c r="AM14" s="8"/>
      <c r="AN14" s="4" t="s">
        <v>21</v>
      </c>
      <c r="AO14" s="8">
        <v>31</v>
      </c>
      <c r="AP14" s="11">
        <f t="shared" si="1"/>
        <v>496</v>
      </c>
      <c r="AR14" s="17">
        <f t="shared" si="2"/>
        <v>21.138203304678864</v>
      </c>
      <c r="AS14" s="17">
        <f t="shared" si="3"/>
        <v>5.044751830756713</v>
      </c>
      <c r="AU14" s="17">
        <v>496</v>
      </c>
      <c r="AW14">
        <f t="shared" si="0"/>
        <v>5.0447518307567128E-2</v>
      </c>
      <c r="AX14">
        <v>5.0447518307567128E-2</v>
      </c>
    </row>
    <row r="15" spans="2:50">
      <c r="B15" s="5" t="s">
        <v>46</v>
      </c>
      <c r="C15" s="3"/>
      <c r="D15">
        <f t="shared" si="4"/>
        <v>0</v>
      </c>
      <c r="E15" s="3">
        <v>1</v>
      </c>
      <c r="F15">
        <f t="shared" si="5"/>
        <v>1.3888888888888888E-2</v>
      </c>
      <c r="G15" s="3"/>
      <c r="H15">
        <f t="shared" si="6"/>
        <v>9.0090090090090089E-3</v>
      </c>
      <c r="I15" s="3"/>
      <c r="J15">
        <f t="shared" si="7"/>
        <v>6.4935064935064939E-3</v>
      </c>
      <c r="K15" s="3"/>
      <c r="L15">
        <f t="shared" si="8"/>
        <v>5.1546391752577319E-3</v>
      </c>
      <c r="M15" s="3"/>
      <c r="N15">
        <f t="shared" si="9"/>
        <v>4.2735042735042739E-3</v>
      </c>
      <c r="O15" s="3"/>
      <c r="P15">
        <f t="shared" si="10"/>
        <v>3.5087719298245615E-3</v>
      </c>
      <c r="Q15" s="3"/>
      <c r="R15">
        <f t="shared" si="11"/>
        <v>3.0864197530864196E-3</v>
      </c>
      <c r="S15" s="3"/>
      <c r="T15">
        <f t="shared" si="12"/>
        <v>2.7027027027027029E-3</v>
      </c>
      <c r="U15" s="3"/>
      <c r="V15">
        <f t="shared" si="13"/>
        <v>2.4154589371980675E-3</v>
      </c>
      <c r="W15" s="3"/>
      <c r="X15">
        <f t="shared" si="14"/>
        <v>2.1739130434782609E-3</v>
      </c>
      <c r="Y15" s="3"/>
      <c r="Z15">
        <f t="shared" si="15"/>
        <v>1.9646365422396855E-3</v>
      </c>
      <c r="AA15" s="3">
        <v>1</v>
      </c>
      <c r="AB15">
        <f t="shared" si="16"/>
        <v>3.5398230088495575E-3</v>
      </c>
      <c r="AC15" s="12">
        <f>SUM(C15,E15,G15,I15,K15,M15,O15,Q15,S15,U15,W15,Y15,AA15)</f>
        <v>2</v>
      </c>
      <c r="AD15" s="13">
        <f t="shared" si="17"/>
        <v>3.5398230088495575E-3</v>
      </c>
      <c r="AE15" s="4" t="s">
        <v>46</v>
      </c>
      <c r="AF15" s="8">
        <f t="shared" si="18"/>
        <v>16</v>
      </c>
      <c r="AG15" s="8"/>
      <c r="AH15" s="8"/>
      <c r="AI15" s="18"/>
      <c r="AJ15" s="8"/>
      <c r="AK15" s="8"/>
      <c r="AL15" s="8"/>
      <c r="AM15" s="8"/>
      <c r="AN15" s="4" t="s">
        <v>23</v>
      </c>
      <c r="AO15" s="8">
        <v>53</v>
      </c>
      <c r="AP15" s="11">
        <f t="shared" si="1"/>
        <v>848</v>
      </c>
      <c r="AR15" s="17">
        <f t="shared" si="2"/>
        <v>36.139508875741278</v>
      </c>
      <c r="AS15" s="17">
        <f t="shared" si="3"/>
        <v>8.624898291293734</v>
      </c>
      <c r="AU15" s="17">
        <v>304</v>
      </c>
      <c r="AW15">
        <f t="shared" si="0"/>
        <v>8.6248982912937339E-2</v>
      </c>
      <c r="AX15">
        <v>4.8820179007323022E-2</v>
      </c>
    </row>
    <row r="16" spans="2:50">
      <c r="B16" s="5" t="s">
        <v>47</v>
      </c>
      <c r="C16" s="3">
        <v>3</v>
      </c>
      <c r="D16">
        <f t="shared" si="4"/>
        <v>8.8235294117647065E-2</v>
      </c>
      <c r="E16" s="3">
        <v>5</v>
      </c>
      <c r="F16">
        <f t="shared" si="5"/>
        <v>0.1111111111111111</v>
      </c>
      <c r="G16" s="3">
        <v>7</v>
      </c>
      <c r="H16">
        <f t="shared" si="6"/>
        <v>0.13513513513513514</v>
      </c>
      <c r="I16" s="3">
        <v>3</v>
      </c>
      <c r="J16">
        <f t="shared" si="7"/>
        <v>0.11688311688311688</v>
      </c>
      <c r="K16" s="3">
        <v>6</v>
      </c>
      <c r="L16">
        <f t="shared" si="8"/>
        <v>0.12371134020618557</v>
      </c>
      <c r="M16" s="3">
        <v>4</v>
      </c>
      <c r="N16">
        <f t="shared" si="9"/>
        <v>0.11965811965811966</v>
      </c>
      <c r="O16" s="3">
        <v>3</v>
      </c>
      <c r="P16">
        <f t="shared" si="10"/>
        <v>0.10877192982456141</v>
      </c>
      <c r="Q16" s="3">
        <v>2</v>
      </c>
      <c r="R16">
        <f t="shared" si="11"/>
        <v>0.10185185185185185</v>
      </c>
      <c r="S16" s="3"/>
      <c r="T16">
        <f t="shared" si="12"/>
        <v>8.9189189189189194E-2</v>
      </c>
      <c r="U16" s="3">
        <v>1</v>
      </c>
      <c r="V16">
        <f t="shared" si="13"/>
        <v>8.2125603864734303E-2</v>
      </c>
      <c r="W16" s="3">
        <v>3</v>
      </c>
      <c r="X16">
        <f t="shared" si="14"/>
        <v>8.0434782608695646E-2</v>
      </c>
      <c r="Y16" s="3">
        <v>2</v>
      </c>
      <c r="Z16">
        <f t="shared" si="15"/>
        <v>7.6620825147347735E-2</v>
      </c>
      <c r="AA16" s="3">
        <v>2</v>
      </c>
      <c r="AB16">
        <f t="shared" si="16"/>
        <v>7.2566371681415928E-2</v>
      </c>
      <c r="AC16" s="12">
        <f>SUM(C16,E16,G16,I16,M16,K16,O16,S16,Q16,U16,W16,Y16,AA16)</f>
        <v>41</v>
      </c>
      <c r="AD16" s="13">
        <f t="shared" si="17"/>
        <v>7.2566371681415928E-2</v>
      </c>
      <c r="AE16" s="4" t="s">
        <v>47</v>
      </c>
      <c r="AF16" s="8">
        <f t="shared" si="18"/>
        <v>328</v>
      </c>
      <c r="AG16" s="8"/>
      <c r="AH16" s="8"/>
      <c r="AI16" s="18"/>
      <c r="AJ16" s="8"/>
      <c r="AK16" s="8"/>
      <c r="AL16" s="8"/>
      <c r="AM16" s="8"/>
      <c r="AN16" s="4" t="s">
        <v>45</v>
      </c>
      <c r="AO16" s="8">
        <v>30</v>
      </c>
      <c r="AP16" s="11">
        <f t="shared" si="1"/>
        <v>480</v>
      </c>
      <c r="AR16" s="17">
        <f t="shared" si="2"/>
        <v>20.456325778721482</v>
      </c>
      <c r="AS16" s="17">
        <f t="shared" si="3"/>
        <v>4.8820179007323024</v>
      </c>
      <c r="AU16" s="17">
        <v>288</v>
      </c>
      <c r="AW16">
        <f t="shared" si="0"/>
        <v>4.8820179007323022E-2</v>
      </c>
      <c r="AX16">
        <v>3.0919446704637917E-2</v>
      </c>
    </row>
    <row r="17" spans="2:50">
      <c r="B17" s="5" t="s">
        <v>44</v>
      </c>
      <c r="C17" s="3">
        <v>1</v>
      </c>
      <c r="D17">
        <f t="shared" si="4"/>
        <v>2.9411764705882353E-2</v>
      </c>
      <c r="E17" s="3"/>
      <c r="F17">
        <f>(C17+E17)/E$31</f>
        <v>1.3888888888888888E-2</v>
      </c>
      <c r="G17" s="3"/>
      <c r="H17">
        <f t="shared" si="6"/>
        <v>9.0090090090090089E-3</v>
      </c>
      <c r="I17" s="3"/>
      <c r="J17">
        <f t="shared" si="7"/>
        <v>6.4935064935064939E-3</v>
      </c>
      <c r="K17" s="3"/>
      <c r="L17">
        <f t="shared" si="8"/>
        <v>5.1546391752577319E-3</v>
      </c>
      <c r="M17" s="3"/>
      <c r="N17">
        <f t="shared" si="9"/>
        <v>4.2735042735042739E-3</v>
      </c>
      <c r="O17" s="3"/>
      <c r="P17">
        <f t="shared" si="10"/>
        <v>3.5087719298245615E-3</v>
      </c>
      <c r="Q17" s="3"/>
      <c r="R17">
        <f t="shared" si="11"/>
        <v>3.0864197530864196E-3</v>
      </c>
      <c r="S17" s="3"/>
      <c r="T17">
        <f t="shared" si="12"/>
        <v>2.7027027027027029E-3</v>
      </c>
      <c r="U17" s="3"/>
      <c r="V17">
        <f t="shared" si="13"/>
        <v>2.4154589371980675E-3</v>
      </c>
      <c r="W17" s="3"/>
      <c r="X17">
        <f t="shared" si="14"/>
        <v>2.1739130434782609E-3</v>
      </c>
      <c r="Y17" s="3"/>
      <c r="Z17">
        <f t="shared" si="15"/>
        <v>1.9646365422396855E-3</v>
      </c>
      <c r="AA17" s="3"/>
      <c r="AB17">
        <f t="shared" si="16"/>
        <v>1.7699115044247787E-3</v>
      </c>
      <c r="AC17" s="12">
        <f>SUM(C17,E17,G17,K17,I17,M17,O17,Q17,S17,U17,W17,Y17,AA17)</f>
        <v>1</v>
      </c>
      <c r="AD17" s="13">
        <f t="shared" si="17"/>
        <v>1.7699115044247787E-3</v>
      </c>
      <c r="AE17" s="4" t="s">
        <v>44</v>
      </c>
      <c r="AF17" s="8">
        <f t="shared" si="18"/>
        <v>8</v>
      </c>
      <c r="AG17" s="8"/>
      <c r="AH17" s="8"/>
      <c r="AI17" s="18"/>
      <c r="AJ17" s="8"/>
      <c r="AK17" s="8"/>
      <c r="AL17" s="8"/>
      <c r="AM17" s="8"/>
      <c r="AN17" s="4" t="s">
        <v>25</v>
      </c>
      <c r="AO17" s="8">
        <v>37</v>
      </c>
      <c r="AP17" s="11">
        <f t="shared" si="1"/>
        <v>592</v>
      </c>
      <c r="AR17" s="17">
        <f t="shared" si="2"/>
        <v>25.22946846042316</v>
      </c>
      <c r="AS17" s="17">
        <f t="shared" si="3"/>
        <v>6.0211554109031731</v>
      </c>
      <c r="AU17" s="17">
        <v>0</v>
      </c>
      <c r="AW17">
        <f t="shared" si="0"/>
        <v>6.0211554109031729E-2</v>
      </c>
      <c r="AX17">
        <v>3.0919446704637917E-2</v>
      </c>
    </row>
    <row r="18" spans="2:50">
      <c r="B18" s="5" t="s">
        <v>76</v>
      </c>
      <c r="C18" s="3"/>
      <c r="D18">
        <f t="shared" si="4"/>
        <v>0</v>
      </c>
      <c r="E18" s="3"/>
      <c r="F18">
        <f t="shared" si="5"/>
        <v>0</v>
      </c>
      <c r="G18" s="3">
        <v>3</v>
      </c>
      <c r="H18">
        <f t="shared" si="6"/>
        <v>2.7027027027027029E-2</v>
      </c>
      <c r="I18" s="3">
        <v>4</v>
      </c>
      <c r="J18">
        <f t="shared" si="7"/>
        <v>4.5454545454545456E-2</v>
      </c>
      <c r="K18" s="3">
        <v>1</v>
      </c>
      <c r="L18">
        <f t="shared" si="8"/>
        <v>4.1237113402061855E-2</v>
      </c>
      <c r="M18" s="3"/>
      <c r="N18">
        <f t="shared" si="9"/>
        <v>3.4188034188034191E-2</v>
      </c>
      <c r="O18" s="3"/>
      <c r="P18">
        <f t="shared" si="10"/>
        <v>2.8070175438596492E-2</v>
      </c>
      <c r="Q18" s="3">
        <v>1</v>
      </c>
      <c r="R18">
        <f t="shared" si="11"/>
        <v>2.7777777777777776E-2</v>
      </c>
      <c r="S18" s="3"/>
      <c r="T18">
        <f t="shared" si="12"/>
        <v>2.4324324324324326E-2</v>
      </c>
      <c r="U18" s="3">
        <v>3</v>
      </c>
      <c r="V18">
        <f t="shared" si="13"/>
        <v>2.8985507246376812E-2</v>
      </c>
      <c r="W18" s="3">
        <v>1</v>
      </c>
      <c r="X18">
        <f t="shared" si="14"/>
        <v>2.8260869565217391E-2</v>
      </c>
      <c r="Y18" s="3">
        <v>2</v>
      </c>
      <c r="Z18">
        <f t="shared" si="15"/>
        <v>2.9469548133595286E-2</v>
      </c>
      <c r="AA18" s="3">
        <v>5</v>
      </c>
      <c r="AB18">
        <f t="shared" si="16"/>
        <v>3.5398230088495575E-2</v>
      </c>
      <c r="AC18" s="12">
        <f>SUM(C18,E18,G18,I18,K18,M18,O18,Q18,S18,U18,W18,Y18,AA18)</f>
        <v>20</v>
      </c>
      <c r="AD18" s="13">
        <f t="shared" si="17"/>
        <v>3.5398230088495575E-2</v>
      </c>
      <c r="AE18" s="4" t="s">
        <v>43</v>
      </c>
      <c r="AF18" s="8">
        <f t="shared" si="18"/>
        <v>160</v>
      </c>
      <c r="AG18" s="8"/>
      <c r="AH18" s="8"/>
      <c r="AI18" s="18"/>
      <c r="AJ18" s="8"/>
      <c r="AK18" s="8"/>
      <c r="AL18" s="8"/>
      <c r="AM18" s="8"/>
      <c r="AN18" s="4" t="s">
        <v>47</v>
      </c>
      <c r="AO18" s="8">
        <v>19</v>
      </c>
      <c r="AP18" s="11">
        <f t="shared" si="1"/>
        <v>304</v>
      </c>
      <c r="AR18" s="17">
        <f t="shared" si="2"/>
        <v>12.955672993190271</v>
      </c>
      <c r="AS18" s="17">
        <f t="shared" si="3"/>
        <v>3.0919446704637918</v>
      </c>
      <c r="AU18" s="17">
        <v>4</v>
      </c>
      <c r="AW18">
        <f t="shared" si="0"/>
        <v>3.0919446704637917E-2</v>
      </c>
      <c r="AX18">
        <v>2.9292107404393818E-2</v>
      </c>
    </row>
    <row r="19" spans="2:50">
      <c r="B19" s="5" t="s">
        <v>27</v>
      </c>
      <c r="C19" s="3">
        <v>10</v>
      </c>
      <c r="D19">
        <f t="shared" si="4"/>
        <v>0.29411764705882354</v>
      </c>
      <c r="E19" s="3">
        <v>7</v>
      </c>
      <c r="F19">
        <f t="shared" si="5"/>
        <v>0.2361111111111111</v>
      </c>
      <c r="G19" s="3">
        <v>7</v>
      </c>
      <c r="H19">
        <f t="shared" si="6"/>
        <v>0.21621621621621623</v>
      </c>
      <c r="I19" s="3">
        <v>5</v>
      </c>
      <c r="J19">
        <f t="shared" si="7"/>
        <v>0.18831168831168832</v>
      </c>
      <c r="K19" s="3">
        <v>3</v>
      </c>
      <c r="L19">
        <f t="shared" si="8"/>
        <v>0.16494845360824742</v>
      </c>
      <c r="M19" s="3">
        <v>4</v>
      </c>
      <c r="N19">
        <f t="shared" si="9"/>
        <v>0.15384615384615385</v>
      </c>
      <c r="O19" s="3">
        <v>8</v>
      </c>
      <c r="P19">
        <f t="shared" si="10"/>
        <v>0.15438596491228071</v>
      </c>
      <c r="Q19" s="3">
        <v>7</v>
      </c>
      <c r="R19">
        <f t="shared" si="11"/>
        <v>0.15740740740740741</v>
      </c>
      <c r="S19" s="3">
        <v>5</v>
      </c>
      <c r="T19">
        <f t="shared" si="12"/>
        <v>0.15135135135135136</v>
      </c>
      <c r="U19" s="3">
        <v>2</v>
      </c>
      <c r="V19">
        <f t="shared" si="13"/>
        <v>0.14009661835748793</v>
      </c>
      <c r="W19" s="3">
        <v>4</v>
      </c>
      <c r="X19">
        <f t="shared" si="14"/>
        <v>0.13478260869565217</v>
      </c>
      <c r="Y19" s="3">
        <v>3</v>
      </c>
      <c r="Z19">
        <f t="shared" si="15"/>
        <v>0.12770137524557956</v>
      </c>
      <c r="AA19" s="3">
        <v>4</v>
      </c>
      <c r="AB19">
        <f t="shared" si="16"/>
        <v>0.12212389380530973</v>
      </c>
      <c r="AC19" s="12">
        <f>SUM(C19,E19,G19,I19,K19,M19,O19,Q19,S19,U19,W19,Y19,AA19)</f>
        <v>69</v>
      </c>
      <c r="AD19" s="13">
        <f t="shared" si="17"/>
        <v>0.12212389380530973</v>
      </c>
      <c r="AE19" s="4" t="s">
        <v>27</v>
      </c>
      <c r="AF19" s="8">
        <f t="shared" si="18"/>
        <v>552</v>
      </c>
      <c r="AG19" s="8"/>
      <c r="AH19" s="8"/>
      <c r="AI19" s="18"/>
      <c r="AJ19" s="8"/>
      <c r="AK19" s="8"/>
      <c r="AL19" s="8"/>
      <c r="AM19" s="8"/>
      <c r="AN19" s="4" t="s">
        <v>75</v>
      </c>
      <c r="AO19" s="8">
        <v>62</v>
      </c>
      <c r="AP19" s="11">
        <f t="shared" si="1"/>
        <v>992</v>
      </c>
      <c r="AR19" s="17">
        <f t="shared" si="2"/>
        <v>42.276406609357728</v>
      </c>
      <c r="AS19" s="17">
        <f t="shared" si="3"/>
        <v>10.089503661513426</v>
      </c>
      <c r="AU19" s="17">
        <v>624</v>
      </c>
      <c r="AW19">
        <f t="shared" si="0"/>
        <v>0.10089503661513426</v>
      </c>
      <c r="AX19">
        <v>1.9528071602929211E-2</v>
      </c>
    </row>
    <row r="20" spans="2:50">
      <c r="B20" s="5" t="s">
        <v>53</v>
      </c>
      <c r="C20" s="3"/>
      <c r="D20">
        <f t="shared" si="4"/>
        <v>0</v>
      </c>
      <c r="E20" s="3"/>
      <c r="F20">
        <f t="shared" si="5"/>
        <v>0</v>
      </c>
      <c r="G20" s="3"/>
      <c r="H20">
        <f t="shared" si="6"/>
        <v>0</v>
      </c>
      <c r="I20" s="3"/>
      <c r="J20">
        <f t="shared" si="7"/>
        <v>0</v>
      </c>
      <c r="K20" s="3">
        <v>1</v>
      </c>
      <c r="L20">
        <f t="shared" si="8"/>
        <v>5.1546391752577319E-3</v>
      </c>
      <c r="M20" s="3"/>
      <c r="N20">
        <f t="shared" si="9"/>
        <v>4.2735042735042739E-3</v>
      </c>
      <c r="O20" s="3">
        <v>2</v>
      </c>
      <c r="P20">
        <f t="shared" si="10"/>
        <v>1.0526315789473684E-2</v>
      </c>
      <c r="Q20" s="3">
        <v>2</v>
      </c>
      <c r="R20">
        <f t="shared" si="11"/>
        <v>1.5432098765432098E-2</v>
      </c>
      <c r="S20" s="3"/>
      <c r="T20">
        <f t="shared" si="12"/>
        <v>1.3513513513513514E-2</v>
      </c>
      <c r="U20" s="3"/>
      <c r="V20">
        <f t="shared" si="13"/>
        <v>1.2077294685990338E-2</v>
      </c>
      <c r="W20" s="3">
        <v>1</v>
      </c>
      <c r="X20">
        <f t="shared" si="14"/>
        <v>1.3043478260869565E-2</v>
      </c>
      <c r="Y20" s="3"/>
      <c r="Z20">
        <f t="shared" si="15"/>
        <v>1.1787819253438114E-2</v>
      </c>
      <c r="AA20" s="3">
        <v>1</v>
      </c>
      <c r="AB20">
        <f t="shared" si="16"/>
        <v>1.2389380530973451E-2</v>
      </c>
      <c r="AC20" s="12">
        <f>SUM(AA20,W20,Q20,O20,K20)</f>
        <v>7</v>
      </c>
      <c r="AD20" s="13">
        <f t="shared" si="17"/>
        <v>1.2389380530973451E-2</v>
      </c>
      <c r="AE20" s="4" t="s">
        <v>53</v>
      </c>
      <c r="AF20" s="8">
        <f t="shared" si="18"/>
        <v>56</v>
      </c>
      <c r="AG20" s="8"/>
      <c r="AH20" s="8"/>
      <c r="AI20" s="18"/>
      <c r="AJ20" s="8"/>
      <c r="AK20" s="8"/>
      <c r="AL20" s="8"/>
      <c r="AM20" s="8"/>
      <c r="AN20" s="5" t="s">
        <v>27</v>
      </c>
      <c r="AO20" s="8">
        <v>69</v>
      </c>
      <c r="AP20" s="11">
        <f t="shared" si="1"/>
        <v>1104</v>
      </c>
      <c r="AR20" s="17">
        <f t="shared" si="2"/>
        <v>47.049549291059407</v>
      </c>
      <c r="AS20" s="17">
        <f t="shared" si="3"/>
        <v>11.228641171684297</v>
      </c>
      <c r="AU20" s="17">
        <v>16</v>
      </c>
      <c r="AW20">
        <f t="shared" si="0"/>
        <v>0.11228641171684296</v>
      </c>
      <c r="AX20">
        <v>1.627339300244101E-2</v>
      </c>
    </row>
    <row r="21" spans="2:50">
      <c r="B21" s="5" t="s">
        <v>43</v>
      </c>
      <c r="C21" s="3"/>
      <c r="E21" s="3"/>
      <c r="G21" s="3"/>
      <c r="I21" s="3"/>
      <c r="K21" s="3"/>
      <c r="M21" s="3"/>
      <c r="O21" s="3"/>
      <c r="P21">
        <f t="shared" si="10"/>
        <v>0</v>
      </c>
      <c r="Q21" s="3"/>
      <c r="R21">
        <f t="shared" si="11"/>
        <v>0</v>
      </c>
      <c r="S21" s="3"/>
      <c r="T21">
        <f t="shared" si="12"/>
        <v>0</v>
      </c>
      <c r="U21" s="3"/>
      <c r="V21">
        <f t="shared" si="13"/>
        <v>0</v>
      </c>
      <c r="W21" s="3"/>
      <c r="X21">
        <f t="shared" si="14"/>
        <v>0</v>
      </c>
      <c r="Y21" s="3"/>
      <c r="Z21">
        <f t="shared" si="15"/>
        <v>0</v>
      </c>
      <c r="AA21" s="3"/>
      <c r="AB21">
        <f t="shared" si="16"/>
        <v>0</v>
      </c>
      <c r="AC21" s="12"/>
      <c r="AD21" s="13">
        <f t="shared" si="17"/>
        <v>0</v>
      </c>
      <c r="AE21" s="4"/>
      <c r="AF21" s="8"/>
      <c r="AG21" s="8"/>
      <c r="AH21" s="8"/>
      <c r="AI21" s="18"/>
      <c r="AJ21" s="8"/>
      <c r="AK21" s="8"/>
      <c r="AL21" s="8"/>
      <c r="AM21" s="8"/>
      <c r="AN21" s="5" t="s">
        <v>53</v>
      </c>
      <c r="AO21" s="8">
        <v>7</v>
      </c>
      <c r="AP21" s="11">
        <f t="shared" si="1"/>
        <v>112</v>
      </c>
      <c r="AR21" s="17">
        <f t="shared" si="2"/>
        <v>4.7731426817016782</v>
      </c>
      <c r="AS21" s="17">
        <f t="shared" si="3"/>
        <v>1.1391375101708707</v>
      </c>
      <c r="AU21" s="17">
        <v>1</v>
      </c>
      <c r="AW21">
        <f t="shared" si="0"/>
        <v>1.1391375101708708E-2</v>
      </c>
      <c r="AX21">
        <v>1.627339300244101E-2</v>
      </c>
    </row>
    <row r="22" spans="2:50">
      <c r="B22" s="5" t="s">
        <v>7</v>
      </c>
      <c r="C22" s="3"/>
      <c r="D22">
        <f t="shared" si="4"/>
        <v>0</v>
      </c>
      <c r="E22" s="3">
        <v>2</v>
      </c>
      <c r="F22">
        <f t="shared" si="5"/>
        <v>2.7777777777777776E-2</v>
      </c>
      <c r="G22" s="3"/>
      <c r="H22">
        <f t="shared" si="6"/>
        <v>1.8018018018018018E-2</v>
      </c>
      <c r="I22" s="3">
        <v>4</v>
      </c>
      <c r="J22">
        <f t="shared" si="7"/>
        <v>3.896103896103896E-2</v>
      </c>
      <c r="K22" s="3"/>
      <c r="L22">
        <f t="shared" si="8"/>
        <v>3.0927835051546393E-2</v>
      </c>
      <c r="M22" s="3"/>
      <c r="N22">
        <f t="shared" si="9"/>
        <v>2.564102564102564E-2</v>
      </c>
      <c r="O22" s="3">
        <v>1</v>
      </c>
      <c r="P22">
        <f t="shared" si="10"/>
        <v>2.456140350877193E-2</v>
      </c>
      <c r="Q22" s="3">
        <v>2</v>
      </c>
      <c r="R22">
        <f t="shared" si="11"/>
        <v>2.7777777777777776E-2</v>
      </c>
      <c r="S22" s="3"/>
      <c r="T22">
        <f t="shared" si="12"/>
        <v>2.4324324324324326E-2</v>
      </c>
      <c r="U22" s="3"/>
      <c r="V22">
        <f t="shared" si="13"/>
        <v>2.1739130434782608E-2</v>
      </c>
      <c r="W22" s="3"/>
      <c r="X22">
        <f t="shared" si="14"/>
        <v>1.9565217391304349E-2</v>
      </c>
      <c r="Y22" s="3"/>
      <c r="Z22">
        <f t="shared" si="15"/>
        <v>1.768172888015717E-2</v>
      </c>
      <c r="AA22" s="3"/>
      <c r="AB22">
        <f t="shared" si="16"/>
        <v>1.5929203539823009E-2</v>
      </c>
      <c r="AC22" s="12">
        <f>SUM(Q22,O22,I22)</f>
        <v>7</v>
      </c>
      <c r="AD22" s="13">
        <f t="shared" si="17"/>
        <v>1.2389380530973451E-2</v>
      </c>
      <c r="AE22" s="4" t="s">
        <v>7</v>
      </c>
      <c r="AF22" s="8">
        <f t="shared" si="18"/>
        <v>56</v>
      </c>
      <c r="AG22" s="8"/>
      <c r="AH22" s="8"/>
      <c r="AI22" s="18"/>
      <c r="AJ22" s="8"/>
      <c r="AK22" s="8"/>
      <c r="AL22" s="8"/>
      <c r="AM22" s="8"/>
      <c r="AN22" s="5" t="s">
        <v>49</v>
      </c>
      <c r="AO22" s="8">
        <v>6</v>
      </c>
      <c r="AP22" s="11">
        <f t="shared" si="1"/>
        <v>96</v>
      </c>
      <c r="AR22" s="17">
        <f t="shared" si="2"/>
        <v>4.0912651557442956</v>
      </c>
      <c r="AS22" s="17">
        <f t="shared" si="3"/>
        <v>0.97640358014646056</v>
      </c>
      <c r="AU22" s="17">
        <v>64</v>
      </c>
      <c r="AW22">
        <f t="shared" si="0"/>
        <v>9.7640358014646055E-3</v>
      </c>
      <c r="AX22">
        <v>1.4646053702196909E-2</v>
      </c>
    </row>
    <row r="23" spans="2:50">
      <c r="B23" s="5" t="s">
        <v>26</v>
      </c>
      <c r="C23" s="3"/>
      <c r="D23">
        <f t="shared" si="4"/>
        <v>0</v>
      </c>
      <c r="E23" s="3">
        <v>1</v>
      </c>
      <c r="F23">
        <f t="shared" si="5"/>
        <v>1.3888888888888888E-2</v>
      </c>
      <c r="G23" s="3"/>
      <c r="H23">
        <f t="shared" si="6"/>
        <v>9.0090090090090089E-3</v>
      </c>
      <c r="I23" s="3">
        <v>1</v>
      </c>
      <c r="J23">
        <f t="shared" si="7"/>
        <v>1.2987012987012988E-2</v>
      </c>
      <c r="K23" s="3"/>
      <c r="L23">
        <f t="shared" si="8"/>
        <v>1.0309278350515464E-2</v>
      </c>
      <c r="M23" s="3"/>
      <c r="N23">
        <f t="shared" si="9"/>
        <v>8.5470085470085479E-3</v>
      </c>
      <c r="O23" s="3">
        <v>1</v>
      </c>
      <c r="P23">
        <f t="shared" si="10"/>
        <v>1.0526315789473684E-2</v>
      </c>
      <c r="Q23" s="3"/>
      <c r="R23">
        <f t="shared" si="11"/>
        <v>9.2592592592592587E-3</v>
      </c>
      <c r="S23" s="3"/>
      <c r="T23">
        <f t="shared" si="12"/>
        <v>8.1081081081081086E-3</v>
      </c>
      <c r="U23" s="3"/>
      <c r="V23">
        <f t="shared" si="13"/>
        <v>7.246376811594203E-3</v>
      </c>
      <c r="W23" s="3">
        <v>1</v>
      </c>
      <c r="X23">
        <f t="shared" si="14"/>
        <v>8.6956521739130436E-3</v>
      </c>
      <c r="Y23" s="3">
        <v>2</v>
      </c>
      <c r="Z23">
        <f t="shared" si="15"/>
        <v>1.1787819253438114E-2</v>
      </c>
      <c r="AA23" s="3"/>
      <c r="AB23">
        <f t="shared" si="16"/>
        <v>1.0619469026548672E-2</v>
      </c>
      <c r="AC23" s="12">
        <f>SUM(E23,I23,O23,W23,Y23)</f>
        <v>6</v>
      </c>
      <c r="AD23" s="13">
        <f t="shared" si="17"/>
        <v>1.0619469026548672E-2</v>
      </c>
      <c r="AE23" s="4" t="s">
        <v>26</v>
      </c>
      <c r="AF23" s="8">
        <f t="shared" si="18"/>
        <v>48</v>
      </c>
      <c r="AG23" s="8"/>
      <c r="AH23" s="8"/>
      <c r="AI23" s="18"/>
      <c r="AJ23" s="8"/>
      <c r="AK23" s="8"/>
      <c r="AL23" s="8"/>
      <c r="AM23" s="8"/>
      <c r="AN23" s="5" t="s">
        <v>65</v>
      </c>
      <c r="AO23" s="8">
        <v>1</v>
      </c>
      <c r="AP23" s="11">
        <v>1</v>
      </c>
      <c r="AR23" s="17">
        <f t="shared" si="2"/>
        <v>4.261734537233642E-2</v>
      </c>
      <c r="AS23" s="17">
        <f t="shared" si="3"/>
        <v>1.017087062652563E-2</v>
      </c>
      <c r="AU23" s="17">
        <v>160</v>
      </c>
      <c r="AW23">
        <f t="shared" si="0"/>
        <v>1.017087062652563E-4</v>
      </c>
      <c r="AX23">
        <v>1.1391375101708708E-2</v>
      </c>
    </row>
    <row r="24" spans="2:50">
      <c r="B24" s="5" t="s">
        <v>49</v>
      </c>
      <c r="C24" s="3"/>
      <c r="D24">
        <f t="shared" si="4"/>
        <v>0</v>
      </c>
      <c r="E24" s="3">
        <v>1</v>
      </c>
      <c r="F24">
        <f t="shared" si="5"/>
        <v>1.3888888888888888E-2</v>
      </c>
      <c r="G24" s="3"/>
      <c r="H24">
        <f t="shared" si="6"/>
        <v>9.0090090090090089E-3</v>
      </c>
      <c r="I24" s="3"/>
      <c r="J24">
        <f t="shared" si="7"/>
        <v>6.4935064935064939E-3</v>
      </c>
      <c r="K24" s="3"/>
      <c r="L24">
        <f t="shared" si="8"/>
        <v>5.1546391752577319E-3</v>
      </c>
      <c r="M24" s="3"/>
      <c r="N24">
        <f t="shared" si="9"/>
        <v>4.2735042735042739E-3</v>
      </c>
      <c r="O24" s="3"/>
      <c r="P24">
        <f t="shared" si="10"/>
        <v>3.5087719298245615E-3</v>
      </c>
      <c r="Q24" s="3">
        <v>2</v>
      </c>
      <c r="R24">
        <f t="shared" si="11"/>
        <v>9.2592592592592587E-3</v>
      </c>
      <c r="S24" s="3">
        <v>3</v>
      </c>
      <c r="T24">
        <f t="shared" si="12"/>
        <v>1.6216216216216217E-2</v>
      </c>
      <c r="U24" s="3"/>
      <c r="V24">
        <f t="shared" si="13"/>
        <v>1.4492753623188406E-2</v>
      </c>
      <c r="W24" s="3"/>
      <c r="X24">
        <f t="shared" si="14"/>
        <v>1.3043478260869565E-2</v>
      </c>
      <c r="Y24" s="3">
        <v>1</v>
      </c>
      <c r="Z24">
        <f t="shared" si="15"/>
        <v>1.37524557956778E-2</v>
      </c>
      <c r="AA24" s="3"/>
      <c r="AB24">
        <f t="shared" si="16"/>
        <v>1.2389380530973451E-2</v>
      </c>
      <c r="AC24" s="12">
        <f>SUM(Y24,S24,Q24)</f>
        <v>6</v>
      </c>
      <c r="AD24" s="13">
        <f t="shared" si="17"/>
        <v>1.0619469026548672E-2</v>
      </c>
      <c r="AE24" s="4" t="s">
        <v>49</v>
      </c>
      <c r="AF24" s="8">
        <f t="shared" si="18"/>
        <v>48</v>
      </c>
      <c r="AG24" s="8"/>
      <c r="AH24" s="8"/>
      <c r="AI24" s="18"/>
      <c r="AJ24" s="8"/>
      <c r="AK24" s="8"/>
      <c r="AL24" s="8"/>
      <c r="AM24" s="8"/>
      <c r="AN24" s="5" t="s">
        <v>26</v>
      </c>
      <c r="AO24" s="8">
        <v>6</v>
      </c>
      <c r="AP24" s="11">
        <f t="shared" si="1"/>
        <v>96</v>
      </c>
      <c r="AR24" s="17">
        <f t="shared" si="2"/>
        <v>4.0912651557442956</v>
      </c>
      <c r="AS24" s="17">
        <f t="shared" si="3"/>
        <v>0.97640358014646056</v>
      </c>
      <c r="AU24" s="17">
        <v>144</v>
      </c>
      <c r="AW24">
        <f t="shared" si="0"/>
        <v>9.7640358014646055E-3</v>
      </c>
      <c r="AX24">
        <v>9.7640358014646055E-3</v>
      </c>
    </row>
    <row r="25" spans="2:50">
      <c r="B25" s="7" t="s">
        <v>69</v>
      </c>
      <c r="C25" s="3"/>
      <c r="D25">
        <f t="shared" si="4"/>
        <v>0</v>
      </c>
      <c r="E25" s="3"/>
      <c r="F25">
        <f t="shared" si="5"/>
        <v>0</v>
      </c>
      <c r="G25" s="3">
        <v>2</v>
      </c>
      <c r="H25">
        <f t="shared" si="6"/>
        <v>1.8018018018018018E-2</v>
      </c>
      <c r="I25" s="3"/>
      <c r="J25">
        <f t="shared" si="7"/>
        <v>1.2987012987012988E-2</v>
      </c>
      <c r="K25" s="3"/>
      <c r="L25">
        <f t="shared" si="8"/>
        <v>1.0309278350515464E-2</v>
      </c>
      <c r="M25" s="3">
        <v>1</v>
      </c>
      <c r="N25">
        <f t="shared" si="9"/>
        <v>1.282051282051282E-2</v>
      </c>
      <c r="O25" s="3">
        <v>5</v>
      </c>
      <c r="P25">
        <f t="shared" si="10"/>
        <v>2.8070175438596492E-2</v>
      </c>
      <c r="Q25" s="3">
        <v>1</v>
      </c>
      <c r="R25">
        <f t="shared" si="11"/>
        <v>2.7777777777777776E-2</v>
      </c>
      <c r="S25" s="3">
        <v>1</v>
      </c>
      <c r="T25">
        <f t="shared" si="12"/>
        <v>2.7027027027027029E-2</v>
      </c>
      <c r="U25" s="3">
        <v>1</v>
      </c>
      <c r="V25">
        <f t="shared" si="13"/>
        <v>2.6570048309178744E-2</v>
      </c>
      <c r="W25" s="3">
        <v>1</v>
      </c>
      <c r="X25">
        <f t="shared" si="14"/>
        <v>2.6086956521739129E-2</v>
      </c>
      <c r="Y25" s="3">
        <v>3</v>
      </c>
      <c r="Z25">
        <f t="shared" si="15"/>
        <v>2.9469548133595286E-2</v>
      </c>
      <c r="AA25" s="3">
        <v>3</v>
      </c>
      <c r="AB25">
        <f t="shared" si="16"/>
        <v>3.1858407079646017E-2</v>
      </c>
      <c r="AC25" s="12">
        <f>SUM(AA25,Y25,W25,U25,S25,Q25,O25,M25,K25,I25,G25)</f>
        <v>18</v>
      </c>
      <c r="AD25" s="13">
        <f t="shared" si="17"/>
        <v>3.1858407079646017E-2</v>
      </c>
      <c r="AE25" s="4" t="s">
        <v>50</v>
      </c>
      <c r="AF25" s="8">
        <f t="shared" si="18"/>
        <v>144</v>
      </c>
      <c r="AG25" s="8"/>
      <c r="AH25" s="8"/>
      <c r="AI25" s="18"/>
      <c r="AJ25" s="8"/>
      <c r="AK25" s="8"/>
      <c r="AL25" s="8"/>
      <c r="AM25" s="8"/>
      <c r="AN25" s="5" t="s">
        <v>6</v>
      </c>
      <c r="AO25" s="8">
        <v>3</v>
      </c>
      <c r="AP25" s="11">
        <v>3</v>
      </c>
      <c r="AR25" s="17">
        <f t="shared" si="2"/>
        <v>0.12785203611700924</v>
      </c>
      <c r="AS25" s="17">
        <f t="shared" si="3"/>
        <v>3.0512611879576892E-2</v>
      </c>
      <c r="AU25" s="17">
        <v>96</v>
      </c>
      <c r="AW25">
        <f t="shared" si="0"/>
        <v>3.0512611879576892E-4</v>
      </c>
      <c r="AX25">
        <v>9.7640358014646055E-3</v>
      </c>
    </row>
    <row r="26" spans="2:50">
      <c r="B26" s="7" t="s">
        <v>28</v>
      </c>
      <c r="C26" s="3"/>
      <c r="D26">
        <f t="shared" si="4"/>
        <v>0</v>
      </c>
      <c r="E26" s="3"/>
      <c r="F26">
        <f t="shared" si="5"/>
        <v>0</v>
      </c>
      <c r="G26" s="3"/>
      <c r="H26">
        <f t="shared" si="6"/>
        <v>0</v>
      </c>
      <c r="I26" s="3">
        <v>1</v>
      </c>
      <c r="J26">
        <f t="shared" si="7"/>
        <v>6.4935064935064939E-3</v>
      </c>
      <c r="K26" s="3"/>
      <c r="L26">
        <f>SUM(C26,E26,G26,I26,K26)/K$31</f>
        <v>5.1546391752577319E-3</v>
      </c>
      <c r="M26" s="3"/>
      <c r="N26">
        <f t="shared" si="9"/>
        <v>4.2735042735042739E-3</v>
      </c>
      <c r="O26" s="3"/>
      <c r="P26">
        <f t="shared" si="10"/>
        <v>3.5087719298245615E-3</v>
      </c>
      <c r="Q26" s="3"/>
      <c r="R26">
        <f t="shared" si="11"/>
        <v>3.0864197530864196E-3</v>
      </c>
      <c r="S26" s="3"/>
      <c r="T26">
        <f t="shared" si="12"/>
        <v>2.7027027027027029E-3</v>
      </c>
      <c r="U26" s="3">
        <v>1</v>
      </c>
      <c r="V26">
        <f t="shared" si="13"/>
        <v>4.830917874396135E-3</v>
      </c>
      <c r="W26" s="3">
        <v>1</v>
      </c>
      <c r="X26">
        <f t="shared" si="14"/>
        <v>6.5217391304347823E-3</v>
      </c>
      <c r="Y26" s="3">
        <v>1</v>
      </c>
      <c r="Z26">
        <f t="shared" si="15"/>
        <v>7.8585461689587421E-3</v>
      </c>
      <c r="AA26" s="3"/>
      <c r="AB26">
        <f t="shared" si="16"/>
        <v>7.0796460176991149E-3</v>
      </c>
      <c r="AC26" s="12">
        <f>SUM(Y26,W26,U26,I26)</f>
        <v>4</v>
      </c>
      <c r="AD26" s="13">
        <f t="shared" si="17"/>
        <v>7.0796460176991149E-3</v>
      </c>
      <c r="AE26" s="4" t="s">
        <v>28</v>
      </c>
      <c r="AF26" s="8">
        <f t="shared" si="18"/>
        <v>32</v>
      </c>
      <c r="AG26" s="8"/>
      <c r="AH26" s="8"/>
      <c r="AI26" s="18"/>
      <c r="AJ26" s="8"/>
      <c r="AK26" s="8"/>
      <c r="AL26" s="8"/>
      <c r="AM26" s="8"/>
      <c r="AN26" s="5" t="s">
        <v>5</v>
      </c>
      <c r="AO26" s="8">
        <v>4</v>
      </c>
      <c r="AP26" s="11">
        <v>4</v>
      </c>
      <c r="AR26" s="17">
        <f t="shared" si="2"/>
        <v>0.17046938148934568</v>
      </c>
      <c r="AS26" s="17">
        <f t="shared" si="3"/>
        <v>4.0683482506102521E-2</v>
      </c>
      <c r="AU26" s="17">
        <v>992</v>
      </c>
      <c r="AW26">
        <f t="shared" si="0"/>
        <v>4.0683482506102521E-4</v>
      </c>
      <c r="AX26">
        <v>8.1366965012205049E-3</v>
      </c>
    </row>
    <row r="27" spans="2:50">
      <c r="B27" s="7" t="s">
        <v>52</v>
      </c>
      <c r="C27" s="3">
        <v>1</v>
      </c>
      <c r="D27">
        <f t="shared" si="4"/>
        <v>2.9411764705882353E-2</v>
      </c>
      <c r="E27" s="3">
        <v>2</v>
      </c>
      <c r="F27">
        <f t="shared" si="5"/>
        <v>4.1666666666666664E-2</v>
      </c>
      <c r="G27" s="3">
        <v>1</v>
      </c>
      <c r="H27">
        <f t="shared" si="6"/>
        <v>3.6036036036036036E-2</v>
      </c>
      <c r="I27" s="3">
        <v>3</v>
      </c>
      <c r="J27">
        <f t="shared" si="7"/>
        <v>4.5454545454545456E-2</v>
      </c>
      <c r="K27" s="3">
        <v>3</v>
      </c>
      <c r="L27">
        <f>SUM(C27,E27,G27,I27,K27)/K$31</f>
        <v>5.1546391752577317E-2</v>
      </c>
      <c r="M27" s="3">
        <v>2</v>
      </c>
      <c r="N27">
        <f t="shared" si="9"/>
        <v>5.128205128205128E-2</v>
      </c>
      <c r="O27" s="3">
        <v>4</v>
      </c>
      <c r="P27">
        <f t="shared" si="10"/>
        <v>5.6140350877192984E-2</v>
      </c>
      <c r="Q27" s="3">
        <v>2</v>
      </c>
      <c r="R27">
        <f t="shared" si="11"/>
        <v>5.5555555555555552E-2</v>
      </c>
      <c r="S27" s="3">
        <v>2</v>
      </c>
      <c r="T27">
        <f>SUM(S27,Q27,O27,M27,K27,I27,G27,E27,C27)/S$31</f>
        <v>5.4054054054054057E-2</v>
      </c>
      <c r="U27" s="3">
        <v>3</v>
      </c>
      <c r="V27">
        <f t="shared" si="13"/>
        <v>5.5555555555555552E-2</v>
      </c>
      <c r="W27" s="3">
        <v>1</v>
      </c>
      <c r="X27">
        <f t="shared" si="14"/>
        <v>5.2173913043478258E-2</v>
      </c>
      <c r="Y27" s="3"/>
      <c r="Z27">
        <f t="shared" si="15"/>
        <v>4.7151277013752456E-2</v>
      </c>
      <c r="AA27" s="3">
        <v>1</v>
      </c>
      <c r="AB27">
        <f t="shared" si="16"/>
        <v>4.4247787610619468E-2</v>
      </c>
      <c r="AC27" s="12">
        <f>SUM(C27,E27,G27,I27,K27,M27,O27,Q27,S27,U27,W27,Y27,AA27)</f>
        <v>25</v>
      </c>
      <c r="AD27" s="13">
        <f t="shared" si="17"/>
        <v>4.4247787610619468E-2</v>
      </c>
      <c r="AE27" s="4" t="s">
        <v>52</v>
      </c>
      <c r="AF27" s="8">
        <f t="shared" si="18"/>
        <v>200</v>
      </c>
      <c r="AG27" s="8"/>
      <c r="AH27" s="8"/>
      <c r="AI27" s="18"/>
      <c r="AJ27" s="8"/>
      <c r="AK27" s="8"/>
      <c r="AL27" s="8"/>
      <c r="AM27" s="8"/>
      <c r="AN27" s="7" t="s">
        <v>78</v>
      </c>
      <c r="AO27" s="8">
        <v>9</v>
      </c>
      <c r="AP27" s="11">
        <f t="shared" si="1"/>
        <v>144</v>
      </c>
      <c r="AR27" s="17">
        <f t="shared" si="2"/>
        <v>6.1368977336164443</v>
      </c>
      <c r="AS27" s="17">
        <f t="shared" si="3"/>
        <v>1.4646053702196908</v>
      </c>
      <c r="AU27" s="17">
        <v>3</v>
      </c>
      <c r="AW27">
        <f t="shared" si="0"/>
        <v>1.4646053702196909E-2</v>
      </c>
      <c r="AX27">
        <v>6.5093572009764034E-3</v>
      </c>
    </row>
    <row r="28" spans="2:50">
      <c r="B28" s="7" t="s">
        <v>75</v>
      </c>
      <c r="C28" s="3"/>
      <c r="D28">
        <f t="shared" si="4"/>
        <v>0</v>
      </c>
      <c r="E28" s="3"/>
      <c r="F28">
        <f t="shared" si="5"/>
        <v>0</v>
      </c>
      <c r="G28" s="3"/>
      <c r="H28">
        <f t="shared" si="6"/>
        <v>0</v>
      </c>
      <c r="I28" s="3"/>
      <c r="K28" s="3"/>
      <c r="M28" s="3"/>
      <c r="O28" s="3"/>
      <c r="Q28" s="3"/>
      <c r="S28" s="3"/>
      <c r="U28" s="3"/>
      <c r="W28" s="3"/>
      <c r="Y28" s="3"/>
      <c r="AA28" s="3"/>
      <c r="AC28" s="12">
        <f t="shared" ref="AC28:AC29" si="19">SUM(C28,E28,G28,I28,K28,M28,O28,Q28,S28,U28,W28,Y28,AA28)</f>
        <v>0</v>
      </c>
      <c r="AD28" s="13">
        <f t="shared" si="17"/>
        <v>0</v>
      </c>
      <c r="AI28" s="18"/>
      <c r="AJ28" s="8"/>
      <c r="AK28" s="8"/>
      <c r="AL28" s="8"/>
      <c r="AM28" s="8"/>
      <c r="AN28" s="4" t="s">
        <v>117</v>
      </c>
      <c r="AO28" s="8">
        <v>10</v>
      </c>
      <c r="AP28" s="11">
        <f t="shared" si="1"/>
        <v>160</v>
      </c>
      <c r="AR28" s="17">
        <f t="shared" si="2"/>
        <v>6.8187752595738269</v>
      </c>
      <c r="AS28" s="17">
        <f t="shared" si="3"/>
        <v>1.627339300244101</v>
      </c>
      <c r="AU28" s="17">
        <v>2672</v>
      </c>
      <c r="AW28">
        <f t="shared" si="0"/>
        <v>1.627339300244101E-2</v>
      </c>
      <c r="AX28">
        <v>1.6273393002441008E-3</v>
      </c>
    </row>
    <row r="29" spans="2:50">
      <c r="B29" s="15" t="s">
        <v>77</v>
      </c>
      <c r="C29" s="3"/>
      <c r="D29">
        <f t="shared" si="4"/>
        <v>0</v>
      </c>
      <c r="E29" s="3"/>
      <c r="F29">
        <f t="shared" si="5"/>
        <v>0</v>
      </c>
      <c r="G29" s="3"/>
      <c r="H29">
        <f t="shared" si="6"/>
        <v>0</v>
      </c>
      <c r="I29" s="3"/>
      <c r="K29" s="3"/>
      <c r="M29" s="3"/>
      <c r="O29" s="3"/>
      <c r="Q29" s="3"/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  <c r="AC29" s="12">
        <f t="shared" si="19"/>
        <v>0</v>
      </c>
      <c r="AD29" s="13">
        <f t="shared" si="17"/>
        <v>0</v>
      </c>
      <c r="AI29" s="18"/>
      <c r="AJ29" s="8"/>
      <c r="AK29" s="8"/>
      <c r="AL29" s="8"/>
      <c r="AM29" s="8"/>
      <c r="AN29" s="7" t="s">
        <v>69</v>
      </c>
      <c r="AO29" s="8">
        <v>18</v>
      </c>
      <c r="AP29" s="11">
        <f t="shared" si="1"/>
        <v>288</v>
      </c>
      <c r="AR29" s="17">
        <f t="shared" si="2"/>
        <v>12.273795467232889</v>
      </c>
      <c r="AS29" s="17">
        <f t="shared" si="3"/>
        <v>2.9292107404393817</v>
      </c>
      <c r="AU29" s="17">
        <v>80</v>
      </c>
      <c r="AW29">
        <f t="shared" si="0"/>
        <v>2.9292107404393818E-2</v>
      </c>
      <c r="AX29">
        <v>4.0683482506102521E-4</v>
      </c>
    </row>
    <row r="30" spans="2:50">
      <c r="B30" s="1" t="s">
        <v>42</v>
      </c>
      <c r="C30">
        <f>SUM(C9:C29)</f>
        <v>34</v>
      </c>
      <c r="E30">
        <f t="shared" ref="E30:AA30" si="20">SUM(E9:E29)</f>
        <v>38</v>
      </c>
      <c r="G30">
        <f t="shared" si="20"/>
        <v>39</v>
      </c>
      <c r="I30">
        <f t="shared" si="20"/>
        <v>43</v>
      </c>
      <c r="K30">
        <f t="shared" si="20"/>
        <v>40</v>
      </c>
      <c r="M30">
        <f t="shared" si="20"/>
        <v>40</v>
      </c>
      <c r="O30">
        <f t="shared" si="20"/>
        <v>51</v>
      </c>
      <c r="Q30">
        <f t="shared" si="20"/>
        <v>39</v>
      </c>
      <c r="S30">
        <f t="shared" si="20"/>
        <v>46</v>
      </c>
      <c r="U30">
        <f t="shared" si="20"/>
        <v>44</v>
      </c>
      <c r="W30">
        <f t="shared" si="20"/>
        <v>46</v>
      </c>
      <c r="Y30">
        <f t="shared" si="20"/>
        <v>49</v>
      </c>
      <c r="AA30">
        <f t="shared" si="20"/>
        <v>56</v>
      </c>
      <c r="AB30" s="8"/>
      <c r="AC30" s="8"/>
      <c r="AD30" s="8"/>
      <c r="AE30" s="9" t="s">
        <v>6</v>
      </c>
      <c r="AF30" s="8">
        <v>3</v>
      </c>
      <c r="AG30" s="8"/>
      <c r="AH30" s="8"/>
      <c r="AI30" s="18"/>
      <c r="AJ30" s="8"/>
      <c r="AK30" s="8"/>
      <c r="AL30" s="8"/>
      <c r="AM30" s="8"/>
      <c r="AN30" s="7" t="s">
        <v>28</v>
      </c>
      <c r="AO30" s="8">
        <v>4</v>
      </c>
      <c r="AP30" s="11">
        <f t="shared" si="1"/>
        <v>64</v>
      </c>
      <c r="AR30" s="17">
        <f t="shared" si="2"/>
        <v>2.7275101038295309</v>
      </c>
      <c r="AS30" s="17">
        <f t="shared" si="3"/>
        <v>0.65093572009764034</v>
      </c>
      <c r="AU30" s="17">
        <v>96</v>
      </c>
      <c r="AW30">
        <f t="shared" si="0"/>
        <v>6.5093572009764034E-3</v>
      </c>
      <c r="AX30">
        <v>3.0512611879576892E-4</v>
      </c>
    </row>
    <row r="31" spans="2:50">
      <c r="B31" s="1" t="s">
        <v>8</v>
      </c>
      <c r="C31">
        <f>SUM(C30)</f>
        <v>34</v>
      </c>
      <c r="E31">
        <f>SUM(C30,E30)</f>
        <v>72</v>
      </c>
      <c r="G31">
        <f>SUM(C30:G30)</f>
        <v>111</v>
      </c>
      <c r="I31">
        <f>SUM(G31+I30)</f>
        <v>154</v>
      </c>
      <c r="K31">
        <f>SUM(I31+K30)</f>
        <v>194</v>
      </c>
      <c r="M31">
        <f>SUM(M30,K31)</f>
        <v>234</v>
      </c>
      <c r="O31">
        <f>SUM(O30,M31)</f>
        <v>285</v>
      </c>
      <c r="Q31" s="8">
        <f>SUM(O31,Q30)</f>
        <v>324</v>
      </c>
      <c r="R31" s="8"/>
      <c r="S31" s="8">
        <f>SUM(Q31,S30)</f>
        <v>370</v>
      </c>
      <c r="T31" s="8"/>
      <c r="U31" s="8">
        <f>SUM(U30,S31)</f>
        <v>414</v>
      </c>
      <c r="V31" s="8"/>
      <c r="W31" s="8">
        <f>SUM(W30,U31)</f>
        <v>460</v>
      </c>
      <c r="X31" s="8"/>
      <c r="Y31" s="8">
        <f>SUM(W31,Y30)</f>
        <v>509</v>
      </c>
      <c r="Z31" s="8"/>
      <c r="AA31" s="8">
        <f>SUM(Y31,AA30)</f>
        <v>565</v>
      </c>
      <c r="AB31" s="8"/>
      <c r="AC31" s="8"/>
      <c r="AD31" s="8"/>
      <c r="AE31" s="9" t="s">
        <v>5</v>
      </c>
      <c r="AF31" s="8">
        <v>4</v>
      </c>
      <c r="AG31" s="8"/>
      <c r="AH31" s="8"/>
      <c r="AI31" s="18"/>
      <c r="AJ31" s="8"/>
      <c r="AK31" s="8"/>
      <c r="AL31" s="8"/>
      <c r="AM31" s="8"/>
      <c r="AN31" s="7" t="s">
        <v>52</v>
      </c>
      <c r="AO31" s="8">
        <v>10</v>
      </c>
      <c r="AP31" s="11">
        <f t="shared" si="1"/>
        <v>160</v>
      </c>
      <c r="AR31" s="17">
        <f t="shared" si="2"/>
        <v>6.8187752595738269</v>
      </c>
      <c r="AS31" s="17">
        <f t="shared" si="3"/>
        <v>1.627339300244101</v>
      </c>
      <c r="AU31" s="17">
        <v>112</v>
      </c>
      <c r="AW31">
        <f t="shared" si="0"/>
        <v>1.627339300244101E-2</v>
      </c>
      <c r="AX31">
        <v>1.017087062652563E-4</v>
      </c>
    </row>
    <row r="32" spans="2:50">
      <c r="B32" s="1" t="s">
        <v>67</v>
      </c>
      <c r="C32">
        <f>COUNT(C9:C27)</f>
        <v>9</v>
      </c>
      <c r="E32">
        <v>13</v>
      </c>
      <c r="G32">
        <v>15</v>
      </c>
      <c r="I32">
        <v>16</v>
      </c>
      <c r="K32">
        <v>18</v>
      </c>
      <c r="M32">
        <v>18</v>
      </c>
      <c r="O32">
        <v>18</v>
      </c>
      <c r="Q32">
        <v>18</v>
      </c>
      <c r="S32">
        <v>18</v>
      </c>
      <c r="U32">
        <v>18</v>
      </c>
      <c r="W32">
        <v>18</v>
      </c>
      <c r="Y32">
        <v>18</v>
      </c>
      <c r="AA32">
        <v>18</v>
      </c>
      <c r="AB32" s="8"/>
      <c r="AC32" s="8"/>
      <c r="AD32" s="8"/>
      <c r="AE32" s="4" t="s">
        <v>65</v>
      </c>
      <c r="AF32" s="8">
        <v>1</v>
      </c>
      <c r="AG32" s="8"/>
      <c r="AH32" s="8"/>
      <c r="AI32" s="18"/>
      <c r="AJ32" s="8"/>
      <c r="AK32" s="8"/>
      <c r="AL32" s="8"/>
      <c r="AM32" s="8"/>
      <c r="AN32" s="7" t="s">
        <v>74</v>
      </c>
      <c r="AO32" s="8">
        <v>19</v>
      </c>
      <c r="AP32" s="11">
        <f t="shared" si="1"/>
        <v>304</v>
      </c>
      <c r="AR32" s="17">
        <f t="shared" si="2"/>
        <v>12.955672993190271</v>
      </c>
      <c r="AS32" s="17">
        <f t="shared" si="3"/>
        <v>3.0919446704637918</v>
      </c>
      <c r="AU32" s="17">
        <v>1104</v>
      </c>
      <c r="AW32">
        <f t="shared" si="0"/>
        <v>3.0919446704637917E-2</v>
      </c>
      <c r="AX32">
        <v>0</v>
      </c>
    </row>
    <row r="33" spans="1:54" ht="21">
      <c r="B33" s="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 t="s">
        <v>89</v>
      </c>
      <c r="AF33" s="8">
        <f>SUM(AF9:AF32)</f>
        <v>4504</v>
      </c>
      <c r="AG33" s="8"/>
      <c r="AH33" s="8"/>
      <c r="AI33" s="8"/>
      <c r="AJ33" s="8"/>
      <c r="AP33" s="19"/>
    </row>
    <row r="34" spans="1:54">
      <c r="B34" s="1"/>
      <c r="E34" s="1" t="s">
        <v>106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/>
      <c r="Y34" s="11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N34" t="s">
        <v>86</v>
      </c>
      <c r="AO34">
        <f>SUM(AO8:AO32)</f>
        <v>622</v>
      </c>
      <c r="AP34" s="11">
        <f>SUM(AP8:AP32)</f>
        <v>9832</v>
      </c>
      <c r="AR34" s="17">
        <f>AP34/AQ8</f>
        <v>419.01373970081164</v>
      </c>
    </row>
    <row r="35" spans="1:54">
      <c r="C35" s="1" t="s">
        <v>104</v>
      </c>
      <c r="D35" s="20">
        <f>(C36*26873)/999999</f>
        <v>30.527758527758529</v>
      </c>
      <c r="E35" s="17">
        <f>D35*PI()*(0.5^2)^2</f>
        <v>5.9941113700855846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P35" s="19"/>
    </row>
    <row r="36" spans="1:54">
      <c r="C36" s="19">
        <f>62654-61518</f>
        <v>1136</v>
      </c>
      <c r="H36" s="8"/>
      <c r="I36" s="8"/>
      <c r="J36" s="8"/>
      <c r="K36" s="8"/>
      <c r="L36" s="8"/>
      <c r="M36" s="8"/>
      <c r="N36" s="8"/>
      <c r="O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N36" s="14" t="s">
        <v>66</v>
      </c>
      <c r="AO36">
        <f>SUM(AO8,AO9,AO10,AO11,AO12,AO13,AO14,AO15,AO16,AO17,AO19,AO18,AO20)</f>
        <v>525</v>
      </c>
      <c r="AP36" s="19">
        <f>AO36*16</f>
        <v>8400</v>
      </c>
      <c r="AR36" s="17">
        <f>SUM(AR8,AR9,AR10,AR11,AR12,AR13,AR14,AR15,AR16,AR17,AR19,AR18,AR20)</f>
        <v>357.98570112762587</v>
      </c>
      <c r="AS36">
        <f>100*AP36/AP$34</f>
        <v>85.435313262815299</v>
      </c>
    </row>
    <row r="37" spans="1:54" ht="21">
      <c r="B37" s="2" t="s">
        <v>120</v>
      </c>
      <c r="C37" s="1" t="s">
        <v>68</v>
      </c>
      <c r="G37" t="s">
        <v>83</v>
      </c>
      <c r="H37" s="8"/>
      <c r="I37" s="8"/>
      <c r="J37" s="8"/>
      <c r="K37" s="8"/>
      <c r="L37" s="8"/>
      <c r="M37" s="8"/>
      <c r="N37" s="8"/>
      <c r="O37" s="8"/>
      <c r="AA37" s="10"/>
      <c r="AB37" s="10"/>
      <c r="AC37" s="8"/>
      <c r="AD37" s="8"/>
      <c r="AE37" s="8"/>
      <c r="AF37" s="8"/>
      <c r="AG37" s="8"/>
      <c r="AH37" s="8"/>
      <c r="AI37" s="8"/>
      <c r="AJ37" s="8"/>
      <c r="AN37" s="14" t="s">
        <v>63</v>
      </c>
      <c r="AO37">
        <f>SUM(AO25:AO27)</f>
        <v>16</v>
      </c>
      <c r="AP37" s="19">
        <f>AO37*16</f>
        <v>256</v>
      </c>
      <c r="AR37" s="17">
        <f>SUM(AR25:AR27)</f>
        <v>6.4352191512227996</v>
      </c>
      <c r="AS37">
        <f t="shared" ref="AS37:AS44" si="21">100*AP37/AP$34</f>
        <v>2.6037428803905613</v>
      </c>
    </row>
    <row r="38" spans="1:54">
      <c r="B38" s="5"/>
      <c r="C38" s="4" t="s">
        <v>9</v>
      </c>
      <c r="D38" s="4" t="s">
        <v>30</v>
      </c>
      <c r="E38" s="4" t="s">
        <v>10</v>
      </c>
      <c r="F38" s="4" t="s">
        <v>48</v>
      </c>
      <c r="G38" s="4" t="s">
        <v>11</v>
      </c>
      <c r="H38" s="4" t="s">
        <v>31</v>
      </c>
      <c r="I38" s="4" t="s">
        <v>12</v>
      </c>
      <c r="J38" s="4" t="s">
        <v>32</v>
      </c>
      <c r="K38" s="4" t="s">
        <v>13</v>
      </c>
      <c r="L38" s="4" t="s">
        <v>33</v>
      </c>
      <c r="M38" s="4" t="s">
        <v>14</v>
      </c>
      <c r="N38" s="4" t="s">
        <v>34</v>
      </c>
      <c r="O38" s="4" t="s">
        <v>15</v>
      </c>
      <c r="P38" s="4" t="s">
        <v>35</v>
      </c>
      <c r="Q38" s="4" t="s">
        <v>16</v>
      </c>
      <c r="R38" s="4" t="s">
        <v>36</v>
      </c>
      <c r="S38" s="4" t="s">
        <v>17</v>
      </c>
      <c r="T38" s="4" t="s">
        <v>37</v>
      </c>
      <c r="U38" s="4" t="s">
        <v>18</v>
      </c>
      <c r="V38" s="4" t="s">
        <v>38</v>
      </c>
      <c r="W38" s="4" t="s">
        <v>19</v>
      </c>
      <c r="X38" s="4" t="s">
        <v>39</v>
      </c>
      <c r="Y38" s="4" t="s">
        <v>20</v>
      </c>
      <c r="Z38" s="4" t="s">
        <v>40</v>
      </c>
      <c r="AA38" s="4" t="s">
        <v>29</v>
      </c>
      <c r="AB38" s="4" t="s">
        <v>41</v>
      </c>
      <c r="AC38" s="12" t="s">
        <v>54</v>
      </c>
      <c r="AD38" s="13" t="s">
        <v>55</v>
      </c>
      <c r="AE38" s="4" t="s">
        <v>56</v>
      </c>
      <c r="AF38" s="9" t="s">
        <v>59</v>
      </c>
      <c r="AG38" s="9" t="s">
        <v>61</v>
      </c>
      <c r="AH38" s="9" t="s">
        <v>60</v>
      </c>
      <c r="AI38" s="9" t="s">
        <v>62</v>
      </c>
      <c r="AJ38" s="8"/>
      <c r="AK38" s="9" t="s">
        <v>100</v>
      </c>
      <c r="AN38" s="14" t="s">
        <v>64</v>
      </c>
      <c r="AO38">
        <f>AO30</f>
        <v>4</v>
      </c>
      <c r="AP38" s="19">
        <f t="shared" ref="AP38:AP42" si="22">AO38*16</f>
        <v>64</v>
      </c>
      <c r="AR38" s="17">
        <f>AR30</f>
        <v>2.7275101038295309</v>
      </c>
      <c r="AS38">
        <f t="shared" si="21"/>
        <v>0.65093572009764034</v>
      </c>
    </row>
    <row r="39" spans="1:54">
      <c r="B39" s="5" t="s">
        <v>21</v>
      </c>
      <c r="C39" s="3"/>
      <c r="D39">
        <f>C39/C$63</f>
        <v>0</v>
      </c>
      <c r="E39" s="3"/>
      <c r="F39">
        <f>(E39+C39)/E$63</f>
        <v>0</v>
      </c>
      <c r="G39" s="3">
        <v>2</v>
      </c>
      <c r="H39">
        <f>SUM(C39,E39,G39)/G$63</f>
        <v>9.6618357487922701E-3</v>
      </c>
      <c r="I39" s="3">
        <v>5</v>
      </c>
      <c r="J39">
        <f>SUM(I39,G39,E39,C39)/I$63</f>
        <v>2.3728813559322035E-2</v>
      </c>
      <c r="K39" s="3">
        <v>8</v>
      </c>
      <c r="L39">
        <f>SUM(K39,I39,G39,E39,C39)/K$63</f>
        <v>3.1380753138075312E-2</v>
      </c>
      <c r="M39" s="3"/>
      <c r="O39" s="3"/>
      <c r="Q39" s="3"/>
      <c r="S39" s="3"/>
      <c r="U39" s="3"/>
      <c r="W39" s="3"/>
      <c r="Y39" s="3"/>
      <c r="AA39" s="3"/>
      <c r="AC39" s="12">
        <f>SUM(C39,E39,G39,I39,K39,M39)</f>
        <v>15</v>
      </c>
      <c r="AD39" s="13" t="e">
        <f>AC39/P$63</f>
        <v>#DIV/0!</v>
      </c>
      <c r="AE39" s="4" t="s">
        <v>21</v>
      </c>
      <c r="AF39" s="8">
        <f>AC39*(16*3)</f>
        <v>720</v>
      </c>
      <c r="AG39" s="8">
        <v>5.99</v>
      </c>
      <c r="AH39" s="21">
        <f>AF39/AG$39</f>
        <v>120.20033388981636</v>
      </c>
      <c r="AI39" s="18">
        <f>100*AF39/SUM(AF$39:AF$60)</f>
        <v>2.5148445686342997</v>
      </c>
      <c r="AJ39" s="8"/>
      <c r="AK39" s="18">
        <f t="shared" ref="AK39:AK60" si="23">AI39/100</f>
        <v>2.5148445686342998E-2</v>
      </c>
      <c r="AL39" s="8">
        <v>0.44419611677608606</v>
      </c>
      <c r="AN39" s="14" t="s">
        <v>94</v>
      </c>
      <c r="AO39">
        <f>AO32</f>
        <v>19</v>
      </c>
      <c r="AP39" s="19">
        <f t="shared" si="22"/>
        <v>304</v>
      </c>
      <c r="AR39" s="17">
        <f>AR32</f>
        <v>12.955672993190271</v>
      </c>
      <c r="AS39">
        <f t="shared" si="21"/>
        <v>3.0919446704637918</v>
      </c>
    </row>
    <row r="40" spans="1:54">
      <c r="B40" s="5" t="s">
        <v>22</v>
      </c>
      <c r="C40" s="3"/>
      <c r="D40">
        <f t="shared" ref="D40:D60" si="24">C40/C$63</f>
        <v>0</v>
      </c>
      <c r="E40" s="3"/>
      <c r="F40">
        <f t="shared" ref="F40:F60" si="25">(E40+C40)/E$63</f>
        <v>0</v>
      </c>
      <c r="G40" s="3">
        <v>1</v>
      </c>
      <c r="H40">
        <f t="shared" ref="H40:H60" si="26">SUM(C40,E40,G40)/G$63</f>
        <v>4.830917874396135E-3</v>
      </c>
      <c r="I40" s="3"/>
      <c r="J40">
        <f t="shared" ref="J40:J60" si="27">SUM(I40,G40,E40,C40)/I$63</f>
        <v>3.3898305084745762E-3</v>
      </c>
      <c r="K40" s="3"/>
      <c r="L40">
        <f t="shared" ref="L40:L60" si="28">SUM(K40,I40,G40,E40,C40)/K$63</f>
        <v>2.0920502092050207E-3</v>
      </c>
      <c r="M40" s="3"/>
      <c r="O40" s="3"/>
      <c r="Q40" s="3"/>
      <c r="S40" s="3"/>
      <c r="U40" s="3"/>
      <c r="W40" s="3"/>
      <c r="Y40" s="3"/>
      <c r="AA40" s="3"/>
      <c r="AC40" s="12">
        <f t="shared" ref="AC40:AC59" si="29">SUM(C40,E40,G40,I40,K40,M40)</f>
        <v>1</v>
      </c>
      <c r="AD40" s="13" t="e">
        <f t="shared" ref="AD40:AD59" si="30">AC40/AA$61</f>
        <v>#DIV/0!</v>
      </c>
      <c r="AE40" s="4" t="s">
        <v>22</v>
      </c>
      <c r="AF40" s="8">
        <f>AC40*(16)</f>
        <v>16</v>
      </c>
      <c r="AG40" s="8"/>
      <c r="AH40" s="21">
        <f t="shared" ref="AH40:AH60" si="31">AF40/AG$39</f>
        <v>2.671118530884808</v>
      </c>
      <c r="AI40" s="18">
        <f t="shared" ref="AI40:AI60" si="32">100*AF40/SUM(AF$39:AF$60)</f>
        <v>5.5885434858539994E-2</v>
      </c>
      <c r="AJ40" s="8"/>
      <c r="AK40" s="18">
        <f t="shared" si="23"/>
        <v>5.5885434858539992E-4</v>
      </c>
      <c r="AL40" s="8">
        <v>0.13409694091353541</v>
      </c>
      <c r="AN40" s="14" t="s">
        <v>93</v>
      </c>
      <c r="AO40">
        <f>AO29</f>
        <v>18</v>
      </c>
      <c r="AP40" s="19">
        <f t="shared" si="22"/>
        <v>288</v>
      </c>
      <c r="AR40" s="17">
        <f>AR29</f>
        <v>12.273795467232889</v>
      </c>
      <c r="AS40">
        <f t="shared" si="21"/>
        <v>2.9292107404393817</v>
      </c>
    </row>
    <row r="41" spans="1:54">
      <c r="B41" s="5" t="s">
        <v>23</v>
      </c>
      <c r="C41" s="3">
        <v>1</v>
      </c>
      <c r="D41">
        <f t="shared" si="24"/>
        <v>0.02</v>
      </c>
      <c r="E41" s="3">
        <v>1</v>
      </c>
      <c r="F41">
        <f t="shared" si="25"/>
        <v>1.7543859649122806E-2</v>
      </c>
      <c r="G41" s="3"/>
      <c r="H41">
        <f t="shared" si="26"/>
        <v>9.6618357487922701E-3</v>
      </c>
      <c r="I41" s="3"/>
      <c r="J41">
        <f t="shared" si="27"/>
        <v>6.7796610169491523E-3</v>
      </c>
      <c r="K41" s="3"/>
      <c r="L41">
        <f t="shared" si="28"/>
        <v>4.1841004184100415E-3</v>
      </c>
      <c r="M41" s="3"/>
      <c r="O41" s="3"/>
      <c r="Q41" s="3"/>
      <c r="S41" s="3"/>
      <c r="U41" s="3"/>
      <c r="W41" s="3"/>
      <c r="Y41" s="3"/>
      <c r="AA41" s="3"/>
      <c r="AC41" s="12">
        <f t="shared" si="29"/>
        <v>2</v>
      </c>
      <c r="AD41" s="13" t="e">
        <f t="shared" si="30"/>
        <v>#DIV/0!</v>
      </c>
      <c r="AE41" s="4" t="s">
        <v>23</v>
      </c>
      <c r="AF41" s="8">
        <f t="shared" ref="AF41:AF58" si="33">AC41*(16*3)</f>
        <v>96</v>
      </c>
      <c r="AG41" s="8"/>
      <c r="AH41" s="21">
        <f t="shared" si="31"/>
        <v>16.026711185308848</v>
      </c>
      <c r="AI41" s="18">
        <f t="shared" si="32"/>
        <v>0.33531260915123995</v>
      </c>
      <c r="AJ41" s="8"/>
      <c r="AK41" s="18">
        <f t="shared" si="23"/>
        <v>3.3531260915123993E-3</v>
      </c>
      <c r="AL41">
        <v>8.3810588070959632E-2</v>
      </c>
      <c r="AN41" s="14" t="s">
        <v>49</v>
      </c>
      <c r="AO41">
        <f>AO22</f>
        <v>6</v>
      </c>
      <c r="AP41" s="19">
        <f t="shared" si="22"/>
        <v>96</v>
      </c>
      <c r="AR41" s="17">
        <f>AR22</f>
        <v>4.0912651557442956</v>
      </c>
      <c r="AS41">
        <f t="shared" si="21"/>
        <v>0.97640358014646056</v>
      </c>
    </row>
    <row r="42" spans="1:54">
      <c r="B42" s="5" t="s">
        <v>24</v>
      </c>
      <c r="C42" s="3">
        <v>1</v>
      </c>
      <c r="D42">
        <f t="shared" si="24"/>
        <v>0.02</v>
      </c>
      <c r="E42" s="3"/>
      <c r="F42">
        <f t="shared" si="25"/>
        <v>8.771929824561403E-3</v>
      </c>
      <c r="G42" s="3">
        <v>1</v>
      </c>
      <c r="H42">
        <f t="shared" si="26"/>
        <v>9.6618357487922701E-3</v>
      </c>
      <c r="I42" s="3"/>
      <c r="J42">
        <f t="shared" si="27"/>
        <v>6.7796610169491523E-3</v>
      </c>
      <c r="K42" s="3">
        <v>1</v>
      </c>
      <c r="L42">
        <f t="shared" si="28"/>
        <v>6.2761506276150627E-3</v>
      </c>
      <c r="M42" s="3"/>
      <c r="O42" s="3"/>
      <c r="Q42" s="3"/>
      <c r="S42" s="3"/>
      <c r="U42" s="3"/>
      <c r="W42" s="3"/>
      <c r="Y42" s="3"/>
      <c r="AA42" s="3"/>
      <c r="AC42" s="12">
        <f t="shared" si="29"/>
        <v>3</v>
      </c>
      <c r="AD42" s="13" t="e">
        <f t="shared" si="30"/>
        <v>#DIV/0!</v>
      </c>
      <c r="AE42" s="4" t="s">
        <v>24</v>
      </c>
      <c r="AF42" s="8">
        <f t="shared" si="33"/>
        <v>144</v>
      </c>
      <c r="AG42" s="8"/>
      <c r="AH42" s="21">
        <f t="shared" si="31"/>
        <v>24.040066777963272</v>
      </c>
      <c r="AI42" s="18">
        <f t="shared" si="32"/>
        <v>0.50296891372685992</v>
      </c>
      <c r="AJ42" s="8"/>
      <c r="AK42" s="18">
        <f t="shared" si="23"/>
        <v>5.0296891372685996E-3</v>
      </c>
      <c r="AL42" s="8">
        <v>6.7048470456767706E-2</v>
      </c>
      <c r="AN42" s="14" t="s">
        <v>95</v>
      </c>
      <c r="AO42">
        <f>AO23</f>
        <v>1</v>
      </c>
      <c r="AP42" s="19">
        <f t="shared" si="22"/>
        <v>16</v>
      </c>
      <c r="AR42" s="17">
        <f>AR23</f>
        <v>4.261734537233642E-2</v>
      </c>
      <c r="AS42">
        <f t="shared" si="21"/>
        <v>0.16273393002441008</v>
      </c>
    </row>
    <row r="43" spans="1:54">
      <c r="A43" s="1" t="s">
        <v>79</v>
      </c>
      <c r="B43" s="4" t="s">
        <v>45</v>
      </c>
      <c r="C43" s="3">
        <v>1</v>
      </c>
      <c r="D43">
        <f t="shared" si="24"/>
        <v>0.02</v>
      </c>
      <c r="E43" s="3">
        <v>5</v>
      </c>
      <c r="F43">
        <f t="shared" si="25"/>
        <v>5.2631578947368418E-2</v>
      </c>
      <c r="G43" s="3">
        <v>8</v>
      </c>
      <c r="H43">
        <f t="shared" si="26"/>
        <v>6.7632850241545889E-2</v>
      </c>
      <c r="I43" s="3">
        <v>5</v>
      </c>
      <c r="J43">
        <f t="shared" si="27"/>
        <v>6.4406779661016947E-2</v>
      </c>
      <c r="K43" s="3">
        <v>15</v>
      </c>
      <c r="L43">
        <f t="shared" si="28"/>
        <v>7.1129707112970716E-2</v>
      </c>
      <c r="M43" s="3"/>
      <c r="N43" s="1" t="s">
        <v>82</v>
      </c>
      <c r="O43" s="3">
        <v>19</v>
      </c>
      <c r="Q43" s="3"/>
      <c r="S43" s="3"/>
      <c r="U43" s="3"/>
      <c r="W43" s="3"/>
      <c r="Y43" s="3"/>
      <c r="AA43" s="3"/>
      <c r="AC43" s="12">
        <f t="shared" si="29"/>
        <v>34</v>
      </c>
      <c r="AD43" s="13" t="e">
        <f t="shared" si="30"/>
        <v>#DIV/0!</v>
      </c>
      <c r="AE43" s="4" t="s">
        <v>45</v>
      </c>
      <c r="AF43" s="8">
        <f t="shared" si="33"/>
        <v>1632</v>
      </c>
      <c r="AG43" s="8"/>
      <c r="AH43" s="21">
        <f t="shared" si="31"/>
        <v>272.45409015025041</v>
      </c>
      <c r="AI43" s="18">
        <f t="shared" si="32"/>
        <v>5.7003143555710789</v>
      </c>
      <c r="AJ43" s="8"/>
      <c r="AK43" s="18">
        <f t="shared" si="23"/>
        <v>5.7003143555710789E-2</v>
      </c>
      <c r="AL43" s="8">
        <v>6.5372258695348517E-2</v>
      </c>
      <c r="AN43" s="14" t="s">
        <v>96</v>
      </c>
      <c r="AO43">
        <f>AO24</f>
        <v>6</v>
      </c>
      <c r="AP43" s="19">
        <f>AO43*16</f>
        <v>96</v>
      </c>
      <c r="AR43" s="17">
        <f>AR24</f>
        <v>4.0912651557442956</v>
      </c>
      <c r="AS43">
        <f t="shared" si="21"/>
        <v>0.97640358014646056</v>
      </c>
    </row>
    <row r="44" spans="1:54">
      <c r="A44" s="1" t="s">
        <v>79</v>
      </c>
      <c r="B44" s="4" t="s">
        <v>25</v>
      </c>
      <c r="C44" s="3">
        <v>3</v>
      </c>
      <c r="D44">
        <f t="shared" si="24"/>
        <v>0.06</v>
      </c>
      <c r="E44" s="3">
        <v>7</v>
      </c>
      <c r="F44">
        <f t="shared" si="25"/>
        <v>8.771929824561403E-2</v>
      </c>
      <c r="G44" s="3">
        <v>11</v>
      </c>
      <c r="H44">
        <f t="shared" si="26"/>
        <v>0.10144927536231885</v>
      </c>
      <c r="I44" s="3">
        <v>14</v>
      </c>
      <c r="J44">
        <f t="shared" si="27"/>
        <v>0.11864406779661017</v>
      </c>
      <c r="K44" s="3">
        <v>15</v>
      </c>
      <c r="L44">
        <f t="shared" si="28"/>
        <v>0.10460251046025104</v>
      </c>
      <c r="M44" s="3"/>
      <c r="N44" s="1" t="s">
        <v>80</v>
      </c>
      <c r="O44" s="3">
        <v>19</v>
      </c>
      <c r="Q44" s="3"/>
      <c r="S44" s="3"/>
      <c r="U44" s="3"/>
      <c r="W44" s="3"/>
      <c r="Y44" s="3"/>
      <c r="AA44" s="3"/>
      <c r="AC44" s="12">
        <f t="shared" si="29"/>
        <v>50</v>
      </c>
      <c r="AD44" s="13" t="e">
        <f t="shared" si="30"/>
        <v>#DIV/0!</v>
      </c>
      <c r="AE44" s="4" t="s">
        <v>25</v>
      </c>
      <c r="AF44" s="8">
        <f t="shared" si="33"/>
        <v>2400</v>
      </c>
      <c r="AG44" s="8"/>
      <c r="AH44" s="21">
        <f t="shared" si="31"/>
        <v>400.66777963272119</v>
      </c>
      <c r="AI44" s="18">
        <f t="shared" si="32"/>
        <v>8.3828152287809985</v>
      </c>
      <c r="AJ44" s="8"/>
      <c r="AK44" s="18">
        <f t="shared" si="23"/>
        <v>8.3828152287809987E-2</v>
      </c>
      <c r="AL44">
        <v>5.6991199888252547E-2</v>
      </c>
      <c r="AN44" s="14" t="s">
        <v>98</v>
      </c>
      <c r="AO44">
        <f>AO28</f>
        <v>10</v>
      </c>
      <c r="AP44" s="19">
        <f>AP28</f>
        <v>160</v>
      </c>
      <c r="AR44" s="17">
        <f>AR28</f>
        <v>6.8187752595738269</v>
      </c>
      <c r="AS44">
        <f t="shared" si="21"/>
        <v>1.627339300244101</v>
      </c>
    </row>
    <row r="45" spans="1:54">
      <c r="A45" s="1"/>
      <c r="B45" s="5" t="s">
        <v>46</v>
      </c>
      <c r="C45" s="3"/>
      <c r="D45">
        <f t="shared" si="24"/>
        <v>0</v>
      </c>
      <c r="E45" s="3"/>
      <c r="F45">
        <f t="shared" si="25"/>
        <v>0</v>
      </c>
      <c r="G45" s="3"/>
      <c r="H45">
        <f t="shared" si="26"/>
        <v>0</v>
      </c>
      <c r="I45" s="3"/>
      <c r="J45">
        <f t="shared" si="27"/>
        <v>0</v>
      </c>
      <c r="K45" s="3"/>
      <c r="L45">
        <f t="shared" si="28"/>
        <v>0</v>
      </c>
      <c r="M45" s="3"/>
      <c r="N45" s="1" t="s">
        <v>81</v>
      </c>
      <c r="O45" s="3"/>
      <c r="Q45" s="3"/>
      <c r="S45" s="3"/>
      <c r="U45" s="3"/>
      <c r="W45" s="3"/>
      <c r="Y45" s="3"/>
      <c r="AA45" s="3"/>
      <c r="AC45" s="12">
        <f t="shared" si="29"/>
        <v>0</v>
      </c>
      <c r="AD45" s="13" t="e">
        <f t="shared" si="30"/>
        <v>#DIV/0!</v>
      </c>
      <c r="AE45" s="4" t="s">
        <v>46</v>
      </c>
      <c r="AF45" s="8">
        <f t="shared" si="33"/>
        <v>0</v>
      </c>
      <c r="AG45" s="8"/>
      <c r="AH45" s="21">
        <f t="shared" si="31"/>
        <v>0</v>
      </c>
      <c r="AI45" s="18">
        <f t="shared" si="32"/>
        <v>0</v>
      </c>
      <c r="AJ45" s="8"/>
      <c r="AK45" s="18">
        <f t="shared" si="23"/>
        <v>0</v>
      </c>
      <c r="AL45">
        <v>3.0171811705545469E-2</v>
      </c>
    </row>
    <row r="46" spans="1:54">
      <c r="A46" s="1" t="s">
        <v>79</v>
      </c>
      <c r="B46" s="4" t="s">
        <v>47</v>
      </c>
      <c r="C46" s="3"/>
      <c r="D46">
        <f t="shared" si="24"/>
        <v>0</v>
      </c>
      <c r="E46" s="3">
        <v>1</v>
      </c>
      <c r="F46">
        <f t="shared" si="25"/>
        <v>8.771929824561403E-3</v>
      </c>
      <c r="G46" s="3">
        <v>3</v>
      </c>
      <c r="H46">
        <f t="shared" si="26"/>
        <v>1.932367149758454E-2</v>
      </c>
      <c r="I46" s="3">
        <v>8</v>
      </c>
      <c r="J46">
        <f t="shared" si="27"/>
        <v>4.0677966101694912E-2</v>
      </c>
      <c r="K46" s="3">
        <v>6</v>
      </c>
      <c r="L46">
        <f t="shared" si="28"/>
        <v>3.7656903765690378E-2</v>
      </c>
      <c r="M46" s="3"/>
      <c r="N46" s="1"/>
      <c r="O46" s="3">
        <v>9</v>
      </c>
      <c r="Q46" s="3"/>
      <c r="S46" s="3"/>
      <c r="U46" s="3"/>
      <c r="W46" s="3"/>
      <c r="Y46" s="3"/>
      <c r="AA46" s="3"/>
      <c r="AC46" s="12">
        <f t="shared" si="29"/>
        <v>18</v>
      </c>
      <c r="AD46" s="13" t="e">
        <f t="shared" si="30"/>
        <v>#DIV/0!</v>
      </c>
      <c r="AE46" s="4" t="s">
        <v>47</v>
      </c>
      <c r="AF46" s="8">
        <f t="shared" si="33"/>
        <v>864</v>
      </c>
      <c r="AG46" s="8"/>
      <c r="AH46" s="21">
        <f t="shared" si="31"/>
        <v>144.24040066777962</v>
      </c>
      <c r="AI46" s="18">
        <f t="shared" si="32"/>
        <v>3.0178134823611598</v>
      </c>
      <c r="AJ46" s="8"/>
      <c r="AK46" s="18">
        <f t="shared" si="23"/>
        <v>3.0178134823611598E-2</v>
      </c>
      <c r="AL46">
        <v>3.0171811705545469E-2</v>
      </c>
      <c r="BB46" s="17"/>
    </row>
    <row r="47" spans="1:54">
      <c r="A47" s="1"/>
      <c r="B47" s="5" t="s">
        <v>44</v>
      </c>
      <c r="C47" s="3"/>
      <c r="D47">
        <f t="shared" si="24"/>
        <v>0</v>
      </c>
      <c r="E47" s="3"/>
      <c r="F47">
        <f t="shared" si="25"/>
        <v>0</v>
      </c>
      <c r="G47" s="3"/>
      <c r="H47">
        <f t="shared" si="26"/>
        <v>0</v>
      </c>
      <c r="I47" s="3"/>
      <c r="J47">
        <f t="shared" si="27"/>
        <v>0</v>
      </c>
      <c r="K47" s="3"/>
      <c r="L47">
        <f t="shared" si="28"/>
        <v>0</v>
      </c>
      <c r="M47" s="3"/>
      <c r="O47" s="3"/>
      <c r="Q47" s="3"/>
      <c r="S47" s="3"/>
      <c r="U47" s="3"/>
      <c r="W47" s="3"/>
      <c r="Y47" s="3"/>
      <c r="AA47" s="3"/>
      <c r="AC47" s="12">
        <f t="shared" si="29"/>
        <v>0</v>
      </c>
      <c r="AD47" s="13" t="e">
        <f t="shared" si="30"/>
        <v>#DIV/0!</v>
      </c>
      <c r="AE47" s="4" t="s">
        <v>44</v>
      </c>
      <c r="AF47" s="8">
        <f t="shared" si="33"/>
        <v>0</v>
      </c>
      <c r="AG47" s="8"/>
      <c r="AH47" s="21">
        <f t="shared" si="31"/>
        <v>0</v>
      </c>
      <c r="AI47" s="18">
        <f t="shared" si="32"/>
        <v>0</v>
      </c>
      <c r="AJ47" s="8"/>
      <c r="AK47" s="18">
        <f t="shared" si="23"/>
        <v>0</v>
      </c>
      <c r="AL47">
        <v>2.514317642128789E-2</v>
      </c>
    </row>
    <row r="48" spans="1:54">
      <c r="A48" s="1" t="s">
        <v>79</v>
      </c>
      <c r="B48" s="4" t="s">
        <v>70</v>
      </c>
      <c r="C48" s="3"/>
      <c r="D48">
        <f t="shared" si="24"/>
        <v>0</v>
      </c>
      <c r="E48" s="3">
        <v>1</v>
      </c>
      <c r="F48">
        <f t="shared" si="25"/>
        <v>8.771929824561403E-3</v>
      </c>
      <c r="G48" s="3">
        <v>4</v>
      </c>
      <c r="H48">
        <f t="shared" si="26"/>
        <v>2.4154589371980676E-2</v>
      </c>
      <c r="I48" s="3">
        <v>6</v>
      </c>
      <c r="J48">
        <f t="shared" si="27"/>
        <v>3.7288135593220341E-2</v>
      </c>
      <c r="K48" s="3">
        <v>7</v>
      </c>
      <c r="L48">
        <f t="shared" si="28"/>
        <v>3.7656903765690378E-2</v>
      </c>
      <c r="M48" s="3"/>
      <c r="O48" s="3">
        <v>10</v>
      </c>
      <c r="Q48" s="3"/>
      <c r="S48" s="3"/>
      <c r="U48" s="3"/>
      <c r="W48" s="3"/>
      <c r="Y48" s="3"/>
      <c r="AA48" s="3"/>
      <c r="AC48" s="12">
        <f t="shared" si="29"/>
        <v>18</v>
      </c>
      <c r="AD48" s="13" t="e">
        <f t="shared" si="30"/>
        <v>#DIV/0!</v>
      </c>
      <c r="AE48" s="4" t="s">
        <v>43</v>
      </c>
      <c r="AF48" s="8">
        <f t="shared" si="33"/>
        <v>864</v>
      </c>
      <c r="AG48" s="8"/>
      <c r="AH48" s="21">
        <f t="shared" si="31"/>
        <v>144.24040066777962</v>
      </c>
      <c r="AI48" s="18">
        <f t="shared" si="32"/>
        <v>3.0178134823611598</v>
      </c>
      <c r="AJ48" s="8"/>
      <c r="AK48" s="18">
        <f t="shared" si="23"/>
        <v>3.0178134823611598E-2</v>
      </c>
      <c r="AL48" s="8">
        <v>1.8438329375611118E-2</v>
      </c>
    </row>
    <row r="49" spans="1:67">
      <c r="A49" s="1"/>
      <c r="B49" s="5" t="s">
        <v>27</v>
      </c>
      <c r="C49" s="3">
        <v>4</v>
      </c>
      <c r="D49">
        <f t="shared" si="24"/>
        <v>0.08</v>
      </c>
      <c r="E49" s="3">
        <v>3</v>
      </c>
      <c r="F49">
        <f t="shared" si="25"/>
        <v>6.1403508771929821E-2</v>
      </c>
      <c r="G49" s="3">
        <v>5</v>
      </c>
      <c r="H49">
        <f t="shared" si="26"/>
        <v>5.7971014492753624E-2</v>
      </c>
      <c r="I49" s="3">
        <v>6</v>
      </c>
      <c r="J49">
        <f t="shared" si="27"/>
        <v>6.1016949152542375E-2</v>
      </c>
      <c r="K49" s="3">
        <v>21</v>
      </c>
      <c r="L49">
        <f t="shared" si="28"/>
        <v>8.1589958158995821E-2</v>
      </c>
      <c r="M49" s="3"/>
      <c r="O49" s="3"/>
      <c r="Q49" s="3"/>
      <c r="S49" s="3"/>
      <c r="U49" s="3"/>
      <c r="W49" s="3"/>
      <c r="Y49" s="3"/>
      <c r="AA49" s="3"/>
      <c r="AC49" s="12">
        <f t="shared" si="29"/>
        <v>39</v>
      </c>
      <c r="AD49" s="13" t="e">
        <f t="shared" si="30"/>
        <v>#DIV/0!</v>
      </c>
      <c r="AE49" s="4" t="s">
        <v>27</v>
      </c>
      <c r="AF49" s="8">
        <f t="shared" si="33"/>
        <v>1872</v>
      </c>
      <c r="AG49" s="8"/>
      <c r="AH49" s="21">
        <f t="shared" si="31"/>
        <v>312.52086811352251</v>
      </c>
      <c r="AI49" s="18">
        <f t="shared" si="32"/>
        <v>6.5385958784491791</v>
      </c>
      <c r="AJ49" s="8"/>
      <c r="AK49" s="18">
        <f t="shared" si="23"/>
        <v>6.5385958784491785E-2</v>
      </c>
      <c r="AL49" s="8">
        <v>1.3409694091353541E-2</v>
      </c>
      <c r="AM49" s="8"/>
      <c r="AN49" s="8"/>
      <c r="AO49" s="8"/>
      <c r="AP49" s="8"/>
      <c r="AQ49" s="8"/>
      <c r="AR49" s="8"/>
      <c r="AS49" s="8"/>
      <c r="AU49" s="8"/>
      <c r="AV49" s="8"/>
    </row>
    <row r="50" spans="1:67">
      <c r="A50" s="1"/>
      <c r="B50" s="5" t="s">
        <v>53</v>
      </c>
      <c r="C50" s="3"/>
      <c r="D50">
        <f t="shared" si="24"/>
        <v>0</v>
      </c>
      <c r="E50" s="3"/>
      <c r="F50">
        <f t="shared" si="25"/>
        <v>0</v>
      </c>
      <c r="G50" s="3">
        <v>1</v>
      </c>
      <c r="H50">
        <f t="shared" si="26"/>
        <v>4.830917874396135E-3</v>
      </c>
      <c r="I50" s="3">
        <v>1</v>
      </c>
      <c r="J50">
        <f t="shared" si="27"/>
        <v>6.7796610169491523E-3</v>
      </c>
      <c r="K50" s="3"/>
      <c r="L50">
        <f t="shared" si="28"/>
        <v>4.1841004184100415E-3</v>
      </c>
      <c r="M50" s="3"/>
      <c r="O50" s="3"/>
      <c r="Q50" s="3"/>
      <c r="S50" s="3"/>
      <c r="U50" s="3"/>
      <c r="W50" s="3"/>
      <c r="Y50" s="3"/>
      <c r="AA50" s="3"/>
      <c r="AC50" s="12">
        <f t="shared" si="29"/>
        <v>2</v>
      </c>
      <c r="AD50" s="13" t="e">
        <f t="shared" si="30"/>
        <v>#DIV/0!</v>
      </c>
      <c r="AE50" s="4" t="s">
        <v>53</v>
      </c>
      <c r="AF50" s="8">
        <f t="shared" si="33"/>
        <v>96</v>
      </c>
      <c r="AG50" s="8"/>
      <c r="AH50" s="21">
        <f t="shared" si="31"/>
        <v>16.026711185308848</v>
      </c>
      <c r="AI50" s="18">
        <f t="shared" si="32"/>
        <v>0.33531260915123995</v>
      </c>
      <c r="AJ50" s="8"/>
      <c r="AK50" s="18">
        <f t="shared" si="23"/>
        <v>3.3531260915123993E-3</v>
      </c>
      <c r="AL50" s="8">
        <v>8.3810588070959632E-3</v>
      </c>
      <c r="AM50" s="8"/>
      <c r="AN50" s="8"/>
      <c r="AO50" s="8"/>
      <c r="AP50" s="8"/>
      <c r="AQ50" s="8"/>
      <c r="AR50" s="8"/>
      <c r="AS50" s="8"/>
      <c r="AT50" s="8" t="s">
        <v>112</v>
      </c>
      <c r="AU50" s="8"/>
      <c r="AV50" s="8"/>
    </row>
    <row r="51" spans="1:67">
      <c r="A51" s="1"/>
      <c r="B51" s="5" t="s">
        <v>73</v>
      </c>
      <c r="C51" s="3"/>
      <c r="D51">
        <f t="shared" si="24"/>
        <v>0</v>
      </c>
      <c r="E51" s="3"/>
      <c r="F51">
        <f t="shared" si="25"/>
        <v>0</v>
      </c>
      <c r="G51" s="3"/>
      <c r="H51">
        <f t="shared" si="26"/>
        <v>0</v>
      </c>
      <c r="I51" s="3">
        <v>1</v>
      </c>
      <c r="J51">
        <f t="shared" si="27"/>
        <v>3.3898305084745762E-3</v>
      </c>
      <c r="K51" s="3"/>
      <c r="L51">
        <f t="shared" si="28"/>
        <v>2.0920502092050207E-3</v>
      </c>
      <c r="M51" s="3"/>
      <c r="O51" s="3"/>
      <c r="Q51" s="3"/>
      <c r="S51" s="3"/>
      <c r="U51" s="3"/>
      <c r="W51" s="3"/>
      <c r="Y51" s="3"/>
      <c r="AA51" s="3"/>
      <c r="AC51" s="12">
        <f t="shared" si="29"/>
        <v>1</v>
      </c>
      <c r="AD51" s="13" t="e">
        <f t="shared" si="30"/>
        <v>#DIV/0!</v>
      </c>
      <c r="AE51" s="4" t="s">
        <v>117</v>
      </c>
      <c r="AF51" s="8">
        <f t="shared" si="33"/>
        <v>48</v>
      </c>
      <c r="AG51" s="8"/>
      <c r="AH51" s="21">
        <f t="shared" si="31"/>
        <v>8.013355592654424</v>
      </c>
      <c r="AI51" s="18">
        <f t="shared" si="32"/>
        <v>0.16765630457561997</v>
      </c>
      <c r="AJ51" s="8"/>
      <c r="AK51" s="18">
        <f t="shared" si="23"/>
        <v>1.6765630457561997E-3</v>
      </c>
      <c r="AL51" s="8">
        <v>8.3810588070959632E-3</v>
      </c>
      <c r="AM51" s="8"/>
      <c r="AN51" s="8"/>
      <c r="AO51" s="8"/>
      <c r="AP51" s="8"/>
      <c r="AQ51" s="8"/>
      <c r="AR51" s="8"/>
      <c r="AS51" s="8" t="s">
        <v>111</v>
      </c>
      <c r="AT51">
        <v>1168.1600000000001</v>
      </c>
      <c r="AU51" s="11"/>
      <c r="AV51" s="8"/>
    </row>
    <row r="52" spans="1:67">
      <c r="A52" s="1"/>
      <c r="B52" s="5" t="s">
        <v>65</v>
      </c>
      <c r="C52" s="3"/>
      <c r="D52">
        <f t="shared" si="24"/>
        <v>0</v>
      </c>
      <c r="E52" s="3"/>
      <c r="F52">
        <f t="shared" si="25"/>
        <v>0</v>
      </c>
      <c r="G52" s="3">
        <v>2</v>
      </c>
      <c r="H52">
        <f t="shared" si="26"/>
        <v>9.6618357487922701E-3</v>
      </c>
      <c r="I52" s="3"/>
      <c r="J52">
        <f t="shared" si="27"/>
        <v>6.7796610169491523E-3</v>
      </c>
      <c r="K52" s="3">
        <v>3</v>
      </c>
      <c r="L52">
        <f t="shared" si="28"/>
        <v>1.0460251046025104E-2</v>
      </c>
      <c r="M52" s="3"/>
      <c r="O52" s="3"/>
      <c r="Q52" s="3"/>
      <c r="S52" s="3"/>
      <c r="U52" s="3"/>
      <c r="W52" s="3"/>
      <c r="Y52" s="3"/>
      <c r="AA52" s="3"/>
      <c r="AC52" s="12">
        <f t="shared" si="29"/>
        <v>5</v>
      </c>
      <c r="AD52" s="13" t="e">
        <f t="shared" si="30"/>
        <v>#DIV/0!</v>
      </c>
      <c r="AE52" s="4" t="s">
        <v>72</v>
      </c>
      <c r="AF52" s="8">
        <f t="shared" si="33"/>
        <v>240</v>
      </c>
      <c r="AG52" s="8"/>
      <c r="AH52" s="21">
        <f t="shared" si="31"/>
        <v>40.066777963272116</v>
      </c>
      <c r="AI52" s="18">
        <f t="shared" si="32"/>
        <v>0.83828152287809987</v>
      </c>
      <c r="AJ52" s="8"/>
      <c r="AK52" s="18">
        <f t="shared" si="23"/>
        <v>8.3828152287809994E-3</v>
      </c>
      <c r="AL52">
        <v>5.0286352842575776E-3</v>
      </c>
      <c r="AM52" s="8"/>
      <c r="AN52" s="8"/>
      <c r="AO52" s="8"/>
      <c r="AP52" s="8"/>
      <c r="AQ52" s="8"/>
      <c r="AR52" s="8"/>
      <c r="AS52" s="11" t="s">
        <v>110</v>
      </c>
      <c r="AT52">
        <v>4780.63</v>
      </c>
      <c r="AU52" s="8"/>
      <c r="AV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>
      <c r="A53" s="1"/>
      <c r="B53" s="5" t="s">
        <v>26</v>
      </c>
      <c r="C53" s="3"/>
      <c r="D53">
        <f t="shared" si="24"/>
        <v>0</v>
      </c>
      <c r="E53" s="3"/>
      <c r="F53">
        <f t="shared" si="25"/>
        <v>0</v>
      </c>
      <c r="G53" s="3"/>
      <c r="H53">
        <f t="shared" si="26"/>
        <v>0</v>
      </c>
      <c r="I53" s="3"/>
      <c r="J53">
        <f t="shared" si="27"/>
        <v>0</v>
      </c>
      <c r="K53" s="3">
        <v>1</v>
      </c>
      <c r="L53">
        <f t="shared" si="28"/>
        <v>2.0920502092050207E-3</v>
      </c>
      <c r="M53" s="3"/>
      <c r="O53" s="3"/>
      <c r="Q53" s="3"/>
      <c r="S53" s="3"/>
      <c r="U53" s="3"/>
      <c r="W53" s="3"/>
      <c r="Y53" s="3"/>
      <c r="AA53" s="3"/>
      <c r="AC53" s="12">
        <f t="shared" si="29"/>
        <v>1</v>
      </c>
      <c r="AD53" s="13" t="e">
        <f t="shared" si="30"/>
        <v>#DIV/0!</v>
      </c>
      <c r="AE53" s="4" t="s">
        <v>26</v>
      </c>
      <c r="AF53" s="8">
        <v>6</v>
      </c>
      <c r="AG53" s="8"/>
      <c r="AH53" s="21">
        <f t="shared" si="31"/>
        <v>1.001669449081803</v>
      </c>
      <c r="AI53" s="18">
        <f t="shared" si="32"/>
        <v>2.0957038071952497E-2</v>
      </c>
      <c r="AJ53" s="8"/>
      <c r="AK53" s="18">
        <f t="shared" si="23"/>
        <v>2.0957038071952496E-4</v>
      </c>
      <c r="AL53">
        <v>3.3524235228383852E-3</v>
      </c>
      <c r="AM53" s="8"/>
      <c r="AN53" s="8"/>
      <c r="AO53" s="8"/>
      <c r="AP53" s="8"/>
      <c r="AQ53" s="8"/>
      <c r="AR53" s="8"/>
      <c r="AS53" s="8" t="s">
        <v>118</v>
      </c>
      <c r="AT53" s="8">
        <v>502.5</v>
      </c>
      <c r="AU53" s="8"/>
      <c r="AV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>
      <c r="A54" s="1"/>
      <c r="B54" s="5" t="s">
        <v>49</v>
      </c>
      <c r="C54" s="3"/>
      <c r="D54">
        <f t="shared" si="24"/>
        <v>0</v>
      </c>
      <c r="E54" s="3"/>
      <c r="F54">
        <f t="shared" si="25"/>
        <v>0</v>
      </c>
      <c r="G54" s="3"/>
      <c r="H54">
        <f t="shared" si="26"/>
        <v>0</v>
      </c>
      <c r="I54" s="3"/>
      <c r="J54">
        <f t="shared" si="27"/>
        <v>0</v>
      </c>
      <c r="K54" s="3"/>
      <c r="L54">
        <f t="shared" si="28"/>
        <v>0</v>
      </c>
      <c r="M54" s="3"/>
      <c r="O54" s="3"/>
      <c r="Q54" s="3"/>
      <c r="S54" s="3"/>
      <c r="U54" s="3"/>
      <c r="W54" s="3"/>
      <c r="Y54" s="3"/>
      <c r="AA54" s="3"/>
      <c r="AC54" s="12">
        <f t="shared" si="29"/>
        <v>0</v>
      </c>
      <c r="AD54" s="13" t="e">
        <f t="shared" si="30"/>
        <v>#DIV/0!</v>
      </c>
      <c r="AE54" s="4" t="s">
        <v>49</v>
      </c>
      <c r="AF54" s="8">
        <f t="shared" si="33"/>
        <v>0</v>
      </c>
      <c r="AG54" s="8"/>
      <c r="AH54" s="21">
        <f t="shared" si="31"/>
        <v>0</v>
      </c>
      <c r="AI54" s="18">
        <f t="shared" si="32"/>
        <v>0</v>
      </c>
      <c r="AJ54" s="8"/>
      <c r="AK54" s="18">
        <f t="shared" si="23"/>
        <v>0</v>
      </c>
      <c r="AL54" s="8">
        <v>3.3524235228383852E-3</v>
      </c>
      <c r="AM54" s="8"/>
      <c r="AN54" s="8"/>
      <c r="AO54" s="8"/>
      <c r="AP54" s="8"/>
      <c r="AQ54" s="8"/>
      <c r="AR54" s="8"/>
      <c r="AS54" s="8" t="s">
        <v>109</v>
      </c>
      <c r="AT54" s="8">
        <v>419.01373970081164</v>
      </c>
      <c r="AU54" s="8"/>
      <c r="AV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>
      <c r="A55" s="1"/>
      <c r="B55" s="7" t="s">
        <v>69</v>
      </c>
      <c r="C55" s="3">
        <v>38</v>
      </c>
      <c r="D55">
        <f t="shared" si="24"/>
        <v>0.76</v>
      </c>
      <c r="E55" s="3">
        <v>40</v>
      </c>
      <c r="F55">
        <f t="shared" si="25"/>
        <v>0.68421052631578949</v>
      </c>
      <c r="G55" s="3">
        <v>51</v>
      </c>
      <c r="H55">
        <f t="shared" si="26"/>
        <v>0.62318840579710144</v>
      </c>
      <c r="I55" s="3">
        <v>42</v>
      </c>
      <c r="J55">
        <f t="shared" si="27"/>
        <v>0.57966101694915251</v>
      </c>
      <c r="K55" s="3">
        <v>94</v>
      </c>
      <c r="L55">
        <f t="shared" si="28"/>
        <v>0.55439330543933052</v>
      </c>
      <c r="M55" s="3"/>
      <c r="O55" s="3"/>
      <c r="Q55" s="3"/>
      <c r="S55" s="3"/>
      <c r="U55" s="3"/>
      <c r="W55" s="3"/>
      <c r="Y55" s="3"/>
      <c r="AA55" s="3"/>
      <c r="AC55" s="12">
        <f t="shared" si="29"/>
        <v>265</v>
      </c>
      <c r="AD55" s="13" t="e">
        <f t="shared" si="30"/>
        <v>#DIV/0!</v>
      </c>
      <c r="AE55" s="4" t="s">
        <v>50</v>
      </c>
      <c r="AF55" s="8">
        <f t="shared" si="33"/>
        <v>12720</v>
      </c>
      <c r="AG55" s="8"/>
      <c r="AH55" s="21">
        <f t="shared" si="31"/>
        <v>2123.5392320534224</v>
      </c>
      <c r="AI55" s="18">
        <f t="shared" si="32"/>
        <v>44.428920712539295</v>
      </c>
      <c r="AJ55" s="8"/>
      <c r="AK55" s="18">
        <f t="shared" si="23"/>
        <v>0.44428920712539294</v>
      </c>
      <c r="AL55" s="8">
        <v>1.6762117614191926E-3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BE55" s="8"/>
      <c r="BF55" s="8"/>
      <c r="BG55" s="8"/>
      <c r="BH55" s="9"/>
      <c r="BI55" s="9"/>
      <c r="BJ55" s="9"/>
      <c r="BK55" s="9"/>
      <c r="BL55" s="9"/>
      <c r="BM55" s="9"/>
      <c r="BN55" s="9"/>
      <c r="BO55" s="9"/>
    </row>
    <row r="56" spans="1:67">
      <c r="A56" s="1"/>
      <c r="B56" s="7" t="s">
        <v>28</v>
      </c>
      <c r="C56" s="3">
        <v>1</v>
      </c>
      <c r="D56">
        <f t="shared" si="24"/>
        <v>0.02</v>
      </c>
      <c r="E56" s="3">
        <v>4</v>
      </c>
      <c r="F56">
        <f t="shared" si="25"/>
        <v>4.3859649122807015E-2</v>
      </c>
      <c r="G56" s="3">
        <v>1</v>
      </c>
      <c r="H56">
        <f t="shared" si="26"/>
        <v>2.8985507246376812E-2</v>
      </c>
      <c r="I56" s="3"/>
      <c r="J56">
        <f t="shared" si="27"/>
        <v>2.0338983050847456E-2</v>
      </c>
      <c r="K56" s="3">
        <v>2</v>
      </c>
      <c r="L56">
        <f t="shared" si="28"/>
        <v>1.6736401673640166E-2</v>
      </c>
      <c r="M56" s="3"/>
      <c r="O56" s="3"/>
      <c r="Q56" s="3"/>
      <c r="S56" s="3"/>
      <c r="U56" s="3"/>
      <c r="W56" s="3"/>
      <c r="Y56" s="3"/>
      <c r="AA56" s="3"/>
      <c r="AC56" s="12">
        <f t="shared" si="29"/>
        <v>8</v>
      </c>
      <c r="AD56" s="13" t="e">
        <f t="shared" si="30"/>
        <v>#DIV/0!</v>
      </c>
      <c r="AE56" s="4" t="s">
        <v>28</v>
      </c>
      <c r="AF56" s="8">
        <f t="shared" si="33"/>
        <v>384</v>
      </c>
      <c r="AG56" s="8"/>
      <c r="AH56" s="21">
        <f t="shared" si="31"/>
        <v>64.106844741235392</v>
      </c>
      <c r="AI56" s="18">
        <f t="shared" si="32"/>
        <v>1.3412504366049598</v>
      </c>
      <c r="AJ56" s="8"/>
      <c r="AK56" s="18">
        <f t="shared" si="23"/>
        <v>1.3412504366049597E-2</v>
      </c>
      <c r="AL56">
        <v>5.5873725380639757E-4</v>
      </c>
      <c r="AM56" s="8"/>
      <c r="AN56" s="8"/>
      <c r="AO56" s="8"/>
      <c r="AP56" s="8"/>
      <c r="AQ56" s="8"/>
      <c r="AR56" s="8"/>
      <c r="AS56" s="8"/>
      <c r="AT56" s="23" t="s">
        <v>111</v>
      </c>
      <c r="AU56" s="23" t="s">
        <v>110</v>
      </c>
      <c r="AV56" s="23" t="s">
        <v>118</v>
      </c>
      <c r="AW56" s="23" t="s">
        <v>109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>
      <c r="A57" s="1"/>
      <c r="B57" s="7" t="s">
        <v>52</v>
      </c>
      <c r="C57" s="3">
        <v>1</v>
      </c>
      <c r="D57">
        <f t="shared" si="24"/>
        <v>0.02</v>
      </c>
      <c r="E57" s="3">
        <v>2</v>
      </c>
      <c r="F57">
        <f t="shared" si="25"/>
        <v>2.6315789473684209E-2</v>
      </c>
      <c r="G57" s="3"/>
      <c r="H57">
        <f t="shared" si="26"/>
        <v>1.4492753623188406E-2</v>
      </c>
      <c r="I57" s="3"/>
      <c r="J57">
        <f t="shared" si="27"/>
        <v>1.0169491525423728E-2</v>
      </c>
      <c r="K57" s="3">
        <v>8</v>
      </c>
      <c r="L57">
        <f t="shared" si="28"/>
        <v>2.3012552301255231E-2</v>
      </c>
      <c r="M57" s="3"/>
      <c r="O57" s="3">
        <v>4</v>
      </c>
      <c r="Q57" s="3"/>
      <c r="S57" s="3"/>
      <c r="U57" s="3"/>
      <c r="W57" s="3"/>
      <c r="Y57" s="3"/>
      <c r="AA57" s="3"/>
      <c r="AC57" s="12">
        <f t="shared" si="29"/>
        <v>11</v>
      </c>
      <c r="AD57" s="13" t="e">
        <f t="shared" si="30"/>
        <v>#DIV/0!</v>
      </c>
      <c r="AE57" s="4" t="s">
        <v>52</v>
      </c>
      <c r="AF57" s="8">
        <f t="shared" si="33"/>
        <v>528</v>
      </c>
      <c r="AG57" s="8"/>
      <c r="AH57" s="21">
        <f t="shared" si="31"/>
        <v>88.146911519198667</v>
      </c>
      <c r="AI57" s="18">
        <f t="shared" si="32"/>
        <v>1.8442193503318198</v>
      </c>
      <c r="AJ57" s="8"/>
      <c r="AK57" s="18">
        <f t="shared" si="23"/>
        <v>1.8442193503318199E-2</v>
      </c>
      <c r="AL57" s="8">
        <v>4.1905294035479815E-4</v>
      </c>
      <c r="AM57" s="8"/>
      <c r="AN57" s="8"/>
      <c r="AO57" s="8"/>
      <c r="AP57" s="8"/>
      <c r="AQ57" s="8"/>
      <c r="AR57" s="23"/>
      <c r="AS57" s="5" t="s">
        <v>44</v>
      </c>
      <c r="AT57" s="8">
        <v>0</v>
      </c>
      <c r="AU57">
        <v>0</v>
      </c>
      <c r="AV57" s="22">
        <v>0</v>
      </c>
      <c r="AW57" s="22">
        <v>0.16273393002441008</v>
      </c>
      <c r="AY57" t="s">
        <v>111</v>
      </c>
      <c r="AZ57" t="s">
        <v>110</v>
      </c>
      <c r="BA57" t="s">
        <v>118</v>
      </c>
      <c r="BB57" t="s">
        <v>109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>
      <c r="A58" s="1"/>
      <c r="B58" s="7" t="s">
        <v>71</v>
      </c>
      <c r="D58">
        <f t="shared" si="24"/>
        <v>0</v>
      </c>
      <c r="F58">
        <f t="shared" si="25"/>
        <v>0</v>
      </c>
      <c r="G58">
        <v>3</v>
      </c>
      <c r="H58">
        <f t="shared" si="26"/>
        <v>1.4492753623188406E-2</v>
      </c>
      <c r="J58">
        <f t="shared" si="27"/>
        <v>1.0169491525423728E-2</v>
      </c>
      <c r="K58" s="3">
        <v>2</v>
      </c>
      <c r="L58">
        <f t="shared" si="28"/>
        <v>1.0460251046025104E-2</v>
      </c>
      <c r="M58" s="3"/>
      <c r="O58" s="3"/>
      <c r="AC58" s="12">
        <f t="shared" si="29"/>
        <v>5</v>
      </c>
      <c r="AD58" s="13" t="e">
        <f t="shared" si="30"/>
        <v>#DIV/0!</v>
      </c>
      <c r="AE58" s="9" t="s">
        <v>74</v>
      </c>
      <c r="AF58" s="8">
        <f t="shared" si="33"/>
        <v>240</v>
      </c>
      <c r="AG58" s="8"/>
      <c r="AH58" s="21">
        <f t="shared" si="31"/>
        <v>40.066777963272116</v>
      </c>
      <c r="AI58" s="18">
        <f t="shared" si="32"/>
        <v>0.83828152287809987</v>
      </c>
      <c r="AJ58" s="8"/>
      <c r="AK58" s="18">
        <f t="shared" si="23"/>
        <v>8.3828152287809994E-3</v>
      </c>
      <c r="AL58">
        <v>0</v>
      </c>
      <c r="AM58" s="8"/>
      <c r="AN58" s="8"/>
      <c r="AO58" s="8"/>
      <c r="AP58" s="8"/>
      <c r="AQ58" s="8"/>
      <c r="AS58" s="5" t="s">
        <v>46</v>
      </c>
      <c r="AT58" s="8">
        <v>0</v>
      </c>
      <c r="AU58" s="8">
        <v>0</v>
      </c>
      <c r="AV58" s="22">
        <v>0</v>
      </c>
      <c r="AW58" s="22">
        <v>0</v>
      </c>
      <c r="AX58" s="14" t="s">
        <v>66</v>
      </c>
      <c r="AY58">
        <v>78.143712574850298</v>
      </c>
      <c r="AZ58">
        <v>50.174605391814502</v>
      </c>
      <c r="BA58" s="17">
        <v>55.733333333333334</v>
      </c>
      <c r="BB58">
        <v>85.435313262815299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>
      <c r="A59" s="1" t="s">
        <v>79</v>
      </c>
      <c r="B59" s="4" t="s">
        <v>76</v>
      </c>
      <c r="D59">
        <f t="shared" si="24"/>
        <v>0</v>
      </c>
      <c r="F59">
        <f t="shared" si="25"/>
        <v>0</v>
      </c>
      <c r="H59">
        <f t="shared" si="26"/>
        <v>0</v>
      </c>
      <c r="J59">
        <f t="shared" si="27"/>
        <v>0</v>
      </c>
      <c r="L59">
        <f t="shared" si="28"/>
        <v>0</v>
      </c>
      <c r="O59" s="3">
        <v>80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2">
        <f t="shared" si="29"/>
        <v>0</v>
      </c>
      <c r="AD59" s="13" t="e">
        <f t="shared" si="30"/>
        <v>#DIV/0!</v>
      </c>
      <c r="AE59" s="1" t="s">
        <v>76</v>
      </c>
      <c r="AF59" s="8">
        <f>O59*16*3</f>
        <v>3840</v>
      </c>
      <c r="AG59" s="8"/>
      <c r="AH59" s="21">
        <f t="shared" si="31"/>
        <v>641.06844741235386</v>
      </c>
      <c r="AI59" s="18">
        <f t="shared" si="32"/>
        <v>13.412504366049598</v>
      </c>
      <c r="AJ59" s="8"/>
      <c r="AK59" s="18">
        <f t="shared" si="23"/>
        <v>0.13412504366049599</v>
      </c>
      <c r="AL59">
        <v>0</v>
      </c>
      <c r="AM59" s="8"/>
      <c r="AN59" s="8"/>
      <c r="AO59" s="8"/>
      <c r="AP59" s="8"/>
      <c r="AQ59" s="8"/>
      <c r="AR59" s="8"/>
      <c r="AS59" s="5" t="s">
        <v>22</v>
      </c>
      <c r="AT59" s="8">
        <v>0</v>
      </c>
      <c r="AU59">
        <v>5.5873725380639755E-2</v>
      </c>
      <c r="AV59" s="22">
        <v>0.53333333333333333</v>
      </c>
      <c r="AW59" s="22">
        <v>0.8136696501220505</v>
      </c>
      <c r="AX59" s="14" t="s">
        <v>63</v>
      </c>
      <c r="AY59">
        <v>0</v>
      </c>
      <c r="AZ59">
        <v>4.1905294035479816E-2</v>
      </c>
      <c r="BA59">
        <v>0.26666666666666666</v>
      </c>
      <c r="BB59">
        <v>3.5801464605370219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>
      <c r="A60" s="1" t="s">
        <v>79</v>
      </c>
      <c r="B60" s="4" t="s">
        <v>75</v>
      </c>
      <c r="D60">
        <f t="shared" si="24"/>
        <v>0</v>
      </c>
      <c r="F60">
        <f t="shared" si="25"/>
        <v>0</v>
      </c>
      <c r="H60">
        <f t="shared" si="26"/>
        <v>0</v>
      </c>
      <c r="J60">
        <f t="shared" si="27"/>
        <v>0</v>
      </c>
      <c r="L60">
        <f t="shared" si="28"/>
        <v>0</v>
      </c>
      <c r="O60" s="3">
        <v>40</v>
      </c>
      <c r="Q60" s="8"/>
      <c r="R60" s="8"/>
      <c r="S60" s="8"/>
      <c r="T60" s="8"/>
      <c r="U60" s="8"/>
      <c r="V60" s="9"/>
      <c r="W60" s="11"/>
      <c r="X60" s="9"/>
      <c r="Y60" s="8"/>
      <c r="Z60" s="8"/>
      <c r="AA60" s="8"/>
      <c r="AB60" s="8"/>
      <c r="AC60" s="8"/>
      <c r="AD60" s="13"/>
      <c r="AE60" s="4" t="s">
        <v>75</v>
      </c>
      <c r="AF60" s="8">
        <f>O60*16*3</f>
        <v>1920</v>
      </c>
      <c r="AG60" s="8"/>
      <c r="AH60" s="21">
        <f t="shared" si="31"/>
        <v>320.53422370617693</v>
      </c>
      <c r="AI60" s="18">
        <f t="shared" si="32"/>
        <v>6.706252183024799</v>
      </c>
      <c r="AJ60" s="8"/>
      <c r="AK60" s="18">
        <f t="shared" si="23"/>
        <v>6.7062521830247995E-2</v>
      </c>
      <c r="AL60" s="8">
        <v>0</v>
      </c>
      <c r="AM60" s="8"/>
      <c r="AN60" s="8"/>
      <c r="AO60" s="8"/>
      <c r="AP60" s="8"/>
      <c r="AQ60" s="8"/>
      <c r="AS60" s="4" t="s">
        <v>24</v>
      </c>
      <c r="AT60" s="8">
        <v>1.4970059880239521</v>
      </c>
      <c r="AU60">
        <v>0.50286352842575777</v>
      </c>
      <c r="AV60" s="22">
        <v>5.0666666666666664</v>
      </c>
      <c r="AW60" s="22">
        <v>27.176566314076485</v>
      </c>
      <c r="AX60" s="14" t="s">
        <v>64</v>
      </c>
      <c r="AY60">
        <v>0.89820359281437123</v>
      </c>
      <c r="AZ60">
        <v>1.3409694091353541</v>
      </c>
      <c r="BA60">
        <v>2.9333333333333331</v>
      </c>
      <c r="BB60">
        <v>0.65093572009764034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>
      <c r="B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4" t="s">
        <v>89</v>
      </c>
      <c r="AF61" s="8">
        <f>SUM(AF39:AF60)</f>
        <v>28630</v>
      </c>
      <c r="AG61" s="8"/>
      <c r="AH61" s="21">
        <f>AF61/AG39</f>
        <v>4779.6327212020033</v>
      </c>
      <c r="AI61" s="8"/>
      <c r="AJ61" s="8"/>
      <c r="AK61" s="8"/>
      <c r="AL61" s="8"/>
      <c r="AM61" s="8"/>
      <c r="AN61" s="8"/>
      <c r="AO61" s="8"/>
      <c r="AP61" s="8"/>
      <c r="AQ61" s="8"/>
      <c r="AS61" s="4" t="s">
        <v>70</v>
      </c>
      <c r="AT61" s="8">
        <v>8.9820359281437128</v>
      </c>
      <c r="AU61">
        <v>3.0171811705545468</v>
      </c>
      <c r="AV61" s="22">
        <v>2.6666666666666665</v>
      </c>
      <c r="AW61" s="22">
        <v>1.9528071602929211</v>
      </c>
      <c r="AX61" s="14" t="s">
        <v>94</v>
      </c>
      <c r="AY61">
        <v>0.29940119760479039</v>
      </c>
      <c r="AZ61">
        <v>0.83810588070959635</v>
      </c>
      <c r="BA61">
        <v>0.26666666666666666</v>
      </c>
      <c r="BB61">
        <v>3.0919446704637918</v>
      </c>
    </row>
    <row r="62" spans="1:67">
      <c r="B62" s="1" t="s">
        <v>42</v>
      </c>
      <c r="C62">
        <f>SUM(C39:C60)</f>
        <v>50</v>
      </c>
      <c r="E62">
        <f t="shared" ref="E62:AA62" si="34">SUM(E39:E60)</f>
        <v>64</v>
      </c>
      <c r="G62">
        <f t="shared" si="34"/>
        <v>93</v>
      </c>
      <c r="I62">
        <f t="shared" si="34"/>
        <v>88</v>
      </c>
      <c r="K62">
        <f t="shared" si="34"/>
        <v>183</v>
      </c>
      <c r="M62">
        <f t="shared" si="34"/>
        <v>0</v>
      </c>
      <c r="O62">
        <f>SUM(O39:O60)</f>
        <v>181</v>
      </c>
      <c r="Q62">
        <f t="shared" si="34"/>
        <v>0</v>
      </c>
      <c r="S62">
        <f t="shared" si="34"/>
        <v>0</v>
      </c>
      <c r="U62">
        <f t="shared" si="34"/>
        <v>0</v>
      </c>
      <c r="W62">
        <f t="shared" si="34"/>
        <v>0</v>
      </c>
      <c r="Y62">
        <f t="shared" si="34"/>
        <v>0</v>
      </c>
      <c r="AA62">
        <f t="shared" si="34"/>
        <v>0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S62" s="4" t="s">
        <v>76</v>
      </c>
      <c r="AT62" s="8">
        <v>27.245508982035929</v>
      </c>
      <c r="AU62">
        <v>13.409694091353542</v>
      </c>
      <c r="AV62" s="22">
        <v>22.666666666666668</v>
      </c>
      <c r="AW62" s="22">
        <v>6.3466232709519934</v>
      </c>
      <c r="AX62" s="14" t="s">
        <v>113</v>
      </c>
      <c r="AY62">
        <v>8.3832335329341312</v>
      </c>
      <c r="AZ62">
        <v>44.419611677608607</v>
      </c>
      <c r="BA62">
        <v>33.6</v>
      </c>
      <c r="BB62">
        <v>2.9292107404393817</v>
      </c>
    </row>
    <row r="63" spans="1:67">
      <c r="B63" s="1" t="s">
        <v>8</v>
      </c>
      <c r="C63">
        <f>C62</f>
        <v>50</v>
      </c>
      <c r="E63">
        <f>E62+C63</f>
        <v>114</v>
      </c>
      <c r="G63">
        <f>SUM(C62:G62)</f>
        <v>207</v>
      </c>
      <c r="I63">
        <f>SUM(G63+I62)</f>
        <v>295</v>
      </c>
      <c r="K63">
        <f>SUM(I63+K62)</f>
        <v>478</v>
      </c>
      <c r="M63">
        <f>SUM(M62,K63)</f>
        <v>478</v>
      </c>
      <c r="O63">
        <f>O62</f>
        <v>181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8"/>
      <c r="AD63" s="8"/>
      <c r="AE63" s="8"/>
      <c r="AF63" s="8"/>
      <c r="AG63" s="14" t="s">
        <v>66</v>
      </c>
      <c r="AH63" s="8">
        <f>SUM(AF39:AF49,AF59,AF60)</f>
        <v>14368</v>
      </c>
      <c r="AI63" s="8">
        <f>100*AH63/AF$61</f>
        <v>50.185120502968914</v>
      </c>
      <c r="AJ63" s="21">
        <f>SUM(AH39:AH49,AH59,AH60)</f>
        <v>2398.6644407345575</v>
      </c>
      <c r="AK63" s="8"/>
      <c r="AL63" s="8"/>
      <c r="AM63" s="8"/>
      <c r="AN63" s="8"/>
      <c r="AO63" s="8"/>
      <c r="AP63" s="8"/>
      <c r="AQ63" s="8"/>
      <c r="AS63" s="4" t="s">
        <v>21</v>
      </c>
      <c r="AT63" s="8">
        <v>2.3952095808383231</v>
      </c>
      <c r="AU63">
        <v>2.5143176421287889</v>
      </c>
      <c r="AV63" s="22">
        <v>0</v>
      </c>
      <c r="AW63" s="22">
        <v>5.044751830756713</v>
      </c>
      <c r="AX63" s="14" t="s">
        <v>49</v>
      </c>
      <c r="AY63">
        <v>0</v>
      </c>
      <c r="AZ63">
        <v>0</v>
      </c>
      <c r="BA63">
        <v>0</v>
      </c>
      <c r="BB63">
        <v>0.97640358014646056</v>
      </c>
    </row>
    <row r="64" spans="1:67">
      <c r="B64" s="1" t="s">
        <v>67</v>
      </c>
      <c r="C64">
        <v>8</v>
      </c>
      <c r="E64">
        <v>10</v>
      </c>
      <c r="G64">
        <v>14</v>
      </c>
      <c r="I64">
        <v>15</v>
      </c>
      <c r="K64">
        <v>16</v>
      </c>
      <c r="Y64" s="8"/>
      <c r="Z64" s="8"/>
      <c r="AA64" s="8"/>
      <c r="AC64" s="8"/>
      <c r="AD64" s="8"/>
      <c r="AE64" s="8"/>
      <c r="AF64" s="8"/>
      <c r="AG64" s="14" t="s">
        <v>63</v>
      </c>
      <c r="AH64" s="8">
        <v>0</v>
      </c>
      <c r="AI64" s="8">
        <f t="shared" ref="AI64:AI71" si="35">100*AH64/AF$61</f>
        <v>0</v>
      </c>
      <c r="AJ64" s="8">
        <f>0</f>
        <v>0</v>
      </c>
      <c r="AK64" s="8"/>
      <c r="AL64" s="8"/>
      <c r="AM64" s="8"/>
      <c r="AN64" s="8"/>
      <c r="AO64" s="8"/>
      <c r="AP64" s="8"/>
      <c r="AQ64" s="8"/>
      <c r="AS64" s="4" t="s">
        <v>23</v>
      </c>
      <c r="AT64" s="8">
        <v>0.29940119760479039</v>
      </c>
      <c r="AU64">
        <v>0.33524235228383853</v>
      </c>
      <c r="AV64" s="22">
        <v>1.3333333333333333</v>
      </c>
      <c r="AW64" s="22">
        <v>8.624898291293734</v>
      </c>
      <c r="AX64" s="14" t="s">
        <v>95</v>
      </c>
      <c r="AY64">
        <v>1.7964071856287425</v>
      </c>
      <c r="AZ64">
        <v>0.83810588070959635</v>
      </c>
      <c r="BA64">
        <v>1.3333333333333333</v>
      </c>
      <c r="BB64">
        <v>0.16273393002441008</v>
      </c>
    </row>
    <row r="65" spans="2:54">
      <c r="B65" s="8"/>
      <c r="Y65" s="8"/>
      <c r="Z65" s="8"/>
      <c r="AA65" s="8"/>
      <c r="AC65" s="8"/>
      <c r="AD65" s="8"/>
      <c r="AE65" s="8"/>
      <c r="AF65" s="8"/>
      <c r="AG65" s="14" t="s">
        <v>64</v>
      </c>
      <c r="AH65" s="8">
        <f>AF56</f>
        <v>384</v>
      </c>
      <c r="AI65" s="8">
        <f t="shared" si="35"/>
        <v>1.3412504366049598</v>
      </c>
      <c r="AJ65" s="8">
        <f>AH56</f>
        <v>64.106844741235392</v>
      </c>
      <c r="AK65" s="8"/>
      <c r="AL65" s="8"/>
      <c r="AM65" s="8"/>
      <c r="AN65" s="8"/>
      <c r="AO65" s="8"/>
      <c r="AP65" s="8"/>
      <c r="AQ65" s="8"/>
      <c r="AS65" s="4" t="s">
        <v>45</v>
      </c>
      <c r="AT65" s="8">
        <v>3.2934131736526946</v>
      </c>
      <c r="AU65">
        <v>5.6991199888252551</v>
      </c>
      <c r="AV65" s="22">
        <v>6.4</v>
      </c>
      <c r="AW65" s="22">
        <v>4.8820179007323024</v>
      </c>
      <c r="AX65" s="14" t="s">
        <v>119</v>
      </c>
      <c r="AY65">
        <v>0</v>
      </c>
      <c r="AZ65" t="s">
        <v>244</v>
      </c>
      <c r="BA65">
        <v>0</v>
      </c>
      <c r="BB65">
        <v>0.97640358014646056</v>
      </c>
    </row>
    <row r="66" spans="2:54">
      <c r="B66" s="8"/>
      <c r="Y66" s="8"/>
      <c r="Z66" s="8"/>
      <c r="AA66" s="8"/>
      <c r="AC66" s="8"/>
      <c r="AD66" s="8"/>
      <c r="AE66" s="8"/>
      <c r="AF66" s="8"/>
      <c r="AG66" s="14" t="s">
        <v>94</v>
      </c>
      <c r="AH66" s="8">
        <f>AF58</f>
        <v>240</v>
      </c>
      <c r="AI66" s="8">
        <f t="shared" si="35"/>
        <v>0.83828152287809987</v>
      </c>
      <c r="AJ66" s="8">
        <f>AH58</f>
        <v>40.066777963272116</v>
      </c>
      <c r="AK66" s="8"/>
      <c r="AL66" s="8"/>
      <c r="AM66" s="8"/>
      <c r="AN66" s="8"/>
      <c r="AO66" s="8"/>
      <c r="AP66" s="8"/>
      <c r="AQ66" s="8"/>
      <c r="AS66" s="4" t="s">
        <v>25</v>
      </c>
      <c r="AT66" s="8">
        <v>5.9880239520958085</v>
      </c>
      <c r="AU66">
        <v>8.3810588070959628</v>
      </c>
      <c r="AV66" s="22">
        <v>1.0666666666666667</v>
      </c>
      <c r="AW66" s="22">
        <v>6.0211554109031731</v>
      </c>
      <c r="AX66" s="14" t="s">
        <v>117</v>
      </c>
      <c r="AY66">
        <v>7.1856287425149699</v>
      </c>
      <c r="AZ66">
        <v>0.16762117614191926</v>
      </c>
      <c r="BA66">
        <v>5.0666666666666664</v>
      </c>
      <c r="BB66">
        <v>1.627339300244101</v>
      </c>
    </row>
    <row r="67" spans="2:54">
      <c r="B67" s="8"/>
      <c r="Y67" s="8"/>
      <c r="Z67" s="11"/>
      <c r="AA67" s="8"/>
      <c r="AC67" s="8"/>
      <c r="AD67" s="8"/>
      <c r="AE67" s="8"/>
      <c r="AF67" s="8"/>
      <c r="AG67" s="14" t="s">
        <v>93</v>
      </c>
      <c r="AH67" s="8">
        <f>AF55</f>
        <v>12720</v>
      </c>
      <c r="AI67" s="8">
        <f t="shared" si="35"/>
        <v>44.428920712539295</v>
      </c>
      <c r="AJ67" s="8">
        <f>AH55</f>
        <v>2123.5392320534224</v>
      </c>
      <c r="AK67" s="8"/>
      <c r="AL67" s="8"/>
      <c r="AM67" s="8"/>
      <c r="AN67" s="8"/>
      <c r="AO67" s="8"/>
      <c r="AP67" s="8"/>
      <c r="AQ67" s="8"/>
      <c r="AS67" s="4" t="s">
        <v>47</v>
      </c>
      <c r="AT67" s="8">
        <v>5.0898203592814371</v>
      </c>
      <c r="AU67">
        <v>3.0171811705545468</v>
      </c>
      <c r="AV67" s="22">
        <v>2.1333333333333333</v>
      </c>
      <c r="AW67" s="22">
        <v>3.0919446704637918</v>
      </c>
    </row>
    <row r="68" spans="2:54">
      <c r="B68" s="8"/>
      <c r="C68" t="s">
        <v>105</v>
      </c>
      <c r="D68">
        <f>(C69*26873)/999999</f>
        <v>23.298914298914298</v>
      </c>
      <c r="E68">
        <f>D68*PI()*(0.25)^2</f>
        <v>4.5747311248804587</v>
      </c>
      <c r="Y68" s="8"/>
      <c r="Z68" s="11"/>
      <c r="AA68" s="8"/>
      <c r="AC68" s="8"/>
      <c r="AD68" s="8"/>
      <c r="AE68" s="8"/>
      <c r="AF68" s="8"/>
      <c r="AG68" s="14" t="s">
        <v>49</v>
      </c>
      <c r="AH68" s="8">
        <f>AF54</f>
        <v>0</v>
      </c>
      <c r="AI68" s="8">
        <f t="shared" si="35"/>
        <v>0</v>
      </c>
      <c r="AJ68" s="8">
        <f>AH54</f>
        <v>0</v>
      </c>
      <c r="AK68" s="8"/>
      <c r="AL68" s="8"/>
      <c r="AM68" s="8"/>
      <c r="AN68" s="8"/>
      <c r="AO68" s="8"/>
      <c r="AP68" s="8"/>
      <c r="AQ68" s="8"/>
      <c r="AS68" s="4" t="s">
        <v>75</v>
      </c>
      <c r="AT68" s="8">
        <v>21.556886227544911</v>
      </c>
      <c r="AU68">
        <v>6.7048470456767708</v>
      </c>
      <c r="AV68" s="22">
        <v>8.5333333333333332</v>
      </c>
      <c r="AW68" s="22">
        <v>10.089503661513426</v>
      </c>
    </row>
    <row r="69" spans="2:54">
      <c r="B69" s="8"/>
      <c r="C69">
        <f>42461-41594</f>
        <v>867</v>
      </c>
      <c r="Y69" s="8"/>
      <c r="Z69" s="11"/>
      <c r="AA69" s="8"/>
      <c r="AC69" s="8"/>
      <c r="AD69" s="8"/>
      <c r="AE69" s="8"/>
      <c r="AF69" s="8"/>
      <c r="AG69" s="14" t="s">
        <v>95</v>
      </c>
      <c r="AH69" s="8">
        <f>AF52</f>
        <v>240</v>
      </c>
      <c r="AI69" s="8">
        <f t="shared" si="35"/>
        <v>0.83828152287809987</v>
      </c>
      <c r="AJ69" s="8">
        <f>AH52</f>
        <v>40.066777963272116</v>
      </c>
      <c r="AK69" s="8"/>
      <c r="AL69" s="8"/>
      <c r="AM69" s="8"/>
      <c r="AN69" s="8"/>
      <c r="AO69" s="8"/>
      <c r="AP69" s="8"/>
      <c r="AQ69" s="8"/>
      <c r="AS69" s="5" t="s">
        <v>27</v>
      </c>
      <c r="AT69" s="8">
        <v>1.7964071856287425</v>
      </c>
      <c r="AU69">
        <v>6.5372258695348515</v>
      </c>
      <c r="AV69" s="22">
        <v>5.333333333333333</v>
      </c>
      <c r="AW69" s="22">
        <v>11.228641171684297</v>
      </c>
    </row>
    <row r="70" spans="2:54">
      <c r="B70" s="8"/>
      <c r="D70" s="8"/>
      <c r="E70" s="8"/>
      <c r="F70" s="8"/>
      <c r="Y70" s="8"/>
      <c r="Z70" s="8"/>
      <c r="AA70" s="8"/>
      <c r="AC70" s="8"/>
      <c r="AD70" s="8"/>
      <c r="AE70" s="8"/>
      <c r="AF70" s="8"/>
      <c r="AG70" s="14" t="s">
        <v>96</v>
      </c>
      <c r="AH70" s="8">
        <v>6</v>
      </c>
      <c r="AI70" s="8">
        <f t="shared" si="35"/>
        <v>2.0957038071952497E-2</v>
      </c>
      <c r="AJ70" s="21">
        <f>AH53</f>
        <v>1.001669449081803</v>
      </c>
      <c r="AK70" s="8"/>
      <c r="AL70" s="8"/>
      <c r="AM70" s="8"/>
      <c r="AN70" s="8"/>
      <c r="AO70" s="8"/>
      <c r="AP70" s="8"/>
      <c r="AQ70" s="8"/>
      <c r="AS70" s="5" t="s">
        <v>53</v>
      </c>
      <c r="AT70" s="8">
        <v>2.0958083832335328</v>
      </c>
      <c r="AU70">
        <v>0.33524235228383853</v>
      </c>
      <c r="AV70" s="22">
        <v>0.26666666666666666</v>
      </c>
      <c r="AW70" s="22">
        <v>1.1391375101708707</v>
      </c>
    </row>
    <row r="71" spans="2:54" ht="21">
      <c r="B71" s="2" t="s">
        <v>88</v>
      </c>
      <c r="D71" s="8"/>
      <c r="E71" s="8"/>
      <c r="F71" s="8"/>
      <c r="Y71" s="8"/>
      <c r="Z71" s="8"/>
      <c r="AA71" s="8"/>
      <c r="AC71" s="8"/>
      <c r="AD71" s="8"/>
      <c r="AE71" s="8"/>
      <c r="AF71" s="8"/>
      <c r="AG71" s="14" t="s">
        <v>117</v>
      </c>
      <c r="AH71" s="8">
        <f>AF51</f>
        <v>48</v>
      </c>
      <c r="AI71" s="8">
        <f t="shared" si="35"/>
        <v>0.16765630457561997</v>
      </c>
      <c r="AJ71" s="8">
        <f>AH51</f>
        <v>8.013355592654424</v>
      </c>
      <c r="AK71" s="8"/>
      <c r="AL71" s="8"/>
      <c r="AM71" s="8"/>
      <c r="AN71" s="8"/>
      <c r="AO71" s="8"/>
      <c r="AP71" s="8"/>
      <c r="AQ71" s="8"/>
      <c r="AS71" s="5" t="s">
        <v>49</v>
      </c>
      <c r="AT71" s="8">
        <v>0</v>
      </c>
      <c r="AU71">
        <v>0</v>
      </c>
      <c r="AV71" s="22">
        <v>0</v>
      </c>
      <c r="AW71" s="22">
        <v>0.97640358014646056</v>
      </c>
    </row>
    <row r="72" spans="2:54">
      <c r="B72" s="8"/>
      <c r="C72" s="4" t="s">
        <v>9</v>
      </c>
      <c r="D72" s="4" t="s">
        <v>30</v>
      </c>
      <c r="E72" s="4" t="s">
        <v>10</v>
      </c>
      <c r="F72" s="4" t="s">
        <v>48</v>
      </c>
      <c r="G72" s="4" t="s">
        <v>11</v>
      </c>
      <c r="H72" s="4" t="s">
        <v>31</v>
      </c>
      <c r="I72" s="4" t="s">
        <v>12</v>
      </c>
      <c r="J72" s="4" t="s">
        <v>32</v>
      </c>
      <c r="K72" s="4" t="s">
        <v>13</v>
      </c>
      <c r="L72" s="4" t="s">
        <v>33</v>
      </c>
      <c r="M72" s="4" t="s">
        <v>14</v>
      </c>
      <c r="N72" s="4" t="s">
        <v>34</v>
      </c>
      <c r="O72" s="4" t="s">
        <v>15</v>
      </c>
      <c r="P72" s="4" t="s">
        <v>35</v>
      </c>
      <c r="Q72" s="4" t="s">
        <v>16</v>
      </c>
      <c r="R72" s="4" t="s">
        <v>36</v>
      </c>
      <c r="S72" s="4" t="s">
        <v>17</v>
      </c>
      <c r="U72" s="4" t="s">
        <v>18</v>
      </c>
      <c r="X72" s="1" t="s">
        <v>89</v>
      </c>
      <c r="Y72" t="s">
        <v>91</v>
      </c>
      <c r="Z72" t="s">
        <v>90</v>
      </c>
      <c r="AA72" t="s">
        <v>107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S72" s="5" t="s">
        <v>65</v>
      </c>
      <c r="AT72" s="8">
        <v>1.7964071856287425</v>
      </c>
      <c r="AU72">
        <v>0.83810588070959635</v>
      </c>
      <c r="AV72" s="22">
        <v>1.3333333333333333</v>
      </c>
      <c r="AW72" s="22">
        <v>1.017087062652563E-2</v>
      </c>
    </row>
    <row r="73" spans="2:54">
      <c r="B73" s="5" t="s">
        <v>44</v>
      </c>
      <c r="D73" s="8"/>
      <c r="E73" s="8"/>
      <c r="F73" s="8"/>
      <c r="W73" s="5" t="s">
        <v>44</v>
      </c>
      <c r="X73">
        <v>0</v>
      </c>
      <c r="Y73">
        <f>X73*16</f>
        <v>0</v>
      </c>
      <c r="Z73" s="17">
        <f>100*X73/X$100</f>
        <v>0</v>
      </c>
      <c r="AA73">
        <f>Y73/E$68</f>
        <v>0</v>
      </c>
      <c r="AB73" s="1" t="s">
        <v>44</v>
      </c>
      <c r="AS73" s="5" t="s">
        <v>26</v>
      </c>
      <c r="AT73">
        <v>0</v>
      </c>
      <c r="AU73">
        <v>2.0957038071952497E-2</v>
      </c>
      <c r="AV73" s="22">
        <v>0</v>
      </c>
      <c r="AW73" s="22">
        <v>0.97640358014646056</v>
      </c>
    </row>
    <row r="74" spans="2:54">
      <c r="B74" s="5" t="s">
        <v>46</v>
      </c>
      <c r="W74" s="5" t="s">
        <v>46</v>
      </c>
      <c r="X74">
        <v>0</v>
      </c>
      <c r="Y74">
        <f t="shared" ref="Y74:Y100" si="36">X74*16</f>
        <v>0</v>
      </c>
      <c r="Z74" s="17">
        <f t="shared" ref="Z74:Z97" si="37">100*X74/X$100</f>
        <v>0</v>
      </c>
      <c r="AA74">
        <f t="shared" ref="AA74:AA97" si="38">Y74/E$68</f>
        <v>0</v>
      </c>
      <c r="AB74" s="1" t="s">
        <v>46</v>
      </c>
      <c r="AS74" s="5" t="s">
        <v>6</v>
      </c>
      <c r="AT74">
        <v>0</v>
      </c>
      <c r="AU74">
        <v>0</v>
      </c>
      <c r="AV74" s="22">
        <v>0</v>
      </c>
      <c r="AW74" s="22">
        <v>3.0512611879576892E-2</v>
      </c>
    </row>
    <row r="75" spans="2:54">
      <c r="B75" s="5" t="s">
        <v>22</v>
      </c>
      <c r="W75" s="5" t="s">
        <v>22</v>
      </c>
      <c r="X75">
        <v>0</v>
      </c>
      <c r="Y75">
        <f t="shared" si="36"/>
        <v>0</v>
      </c>
      <c r="Z75" s="17">
        <f t="shared" si="37"/>
        <v>0</v>
      </c>
      <c r="AA75">
        <f t="shared" si="38"/>
        <v>0</v>
      </c>
      <c r="AB75" s="1" t="s">
        <v>22</v>
      </c>
      <c r="AS75" s="5" t="s">
        <v>5</v>
      </c>
      <c r="AT75">
        <v>0</v>
      </c>
      <c r="AU75">
        <v>0</v>
      </c>
      <c r="AV75" s="22">
        <v>0.26666666666666666</v>
      </c>
      <c r="AW75" s="22">
        <v>4.0683482506102521E-2</v>
      </c>
    </row>
    <row r="76" spans="2:54">
      <c r="B76" s="5" t="s">
        <v>24</v>
      </c>
      <c r="G76">
        <v>1</v>
      </c>
      <c r="U76">
        <v>4</v>
      </c>
      <c r="W76" s="5" t="s">
        <v>24</v>
      </c>
      <c r="X76">
        <f>SUM(C76:U76)</f>
        <v>5</v>
      </c>
      <c r="Y76">
        <f t="shared" si="36"/>
        <v>80</v>
      </c>
      <c r="Z76" s="17">
        <f t="shared" si="37"/>
        <v>1.4970059880239521</v>
      </c>
      <c r="AA76">
        <f t="shared" si="38"/>
        <v>17.487366539403006</v>
      </c>
      <c r="AB76" s="1" t="s">
        <v>24</v>
      </c>
      <c r="AS76" s="7" t="s">
        <v>78</v>
      </c>
      <c r="AT76">
        <v>0</v>
      </c>
      <c r="AU76">
        <v>0</v>
      </c>
      <c r="AV76" s="22">
        <v>0</v>
      </c>
      <c r="AW76" s="22">
        <v>1.4646053702196908</v>
      </c>
    </row>
    <row r="77" spans="2:54">
      <c r="B77" s="5" t="s">
        <v>70</v>
      </c>
      <c r="C77">
        <v>3</v>
      </c>
      <c r="E77">
        <v>2</v>
      </c>
      <c r="G77">
        <v>3</v>
      </c>
      <c r="K77">
        <v>2</v>
      </c>
      <c r="M77">
        <v>2</v>
      </c>
      <c r="O77">
        <v>2</v>
      </c>
      <c r="Q77">
        <v>3</v>
      </c>
      <c r="S77">
        <v>3</v>
      </c>
      <c r="U77">
        <v>10</v>
      </c>
      <c r="W77" s="5" t="s">
        <v>70</v>
      </c>
      <c r="X77">
        <f t="shared" ref="X77:X97" si="39">SUM(C77:U77)</f>
        <v>30</v>
      </c>
      <c r="Y77">
        <f t="shared" si="36"/>
        <v>480</v>
      </c>
      <c r="Z77" s="17">
        <f t="shared" si="37"/>
        <v>8.9820359281437128</v>
      </c>
      <c r="AA77">
        <f t="shared" si="38"/>
        <v>104.92419923641802</v>
      </c>
      <c r="AB77" s="1" t="s">
        <v>70</v>
      </c>
      <c r="AS77" s="4" t="s">
        <v>117</v>
      </c>
      <c r="AT77">
        <v>7.1856287425149699</v>
      </c>
      <c r="AU77">
        <v>0.16762117614191926</v>
      </c>
      <c r="AV77" s="22">
        <v>5.0666666666666664</v>
      </c>
      <c r="AW77" s="22">
        <v>1.627339300244101</v>
      </c>
    </row>
    <row r="78" spans="2:54">
      <c r="B78" s="5" t="s">
        <v>76</v>
      </c>
      <c r="C78">
        <v>9</v>
      </c>
      <c r="E78">
        <v>7</v>
      </c>
      <c r="G78">
        <v>4</v>
      </c>
      <c r="I78">
        <v>10</v>
      </c>
      <c r="K78">
        <v>6</v>
      </c>
      <c r="M78">
        <v>11</v>
      </c>
      <c r="O78">
        <v>6</v>
      </c>
      <c r="Q78">
        <v>5</v>
      </c>
      <c r="S78">
        <v>9</v>
      </c>
      <c r="U78">
        <v>24</v>
      </c>
      <c r="W78" s="5" t="s">
        <v>76</v>
      </c>
      <c r="X78">
        <f t="shared" si="39"/>
        <v>91</v>
      </c>
      <c r="Y78">
        <f t="shared" si="36"/>
        <v>1456</v>
      </c>
      <c r="Z78" s="17">
        <f t="shared" si="37"/>
        <v>27.245508982035929</v>
      </c>
      <c r="AA78">
        <f t="shared" si="38"/>
        <v>318.27007101713468</v>
      </c>
      <c r="AB78" s="1" t="s">
        <v>129</v>
      </c>
      <c r="AS78" s="7" t="s">
        <v>69</v>
      </c>
      <c r="AT78">
        <v>8.3832335329341312</v>
      </c>
      <c r="AU78">
        <v>44.419611677608607</v>
      </c>
      <c r="AV78" s="22">
        <v>33.6</v>
      </c>
      <c r="AW78" s="22">
        <v>2.9292107404393817</v>
      </c>
    </row>
    <row r="79" spans="2:54">
      <c r="B79" s="5" t="s">
        <v>21</v>
      </c>
      <c r="E79">
        <v>1</v>
      </c>
      <c r="G79">
        <v>2</v>
      </c>
      <c r="I79">
        <v>1</v>
      </c>
      <c r="K79">
        <v>2</v>
      </c>
      <c r="M79">
        <v>1</v>
      </c>
      <c r="U79">
        <v>1</v>
      </c>
      <c r="W79" s="5" t="s">
        <v>21</v>
      </c>
      <c r="X79">
        <f t="shared" si="39"/>
        <v>8</v>
      </c>
      <c r="Y79">
        <f t="shared" si="36"/>
        <v>128</v>
      </c>
      <c r="Z79" s="17">
        <f t="shared" si="37"/>
        <v>2.3952095808383231</v>
      </c>
      <c r="AA79">
        <f t="shared" si="38"/>
        <v>27.979786463044807</v>
      </c>
      <c r="AB79" s="1" t="s">
        <v>21</v>
      </c>
      <c r="AS79" s="7" t="s">
        <v>28</v>
      </c>
      <c r="AT79">
        <v>0.89820359281437123</v>
      </c>
      <c r="AU79">
        <v>1.3409694091353541</v>
      </c>
      <c r="AV79" s="22">
        <v>2.9333333333333331</v>
      </c>
      <c r="AW79" s="22">
        <v>0.65093572009764034</v>
      </c>
    </row>
    <row r="80" spans="2:54">
      <c r="B80" s="5" t="s">
        <v>23</v>
      </c>
      <c r="I80">
        <v>1</v>
      </c>
      <c r="W80" s="5" t="s">
        <v>23</v>
      </c>
      <c r="X80">
        <f t="shared" si="39"/>
        <v>1</v>
      </c>
      <c r="Y80">
        <f t="shared" si="36"/>
        <v>16</v>
      </c>
      <c r="Z80" s="17">
        <f t="shared" si="37"/>
        <v>0.29940119760479039</v>
      </c>
      <c r="AA80">
        <f t="shared" si="38"/>
        <v>3.4974733078806008</v>
      </c>
      <c r="AB80" s="1" t="s">
        <v>23</v>
      </c>
      <c r="AS80" s="7" t="s">
        <v>52</v>
      </c>
      <c r="AT80">
        <v>1.1976047904191616</v>
      </c>
      <c r="AU80">
        <v>1.843832937561112</v>
      </c>
      <c r="AV80" s="22">
        <v>0.53333333333333333</v>
      </c>
      <c r="AW80" s="22">
        <v>1.627339300244101</v>
      </c>
    </row>
    <row r="81" spans="2:49">
      <c r="B81" s="5" t="s">
        <v>45</v>
      </c>
      <c r="E81">
        <v>2</v>
      </c>
      <c r="I81">
        <v>1</v>
      </c>
      <c r="M81">
        <v>2</v>
      </c>
      <c r="O81">
        <v>1</v>
      </c>
      <c r="Q81">
        <v>1</v>
      </c>
      <c r="U81">
        <v>4</v>
      </c>
      <c r="W81" s="5" t="s">
        <v>45</v>
      </c>
      <c r="X81">
        <f t="shared" si="39"/>
        <v>11</v>
      </c>
      <c r="Y81">
        <f t="shared" si="36"/>
        <v>176</v>
      </c>
      <c r="Z81" s="17">
        <f t="shared" si="37"/>
        <v>3.2934131736526946</v>
      </c>
      <c r="AA81">
        <f t="shared" si="38"/>
        <v>38.472206386686608</v>
      </c>
      <c r="AB81" s="1" t="s">
        <v>45</v>
      </c>
      <c r="AS81" s="7" t="s">
        <v>74</v>
      </c>
      <c r="AT81">
        <v>0.29940119760479039</v>
      </c>
      <c r="AU81">
        <v>0.83810588070959635</v>
      </c>
      <c r="AV81" s="22">
        <v>0.26666666666666666</v>
      </c>
      <c r="AW81" s="22">
        <v>3.0919446704637918</v>
      </c>
    </row>
    <row r="82" spans="2:49">
      <c r="B82" s="5" t="s">
        <v>25</v>
      </c>
      <c r="E82">
        <v>3</v>
      </c>
      <c r="G82">
        <v>3</v>
      </c>
      <c r="I82">
        <v>2</v>
      </c>
      <c r="M82">
        <v>2</v>
      </c>
      <c r="O82">
        <v>4</v>
      </c>
      <c r="S82">
        <v>1</v>
      </c>
      <c r="U82">
        <v>5</v>
      </c>
      <c r="W82" s="5" t="s">
        <v>25</v>
      </c>
      <c r="X82">
        <f t="shared" si="39"/>
        <v>20</v>
      </c>
      <c r="Y82">
        <f t="shared" si="36"/>
        <v>320</v>
      </c>
      <c r="Z82" s="17">
        <f t="shared" si="37"/>
        <v>5.9880239520958085</v>
      </c>
      <c r="AA82">
        <f t="shared" si="38"/>
        <v>69.949466157612022</v>
      </c>
      <c r="AB82" s="1" t="s">
        <v>128</v>
      </c>
      <c r="AS82" s="7" t="s">
        <v>122</v>
      </c>
      <c r="AT82">
        <v>0</v>
      </c>
      <c r="AU82">
        <v>0</v>
      </c>
      <c r="AV82" s="17">
        <v>1.8324607329842932</v>
      </c>
      <c r="AW82" s="22">
        <v>0</v>
      </c>
    </row>
    <row r="83" spans="2:49">
      <c r="B83" s="5" t="s">
        <v>47</v>
      </c>
      <c r="C83">
        <v>2</v>
      </c>
      <c r="E83">
        <v>1</v>
      </c>
      <c r="G83">
        <v>3</v>
      </c>
      <c r="K83">
        <v>2</v>
      </c>
      <c r="M83">
        <v>1</v>
      </c>
      <c r="O83">
        <v>1</v>
      </c>
      <c r="S83">
        <v>2</v>
      </c>
      <c r="U83">
        <v>5</v>
      </c>
      <c r="W83" s="5" t="s">
        <v>47</v>
      </c>
      <c r="X83">
        <f t="shared" si="39"/>
        <v>17</v>
      </c>
      <c r="Y83">
        <f t="shared" si="36"/>
        <v>272</v>
      </c>
      <c r="Z83" s="17">
        <f t="shared" si="37"/>
        <v>5.0898203592814371</v>
      </c>
      <c r="AA83">
        <f t="shared" si="38"/>
        <v>59.457046233970217</v>
      </c>
      <c r="AB83" s="1" t="s">
        <v>127</v>
      </c>
    </row>
    <row r="84" spans="2:49">
      <c r="B84" s="5" t="s">
        <v>75</v>
      </c>
      <c r="C84">
        <v>4</v>
      </c>
      <c r="E84">
        <v>3</v>
      </c>
      <c r="G84">
        <v>6</v>
      </c>
      <c r="I84">
        <v>6</v>
      </c>
      <c r="K84">
        <v>11</v>
      </c>
      <c r="M84">
        <v>4</v>
      </c>
      <c r="O84">
        <v>6</v>
      </c>
      <c r="Q84">
        <v>6</v>
      </c>
      <c r="S84">
        <v>2</v>
      </c>
      <c r="U84">
        <v>24</v>
      </c>
      <c r="W84" s="5" t="s">
        <v>75</v>
      </c>
      <c r="X84">
        <f t="shared" si="39"/>
        <v>72</v>
      </c>
      <c r="Y84">
        <f t="shared" si="36"/>
        <v>1152</v>
      </c>
      <c r="Z84" s="17">
        <f t="shared" si="37"/>
        <v>21.556886227544911</v>
      </c>
      <c r="AA84">
        <f t="shared" si="38"/>
        <v>251.81807816740326</v>
      </c>
      <c r="AB84" s="1" t="s">
        <v>75</v>
      </c>
    </row>
    <row r="85" spans="2:49">
      <c r="B85" s="5" t="s">
        <v>27</v>
      </c>
      <c r="C85">
        <v>1</v>
      </c>
      <c r="K85">
        <v>1</v>
      </c>
      <c r="Q85">
        <v>1</v>
      </c>
      <c r="U85">
        <v>3</v>
      </c>
      <c r="W85" s="5" t="s">
        <v>27</v>
      </c>
      <c r="X85">
        <f t="shared" si="39"/>
        <v>6</v>
      </c>
      <c r="Y85">
        <f t="shared" si="36"/>
        <v>96</v>
      </c>
      <c r="Z85" s="17">
        <f t="shared" si="37"/>
        <v>1.7964071856287425</v>
      </c>
      <c r="AA85">
        <f t="shared" si="38"/>
        <v>20.984839847283606</v>
      </c>
      <c r="AB85" s="1" t="s">
        <v>27</v>
      </c>
    </row>
    <row r="86" spans="2:49">
      <c r="B86" s="5" t="s">
        <v>53</v>
      </c>
      <c r="C86">
        <v>2</v>
      </c>
      <c r="G86">
        <v>1</v>
      </c>
      <c r="I86">
        <v>1</v>
      </c>
      <c r="O86">
        <v>1</v>
      </c>
      <c r="S86">
        <v>1</v>
      </c>
      <c r="U86">
        <v>1</v>
      </c>
      <c r="W86" s="5" t="s">
        <v>53</v>
      </c>
      <c r="X86">
        <f t="shared" si="39"/>
        <v>7</v>
      </c>
      <c r="Y86">
        <f t="shared" si="36"/>
        <v>112</v>
      </c>
      <c r="Z86" s="17">
        <f t="shared" si="37"/>
        <v>2.0958083832335328</v>
      </c>
      <c r="AA86">
        <f t="shared" si="38"/>
        <v>24.482313155164206</v>
      </c>
      <c r="AB86" s="1" t="s">
        <v>53</v>
      </c>
    </row>
    <row r="87" spans="2:49">
      <c r="B87" s="5" t="s">
        <v>49</v>
      </c>
      <c r="W87" s="5" t="s">
        <v>49</v>
      </c>
      <c r="X87">
        <f t="shared" si="39"/>
        <v>0</v>
      </c>
      <c r="Y87">
        <f t="shared" si="36"/>
        <v>0</v>
      </c>
      <c r="Z87" s="17">
        <f t="shared" si="37"/>
        <v>0</v>
      </c>
      <c r="AA87">
        <f t="shared" si="38"/>
        <v>0</v>
      </c>
      <c r="AB87" s="1" t="s">
        <v>49</v>
      </c>
    </row>
    <row r="88" spans="2:49">
      <c r="B88" s="5" t="s">
        <v>65</v>
      </c>
      <c r="C88">
        <v>1</v>
      </c>
      <c r="G88">
        <v>1</v>
      </c>
      <c r="Q88">
        <v>1</v>
      </c>
      <c r="U88">
        <v>3</v>
      </c>
      <c r="W88" s="5" t="s">
        <v>65</v>
      </c>
      <c r="X88">
        <f t="shared" si="39"/>
        <v>6</v>
      </c>
      <c r="Y88">
        <f t="shared" si="36"/>
        <v>96</v>
      </c>
      <c r="Z88" s="17">
        <f t="shared" si="37"/>
        <v>1.7964071856287425</v>
      </c>
      <c r="AA88">
        <f t="shared" si="38"/>
        <v>20.984839847283606</v>
      </c>
      <c r="AB88" s="1" t="s">
        <v>65</v>
      </c>
    </row>
    <row r="89" spans="2:49">
      <c r="B89" s="5" t="s">
        <v>26</v>
      </c>
      <c r="W89" s="5" t="s">
        <v>26</v>
      </c>
      <c r="X89">
        <f t="shared" si="39"/>
        <v>0</v>
      </c>
      <c r="Y89">
        <f t="shared" si="36"/>
        <v>0</v>
      </c>
      <c r="Z89" s="17">
        <f t="shared" si="37"/>
        <v>0</v>
      </c>
      <c r="AA89">
        <f t="shared" si="38"/>
        <v>0</v>
      </c>
      <c r="AB89" s="1" t="s">
        <v>26</v>
      </c>
    </row>
    <row r="90" spans="2:49">
      <c r="B90" s="5" t="s">
        <v>6</v>
      </c>
      <c r="W90" s="5" t="s">
        <v>6</v>
      </c>
      <c r="X90">
        <f t="shared" si="39"/>
        <v>0</v>
      </c>
      <c r="Y90">
        <f t="shared" si="36"/>
        <v>0</v>
      </c>
      <c r="Z90" s="17">
        <f t="shared" si="37"/>
        <v>0</v>
      </c>
      <c r="AA90">
        <f t="shared" si="38"/>
        <v>0</v>
      </c>
      <c r="AB90" s="1" t="s">
        <v>6</v>
      </c>
    </row>
    <row r="91" spans="2:49">
      <c r="B91" s="5" t="s">
        <v>5</v>
      </c>
      <c r="W91" s="5" t="s">
        <v>5</v>
      </c>
      <c r="X91">
        <f t="shared" si="39"/>
        <v>0</v>
      </c>
      <c r="Y91">
        <f t="shared" si="36"/>
        <v>0</v>
      </c>
      <c r="Z91" s="17">
        <f t="shared" si="37"/>
        <v>0</v>
      </c>
      <c r="AA91">
        <f t="shared" si="38"/>
        <v>0</v>
      </c>
      <c r="AB91" s="1" t="s">
        <v>5</v>
      </c>
    </row>
    <row r="92" spans="2:49">
      <c r="B92" s="7" t="s">
        <v>78</v>
      </c>
      <c r="W92" s="7" t="s">
        <v>78</v>
      </c>
      <c r="X92">
        <f t="shared" si="39"/>
        <v>0</v>
      </c>
      <c r="Y92">
        <f t="shared" si="36"/>
        <v>0</v>
      </c>
      <c r="Z92" s="17">
        <f t="shared" si="37"/>
        <v>0</v>
      </c>
      <c r="AA92">
        <f t="shared" si="38"/>
        <v>0</v>
      </c>
      <c r="AB92" s="1" t="s">
        <v>78</v>
      </c>
    </row>
    <row r="93" spans="2:49">
      <c r="B93" s="5" t="s">
        <v>73</v>
      </c>
      <c r="G93">
        <v>1</v>
      </c>
      <c r="I93">
        <v>2</v>
      </c>
      <c r="M93">
        <v>2</v>
      </c>
      <c r="O93">
        <v>2</v>
      </c>
      <c r="Q93">
        <v>4</v>
      </c>
      <c r="U93">
        <v>13</v>
      </c>
      <c r="W93" s="5" t="s">
        <v>117</v>
      </c>
      <c r="X93">
        <f t="shared" si="39"/>
        <v>24</v>
      </c>
      <c r="Y93">
        <f t="shared" si="36"/>
        <v>384</v>
      </c>
      <c r="Z93" s="17">
        <f t="shared" si="37"/>
        <v>7.1856287425149699</v>
      </c>
      <c r="AA93">
        <f t="shared" si="38"/>
        <v>83.939359389134424</v>
      </c>
      <c r="AB93" s="1" t="s">
        <v>117</v>
      </c>
    </row>
    <row r="94" spans="2:49">
      <c r="B94" s="7" t="s">
        <v>69</v>
      </c>
      <c r="C94">
        <v>3</v>
      </c>
      <c r="E94">
        <v>6</v>
      </c>
      <c r="I94">
        <v>1</v>
      </c>
      <c r="K94">
        <v>1</v>
      </c>
      <c r="O94">
        <v>1</v>
      </c>
      <c r="Q94">
        <v>3</v>
      </c>
      <c r="S94">
        <v>6</v>
      </c>
      <c r="U94">
        <v>7</v>
      </c>
      <c r="W94" s="7" t="s">
        <v>69</v>
      </c>
      <c r="X94">
        <f t="shared" si="39"/>
        <v>28</v>
      </c>
      <c r="Y94">
        <f t="shared" si="36"/>
        <v>448</v>
      </c>
      <c r="Z94" s="17">
        <f t="shared" si="37"/>
        <v>8.3832335329341312</v>
      </c>
      <c r="AA94">
        <f t="shared" si="38"/>
        <v>97.929252620656825</v>
      </c>
      <c r="AB94" s="1" t="s">
        <v>69</v>
      </c>
    </row>
    <row r="95" spans="2:49">
      <c r="B95" s="7" t="s">
        <v>28</v>
      </c>
      <c r="O95">
        <v>1</v>
      </c>
      <c r="Q95">
        <v>1</v>
      </c>
      <c r="S95">
        <v>1</v>
      </c>
      <c r="W95" s="7" t="s">
        <v>28</v>
      </c>
      <c r="X95">
        <f t="shared" si="39"/>
        <v>3</v>
      </c>
      <c r="Y95">
        <f t="shared" si="36"/>
        <v>48</v>
      </c>
      <c r="Z95" s="17">
        <f t="shared" si="37"/>
        <v>0.89820359281437123</v>
      </c>
      <c r="AA95">
        <f t="shared" si="38"/>
        <v>10.492419923641803</v>
      </c>
      <c r="AB95" s="1" t="s">
        <v>28</v>
      </c>
    </row>
    <row r="96" spans="2:49">
      <c r="B96" s="7" t="s">
        <v>52</v>
      </c>
      <c r="U96">
        <v>4</v>
      </c>
      <c r="W96" s="7" t="s">
        <v>52</v>
      </c>
      <c r="X96">
        <f t="shared" si="39"/>
        <v>4</v>
      </c>
      <c r="Y96">
        <f t="shared" si="36"/>
        <v>64</v>
      </c>
      <c r="Z96" s="17">
        <f t="shared" si="37"/>
        <v>1.1976047904191616</v>
      </c>
      <c r="AA96">
        <f t="shared" si="38"/>
        <v>13.989893231522403</v>
      </c>
      <c r="AB96" s="1" t="s">
        <v>74</v>
      </c>
    </row>
    <row r="97" spans="2:33">
      <c r="B97" s="7" t="s">
        <v>71</v>
      </c>
      <c r="U97">
        <v>1</v>
      </c>
      <c r="W97" s="7" t="s">
        <v>71</v>
      </c>
      <c r="X97">
        <f t="shared" si="39"/>
        <v>1</v>
      </c>
      <c r="Y97">
        <f t="shared" si="36"/>
        <v>16</v>
      </c>
      <c r="Z97" s="17">
        <f t="shared" si="37"/>
        <v>0.29940119760479039</v>
      </c>
      <c r="AA97">
        <f t="shared" si="38"/>
        <v>3.4974733078806008</v>
      </c>
      <c r="AB97" s="1" t="s">
        <v>122</v>
      </c>
    </row>
    <row r="98" spans="2:33">
      <c r="AF98" s="8"/>
      <c r="AG98" s="8"/>
    </row>
    <row r="99" spans="2:33">
      <c r="B99" s="11" t="s">
        <v>87</v>
      </c>
      <c r="C99">
        <f>SUM(C73:C97)</f>
        <v>25</v>
      </c>
      <c r="E99">
        <f t="shared" ref="E99:Q99" si="40">SUM(E73:E97)</f>
        <v>25</v>
      </c>
      <c r="G99">
        <f t="shared" si="40"/>
        <v>25</v>
      </c>
      <c r="I99">
        <f t="shared" si="40"/>
        <v>25</v>
      </c>
      <c r="K99">
        <f t="shared" si="40"/>
        <v>25</v>
      </c>
      <c r="M99">
        <f t="shared" si="40"/>
        <v>25</v>
      </c>
      <c r="O99">
        <f t="shared" si="40"/>
        <v>25</v>
      </c>
      <c r="Q99">
        <f t="shared" si="40"/>
        <v>25</v>
      </c>
      <c r="S99">
        <f>SUM(S73:S97)</f>
        <v>25</v>
      </c>
      <c r="U99">
        <f>SUM(U73:U98)</f>
        <v>109</v>
      </c>
      <c r="AF99" s="8"/>
      <c r="AG99" s="8"/>
    </row>
    <row r="100" spans="2:33">
      <c r="B100" s="11" t="s">
        <v>8</v>
      </c>
      <c r="C100">
        <f>C99</f>
        <v>25</v>
      </c>
      <c r="E100">
        <f>C100+E99</f>
        <v>50</v>
      </c>
      <c r="G100">
        <f>E100+G99</f>
        <v>75</v>
      </c>
      <c r="I100">
        <f>G100+I99</f>
        <v>100</v>
      </c>
      <c r="K100">
        <f>I100+K99</f>
        <v>125</v>
      </c>
      <c r="M100">
        <f>K100+M99</f>
        <v>150</v>
      </c>
      <c r="O100">
        <f>M100+O99</f>
        <v>175</v>
      </c>
      <c r="Q100">
        <f>O100+Q99</f>
        <v>200</v>
      </c>
      <c r="S100">
        <f>Q100+S99</f>
        <v>225</v>
      </c>
      <c r="U100">
        <f>S100+U99</f>
        <v>334</v>
      </c>
      <c r="W100" s="7" t="s">
        <v>89</v>
      </c>
      <c r="X100">
        <f>SUM(X73:X97)</f>
        <v>334</v>
      </c>
      <c r="Y100">
        <f t="shared" si="36"/>
        <v>5344</v>
      </c>
      <c r="AA100">
        <f>Y100/E68</f>
        <v>1168.1560848321208</v>
      </c>
      <c r="AF100" s="8"/>
      <c r="AG100" s="8"/>
    </row>
    <row r="101" spans="2:33">
      <c r="B101" s="8" t="s">
        <v>67</v>
      </c>
      <c r="C101">
        <v>8</v>
      </c>
      <c r="E101">
        <v>11</v>
      </c>
      <c r="G101">
        <v>13</v>
      </c>
      <c r="I101">
        <v>14</v>
      </c>
      <c r="K101">
        <v>14</v>
      </c>
      <c r="M101">
        <v>14</v>
      </c>
      <c r="O101">
        <v>15</v>
      </c>
      <c r="Q101">
        <f>15</f>
        <v>15</v>
      </c>
      <c r="S101">
        <v>15</v>
      </c>
      <c r="AE101" t="s">
        <v>99</v>
      </c>
      <c r="AF101" s="8" t="s">
        <v>102</v>
      </c>
      <c r="AG101" s="8"/>
    </row>
    <row r="102" spans="2:33">
      <c r="W102" s="14" t="s">
        <v>66</v>
      </c>
      <c r="Y102">
        <f>SUM(Y73:Y85)</f>
        <v>4176</v>
      </c>
      <c r="Z102" s="17">
        <f t="shared" ref="Z102:Z110" si="41">100*Y102/Y$100</f>
        <v>78.143712574850298</v>
      </c>
      <c r="AE102" s="17">
        <f t="shared" ref="AE102:AE126" si="42">AC102/100</f>
        <v>0</v>
      </c>
      <c r="AF102">
        <v>0.27245508982035926</v>
      </c>
    </row>
    <row r="103" spans="2:33">
      <c r="W103" s="14" t="s">
        <v>63</v>
      </c>
      <c r="Y103">
        <f>SUM(Y90:Y92)</f>
        <v>0</v>
      </c>
      <c r="Z103" s="17">
        <f t="shared" si="41"/>
        <v>0</v>
      </c>
      <c r="AE103" s="17">
        <f t="shared" si="42"/>
        <v>0</v>
      </c>
      <c r="AF103">
        <v>0.21556886227544911</v>
      </c>
    </row>
    <row r="104" spans="2:33">
      <c r="W104" s="14" t="s">
        <v>64</v>
      </c>
      <c r="Y104">
        <f>Y95</f>
        <v>48</v>
      </c>
      <c r="Z104" s="17">
        <f t="shared" si="41"/>
        <v>0.89820359281437123</v>
      </c>
      <c r="AE104" s="17">
        <f t="shared" si="42"/>
        <v>0</v>
      </c>
      <c r="AF104">
        <v>8.9820359281437126E-2</v>
      </c>
    </row>
    <row r="105" spans="2:33">
      <c r="W105" s="14" t="s">
        <v>94</v>
      </c>
      <c r="Y105">
        <f>Y97</f>
        <v>16</v>
      </c>
      <c r="Z105" s="17">
        <f t="shared" si="41"/>
        <v>0.29940119760479039</v>
      </c>
      <c r="AE105" s="17">
        <f t="shared" si="42"/>
        <v>0</v>
      </c>
      <c r="AF105">
        <v>8.3832335329341312E-2</v>
      </c>
    </row>
    <row r="106" spans="2:33">
      <c r="W106" s="14" t="s">
        <v>93</v>
      </c>
      <c r="Y106">
        <f>Y94</f>
        <v>448</v>
      </c>
      <c r="Z106" s="17">
        <f t="shared" si="41"/>
        <v>8.3832335329341312</v>
      </c>
      <c r="AE106" s="17">
        <f t="shared" si="42"/>
        <v>0</v>
      </c>
      <c r="AF106">
        <v>7.1856287425149698E-2</v>
      </c>
    </row>
    <row r="107" spans="2:33">
      <c r="W107" s="14" t="s">
        <v>49</v>
      </c>
      <c r="Y107">
        <f>Y87</f>
        <v>0</v>
      </c>
      <c r="Z107" s="17">
        <f t="shared" si="41"/>
        <v>0</v>
      </c>
      <c r="AE107" s="17">
        <f t="shared" si="42"/>
        <v>0</v>
      </c>
      <c r="AF107">
        <v>5.9880239520958084E-2</v>
      </c>
    </row>
    <row r="108" spans="2:33">
      <c r="W108" s="14" t="s">
        <v>95</v>
      </c>
      <c r="Y108">
        <f>Y88</f>
        <v>96</v>
      </c>
      <c r="Z108" s="17">
        <f t="shared" si="41"/>
        <v>1.7964071856287425</v>
      </c>
      <c r="AE108" s="17">
        <f t="shared" si="42"/>
        <v>0</v>
      </c>
      <c r="AF108">
        <v>5.089820359281437E-2</v>
      </c>
    </row>
    <row r="109" spans="2:33" ht="21">
      <c r="B109" s="2"/>
      <c r="W109" s="14" t="s">
        <v>96</v>
      </c>
      <c r="Y109">
        <f>Y89</f>
        <v>0</v>
      </c>
      <c r="Z109" s="17">
        <f t="shared" si="41"/>
        <v>0</v>
      </c>
      <c r="AE109" s="17">
        <f t="shared" si="42"/>
        <v>0</v>
      </c>
      <c r="AF109">
        <v>3.2934131736526949E-2</v>
      </c>
    </row>
    <row r="110" spans="2:33">
      <c r="B110" s="1"/>
      <c r="W110" s="14" t="s">
        <v>117</v>
      </c>
      <c r="Y110">
        <f>Y93</f>
        <v>384</v>
      </c>
      <c r="Z110" s="17">
        <f t="shared" si="41"/>
        <v>7.1856287425149699</v>
      </c>
      <c r="AE110" s="17">
        <f t="shared" si="42"/>
        <v>0</v>
      </c>
      <c r="AF110">
        <v>2.3952095808383232E-2</v>
      </c>
    </row>
    <row r="111" spans="2:33" ht="21">
      <c r="B111" s="2"/>
      <c r="AE111" s="17">
        <f t="shared" si="42"/>
        <v>0</v>
      </c>
      <c r="AF111">
        <v>2.0958083832335328E-2</v>
      </c>
    </row>
    <row r="112" spans="2:33">
      <c r="AE112" s="17">
        <f t="shared" si="42"/>
        <v>0</v>
      </c>
      <c r="AF112">
        <v>1.7964071856287425E-2</v>
      </c>
    </row>
    <row r="113" spans="2:32">
      <c r="B113" s="8"/>
      <c r="C113" t="s">
        <v>105</v>
      </c>
      <c r="D113">
        <f>(C114*26873)/999999</f>
        <v>60.813659813659811</v>
      </c>
      <c r="E113">
        <f>D113*PI()*(0.25)^2</f>
        <v>11.940734181781405</v>
      </c>
      <c r="Y113" s="8"/>
      <c r="Z113" s="11"/>
      <c r="AA113" s="8"/>
      <c r="AE113" s="17">
        <f t="shared" si="42"/>
        <v>0</v>
      </c>
      <c r="AF113">
        <v>1.7964071856287425E-2</v>
      </c>
    </row>
    <row r="114" spans="2:32">
      <c r="B114" s="8"/>
      <c r="C114">
        <v>2263</v>
      </c>
      <c r="Y114" s="8"/>
      <c r="Z114" s="11"/>
      <c r="AA114" s="8"/>
      <c r="AE114" s="17">
        <f t="shared" si="42"/>
        <v>0</v>
      </c>
      <c r="AF114">
        <v>1.4970059880239521E-2</v>
      </c>
    </row>
    <row r="115" spans="2:32">
      <c r="B115" s="8"/>
      <c r="D115" s="8"/>
      <c r="E115" s="8"/>
      <c r="F115" s="8"/>
      <c r="Y115" s="8"/>
      <c r="Z115" s="8"/>
      <c r="AA115" s="8"/>
      <c r="AE115" s="17">
        <f t="shared" si="42"/>
        <v>0</v>
      </c>
      <c r="AF115">
        <v>1.1976047904191616E-2</v>
      </c>
    </row>
    <row r="116" spans="2:32" ht="21">
      <c r="B116" s="2" t="s">
        <v>116</v>
      </c>
      <c r="D116" s="8"/>
      <c r="E116" s="8"/>
      <c r="F116" s="8"/>
      <c r="Y116" s="8"/>
      <c r="Z116" s="8"/>
      <c r="AA116" s="8"/>
      <c r="AE116" s="17">
        <f t="shared" si="42"/>
        <v>0</v>
      </c>
      <c r="AF116">
        <v>8.9820359281437123E-3</v>
      </c>
    </row>
    <row r="117" spans="2:32">
      <c r="B117" s="8"/>
      <c r="C117" s="4" t="s">
        <v>9</v>
      </c>
      <c r="D117" s="4" t="s">
        <v>30</v>
      </c>
      <c r="E117" s="4" t="s">
        <v>10</v>
      </c>
      <c r="F117" s="4" t="s">
        <v>48</v>
      </c>
      <c r="G117" s="4" t="s">
        <v>11</v>
      </c>
      <c r="H117" s="4" t="s">
        <v>31</v>
      </c>
      <c r="I117" s="4" t="s">
        <v>12</v>
      </c>
      <c r="J117" s="4" t="s">
        <v>32</v>
      </c>
      <c r="K117" s="4" t="s">
        <v>13</v>
      </c>
      <c r="L117" s="4" t="s">
        <v>33</v>
      </c>
      <c r="M117" s="4" t="s">
        <v>14</v>
      </c>
      <c r="N117" s="4" t="s">
        <v>34</v>
      </c>
      <c r="O117" s="4" t="s">
        <v>15</v>
      </c>
      <c r="P117" s="4" t="s">
        <v>35</v>
      </c>
      <c r="Q117" s="4" t="s">
        <v>16</v>
      </c>
      <c r="R117" s="4" t="s">
        <v>36</v>
      </c>
      <c r="S117" s="4" t="s">
        <v>17</v>
      </c>
      <c r="U117" s="4" t="s">
        <v>18</v>
      </c>
      <c r="X117" s="1" t="s">
        <v>89</v>
      </c>
      <c r="Y117" t="s">
        <v>91</v>
      </c>
      <c r="Z117" t="s">
        <v>90</v>
      </c>
      <c r="AA117" t="s">
        <v>107</v>
      </c>
      <c r="AE117" s="17">
        <f t="shared" si="42"/>
        <v>0</v>
      </c>
      <c r="AF117">
        <v>2.9940119760479039E-3</v>
      </c>
    </row>
    <row r="118" spans="2:32">
      <c r="B118" s="5" t="s">
        <v>44</v>
      </c>
      <c r="D118" s="8"/>
      <c r="E118" s="8"/>
      <c r="F118" s="8"/>
      <c r="W118" s="5" t="s">
        <v>44</v>
      </c>
      <c r="X118">
        <f>SUM(C118:U118)</f>
        <v>0</v>
      </c>
      <c r="Y118">
        <f>X118*16</f>
        <v>0</v>
      </c>
      <c r="Z118" s="17">
        <f>100*X118/X$145</f>
        <v>0</v>
      </c>
      <c r="AA118">
        <f>Y118/E$113</f>
        <v>0</v>
      </c>
      <c r="AB118" s="17"/>
      <c r="AE118" s="17">
        <f t="shared" si="42"/>
        <v>0</v>
      </c>
      <c r="AF118">
        <v>2.9940119760479039E-3</v>
      </c>
    </row>
    <row r="119" spans="2:32">
      <c r="B119" s="5" t="s">
        <v>46</v>
      </c>
      <c r="W119" s="5" t="s">
        <v>46</v>
      </c>
      <c r="X119">
        <f t="shared" ref="X119:X142" si="43">SUM(C119:U119)</f>
        <v>0</v>
      </c>
      <c r="Y119">
        <f t="shared" ref="Y119:Y143" si="44">X119*16</f>
        <v>0</v>
      </c>
      <c r="Z119" s="17">
        <f t="shared" ref="Z119:Z143" si="45">100*X119/X$145</f>
        <v>0</v>
      </c>
      <c r="AA119">
        <f t="shared" ref="AA119:AA144" si="46">Y119/E$113</f>
        <v>0</v>
      </c>
      <c r="AB119" s="17"/>
      <c r="AE119" s="17">
        <f t="shared" si="42"/>
        <v>0</v>
      </c>
      <c r="AF119">
        <v>0</v>
      </c>
    </row>
    <row r="120" spans="2:32">
      <c r="B120" s="5" t="s">
        <v>22</v>
      </c>
      <c r="E120">
        <v>1</v>
      </c>
      <c r="G120">
        <v>1</v>
      </c>
      <c r="W120" s="5" t="s">
        <v>22</v>
      </c>
      <c r="X120">
        <f t="shared" si="43"/>
        <v>2</v>
      </c>
      <c r="Y120">
        <f t="shared" si="44"/>
        <v>32</v>
      </c>
      <c r="Z120" s="17">
        <f t="shared" si="45"/>
        <v>0.52356020942408377</v>
      </c>
      <c r="AA120">
        <f t="shared" si="46"/>
        <v>2.6799022164670623</v>
      </c>
      <c r="AB120" s="17"/>
      <c r="AE120" s="17">
        <f t="shared" si="42"/>
        <v>0</v>
      </c>
      <c r="AF120">
        <v>0</v>
      </c>
    </row>
    <row r="121" spans="2:32">
      <c r="B121" s="5" t="s">
        <v>24</v>
      </c>
      <c r="C121">
        <v>2</v>
      </c>
      <c r="E121">
        <v>11</v>
      </c>
      <c r="G121">
        <v>6</v>
      </c>
      <c r="W121" s="5" t="s">
        <v>24</v>
      </c>
      <c r="X121">
        <f t="shared" si="43"/>
        <v>19</v>
      </c>
      <c r="Y121">
        <f t="shared" si="44"/>
        <v>304</v>
      </c>
      <c r="Z121" s="17">
        <f t="shared" si="45"/>
        <v>4.9738219895287958</v>
      </c>
      <c r="AA121">
        <f t="shared" si="46"/>
        <v>25.459071056437089</v>
      </c>
      <c r="AB121" s="17"/>
      <c r="AE121" s="17">
        <f t="shared" si="42"/>
        <v>0</v>
      </c>
      <c r="AF121">
        <v>0</v>
      </c>
    </row>
    <row r="122" spans="2:32">
      <c r="B122" s="5" t="s">
        <v>70</v>
      </c>
      <c r="C122">
        <v>4</v>
      </c>
      <c r="G122">
        <v>6</v>
      </c>
      <c r="W122" s="5" t="s">
        <v>70</v>
      </c>
      <c r="X122">
        <f t="shared" si="43"/>
        <v>10</v>
      </c>
      <c r="Y122">
        <f t="shared" si="44"/>
        <v>160</v>
      </c>
      <c r="Z122" s="17">
        <f t="shared" si="45"/>
        <v>2.6178010471204187</v>
      </c>
      <c r="AA122">
        <f t="shared" si="46"/>
        <v>13.399511082335311</v>
      </c>
      <c r="AB122" s="17"/>
      <c r="AE122" s="17">
        <f t="shared" si="42"/>
        <v>0</v>
      </c>
      <c r="AF122">
        <v>0</v>
      </c>
    </row>
    <row r="123" spans="2:32">
      <c r="B123" s="5" t="s">
        <v>76</v>
      </c>
      <c r="C123">
        <v>20</v>
      </c>
      <c r="E123">
        <v>31</v>
      </c>
      <c r="G123">
        <v>34</v>
      </c>
      <c r="W123" s="5" t="s">
        <v>76</v>
      </c>
      <c r="X123">
        <f t="shared" si="43"/>
        <v>85</v>
      </c>
      <c r="Y123">
        <f t="shared" si="44"/>
        <v>1360</v>
      </c>
      <c r="Z123" s="17">
        <f t="shared" si="45"/>
        <v>22.251308900523561</v>
      </c>
      <c r="AA123">
        <f t="shared" si="46"/>
        <v>113.89584419985015</v>
      </c>
      <c r="AB123" s="17"/>
      <c r="AE123" s="17">
        <f t="shared" si="42"/>
        <v>0</v>
      </c>
      <c r="AF123">
        <v>0</v>
      </c>
    </row>
    <row r="124" spans="2:32">
      <c r="B124" s="5" t="s">
        <v>21</v>
      </c>
      <c r="W124" s="5" t="s">
        <v>21</v>
      </c>
      <c r="X124">
        <f t="shared" si="43"/>
        <v>0</v>
      </c>
      <c r="Y124">
        <f t="shared" si="44"/>
        <v>0</v>
      </c>
      <c r="Z124" s="17">
        <f t="shared" si="45"/>
        <v>0</v>
      </c>
      <c r="AA124">
        <f t="shared" si="46"/>
        <v>0</v>
      </c>
      <c r="AB124" s="17"/>
      <c r="AE124" s="17">
        <f t="shared" si="42"/>
        <v>0</v>
      </c>
      <c r="AF124">
        <v>0</v>
      </c>
    </row>
    <row r="125" spans="2:32">
      <c r="B125" s="5" t="s">
        <v>23</v>
      </c>
      <c r="C125">
        <v>1</v>
      </c>
      <c r="E125">
        <v>2</v>
      </c>
      <c r="G125">
        <v>2</v>
      </c>
      <c r="W125" s="5" t="s">
        <v>23</v>
      </c>
      <c r="X125">
        <f t="shared" si="43"/>
        <v>5</v>
      </c>
      <c r="Y125">
        <f t="shared" si="44"/>
        <v>80</v>
      </c>
      <c r="Z125" s="17">
        <f t="shared" si="45"/>
        <v>1.3089005235602094</v>
      </c>
      <c r="AA125">
        <f t="shared" si="46"/>
        <v>6.6997555411676553</v>
      </c>
      <c r="AB125" s="17"/>
      <c r="AE125" s="17">
        <f t="shared" si="42"/>
        <v>0</v>
      </c>
      <c r="AF125">
        <v>0</v>
      </c>
    </row>
    <row r="126" spans="2:32">
      <c r="B126" s="5" t="s">
        <v>45</v>
      </c>
      <c r="C126">
        <v>6</v>
      </c>
      <c r="E126">
        <v>10</v>
      </c>
      <c r="G126">
        <v>8</v>
      </c>
      <c r="W126" s="5" t="s">
        <v>45</v>
      </c>
      <c r="X126">
        <f t="shared" si="43"/>
        <v>24</v>
      </c>
      <c r="Y126">
        <f t="shared" si="44"/>
        <v>384</v>
      </c>
      <c r="Z126" s="17">
        <f t="shared" si="45"/>
        <v>6.2827225130890056</v>
      </c>
      <c r="AA126">
        <f t="shared" si="46"/>
        <v>32.158826597604744</v>
      </c>
      <c r="AB126" s="17"/>
      <c r="AE126" s="17">
        <f t="shared" si="42"/>
        <v>0</v>
      </c>
      <c r="AF126">
        <v>0</v>
      </c>
    </row>
    <row r="127" spans="2:32">
      <c r="B127" s="5" t="s">
        <v>25</v>
      </c>
      <c r="C127">
        <v>1</v>
      </c>
      <c r="E127">
        <v>2</v>
      </c>
      <c r="G127">
        <v>1</v>
      </c>
      <c r="W127" s="5" t="s">
        <v>25</v>
      </c>
      <c r="X127">
        <f t="shared" si="43"/>
        <v>4</v>
      </c>
      <c r="Y127">
        <f t="shared" si="44"/>
        <v>64</v>
      </c>
      <c r="Z127" s="17">
        <f t="shared" si="45"/>
        <v>1.0471204188481675</v>
      </c>
      <c r="AA127">
        <f t="shared" si="46"/>
        <v>5.3598044329341246</v>
      </c>
      <c r="AB127" s="17"/>
    </row>
    <row r="128" spans="2:32">
      <c r="B128" s="5" t="s">
        <v>114</v>
      </c>
      <c r="E128">
        <v>2</v>
      </c>
      <c r="G128">
        <v>6</v>
      </c>
      <c r="W128" s="5" t="s">
        <v>47</v>
      </c>
      <c r="X128">
        <f t="shared" si="43"/>
        <v>8</v>
      </c>
      <c r="Y128">
        <f t="shared" si="44"/>
        <v>128</v>
      </c>
      <c r="Z128" s="17">
        <f t="shared" si="45"/>
        <v>2.0942408376963351</v>
      </c>
      <c r="AA128">
        <f t="shared" si="46"/>
        <v>10.719608865868249</v>
      </c>
      <c r="AB128" s="17"/>
    </row>
    <row r="129" spans="2:31">
      <c r="B129" s="5" t="s">
        <v>75</v>
      </c>
      <c r="C129">
        <v>9</v>
      </c>
      <c r="E129" s="19">
        <v>18</v>
      </c>
      <c r="G129">
        <v>5</v>
      </c>
      <c r="W129" s="5" t="s">
        <v>75</v>
      </c>
      <c r="X129">
        <f t="shared" si="43"/>
        <v>32</v>
      </c>
      <c r="Y129">
        <f t="shared" si="44"/>
        <v>512</v>
      </c>
      <c r="Z129" s="17">
        <f t="shared" si="45"/>
        <v>8.3769633507853403</v>
      </c>
      <c r="AA129">
        <f t="shared" si="46"/>
        <v>42.878435463472997</v>
      </c>
      <c r="AB129" s="17"/>
    </row>
    <row r="130" spans="2:31">
      <c r="B130" s="5" t="s">
        <v>27</v>
      </c>
      <c r="C130">
        <v>9</v>
      </c>
      <c r="E130">
        <v>6</v>
      </c>
      <c r="G130">
        <v>5</v>
      </c>
      <c r="W130" s="5" t="s">
        <v>27</v>
      </c>
      <c r="X130">
        <f t="shared" si="43"/>
        <v>20</v>
      </c>
      <c r="Y130">
        <f t="shared" si="44"/>
        <v>320</v>
      </c>
      <c r="Z130" s="17">
        <f t="shared" si="45"/>
        <v>5.2356020942408374</v>
      </c>
      <c r="AA130">
        <f t="shared" si="46"/>
        <v>26.799022164670621</v>
      </c>
      <c r="AB130" s="17"/>
    </row>
    <row r="131" spans="2:31">
      <c r="B131" s="5" t="s">
        <v>53</v>
      </c>
      <c r="C131">
        <v>1</v>
      </c>
      <c r="W131" s="5" t="s">
        <v>53</v>
      </c>
      <c r="X131">
        <f t="shared" si="43"/>
        <v>1</v>
      </c>
      <c r="Y131">
        <f t="shared" si="44"/>
        <v>16</v>
      </c>
      <c r="Z131" s="17">
        <f t="shared" si="45"/>
        <v>0.26178010471204188</v>
      </c>
      <c r="AA131">
        <f t="shared" si="46"/>
        <v>1.3399511082335311</v>
      </c>
      <c r="AB131" s="17"/>
      <c r="AE131" t="s">
        <v>121</v>
      </c>
    </row>
    <row r="132" spans="2:31">
      <c r="B132" s="5" t="s">
        <v>49</v>
      </c>
      <c r="W132" s="5" t="s">
        <v>49</v>
      </c>
      <c r="X132">
        <f t="shared" si="43"/>
        <v>0</v>
      </c>
      <c r="Y132">
        <f t="shared" si="44"/>
        <v>0</v>
      </c>
      <c r="Z132" s="17">
        <f t="shared" si="45"/>
        <v>0</v>
      </c>
      <c r="AA132">
        <f t="shared" si="46"/>
        <v>0</v>
      </c>
      <c r="AB132" s="17"/>
      <c r="AE132">
        <v>33.6</v>
      </c>
    </row>
    <row r="133" spans="2:31">
      <c r="B133" s="5" t="s">
        <v>65</v>
      </c>
      <c r="E133">
        <v>1</v>
      </c>
      <c r="G133">
        <v>4</v>
      </c>
      <c r="W133" s="5" t="s">
        <v>65</v>
      </c>
      <c r="X133">
        <f t="shared" si="43"/>
        <v>5</v>
      </c>
      <c r="Y133">
        <f t="shared" si="44"/>
        <v>80</v>
      </c>
      <c r="Z133" s="17">
        <f t="shared" si="45"/>
        <v>1.3089005235602094</v>
      </c>
      <c r="AA133">
        <f t="shared" si="46"/>
        <v>6.6997555411676553</v>
      </c>
      <c r="AB133" s="17"/>
      <c r="AE133">
        <v>22.666666666666668</v>
      </c>
    </row>
    <row r="134" spans="2:31">
      <c r="B134" s="5" t="s">
        <v>26</v>
      </c>
      <c r="W134" s="5" t="s">
        <v>26</v>
      </c>
      <c r="X134">
        <f t="shared" si="43"/>
        <v>0</v>
      </c>
      <c r="Y134">
        <f t="shared" si="44"/>
        <v>0</v>
      </c>
      <c r="Z134" s="17">
        <f t="shared" si="45"/>
        <v>0</v>
      </c>
      <c r="AA134">
        <f t="shared" si="46"/>
        <v>0</v>
      </c>
      <c r="AB134" s="17"/>
      <c r="AE134">
        <v>8.5333333333333332</v>
      </c>
    </row>
    <row r="135" spans="2:31">
      <c r="B135" s="5" t="s">
        <v>6</v>
      </c>
      <c r="W135" s="5" t="s">
        <v>6</v>
      </c>
      <c r="X135">
        <f t="shared" si="43"/>
        <v>0</v>
      </c>
      <c r="Y135">
        <f t="shared" si="44"/>
        <v>0</v>
      </c>
      <c r="Z135" s="17">
        <f t="shared" si="45"/>
        <v>0</v>
      </c>
      <c r="AA135">
        <f t="shared" si="46"/>
        <v>0</v>
      </c>
      <c r="AB135" s="17"/>
      <c r="AE135">
        <v>6.4</v>
      </c>
    </row>
    <row r="136" spans="2:31">
      <c r="B136" s="5" t="s">
        <v>5</v>
      </c>
      <c r="C136">
        <v>1</v>
      </c>
      <c r="W136" s="5" t="s">
        <v>5</v>
      </c>
      <c r="X136">
        <f t="shared" si="43"/>
        <v>1</v>
      </c>
      <c r="Y136">
        <f t="shared" si="44"/>
        <v>16</v>
      </c>
      <c r="Z136" s="17">
        <f t="shared" si="45"/>
        <v>0.26178010471204188</v>
      </c>
      <c r="AA136">
        <f t="shared" si="46"/>
        <v>1.3399511082335311</v>
      </c>
      <c r="AB136" s="17"/>
      <c r="AE136">
        <v>5.333333333333333</v>
      </c>
    </row>
    <row r="137" spans="2:31">
      <c r="B137" s="7" t="s">
        <v>78</v>
      </c>
      <c r="W137" s="7" t="s">
        <v>78</v>
      </c>
      <c r="X137">
        <f t="shared" si="43"/>
        <v>0</v>
      </c>
      <c r="Y137">
        <f t="shared" si="44"/>
        <v>0</v>
      </c>
      <c r="Z137" s="17">
        <f t="shared" si="45"/>
        <v>0</v>
      </c>
      <c r="AA137">
        <f t="shared" si="46"/>
        <v>0</v>
      </c>
      <c r="AB137" s="17"/>
      <c r="AE137">
        <v>5.0666666666666664</v>
      </c>
    </row>
    <row r="138" spans="2:31">
      <c r="B138" s="5" t="s">
        <v>117</v>
      </c>
      <c r="C138">
        <v>9</v>
      </c>
      <c r="E138">
        <v>6</v>
      </c>
      <c r="G138">
        <v>4</v>
      </c>
      <c r="W138" s="5" t="s">
        <v>117</v>
      </c>
      <c r="X138">
        <f t="shared" si="43"/>
        <v>19</v>
      </c>
      <c r="Y138">
        <f t="shared" si="44"/>
        <v>304</v>
      </c>
      <c r="Z138" s="17">
        <f t="shared" si="45"/>
        <v>4.9738219895287958</v>
      </c>
      <c r="AA138">
        <f t="shared" si="46"/>
        <v>25.459071056437089</v>
      </c>
      <c r="AB138" s="17"/>
      <c r="AE138">
        <v>5.0666666666666664</v>
      </c>
    </row>
    <row r="139" spans="2:31">
      <c r="B139" s="7" t="s">
        <v>69</v>
      </c>
      <c r="C139">
        <v>52</v>
      </c>
      <c r="E139">
        <v>34</v>
      </c>
      <c r="G139">
        <v>40</v>
      </c>
      <c r="W139" s="7" t="s">
        <v>69</v>
      </c>
      <c r="X139">
        <f t="shared" si="43"/>
        <v>126</v>
      </c>
      <c r="Y139">
        <f t="shared" si="44"/>
        <v>2016</v>
      </c>
      <c r="Z139" s="17">
        <f t="shared" si="45"/>
        <v>32.984293193717278</v>
      </c>
      <c r="AA139">
        <f t="shared" si="46"/>
        <v>168.83383963742492</v>
      </c>
      <c r="AB139" s="17"/>
      <c r="AE139">
        <v>2.9333333333333331</v>
      </c>
    </row>
    <row r="140" spans="2:31">
      <c r="B140" s="7" t="s">
        <v>28</v>
      </c>
      <c r="C140">
        <v>1</v>
      </c>
      <c r="E140">
        <v>5</v>
      </c>
      <c r="G140">
        <v>5</v>
      </c>
      <c r="W140" s="7" t="s">
        <v>28</v>
      </c>
      <c r="X140">
        <f t="shared" si="43"/>
        <v>11</v>
      </c>
      <c r="Y140">
        <f t="shared" si="44"/>
        <v>176</v>
      </c>
      <c r="Z140" s="17">
        <f t="shared" si="45"/>
        <v>2.8795811518324608</v>
      </c>
      <c r="AA140">
        <f t="shared" si="46"/>
        <v>14.739462190568842</v>
      </c>
      <c r="AB140" s="17"/>
      <c r="AE140">
        <v>2.6666666666666665</v>
      </c>
    </row>
    <row r="141" spans="2:31">
      <c r="B141" s="7" t="s">
        <v>52</v>
      </c>
      <c r="E141">
        <v>1</v>
      </c>
      <c r="G141">
        <v>1</v>
      </c>
      <c r="W141" s="7" t="s">
        <v>52</v>
      </c>
      <c r="X141">
        <f t="shared" si="43"/>
        <v>2</v>
      </c>
      <c r="Y141">
        <f t="shared" si="44"/>
        <v>32</v>
      </c>
      <c r="Z141" s="17">
        <f t="shared" si="45"/>
        <v>0.52356020942408377</v>
      </c>
      <c r="AA141">
        <f t="shared" si="46"/>
        <v>2.6799022164670623</v>
      </c>
      <c r="AB141" s="17"/>
      <c r="AE141">
        <v>2.1333333333333333</v>
      </c>
    </row>
    <row r="142" spans="2:31">
      <c r="B142" s="7" t="s">
        <v>71</v>
      </c>
      <c r="C142">
        <v>1</v>
      </c>
      <c r="W142" s="7" t="s">
        <v>71</v>
      </c>
      <c r="X142">
        <f t="shared" si="43"/>
        <v>1</v>
      </c>
      <c r="Y142">
        <f t="shared" si="44"/>
        <v>16</v>
      </c>
      <c r="Z142" s="17">
        <f t="shared" si="45"/>
        <v>0.26178010471204188</v>
      </c>
      <c r="AA142">
        <f t="shared" si="46"/>
        <v>1.3399511082335311</v>
      </c>
      <c r="AB142" s="17"/>
      <c r="AE142">
        <v>1.3333333333333333</v>
      </c>
    </row>
    <row r="143" spans="2:31">
      <c r="B143" s="7" t="s">
        <v>122</v>
      </c>
      <c r="E143">
        <v>5</v>
      </c>
      <c r="G143">
        <v>2</v>
      </c>
      <c r="W143" s="7" t="s">
        <v>122</v>
      </c>
      <c r="X143">
        <f>7</f>
        <v>7</v>
      </c>
      <c r="Y143">
        <f t="shared" si="44"/>
        <v>112</v>
      </c>
      <c r="Z143" s="17">
        <f t="shared" si="45"/>
        <v>1.8324607329842932</v>
      </c>
      <c r="AA143">
        <f t="shared" si="46"/>
        <v>9.3796577576347175</v>
      </c>
      <c r="AE143">
        <v>1.3333333333333333</v>
      </c>
    </row>
    <row r="144" spans="2:31">
      <c r="B144" s="7" t="s">
        <v>115</v>
      </c>
      <c r="G144">
        <v>3</v>
      </c>
      <c r="AA144">
        <f t="shared" si="46"/>
        <v>0</v>
      </c>
      <c r="AE144">
        <v>1.0666666666666667</v>
      </c>
    </row>
    <row r="145" spans="2:31">
      <c r="W145" s="7" t="s">
        <v>89</v>
      </c>
      <c r="X145">
        <f>SUM(X118:X143)</f>
        <v>382</v>
      </c>
      <c r="Y145">
        <f>X145*16</f>
        <v>6112</v>
      </c>
      <c r="AA145">
        <f>Y145/E$113</f>
        <v>511.86132334520886</v>
      </c>
      <c r="AE145">
        <v>0.53333333333333333</v>
      </c>
    </row>
    <row r="146" spans="2:31">
      <c r="B146" s="11" t="s">
        <v>87</v>
      </c>
      <c r="C146">
        <f>SUM(C118:C143)</f>
        <v>117</v>
      </c>
      <c r="E146">
        <f>SUM(E118:E143)</f>
        <v>135</v>
      </c>
      <c r="G146">
        <f>SUM(G118:G144)</f>
        <v>133</v>
      </c>
      <c r="I146">
        <f t="shared" ref="I146:U146" si="47">SUM(I118:I143)</f>
        <v>0</v>
      </c>
      <c r="K146">
        <f t="shared" si="47"/>
        <v>0</v>
      </c>
      <c r="M146">
        <f t="shared" si="47"/>
        <v>0</v>
      </c>
      <c r="O146">
        <f t="shared" si="47"/>
        <v>0</v>
      </c>
      <c r="Q146">
        <f t="shared" si="47"/>
        <v>0</v>
      </c>
      <c r="S146">
        <f t="shared" si="47"/>
        <v>0</v>
      </c>
      <c r="U146">
        <f t="shared" si="47"/>
        <v>0</v>
      </c>
      <c r="AE146">
        <v>0.53333333333333333</v>
      </c>
    </row>
    <row r="147" spans="2:31">
      <c r="B147" s="11" t="s">
        <v>8</v>
      </c>
      <c r="C147">
        <f>C146</f>
        <v>117</v>
      </c>
      <c r="E147">
        <f>C147+E146</f>
        <v>252</v>
      </c>
      <c r="G147">
        <f>E147+G146</f>
        <v>385</v>
      </c>
      <c r="I147">
        <f>G147+I146</f>
        <v>385</v>
      </c>
      <c r="K147">
        <f>I147+K146</f>
        <v>385</v>
      </c>
      <c r="M147">
        <f>K147+M146</f>
        <v>385</v>
      </c>
      <c r="O147">
        <f>M147+O146</f>
        <v>385</v>
      </c>
      <c r="Q147">
        <f>O147+Q146</f>
        <v>385</v>
      </c>
      <c r="S147">
        <f>Q147+S146</f>
        <v>385</v>
      </c>
      <c r="U147">
        <f>S147+U146</f>
        <v>385</v>
      </c>
      <c r="W147" s="14" t="s">
        <v>66</v>
      </c>
      <c r="Y147">
        <f>SUM(Y118:Y130)</f>
        <v>3344</v>
      </c>
      <c r="Z147" s="17">
        <f>100*Y147/Y$145</f>
        <v>54.712041884816756</v>
      </c>
      <c r="AE147">
        <v>0.26666666666666666</v>
      </c>
    </row>
    <row r="148" spans="2:31">
      <c r="C148">
        <v>14</v>
      </c>
      <c r="E148">
        <v>18</v>
      </c>
      <c r="G148">
        <v>18</v>
      </c>
      <c r="W148" s="14" t="s">
        <v>63</v>
      </c>
      <c r="Y148">
        <f>SUM(Y135:Y137)</f>
        <v>16</v>
      </c>
      <c r="Z148" s="17">
        <f t="shared" ref="Z148:Z155" si="48">100*Y148/Y$145</f>
        <v>0.26178010471204188</v>
      </c>
      <c r="AE148">
        <v>0.26666666666666666</v>
      </c>
    </row>
    <row r="149" spans="2:31">
      <c r="W149" s="14" t="s">
        <v>64</v>
      </c>
      <c r="Y149">
        <f>Y140</f>
        <v>176</v>
      </c>
      <c r="Z149" s="17">
        <f t="shared" si="48"/>
        <v>2.8795811518324608</v>
      </c>
      <c r="AE149">
        <v>0.26666666666666666</v>
      </c>
    </row>
    <row r="150" spans="2:31">
      <c r="W150" s="14" t="s">
        <v>94</v>
      </c>
      <c r="Y150">
        <f>Y142</f>
        <v>16</v>
      </c>
      <c r="Z150" s="17">
        <f t="shared" si="48"/>
        <v>0.26178010471204188</v>
      </c>
      <c r="AE150">
        <v>0</v>
      </c>
    </row>
    <row r="151" spans="2:31">
      <c r="W151" s="14" t="s">
        <v>93</v>
      </c>
      <c r="Y151">
        <f>Y139</f>
        <v>2016</v>
      </c>
      <c r="Z151" s="17">
        <f t="shared" si="48"/>
        <v>32.984293193717278</v>
      </c>
      <c r="AE151">
        <v>0</v>
      </c>
    </row>
    <row r="152" spans="2:31">
      <c r="W152" s="14" t="s">
        <v>49</v>
      </c>
      <c r="Y152">
        <f>Y132</f>
        <v>0</v>
      </c>
      <c r="Z152" s="17">
        <f t="shared" si="48"/>
        <v>0</v>
      </c>
      <c r="AE152">
        <v>0</v>
      </c>
    </row>
    <row r="153" spans="2:31">
      <c r="W153" s="14" t="s">
        <v>95</v>
      </c>
      <c r="Y153">
        <f>Y133</f>
        <v>80</v>
      </c>
      <c r="Z153" s="17">
        <f t="shared" si="48"/>
        <v>1.3089005235602094</v>
      </c>
      <c r="AE153">
        <v>0</v>
      </c>
    </row>
    <row r="154" spans="2:31" ht="21">
      <c r="B154" s="2"/>
      <c r="W154" s="14" t="s">
        <v>96</v>
      </c>
      <c r="Y154">
        <f>Y134</f>
        <v>0</v>
      </c>
      <c r="Z154" s="17">
        <f t="shared" si="48"/>
        <v>0</v>
      </c>
      <c r="AE154">
        <v>0</v>
      </c>
    </row>
    <row r="155" spans="2:31">
      <c r="B155" s="1"/>
      <c r="W155" s="14" t="s">
        <v>117</v>
      </c>
      <c r="Y155">
        <f>Y138</f>
        <v>304</v>
      </c>
      <c r="Z155" s="17">
        <f t="shared" si="48"/>
        <v>4.9738219895287958</v>
      </c>
      <c r="AE155">
        <v>0</v>
      </c>
    </row>
    <row r="156" spans="2:31" ht="21">
      <c r="B156" s="2"/>
      <c r="AE156">
        <v>0</v>
      </c>
    </row>
  </sheetData>
  <autoFilter ref="AE131:AE156" xr:uid="{2D8492C2-CB24-EC4B-8244-541FF1DDBBC7}">
    <sortState xmlns:xlrd2="http://schemas.microsoft.com/office/spreadsheetml/2017/richdata2" ref="AE132:AE156">
      <sortCondition descending="1" ref="AE131:AE156"/>
    </sortState>
  </autoFilter>
  <sortState xmlns:xlrd2="http://schemas.microsoft.com/office/spreadsheetml/2017/richdata2" ref="AK39:AK60">
    <sortCondition descending="1" ref="AK38"/>
  </sortState>
  <phoneticPr fontId="3" type="noConversion"/>
  <pageMargins left="0.7" right="0.7" top="0.75" bottom="0.75" header="0.3" footer="0.3"/>
  <pageSetup orientation="portrait" horizontalDpi="0" verticalDpi="0"/>
  <ignoredErrors>
    <ignoredError sqref="AO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6C9C-F653-964B-92D9-5736FF22F5C3}">
  <dimension ref="A1:L32"/>
  <sheetViews>
    <sheetView zoomScale="84" workbookViewId="0">
      <selection activeCell="E34" sqref="E34"/>
    </sheetView>
  </sheetViews>
  <sheetFormatPr baseColWidth="10" defaultRowHeight="16"/>
  <cols>
    <col min="4" max="4" width="27.33203125" customWidth="1"/>
    <col min="7" max="7" width="25" customWidth="1"/>
    <col min="8" max="8" width="26" customWidth="1"/>
    <col min="9" max="9" width="14.5" customWidth="1"/>
    <col min="10" max="10" width="12.6640625" customWidth="1"/>
  </cols>
  <sheetData>
    <row r="1" spans="1:12">
      <c r="A1" t="s">
        <v>140</v>
      </c>
      <c r="E1" t="s">
        <v>139</v>
      </c>
      <c r="G1" t="s">
        <v>138</v>
      </c>
    </row>
    <row r="2" spans="1:12">
      <c r="E2" s="24" t="s">
        <v>137</v>
      </c>
      <c r="F2" s="24" t="s">
        <v>136</v>
      </c>
      <c r="G2" s="24" t="s">
        <v>135</v>
      </c>
      <c r="H2" s="24" t="s">
        <v>134</v>
      </c>
      <c r="I2" s="24" t="s">
        <v>133</v>
      </c>
      <c r="J2" s="24" t="s">
        <v>132</v>
      </c>
      <c r="L2" s="1"/>
    </row>
    <row r="3" spans="1:12">
      <c r="D3" s="1" t="s">
        <v>44</v>
      </c>
      <c r="E3">
        <v>3.1669999999999998</v>
      </c>
      <c r="F3">
        <v>-8.3580000000000005</v>
      </c>
      <c r="G3">
        <v>0.45</v>
      </c>
      <c r="H3">
        <v>3000</v>
      </c>
      <c r="I3">
        <f t="shared" ref="I3:I24" si="0">10^((E3*LOG(H3,10))+F3)</f>
        <v>450.86135685533969</v>
      </c>
      <c r="J3">
        <f t="shared" ref="J3:J25" si="1">G3*I3</f>
        <v>202.88761058490286</v>
      </c>
    </row>
    <row r="4" spans="1:12">
      <c r="A4" t="s">
        <v>131</v>
      </c>
      <c r="D4" s="1" t="s">
        <v>46</v>
      </c>
      <c r="E4">
        <v>2.044</v>
      </c>
      <c r="F4">
        <v>-4.8810000000000002</v>
      </c>
      <c r="G4">
        <v>0.45</v>
      </c>
      <c r="H4">
        <v>2500</v>
      </c>
      <c r="I4">
        <f t="shared" si="0"/>
        <v>115.98167532441434</v>
      </c>
      <c r="J4">
        <f t="shared" si="1"/>
        <v>52.191753895986452</v>
      </c>
    </row>
    <row r="5" spans="1:12">
      <c r="A5" t="s">
        <v>130</v>
      </c>
      <c r="D5" s="1" t="s">
        <v>22</v>
      </c>
      <c r="E5">
        <v>2.052</v>
      </c>
      <c r="F5">
        <v>-5.4080000000000004</v>
      </c>
      <c r="G5">
        <v>0.45</v>
      </c>
      <c r="H5">
        <v>4000</v>
      </c>
      <c r="I5">
        <f t="shared" si="0"/>
        <v>96.255843073031585</v>
      </c>
      <c r="J5">
        <f t="shared" si="1"/>
        <v>43.315129382864214</v>
      </c>
    </row>
    <row r="6" spans="1:12">
      <c r="D6" s="1" t="s">
        <v>24</v>
      </c>
      <c r="E6">
        <v>1.405</v>
      </c>
      <c r="F6">
        <v>-2.8650000000000002</v>
      </c>
      <c r="G6">
        <v>0.45</v>
      </c>
      <c r="H6">
        <v>1500</v>
      </c>
      <c r="I6">
        <f t="shared" si="0"/>
        <v>39.573842316273918</v>
      </c>
      <c r="J6">
        <f t="shared" si="1"/>
        <v>17.808229042323262</v>
      </c>
    </row>
    <row r="7" spans="1:12">
      <c r="D7" s="1" t="s">
        <v>70</v>
      </c>
      <c r="E7">
        <v>1.84</v>
      </c>
      <c r="F7">
        <v>-4.84</v>
      </c>
      <c r="G7">
        <v>0.45</v>
      </c>
      <c r="H7">
        <v>650</v>
      </c>
      <c r="I7">
        <f t="shared" si="0"/>
        <v>2.1665093927251391</v>
      </c>
      <c r="J7">
        <f t="shared" si="1"/>
        <v>0.97492922672631266</v>
      </c>
    </row>
    <row r="8" spans="1:12">
      <c r="D8" s="1" t="s">
        <v>129</v>
      </c>
      <c r="E8">
        <v>3.1</v>
      </c>
      <c r="F8">
        <v>-8.1</v>
      </c>
      <c r="G8">
        <v>0.45</v>
      </c>
      <c r="H8">
        <v>800</v>
      </c>
      <c r="I8">
        <f t="shared" si="0"/>
        <v>7.9355852162474996</v>
      </c>
      <c r="J8">
        <f t="shared" si="1"/>
        <v>3.571013347311375</v>
      </c>
    </row>
    <row r="9" spans="1:12">
      <c r="D9" s="1" t="s">
        <v>21</v>
      </c>
      <c r="E9">
        <v>1.871</v>
      </c>
      <c r="F9">
        <v>-4.3090000000000002</v>
      </c>
      <c r="G9">
        <v>0.45</v>
      </c>
      <c r="H9">
        <v>1800</v>
      </c>
      <c r="I9">
        <f t="shared" si="0"/>
        <v>60.480428165128792</v>
      </c>
      <c r="J9">
        <f t="shared" si="1"/>
        <v>27.216192674307958</v>
      </c>
    </row>
    <row r="10" spans="1:12">
      <c r="D10" s="1" t="s">
        <v>23</v>
      </c>
      <c r="E10">
        <v>4.0339999999999998</v>
      </c>
      <c r="F10">
        <v>-11.561</v>
      </c>
      <c r="G10">
        <v>0.45</v>
      </c>
      <c r="H10">
        <v>2500</v>
      </c>
      <c r="I10">
        <f t="shared" si="0"/>
        <v>140.05221924764169</v>
      </c>
      <c r="J10">
        <f t="shared" si="1"/>
        <v>63.023498661438758</v>
      </c>
    </row>
    <row r="11" spans="1:12">
      <c r="D11" s="1" t="s">
        <v>45</v>
      </c>
      <c r="E11">
        <v>2.73</v>
      </c>
      <c r="F11">
        <v>-6.92</v>
      </c>
      <c r="G11">
        <v>0.45</v>
      </c>
      <c r="H11">
        <v>900</v>
      </c>
      <c r="I11">
        <f t="shared" si="0"/>
        <v>13.96632200286852</v>
      </c>
      <c r="J11">
        <f t="shared" si="1"/>
        <v>6.2848449012908336</v>
      </c>
    </row>
    <row r="12" spans="1:12">
      <c r="D12" s="1" t="s">
        <v>128</v>
      </c>
      <c r="E12">
        <v>2.73</v>
      </c>
      <c r="F12">
        <v>-6.92</v>
      </c>
      <c r="G12">
        <v>0.45</v>
      </c>
      <c r="H12">
        <v>700</v>
      </c>
      <c r="I12">
        <f t="shared" si="0"/>
        <v>7.0326280613581886</v>
      </c>
      <c r="J12">
        <f t="shared" si="1"/>
        <v>3.1646826276111848</v>
      </c>
    </row>
    <row r="13" spans="1:12">
      <c r="D13" s="1" t="s">
        <v>127</v>
      </c>
      <c r="E13">
        <v>2.76</v>
      </c>
      <c r="F13">
        <v>-6.92</v>
      </c>
      <c r="G13">
        <v>0.45</v>
      </c>
      <c r="H13">
        <v>600</v>
      </c>
      <c r="I13">
        <f t="shared" si="0"/>
        <v>5.5936778513645455</v>
      </c>
      <c r="J13">
        <f t="shared" si="1"/>
        <v>2.5171550331140455</v>
      </c>
    </row>
    <row r="14" spans="1:12">
      <c r="D14" s="1" t="s">
        <v>75</v>
      </c>
      <c r="E14">
        <v>2.73</v>
      </c>
      <c r="F14">
        <v>-6.92</v>
      </c>
      <c r="G14">
        <v>0.45</v>
      </c>
      <c r="H14">
        <v>700</v>
      </c>
      <c r="I14">
        <f t="shared" si="0"/>
        <v>7.0326280613581886</v>
      </c>
      <c r="J14">
        <f t="shared" si="1"/>
        <v>3.1646826276111848</v>
      </c>
    </row>
    <row r="15" spans="1:12">
      <c r="D15" s="1" t="s">
        <v>27</v>
      </c>
      <c r="E15">
        <v>3</v>
      </c>
      <c r="F15">
        <v>-8</v>
      </c>
      <c r="G15">
        <v>0.45</v>
      </c>
      <c r="H15">
        <v>500</v>
      </c>
      <c r="I15">
        <f t="shared" si="0"/>
        <v>1.2499999999999944</v>
      </c>
      <c r="J15">
        <f t="shared" si="1"/>
        <v>0.56249999999999756</v>
      </c>
    </row>
    <row r="16" spans="1:12">
      <c r="D16" s="1" t="s">
        <v>53</v>
      </c>
      <c r="E16">
        <v>2.9</v>
      </c>
      <c r="F16">
        <v>-0.79</v>
      </c>
      <c r="G16">
        <v>0.45</v>
      </c>
      <c r="H16">
        <v>6</v>
      </c>
      <c r="I16">
        <f t="shared" si="0"/>
        <v>29.284554805619145</v>
      </c>
      <c r="J16">
        <f t="shared" si="1"/>
        <v>13.178049662528615</v>
      </c>
    </row>
    <row r="17" spans="2:10">
      <c r="D17" s="1" t="s">
        <v>49</v>
      </c>
      <c r="E17">
        <v>2.5</v>
      </c>
      <c r="F17">
        <v>-7.5110000000000001</v>
      </c>
      <c r="G17">
        <v>0.45</v>
      </c>
      <c r="H17">
        <v>1000</v>
      </c>
      <c r="I17">
        <f t="shared" si="0"/>
        <v>0.97498963771738456</v>
      </c>
      <c r="J17">
        <f t="shared" si="1"/>
        <v>0.43874533697282309</v>
      </c>
    </row>
    <row r="18" spans="2:10">
      <c r="D18" s="1" t="s">
        <v>65</v>
      </c>
      <c r="E18">
        <v>1.988</v>
      </c>
      <c r="F18">
        <v>-4.2640000000000002</v>
      </c>
      <c r="G18">
        <v>0.45</v>
      </c>
      <c r="H18">
        <v>1000</v>
      </c>
      <c r="I18">
        <f t="shared" si="0"/>
        <v>50.118723362727174</v>
      </c>
      <c r="J18">
        <f t="shared" si="1"/>
        <v>22.553425513227229</v>
      </c>
    </row>
    <row r="19" spans="2:10">
      <c r="C19" t="s">
        <v>126</v>
      </c>
      <c r="D19" s="1" t="s">
        <v>26</v>
      </c>
      <c r="E19">
        <v>3.13</v>
      </c>
      <c r="F19">
        <v>0.91400000000000003</v>
      </c>
      <c r="G19">
        <v>0.45</v>
      </c>
      <c r="H19">
        <v>10</v>
      </c>
      <c r="I19">
        <f t="shared" si="0"/>
        <v>11066.237839776661</v>
      </c>
      <c r="J19">
        <f t="shared" si="1"/>
        <v>4979.8070278994974</v>
      </c>
    </row>
    <row r="20" spans="2:10">
      <c r="C20" t="s">
        <v>126</v>
      </c>
      <c r="D20" s="1" t="s">
        <v>6</v>
      </c>
      <c r="E20">
        <v>2.71</v>
      </c>
      <c r="F20">
        <v>0.76</v>
      </c>
      <c r="G20">
        <v>0.45</v>
      </c>
      <c r="H20">
        <v>6</v>
      </c>
      <c r="I20">
        <f t="shared" si="0"/>
        <v>739.24754092660589</v>
      </c>
      <c r="J20">
        <f t="shared" si="1"/>
        <v>332.66139341697266</v>
      </c>
    </row>
    <row r="21" spans="2:10">
      <c r="C21" t="s">
        <v>126</v>
      </c>
      <c r="D21" s="1" t="s">
        <v>5</v>
      </c>
      <c r="E21">
        <v>2.72</v>
      </c>
      <c r="F21">
        <v>1.1100000000000001</v>
      </c>
      <c r="G21">
        <v>0.45</v>
      </c>
      <c r="H21">
        <v>3</v>
      </c>
      <c r="I21">
        <f t="shared" si="0"/>
        <v>255.72301303919352</v>
      </c>
      <c r="J21">
        <f t="shared" si="1"/>
        <v>115.07535586763709</v>
      </c>
    </row>
    <row r="22" spans="2:10">
      <c r="C22" t="s">
        <v>126</v>
      </c>
      <c r="D22" s="1" t="s">
        <v>78</v>
      </c>
      <c r="E22">
        <v>2.83</v>
      </c>
      <c r="F22">
        <v>0.69</v>
      </c>
      <c r="G22">
        <v>0.45</v>
      </c>
      <c r="H22">
        <v>5.5</v>
      </c>
      <c r="I22">
        <f t="shared" si="0"/>
        <v>609.8547506959635</v>
      </c>
      <c r="J22">
        <f t="shared" si="1"/>
        <v>274.4346378131836</v>
      </c>
    </row>
    <row r="23" spans="2:10" ht="51">
      <c r="B23" s="25" t="s">
        <v>125</v>
      </c>
      <c r="D23" s="1" t="s">
        <v>117</v>
      </c>
      <c r="E23">
        <v>2.8839999999999999</v>
      </c>
      <c r="F23">
        <v>-6.8319999999999999</v>
      </c>
      <c r="G23">
        <v>0.45</v>
      </c>
      <c r="H23">
        <v>150</v>
      </c>
      <c r="I23">
        <f t="shared" si="0"/>
        <v>0.27787353825242617</v>
      </c>
      <c r="J23">
        <f t="shared" si="1"/>
        <v>0.12504309221359178</v>
      </c>
    </row>
    <row r="24" spans="2:10" ht="68">
      <c r="B24" s="25" t="s">
        <v>124</v>
      </c>
      <c r="D24" s="1" t="s">
        <v>69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0"/>
        <v>4.7026322189055056</v>
      </c>
      <c r="J24">
        <f t="shared" si="1"/>
        <v>2.1161844985074776</v>
      </c>
    </row>
    <row r="25" spans="2:10">
      <c r="B25" t="s">
        <v>123</v>
      </c>
      <c r="D25" s="1" t="s">
        <v>28</v>
      </c>
      <c r="E25">
        <v>1.08</v>
      </c>
      <c r="F25">
        <v>-0.89</v>
      </c>
      <c r="G25">
        <v>0.45</v>
      </c>
      <c r="H25">
        <v>600</v>
      </c>
      <c r="I25">
        <f>10^((E25*LOG(H25,10))+F25)</f>
        <v>128.94465675041755</v>
      </c>
      <c r="J25">
        <f t="shared" si="1"/>
        <v>58.025095537687896</v>
      </c>
    </row>
    <row r="26" spans="2:10">
      <c r="D26" s="1" t="s">
        <v>52</v>
      </c>
    </row>
    <row r="27" spans="2:10">
      <c r="B27" s="24"/>
      <c r="D27" s="1" t="s">
        <v>74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>G27*I27</f>
        <v>3.8269577762282552</v>
      </c>
    </row>
    <row r="28" spans="2:10">
      <c r="D28" s="1" t="s">
        <v>122</v>
      </c>
      <c r="E28">
        <v>1.9970000000000001</v>
      </c>
      <c r="F28">
        <v>-5.3244999999999996</v>
      </c>
      <c r="G28">
        <v>0.45</v>
      </c>
      <c r="H28">
        <v>1000</v>
      </c>
      <c r="I28">
        <f>10^((E28*LOG(H28,10))+F28)</f>
        <v>4.6398078998212569</v>
      </c>
      <c r="J28">
        <f>G28*I28</f>
        <v>2.0879135549195658</v>
      </c>
    </row>
    <row r="29" spans="2:10">
      <c r="D29" s="1"/>
    </row>
    <row r="32" spans="2:10">
      <c r="D3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0C-29BF-004B-A242-993B295C52C4}">
  <dimension ref="A1:AI39"/>
  <sheetViews>
    <sheetView tabSelected="1" topLeftCell="M1" zoomScale="85" zoomScaleNormal="118" workbookViewId="0">
      <selection activeCell="AD21" sqref="AD21"/>
    </sheetView>
  </sheetViews>
  <sheetFormatPr baseColWidth="10" defaultRowHeight="16"/>
  <cols>
    <col min="3" max="3" width="19.6640625" customWidth="1"/>
    <col min="4" max="4" width="24.83203125" customWidth="1"/>
    <col min="5" max="5" width="24.33203125" customWidth="1"/>
    <col min="11" max="11" width="10.83203125" customWidth="1"/>
    <col min="15" max="15" width="25.5" customWidth="1"/>
  </cols>
  <sheetData>
    <row r="1" spans="1:35">
      <c r="A1" t="s">
        <v>147</v>
      </c>
      <c r="AE1" t="s">
        <v>275</v>
      </c>
    </row>
    <row r="2" spans="1:35">
      <c r="Z2" t="s">
        <v>238</v>
      </c>
      <c r="AE2" t="s">
        <v>243</v>
      </c>
    </row>
    <row r="3" spans="1:35">
      <c r="F3" t="s">
        <v>239</v>
      </c>
      <c r="J3" t="s">
        <v>238</v>
      </c>
      <c r="O3" t="s">
        <v>237</v>
      </c>
      <c r="P3" s="39" t="s">
        <v>111</v>
      </c>
      <c r="Q3" s="39" t="s">
        <v>110</v>
      </c>
      <c r="R3" s="39" t="s">
        <v>118</v>
      </c>
      <c r="S3" s="39" t="s">
        <v>109</v>
      </c>
      <c r="W3" s="43"/>
      <c r="X3" s="43"/>
      <c r="Y3" s="43"/>
      <c r="Z3" t="s">
        <v>238</v>
      </c>
      <c r="AA3" s="39" t="s">
        <v>111</v>
      </c>
      <c r="AB3" s="39" t="s">
        <v>110</v>
      </c>
      <c r="AC3" s="39" t="s">
        <v>118</v>
      </c>
      <c r="AD3" s="39" t="s">
        <v>109</v>
      </c>
      <c r="AE3" t="s">
        <v>243</v>
      </c>
      <c r="AF3" s="39" t="s">
        <v>111</v>
      </c>
      <c r="AG3" s="39" t="s">
        <v>110</v>
      </c>
      <c r="AH3" s="39" t="s">
        <v>118</v>
      </c>
      <c r="AI3" s="39" t="s">
        <v>109</v>
      </c>
    </row>
    <row r="4" spans="1:35">
      <c r="C4" t="s">
        <v>146</v>
      </c>
      <c r="D4" t="s">
        <v>145</v>
      </c>
      <c r="F4" s="40" t="s">
        <v>144</v>
      </c>
      <c r="G4" s="40" t="s">
        <v>143</v>
      </c>
      <c r="H4" s="40" t="s">
        <v>142</v>
      </c>
      <c r="I4" s="40" t="s">
        <v>141</v>
      </c>
      <c r="J4" s="39" t="s">
        <v>233</v>
      </c>
      <c r="K4" s="39" t="s">
        <v>234</v>
      </c>
      <c r="L4" s="39" t="s">
        <v>235</v>
      </c>
      <c r="M4" s="39" t="s">
        <v>236</v>
      </c>
      <c r="O4" s="1" t="s">
        <v>44</v>
      </c>
      <c r="P4" s="11">
        <f>100*J5/J$31</f>
        <v>0</v>
      </c>
      <c r="Q4" s="11">
        <f>100*K5/K$31</f>
        <v>0</v>
      </c>
      <c r="R4" s="11">
        <f>100*L5/L$31</f>
        <v>0</v>
      </c>
      <c r="S4" s="11">
        <f>100*M5/M$31</f>
        <v>0.49247935989416786</v>
      </c>
      <c r="V4" s="14"/>
      <c r="W4" s="41"/>
      <c r="X4" s="41"/>
      <c r="Y4" s="41"/>
      <c r="Z4" s="14" t="s">
        <v>66</v>
      </c>
      <c r="AA4" s="3">
        <f>SUM(J5:J17,J28)</f>
        <v>3.9537362158622598</v>
      </c>
      <c r="AB4" s="3">
        <f>SUM(K5:K17,K28)</f>
        <v>11.788729471383128</v>
      </c>
      <c r="AC4" s="3">
        <f>SUM(L5:L17,L28)</f>
        <v>1.8083197935547439</v>
      </c>
      <c r="AD4" s="3">
        <f>SUM(M5:M17,M28)</f>
        <v>5.6710669332178982</v>
      </c>
      <c r="AE4" s="14" t="s">
        <v>273</v>
      </c>
      <c r="AF4" s="3">
        <f>AA4/SUM(AA$4:AA$12)</f>
        <v>0.75066802733411198</v>
      </c>
      <c r="AG4" s="3">
        <f>AB4/SUM(AB$4:AB$12)</f>
        <v>0.45271406331875363</v>
      </c>
      <c r="AH4" s="3">
        <f>AC4/SUM(AC$4:AC$12)</f>
        <v>0.54231080589121239</v>
      </c>
      <c r="AI4" s="3">
        <f>AD4/SUM(AD$4:AD$12)</f>
        <v>0.20233193738883115</v>
      </c>
    </row>
    <row r="5" spans="1:35">
      <c r="C5" s="17">
        <v>450.86135685533969</v>
      </c>
      <c r="D5" s="17">
        <v>202.88761058490286</v>
      </c>
      <c r="E5" s="1" t="s">
        <v>44</v>
      </c>
      <c r="F5" s="41">
        <v>0</v>
      </c>
      <c r="G5" s="41">
        <v>0</v>
      </c>
      <c r="H5" s="41">
        <v>0</v>
      </c>
      <c r="I5" s="42">
        <v>0.68187752595738271</v>
      </c>
      <c r="J5" s="3">
        <f>F5*D5/1000</f>
        <v>0</v>
      </c>
      <c r="K5" s="3">
        <f>G5*D5/1000</f>
        <v>0</v>
      </c>
      <c r="L5" s="3">
        <f>H5*D5/1000</f>
        <v>0</v>
      </c>
      <c r="M5" s="3">
        <f>D5*I5/1000</f>
        <v>0.13834450195303843</v>
      </c>
      <c r="O5" s="1" t="s">
        <v>46</v>
      </c>
      <c r="P5" s="11">
        <f t="shared" ref="P5:P28" si="0">100*J6/J$31</f>
        <v>0</v>
      </c>
      <c r="Q5" s="11">
        <f t="shared" ref="Q5:Q28" si="1">100*K6/K$31</f>
        <v>0</v>
      </c>
      <c r="R5" s="11">
        <f t="shared" ref="R5:R28" si="2">100*L6/L$31</f>
        <v>0</v>
      </c>
      <c r="S5" s="11">
        <f t="shared" ref="S5:S28" si="3">100*M6/M$31</f>
        <v>0</v>
      </c>
      <c r="V5" s="14"/>
      <c r="W5" s="41"/>
      <c r="X5" s="41"/>
      <c r="Y5" s="41"/>
      <c r="Z5" s="14" t="s">
        <v>63</v>
      </c>
      <c r="AA5" s="3">
        <f>SUM(J22:J24)</f>
        <v>0</v>
      </c>
      <c r="AB5" s="3">
        <f>SUM(K22:K24)</f>
        <v>0</v>
      </c>
      <c r="AC5" s="3">
        <f>SUM(L22:L24)</f>
        <v>0.15419535062520831</v>
      </c>
      <c r="AD5" s="3">
        <f>SUM(M22:M24)</f>
        <v>1.7463255680468801</v>
      </c>
      <c r="AE5" s="14" t="s">
        <v>274</v>
      </c>
      <c r="AF5" s="3">
        <f t="shared" ref="AF5:AF12" si="4">AA5/SUM(AA$4:AA$12)</f>
        <v>0</v>
      </c>
      <c r="AG5" s="3">
        <f t="shared" ref="AG5:AG12" si="5">AB5/SUM(AB$4:AB$12)</f>
        <v>0</v>
      </c>
      <c r="AH5" s="3">
        <f t="shared" ref="AH5:AH12" si="6">AC5/SUM(AC$4:AC$12)</f>
        <v>4.6242818974985278E-2</v>
      </c>
      <c r="AI5" s="3">
        <f t="shared" ref="AI5:AI12" si="7">AD5/SUM(AD$4:AD$12)</f>
        <v>6.2305283936066026E-2</v>
      </c>
    </row>
    <row r="6" spans="1:35">
      <c r="C6" s="17">
        <v>115.98167532441434</v>
      </c>
      <c r="D6" s="17">
        <v>52.191753895986452</v>
      </c>
      <c r="E6" s="1" t="s">
        <v>46</v>
      </c>
      <c r="F6" s="41">
        <v>0</v>
      </c>
      <c r="G6">
        <v>0</v>
      </c>
      <c r="H6" s="41">
        <v>0</v>
      </c>
      <c r="I6" s="42">
        <v>0</v>
      </c>
      <c r="J6" s="3">
        <f t="shared" ref="J6:J29" si="8">F6*D6/1000</f>
        <v>0</v>
      </c>
      <c r="K6" s="3">
        <f t="shared" ref="K6:K29" si="9">G6*D6/1000</f>
        <v>0</v>
      </c>
      <c r="L6" s="3">
        <f t="shared" ref="L6:L29" si="10">H6*D6/1000</f>
        <v>0</v>
      </c>
      <c r="M6" s="3">
        <f t="shared" ref="M6:M29" si="11">D6*I6/1000</f>
        <v>0</v>
      </c>
      <c r="O6" s="1" t="s">
        <v>22</v>
      </c>
      <c r="P6" s="11">
        <f t="shared" si="0"/>
        <v>0</v>
      </c>
      <c r="Q6" s="11">
        <f t="shared" si="1"/>
        <v>0.44073910238931113</v>
      </c>
      <c r="R6" s="11">
        <f t="shared" si="2"/>
        <v>3.4628829739834086</v>
      </c>
      <c r="S6" s="11">
        <f t="shared" si="3"/>
        <v>0.52570502286238074</v>
      </c>
      <c r="V6" s="14"/>
      <c r="W6" s="41"/>
      <c r="X6" s="41"/>
      <c r="Y6" s="41"/>
      <c r="Z6" s="14" t="s">
        <v>64</v>
      </c>
      <c r="AA6" s="3">
        <f>SUM(J27)</f>
        <v>0.60882366849085556</v>
      </c>
      <c r="AB6" s="3">
        <f>SUM(K27)</f>
        <v>3.7198057907299087</v>
      </c>
      <c r="AC6" s="3">
        <f>SUM(L27)</f>
        <v>0.85525870178189567</v>
      </c>
      <c r="AD6" s="3">
        <f>SUM(M27)</f>
        <v>0.15826403435471756</v>
      </c>
      <c r="AE6" s="14" t="s">
        <v>272</v>
      </c>
      <c r="AF6" s="3">
        <f>AA6/SUM(AA$4:AA$12)</f>
        <v>0.11559305863319377</v>
      </c>
      <c r="AG6" s="3">
        <f t="shared" si="5"/>
        <v>0.14284901510089432</v>
      </c>
      <c r="AH6" s="3">
        <f t="shared" si="6"/>
        <v>0.25649005085381243</v>
      </c>
      <c r="AI6" s="3">
        <f t="shared" si="7"/>
        <v>5.6465333714184477E-3</v>
      </c>
    </row>
    <row r="7" spans="1:35">
      <c r="C7" s="17">
        <v>96.255843073031585</v>
      </c>
      <c r="D7" s="17">
        <v>43.315129382864214</v>
      </c>
      <c r="E7" s="1" t="s">
        <v>22</v>
      </c>
      <c r="F7" s="41">
        <v>0</v>
      </c>
      <c r="G7">
        <v>2.671118530884808</v>
      </c>
      <c r="H7" s="41">
        <v>2.6799022164670623</v>
      </c>
      <c r="I7" s="42">
        <v>3.4093876297869135</v>
      </c>
      <c r="J7" s="3">
        <f t="shared" si="8"/>
        <v>0</v>
      </c>
      <c r="K7" s="3">
        <f t="shared" si="9"/>
        <v>0.11569984476224164</v>
      </c>
      <c r="L7" s="3">
        <f t="shared" si="10"/>
        <v>0.11608031123969538</v>
      </c>
      <c r="M7" s="3">
        <f t="shared" si="11"/>
        <v>0.14767806630055691</v>
      </c>
      <c r="O7" s="1" t="s">
        <v>24</v>
      </c>
      <c r="P7" s="11">
        <f t="shared" si="0"/>
        <v>5.5714147945389882</v>
      </c>
      <c r="Q7" s="11">
        <f t="shared" si="1"/>
        <v>1.6308169213793617</v>
      </c>
      <c r="R7" s="11">
        <f t="shared" si="2"/>
        <v>13.525163914957997</v>
      </c>
      <c r="S7" s="11">
        <f t="shared" si="3"/>
        <v>7.2188781305712881</v>
      </c>
      <c r="V7" s="14"/>
      <c r="W7" s="41"/>
      <c r="X7" s="41"/>
      <c r="Y7" s="41"/>
      <c r="Z7" s="14" t="s">
        <v>94</v>
      </c>
      <c r="AA7" s="3">
        <f>J29</f>
        <v>1.3384682672744423E-2</v>
      </c>
      <c r="AB7" s="3">
        <f>K29</f>
        <v>0.15333386749495512</v>
      </c>
      <c r="AC7" s="3">
        <f>L29</f>
        <v>5.1279363134199805E-3</v>
      </c>
      <c r="AD7" s="3">
        <f>M29</f>
        <v>4.9580813507559905E-2</v>
      </c>
      <c r="AE7" s="14" t="s">
        <v>74</v>
      </c>
      <c r="AF7" s="3">
        <f t="shared" si="4"/>
        <v>2.5412553569284851E-3</v>
      </c>
      <c r="AG7" s="3">
        <f t="shared" si="5"/>
        <v>5.8883697659300113E-3</v>
      </c>
      <c r="AH7" s="3">
        <f t="shared" si="6"/>
        <v>1.5378559061298102E-3</v>
      </c>
      <c r="AI7" s="3">
        <f t="shared" si="7"/>
        <v>1.7689408664070647E-3</v>
      </c>
    </row>
    <row r="8" spans="1:35">
      <c r="C8" s="17">
        <v>39.573842316273918</v>
      </c>
      <c r="D8" s="17">
        <v>17.808229042323262</v>
      </c>
      <c r="E8" s="1" t="s">
        <v>24</v>
      </c>
      <c r="F8" s="41">
        <v>17.487366539403006</v>
      </c>
      <c r="G8">
        <v>24.040066777963272</v>
      </c>
      <c r="H8" s="41">
        <v>25.459071056437089</v>
      </c>
      <c r="I8" s="42">
        <v>113.8735468348829</v>
      </c>
      <c r="J8" s="3">
        <f t="shared" si="8"/>
        <v>0.31141902868074861</v>
      </c>
      <c r="K8" s="3">
        <f t="shared" si="9"/>
        <v>0.42811101537471613</v>
      </c>
      <c r="L8" s="3">
        <f t="shared" si="10"/>
        <v>0.45338096857781457</v>
      </c>
      <c r="M8" s="3">
        <f t="shared" si="11"/>
        <v>2.02788620389732</v>
      </c>
      <c r="O8" s="1" t="s">
        <v>70</v>
      </c>
      <c r="P8" s="11">
        <f t="shared" si="0"/>
        <v>1.8300758950827631</v>
      </c>
      <c r="Q8" s="11">
        <f t="shared" si="1"/>
        <v>0.53568417487687847</v>
      </c>
      <c r="R8" s="11">
        <f t="shared" si="2"/>
        <v>0.38970976979292549</v>
      </c>
      <c r="S8" s="11">
        <f t="shared" si="3"/>
        <v>2.8397940325845677E-2</v>
      </c>
      <c r="V8" s="14"/>
      <c r="W8" s="41"/>
      <c r="X8" s="41"/>
      <c r="Y8" s="41"/>
      <c r="Z8" s="14" t="s">
        <v>93</v>
      </c>
      <c r="AA8" s="3">
        <f>J26</f>
        <v>0.20723636634625675</v>
      </c>
      <c r="AB8" s="3">
        <f>K26</f>
        <v>4.493800804843926</v>
      </c>
      <c r="AC8" s="3">
        <f>L26</f>
        <v>0.35728355426421593</v>
      </c>
      <c r="AD8" s="3">
        <f>M26</f>
        <v>2.5973615705609583E-2</v>
      </c>
      <c r="AE8" s="14" t="s">
        <v>113</v>
      </c>
      <c r="AF8" s="3">
        <f t="shared" si="4"/>
        <v>3.9346508169389088E-2</v>
      </c>
      <c r="AG8" s="3">
        <f t="shared" si="5"/>
        <v>0.17257218659945123</v>
      </c>
      <c r="AH8" s="3">
        <f t="shared" si="6"/>
        <v>0.10714848830129664</v>
      </c>
      <c r="AI8" s="3">
        <f t="shared" si="7"/>
        <v>9.266848810981996E-4</v>
      </c>
    </row>
    <row r="9" spans="1:35">
      <c r="C9" s="17">
        <v>2.1665093927251391</v>
      </c>
      <c r="D9" s="17">
        <v>0.97492922672631266</v>
      </c>
      <c r="E9" s="1" t="s">
        <v>70</v>
      </c>
      <c r="F9" s="41">
        <v>104.92419923641802</v>
      </c>
      <c r="G9">
        <v>144.24040066777962</v>
      </c>
      <c r="H9" s="41">
        <v>13.399511082335311</v>
      </c>
      <c r="I9" s="42">
        <v>8.1825303114885912</v>
      </c>
      <c r="J9" s="3">
        <f t="shared" si="8"/>
        <v>0.10229366842643858</v>
      </c>
      <c r="K9" s="3">
        <f t="shared" si="9"/>
        <v>0.1406241822857319</v>
      </c>
      <c r="L9" s="3">
        <f t="shared" si="10"/>
        <v>1.3063574978011822E-2</v>
      </c>
      <c r="M9" s="3">
        <f t="shared" si="11"/>
        <v>7.9773879492441874E-3</v>
      </c>
      <c r="O9" s="1" t="s">
        <v>129</v>
      </c>
      <c r="P9" s="11">
        <f t="shared" si="0"/>
        <v>20.33328845687533</v>
      </c>
      <c r="Q9" s="11">
        <f t="shared" si="1"/>
        <v>8.7205661748492265</v>
      </c>
      <c r="R9" s="11">
        <f t="shared" si="2"/>
        <v>12.133290690792123</v>
      </c>
      <c r="S9" s="11">
        <f t="shared" si="3"/>
        <v>0.33805595192880483</v>
      </c>
      <c r="V9" s="14"/>
      <c r="W9" s="41"/>
      <c r="X9" s="41"/>
      <c r="Y9" s="41"/>
      <c r="Z9" s="14" t="s">
        <v>49</v>
      </c>
      <c r="AA9" s="3">
        <f t="shared" ref="AA9:AD11" si="12">J19</f>
        <v>0</v>
      </c>
      <c r="AB9" s="3">
        <f t="shared" si="12"/>
        <v>0</v>
      </c>
      <c r="AC9" s="3">
        <f t="shared" si="12"/>
        <v>0</v>
      </c>
      <c r="AD9" s="3">
        <f t="shared" si="12"/>
        <v>1.7950235094022005E-3</v>
      </c>
      <c r="AE9" s="14" t="s">
        <v>49</v>
      </c>
      <c r="AF9" s="3">
        <f t="shared" si="4"/>
        <v>0</v>
      </c>
      <c r="AG9" s="3">
        <f t="shared" si="5"/>
        <v>0</v>
      </c>
      <c r="AH9" s="3">
        <f t="shared" si="6"/>
        <v>0</v>
      </c>
      <c r="AI9" s="3">
        <f t="shared" si="7"/>
        <v>6.4042725750331259E-5</v>
      </c>
    </row>
    <row r="10" spans="1:35">
      <c r="C10" s="17">
        <v>7.9355852162474996</v>
      </c>
      <c r="D10" s="17">
        <v>3.571013347311375</v>
      </c>
      <c r="E10" s="1" t="s">
        <v>129</v>
      </c>
      <c r="F10" s="41">
        <v>318.27007101713468</v>
      </c>
      <c r="G10">
        <v>641.06844741235386</v>
      </c>
      <c r="H10" s="41">
        <v>113.89584419985015</v>
      </c>
      <c r="I10" s="42">
        <v>26.593223512337925</v>
      </c>
      <c r="J10" s="3">
        <f t="shared" si="8"/>
        <v>1.1365466716519272</v>
      </c>
      <c r="K10" s="3">
        <f t="shared" si="9"/>
        <v>2.2892639822496959</v>
      </c>
      <c r="L10" s="3">
        <f t="shared" si="10"/>
        <v>0.40672357984096175</v>
      </c>
      <c r="M10" s="3">
        <f t="shared" si="11"/>
        <v>9.4964756110593407E-2</v>
      </c>
      <c r="O10" s="1" t="s">
        <v>21</v>
      </c>
      <c r="P10" s="11">
        <f>100*J11/J$31</f>
        <v>13.623607212714154</v>
      </c>
      <c r="Q10" s="11">
        <f t="shared" si="1"/>
        <v>12.46183083205449</v>
      </c>
      <c r="R10" s="11">
        <f t="shared" si="2"/>
        <v>0</v>
      </c>
      <c r="S10" s="11">
        <f t="shared" si="3"/>
        <v>2.0479604760444827</v>
      </c>
      <c r="V10" s="14"/>
      <c r="W10" s="41"/>
      <c r="X10" s="41"/>
      <c r="Y10" s="41"/>
      <c r="Z10" s="14" t="s">
        <v>95</v>
      </c>
      <c r="AA10" s="3">
        <f t="shared" si="12"/>
        <v>0.4732800224027135</v>
      </c>
      <c r="AB10" s="3">
        <f t="shared" si="12"/>
        <v>0.90364309234967188</v>
      </c>
      <c r="AC10" s="3">
        <f t="shared" si="12"/>
        <v>0.1511024375545561</v>
      </c>
      <c r="AD10" s="3">
        <f t="shared" si="12"/>
        <v>9.6116712442646855E-4</v>
      </c>
      <c r="AE10" s="14" t="s">
        <v>271</v>
      </c>
      <c r="AF10" s="3">
        <f t="shared" si="4"/>
        <v>8.9858341931951066E-2</v>
      </c>
      <c r="AG10" s="3">
        <f t="shared" si="5"/>
        <v>3.4701953006946597E-2</v>
      </c>
      <c r="AH10" s="3">
        <f t="shared" si="6"/>
        <v>4.5315261700063433E-2</v>
      </c>
      <c r="AI10" s="3">
        <f t="shared" si="7"/>
        <v>3.4292454793741868E-5</v>
      </c>
    </row>
    <row r="11" spans="1:35">
      <c r="C11" s="17">
        <v>60.480428165128792</v>
      </c>
      <c r="D11" s="17">
        <v>27.216192674307958</v>
      </c>
      <c r="E11" s="1" t="s">
        <v>21</v>
      </c>
      <c r="F11" s="41">
        <v>27.979786463044807</v>
      </c>
      <c r="G11">
        <v>120.20033388981636</v>
      </c>
      <c r="H11" s="41">
        <v>0</v>
      </c>
      <c r="I11" s="42">
        <v>21.138203304678864</v>
      </c>
      <c r="J11" s="3">
        <f t="shared" si="8"/>
        <v>0.76150325936422114</v>
      </c>
      <c r="K11" s="3">
        <f t="shared" si="9"/>
        <v>3.271395446661391</v>
      </c>
      <c r="L11" s="3">
        <f t="shared" si="10"/>
        <v>0</v>
      </c>
      <c r="M11" s="3">
        <f t="shared" si="11"/>
        <v>0.57530141392883316</v>
      </c>
      <c r="O11" s="1" t="s">
        <v>23</v>
      </c>
      <c r="P11" s="11">
        <f t="shared" si="0"/>
        <v>3.9434584091595846</v>
      </c>
      <c r="Q11" s="11">
        <f t="shared" si="1"/>
        <v>3.8476514730853224</v>
      </c>
      <c r="R11" s="11">
        <f t="shared" si="2"/>
        <v>12.596233901698849</v>
      </c>
      <c r="S11" s="11">
        <f t="shared" si="3"/>
        <v>8.1079466905282338</v>
      </c>
      <c r="V11" s="14"/>
      <c r="W11" s="41"/>
      <c r="X11" s="41"/>
      <c r="Y11" s="41"/>
      <c r="Z11" s="14" t="s">
        <v>242</v>
      </c>
      <c r="AA11" s="3">
        <f t="shared" si="12"/>
        <v>0</v>
      </c>
      <c r="AB11" s="3">
        <f>K21</f>
        <v>4.979807027899497</v>
      </c>
      <c r="AC11" s="3">
        <f t="shared" si="12"/>
        <v>0</v>
      </c>
      <c r="AD11" s="3">
        <f t="shared" si="12"/>
        <v>20.373710975575772</v>
      </c>
      <c r="AE11" s="14" t="s">
        <v>270</v>
      </c>
      <c r="AF11" s="3">
        <f t="shared" si="4"/>
        <v>0</v>
      </c>
      <c r="AG11" s="3">
        <f>AB11/SUM(AB$4:AB$12)</f>
        <v>0.1912359325588259</v>
      </c>
      <c r="AH11" s="3">
        <f t="shared" si="6"/>
        <v>0</v>
      </c>
      <c r="AI11" s="3">
        <f t="shared" si="7"/>
        <v>0.72689186391762006</v>
      </c>
    </row>
    <row r="12" spans="1:35">
      <c r="C12" s="17">
        <v>140.05221924764169</v>
      </c>
      <c r="D12" s="17">
        <v>63.023498661438758</v>
      </c>
      <c r="E12" s="1" t="s">
        <v>23</v>
      </c>
      <c r="F12" s="41">
        <v>3.4974733078806008</v>
      </c>
      <c r="G12">
        <v>16.026711185308848</v>
      </c>
      <c r="H12" s="41">
        <v>6.6997555411676553</v>
      </c>
      <c r="I12" s="42">
        <v>36.139508875741278</v>
      </c>
      <c r="J12" s="3">
        <f t="shared" si="8"/>
        <v>0.22042300433763082</v>
      </c>
      <c r="K12" s="3">
        <f t="shared" si="9"/>
        <v>1.0100594109345777</v>
      </c>
      <c r="L12" s="3">
        <f t="shared" si="10"/>
        <v>0.42224203438074664</v>
      </c>
      <c r="M12" s="3">
        <f t="shared" si="11"/>
        <v>2.2776382892553348</v>
      </c>
      <c r="O12" s="1" t="s">
        <v>45</v>
      </c>
      <c r="P12" s="11">
        <f t="shared" si="0"/>
        <v>4.3257558693049258</v>
      </c>
      <c r="Q12" s="11">
        <f t="shared" si="1"/>
        <v>6.5228396606792076</v>
      </c>
      <c r="R12" s="11">
        <f t="shared" si="2"/>
        <v>6.029398793323149</v>
      </c>
      <c r="S12" s="11">
        <f t="shared" si="3"/>
        <v>0.45766565810975385</v>
      </c>
      <c r="V12" s="14"/>
      <c r="W12" s="41"/>
      <c r="X12" s="41"/>
      <c r="Y12" s="41"/>
      <c r="Z12" s="14" t="s">
        <v>98</v>
      </c>
      <c r="AA12" s="3">
        <f>J25</f>
        <v>1.0496037056445357E-2</v>
      </c>
      <c r="AB12" s="3">
        <f>K25</f>
        <v>1.0020147623125886E-3</v>
      </c>
      <c r="AC12" s="3">
        <f>L25</f>
        <v>3.1834809697824486E-3</v>
      </c>
      <c r="AD12" s="3">
        <f>M25</f>
        <v>8.5264074356664824E-4</v>
      </c>
      <c r="AE12" s="14" t="s">
        <v>98</v>
      </c>
      <c r="AF12" s="3">
        <f t="shared" si="4"/>
        <v>1.9928085744256602E-3</v>
      </c>
      <c r="AG12" s="3">
        <f t="shared" si="5"/>
        <v>3.8479649198251115E-5</v>
      </c>
      <c r="AH12" s="3">
        <f t="shared" si="6"/>
        <v>9.5471837249996503E-4</v>
      </c>
      <c r="AI12" s="3">
        <f t="shared" si="7"/>
        <v>3.0420458015050013E-5</v>
      </c>
    </row>
    <row r="13" spans="1:35">
      <c r="C13" s="17">
        <v>13.96632200286852</v>
      </c>
      <c r="D13" s="17">
        <v>6.2848449012908336</v>
      </c>
      <c r="E13" s="1" t="s">
        <v>45</v>
      </c>
      <c r="F13" s="41">
        <v>38.472206386686608</v>
      </c>
      <c r="G13">
        <v>272.45409015025041</v>
      </c>
      <c r="H13" s="41">
        <v>32.158826597604744</v>
      </c>
      <c r="I13" s="42">
        <v>20.456325778721482</v>
      </c>
      <c r="J13" s="3">
        <f t="shared" si="8"/>
        <v>0.24179185015077598</v>
      </c>
      <c r="K13" s="3">
        <f t="shared" si="9"/>
        <v>1.7123316993166344</v>
      </c>
      <c r="L13" s="3">
        <f t="shared" si="10"/>
        <v>0.20211323737345221</v>
      </c>
      <c r="M13" s="3">
        <f t="shared" si="11"/>
        <v>0.12856483476954192</v>
      </c>
      <c r="O13" s="1" t="s">
        <v>128</v>
      </c>
      <c r="P13" s="11">
        <f t="shared" si="0"/>
        <v>3.9603622728772443</v>
      </c>
      <c r="Q13" s="11">
        <f t="shared" si="1"/>
        <v>4.8301808185023907</v>
      </c>
      <c r="R13" s="11">
        <f t="shared" si="2"/>
        <v>0.5060091356232348</v>
      </c>
      <c r="S13" s="11">
        <f t="shared" si="3"/>
        <v>0.28422638621539636</v>
      </c>
    </row>
    <row r="14" spans="1:35">
      <c r="C14" s="17">
        <v>7.0326280613581886</v>
      </c>
      <c r="D14" s="17">
        <v>3.1646826276111848</v>
      </c>
      <c r="E14" s="1" t="s">
        <v>128</v>
      </c>
      <c r="F14" s="41">
        <v>69.949466157612022</v>
      </c>
      <c r="G14">
        <v>400.66777963272119</v>
      </c>
      <c r="H14" s="41">
        <v>5.3598044329341246</v>
      </c>
      <c r="I14" s="42">
        <v>25.22946846042316</v>
      </c>
      <c r="J14" s="3">
        <f t="shared" si="8"/>
        <v>0.22136786035967126</v>
      </c>
      <c r="K14" s="3">
        <f t="shared" si="9"/>
        <v>1.2679863616472191</v>
      </c>
      <c r="L14" s="3">
        <f t="shared" si="10"/>
        <v>1.6962079976300042E-2</v>
      </c>
      <c r="M14" s="3">
        <f t="shared" si="11"/>
        <v>7.984326054056548E-2</v>
      </c>
      <c r="O14" s="1" t="s">
        <v>127</v>
      </c>
      <c r="P14" s="11">
        <f t="shared" si="0"/>
        <v>2.6775256640204899</v>
      </c>
      <c r="Q14" s="11">
        <f t="shared" si="1"/>
        <v>1.3830748735255729</v>
      </c>
      <c r="R14" s="11">
        <f t="shared" si="2"/>
        <v>0.80494861091151493</v>
      </c>
      <c r="S14" s="11">
        <f t="shared" si="3"/>
        <v>0.11609033701902156</v>
      </c>
      <c r="Z14" s="44" t="s">
        <v>245</v>
      </c>
      <c r="AA14">
        <f>100*SUM(AF12,AF7,AF8)</f>
        <v>4.3880572100743231</v>
      </c>
      <c r="AB14">
        <f t="shared" ref="AB14:AD14" si="13">100*SUM(AG12,AG7,AG8)</f>
        <v>17.849903601457946</v>
      </c>
      <c r="AC14">
        <f t="shared" si="13"/>
        <v>10.964106257992642</v>
      </c>
      <c r="AD14">
        <f t="shared" si="13"/>
        <v>0.27260462055203144</v>
      </c>
    </row>
    <row r="15" spans="1:35">
      <c r="C15" s="17">
        <v>5.5936778513645455</v>
      </c>
      <c r="D15" s="17">
        <v>2.5171550331140455</v>
      </c>
      <c r="E15" s="1" t="s">
        <v>127</v>
      </c>
      <c r="F15" s="41">
        <v>59.457046233970217</v>
      </c>
      <c r="G15">
        <v>144.24040066777962</v>
      </c>
      <c r="H15" s="41">
        <v>10.719608865868249</v>
      </c>
      <c r="I15" s="42">
        <v>12.955672993190271</v>
      </c>
      <c r="J15" s="3">
        <f t="shared" si="8"/>
        <v>0.14966260318193264</v>
      </c>
      <c r="K15" s="3">
        <f t="shared" si="9"/>
        <v>0.36307545051928802</v>
      </c>
      <c r="L15" s="3">
        <f t="shared" si="10"/>
        <v>2.698291740973421E-2</v>
      </c>
      <c r="M15" s="3">
        <f t="shared" si="11"/>
        <v>3.2611437482188609E-2</v>
      </c>
      <c r="O15" s="1" t="s">
        <v>75</v>
      </c>
      <c r="P15" s="11">
        <f t="shared" si="0"/>
        <v>14.257304182358078</v>
      </c>
      <c r="Q15" s="11">
        <f t="shared" si="1"/>
        <v>3.8641446548019123</v>
      </c>
      <c r="R15" s="11">
        <f t="shared" si="2"/>
        <v>4.0480730849858784</v>
      </c>
      <c r="S15" s="11">
        <f t="shared" si="3"/>
        <v>0.47627124176633978</v>
      </c>
      <c r="Z15" s="44" t="s">
        <v>264</v>
      </c>
      <c r="AA15">
        <f>SUM(Biomass!P8,Biomass!P15,Biomass!P16,Biomass!P18,Biomass!P26,Biomass!P27)</f>
        <v>27.190664404945508</v>
      </c>
      <c r="AB15">
        <f>SUM(Biomass!Q8,Biomass!Q15,Biomass!Q16,Biomass!Q18,Biomass!Q26,Biomass!Q27)</f>
        <v>19.239457289620901</v>
      </c>
      <c r="AC15">
        <f>SUM(Biomass!R8,Biomass!R15,Biomass!R16,Biomass!R18,Biomass!R26,Biomass!R27)</f>
        <v>30.401374963550701</v>
      </c>
      <c r="AD15">
        <f>SUM(Biomass!S8,Biomass!S15,Biomass!S16,Biomass!S18,Biomass!S26,Biomass!S27)</f>
        <v>1.1686596570973857</v>
      </c>
    </row>
    <row r="16" spans="1:35">
      <c r="C16" s="17">
        <v>7.0326280613581886</v>
      </c>
      <c r="D16" s="17">
        <v>3.1646826276111848</v>
      </c>
      <c r="E16" s="1" t="s">
        <v>75</v>
      </c>
      <c r="F16" s="41">
        <v>251.81807816740326</v>
      </c>
      <c r="G16">
        <v>320.53422370617693</v>
      </c>
      <c r="H16" s="41">
        <v>42.878435463472997</v>
      </c>
      <c r="I16" s="42">
        <v>42.276406609357728</v>
      </c>
      <c r="J16" s="3">
        <f t="shared" si="8"/>
        <v>0.79692429729481651</v>
      </c>
      <c r="K16" s="3">
        <f t="shared" si="9"/>
        <v>1.0143890893177754</v>
      </c>
      <c r="L16" s="3">
        <f t="shared" si="10"/>
        <v>0.13569663981040034</v>
      </c>
      <c r="M16" s="3">
        <f t="shared" si="11"/>
        <v>0.13379140955446106</v>
      </c>
      <c r="O16" s="1" t="s">
        <v>27</v>
      </c>
      <c r="P16" s="11">
        <f t="shared" si="0"/>
        <v>0.21117793225682699</v>
      </c>
      <c r="Q16" s="11">
        <f t="shared" si="1"/>
        <v>0.66965382741004709</v>
      </c>
      <c r="R16" s="11">
        <f t="shared" si="2"/>
        <v>0.44969776164082093</v>
      </c>
      <c r="S16" s="11">
        <f t="shared" si="3"/>
        <v>9.4211544513672904E-2</v>
      </c>
      <c r="Z16" s="44" t="s">
        <v>265</v>
      </c>
      <c r="AA16">
        <f>SUM(P9,P12,P13,P14)</f>
        <v>31.296932263077991</v>
      </c>
      <c r="AB16">
        <f t="shared" ref="AB16:AD16" si="14">SUM(Q9,Q12,Q13,Q14)</f>
        <v>21.456661527556399</v>
      </c>
      <c r="AC16">
        <f t="shared" si="14"/>
        <v>19.473647230650023</v>
      </c>
      <c r="AD16">
        <f t="shared" si="14"/>
        <v>1.1960383332729767</v>
      </c>
    </row>
    <row r="17" spans="3:30">
      <c r="C17" s="17">
        <v>1.2499999999999944</v>
      </c>
      <c r="D17" s="17">
        <v>0.56249999999999756</v>
      </c>
      <c r="E17" s="1" t="s">
        <v>27</v>
      </c>
      <c r="F17" s="41">
        <v>20.984839847283606</v>
      </c>
      <c r="G17">
        <v>312.52086811352251</v>
      </c>
      <c r="H17" s="41">
        <v>26.799022164670621</v>
      </c>
      <c r="I17" s="42">
        <v>47.049549291059407</v>
      </c>
      <c r="J17" s="3">
        <f t="shared" si="8"/>
        <v>1.1803972414096977E-2</v>
      </c>
      <c r="K17" s="3">
        <f t="shared" si="9"/>
        <v>0.17579298831385565</v>
      </c>
      <c r="L17" s="3">
        <f t="shared" si="10"/>
        <v>1.5074449967627159E-2</v>
      </c>
      <c r="M17" s="3">
        <f t="shared" si="11"/>
        <v>2.6465371476220804E-2</v>
      </c>
      <c r="O17" s="1" t="s">
        <v>53</v>
      </c>
      <c r="P17" s="11">
        <f t="shared" si="0"/>
        <v>5.7719682821849112</v>
      </c>
      <c r="Q17" s="11">
        <f t="shared" si="1"/>
        <v>0.80453391629055315</v>
      </c>
      <c r="R17" s="11">
        <f t="shared" si="2"/>
        <v>0.52676794986939734</v>
      </c>
      <c r="S17" s="11">
        <f t="shared" si="3"/>
        <v>0.22391422574410264</v>
      </c>
      <c r="Z17" s="44" t="s">
        <v>267</v>
      </c>
      <c r="AA17">
        <f>SUM(Biomass!P7,Biomass!P10,Biomass!P11,Biomass!P19)</f>
        <v>31.605655110086889</v>
      </c>
      <c r="AB17">
        <f>SUM(Biomass!Q7,Biomass!Q10,Biomass!Q11,Biomass!Q19)</f>
        <v>21.382575629058223</v>
      </c>
      <c r="AC17">
        <f>SUM(Biomass!R7,Biomass!R10,Biomass!R11,Biomass!R19)</f>
        <v>30.629053359159649</v>
      </c>
      <c r="AD17">
        <f>SUM(Biomass!S7,Biomass!S10,Biomass!S11,Biomass!S19)</f>
        <v>17.378206864054913</v>
      </c>
    </row>
    <row r="18" spans="3:30">
      <c r="C18" s="17">
        <v>29.284554805619145</v>
      </c>
      <c r="D18" s="17">
        <v>13.178049662528615</v>
      </c>
      <c r="E18" s="1" t="s">
        <v>53</v>
      </c>
      <c r="F18" s="41">
        <v>24.482313155164206</v>
      </c>
      <c r="G18">
        <v>16.026711185308848</v>
      </c>
      <c r="H18" s="41">
        <v>1.3399511082335311</v>
      </c>
      <c r="I18" s="42">
        <v>4.7731426817016782</v>
      </c>
      <c r="J18" s="3">
        <f t="shared" si="8"/>
        <v>0.32262913861233156</v>
      </c>
      <c r="K18" s="3">
        <f t="shared" si="9"/>
        <v>0.21120079592700283</v>
      </c>
      <c r="L18" s="3">
        <f t="shared" si="10"/>
        <v>1.7657942249661728E-2</v>
      </c>
      <c r="M18" s="3">
        <f t="shared" si="11"/>
        <v>6.2900711305799731E-2</v>
      </c>
      <c r="O18" s="1" t="s">
        <v>49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6.3899324976821967E-3</v>
      </c>
      <c r="Z18" s="44" t="s">
        <v>269</v>
      </c>
      <c r="AA18">
        <f>SUM(P4:P6,P17,P20:P23)</f>
        <v>5.7719682821849112</v>
      </c>
      <c r="AB18">
        <f t="shared" ref="AB18:AC18" si="15">SUM(Q4:Q6,Q17,Q20:Q23)</f>
        <v>20.215010480805429</v>
      </c>
      <c r="AC18">
        <f t="shared" si="15"/>
        <v>8.5895735864036986</v>
      </c>
      <c r="AD18">
        <f>SUM(S4:S6,S17,S20:S23)</f>
        <v>79.985100925548139</v>
      </c>
    </row>
    <row r="19" spans="3:30">
      <c r="C19" s="17">
        <v>0.97498963771738456</v>
      </c>
      <c r="D19" s="17">
        <v>0.43874533697282309</v>
      </c>
      <c r="E19" s="1" t="s">
        <v>49</v>
      </c>
      <c r="F19" s="41">
        <v>0</v>
      </c>
      <c r="G19" s="41">
        <v>0</v>
      </c>
      <c r="H19" s="41">
        <v>0</v>
      </c>
      <c r="I19" s="42">
        <v>4.0912651557442956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1.7950235094022005E-3</v>
      </c>
      <c r="O19" s="1" t="s">
        <v>65</v>
      </c>
      <c r="P19" s="11">
        <f t="shared" si="0"/>
        <v>8.4671746936741599</v>
      </c>
      <c r="Q19" s="11">
        <f t="shared" si="1"/>
        <v>3.4422764025390511</v>
      </c>
      <c r="R19" s="11">
        <f t="shared" si="2"/>
        <v>4.5076555425028051</v>
      </c>
      <c r="S19" s="11">
        <f t="shared" si="3"/>
        <v>3.4215669109101811E-3</v>
      </c>
    </row>
    <row r="20" spans="3:30">
      <c r="C20" s="17">
        <v>50.118723362727174</v>
      </c>
      <c r="D20" s="17">
        <v>22.553425513227229</v>
      </c>
      <c r="E20" s="1" t="s">
        <v>65</v>
      </c>
      <c r="F20" s="41">
        <v>20.984839847283606</v>
      </c>
      <c r="G20">
        <v>40.066777963272116</v>
      </c>
      <c r="H20" s="41">
        <v>6.6997555411676553</v>
      </c>
      <c r="I20" s="42">
        <v>4.261734537233642E-2</v>
      </c>
      <c r="J20" s="3">
        <f t="shared" si="8"/>
        <v>0.4732800224027135</v>
      </c>
      <c r="K20" s="3">
        <f t="shared" si="9"/>
        <v>0.90364309234967188</v>
      </c>
      <c r="L20" s="3">
        <f t="shared" si="10"/>
        <v>0.1511024375545561</v>
      </c>
      <c r="M20" s="3">
        <f t="shared" si="11"/>
        <v>9.6116712442646855E-4</v>
      </c>
      <c r="O20" s="1" t="s">
        <v>26</v>
      </c>
      <c r="P20" s="11">
        <f t="shared" si="0"/>
        <v>0</v>
      </c>
      <c r="Q20" s="11">
        <f>100*K21/K$31</f>
        <v>18.969737462125565</v>
      </c>
      <c r="R20" s="11">
        <f t="shared" si="2"/>
        <v>0</v>
      </c>
      <c r="S20" s="11">
        <f t="shared" si="3"/>
        <v>72.526424962853199</v>
      </c>
    </row>
    <row r="21" spans="3:30">
      <c r="C21" s="17">
        <v>11066.237839776661</v>
      </c>
      <c r="D21" s="17">
        <v>4979.8070278994974</v>
      </c>
      <c r="E21" s="1" t="s">
        <v>26</v>
      </c>
      <c r="F21" s="41">
        <v>0</v>
      </c>
      <c r="G21">
        <v>1</v>
      </c>
      <c r="H21" s="41">
        <v>0</v>
      </c>
      <c r="I21" s="42">
        <v>4.0912651557442956</v>
      </c>
      <c r="J21" s="3">
        <f t="shared" si="8"/>
        <v>0</v>
      </c>
      <c r="K21" s="3">
        <f>G21*D21/1000</f>
        <v>4.979807027899497</v>
      </c>
      <c r="L21" s="3">
        <f t="shared" si="10"/>
        <v>0</v>
      </c>
      <c r="M21" s="3">
        <f t="shared" si="11"/>
        <v>20.373710975575772</v>
      </c>
      <c r="O21" s="1" t="s">
        <v>6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0.15140359262745753</v>
      </c>
    </row>
    <row r="22" spans="3:30">
      <c r="C22" s="17">
        <v>739.24754092660589</v>
      </c>
      <c r="D22" s="17">
        <v>332.66139341697266</v>
      </c>
      <c r="E22" s="1" t="s">
        <v>6</v>
      </c>
      <c r="F22" s="41">
        <v>0</v>
      </c>
      <c r="G22" s="41">
        <v>0</v>
      </c>
      <c r="H22" s="41">
        <v>0</v>
      </c>
      <c r="I22" s="42">
        <v>0.12785203611700924</v>
      </c>
      <c r="J22" s="3">
        <f t="shared" si="8"/>
        <v>0</v>
      </c>
      <c r="K22" s="3">
        <f t="shared" si="9"/>
        <v>0</v>
      </c>
      <c r="L22" s="3">
        <f t="shared" si="10"/>
        <v>0</v>
      </c>
      <c r="M22" s="3">
        <f t="shared" si="11"/>
        <v>4.253143648588141E-2</v>
      </c>
      <c r="O22" s="1" t="s">
        <v>5</v>
      </c>
      <c r="P22" s="11">
        <f t="shared" si="0"/>
        <v>0</v>
      </c>
      <c r="Q22" s="11">
        <f t="shared" si="1"/>
        <v>0</v>
      </c>
      <c r="R22" s="11">
        <f t="shared" si="2"/>
        <v>4.5999226625508927</v>
      </c>
      <c r="S22" s="11">
        <f t="shared" si="3"/>
        <v>6.983205804670331E-2</v>
      </c>
    </row>
    <row r="23" spans="3:30">
      <c r="C23" s="17">
        <v>255.72301303919352</v>
      </c>
      <c r="D23" s="17">
        <v>115.07535586763709</v>
      </c>
      <c r="E23" s="1" t="s">
        <v>5</v>
      </c>
      <c r="F23" s="41">
        <v>0</v>
      </c>
      <c r="G23" s="41">
        <v>0</v>
      </c>
      <c r="H23" s="41">
        <v>1.3399511082335311</v>
      </c>
      <c r="I23" s="42">
        <v>0.17046938148934568</v>
      </c>
      <c r="J23" s="3">
        <f t="shared" si="8"/>
        <v>0</v>
      </c>
      <c r="K23" s="3">
        <f t="shared" si="9"/>
        <v>0</v>
      </c>
      <c r="L23" s="3">
        <f t="shared" si="10"/>
        <v>0.15419535062520831</v>
      </c>
      <c r="M23" s="3">
        <f t="shared" si="11"/>
        <v>1.9616824739422441E-2</v>
      </c>
      <c r="O23" s="1" t="s">
        <v>78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5.99534170352013</v>
      </c>
    </row>
    <row r="24" spans="3:30">
      <c r="C24" s="17">
        <v>609.8547506959635</v>
      </c>
      <c r="D24" s="17">
        <v>274.4346378131836</v>
      </c>
      <c r="E24" s="1" t="s">
        <v>78</v>
      </c>
      <c r="F24" s="41">
        <v>0</v>
      </c>
      <c r="G24" s="41">
        <v>0</v>
      </c>
      <c r="H24" s="41">
        <v>0</v>
      </c>
      <c r="I24" s="42">
        <v>6.1368977336164443</v>
      </c>
      <c r="J24" s="3">
        <f t="shared" si="8"/>
        <v>0</v>
      </c>
      <c r="K24" s="3">
        <f t="shared" si="9"/>
        <v>0</v>
      </c>
      <c r="L24" s="3">
        <f t="shared" si="10"/>
        <v>0</v>
      </c>
      <c r="M24" s="3">
        <f t="shared" si="11"/>
        <v>1.6841773068215762</v>
      </c>
      <c r="O24" s="1" t="s">
        <v>117</v>
      </c>
      <c r="P24" s="11">
        <f t="shared" si="0"/>
        <v>0.18777842955851501</v>
      </c>
      <c r="Q24" s="11">
        <f t="shared" si="1"/>
        <v>3.8170067369581568E-3</v>
      </c>
      <c r="R24" s="11">
        <f t="shared" si="2"/>
        <v>9.496892221021204E-2</v>
      </c>
      <c r="S24" s="11">
        <f t="shared" si="3"/>
        <v>3.0352342282017799E-3</v>
      </c>
    </row>
    <row r="25" spans="3:30">
      <c r="C25" s="17">
        <v>0.27787353825242617</v>
      </c>
      <c r="D25" s="17">
        <v>0.12504309221359178</v>
      </c>
      <c r="E25" s="1" t="s">
        <v>117</v>
      </c>
      <c r="F25" s="41">
        <v>83.939359389134424</v>
      </c>
      <c r="G25">
        <v>8.013355592654424</v>
      </c>
      <c r="H25" s="41">
        <v>25.459071056437089</v>
      </c>
      <c r="I25" s="42">
        <v>6.8187752595738269</v>
      </c>
      <c r="J25" s="3">
        <f t="shared" si="8"/>
        <v>1.0496037056445357E-2</v>
      </c>
      <c r="K25" s="3">
        <f t="shared" si="9"/>
        <v>1.0020147623125886E-3</v>
      </c>
      <c r="L25" s="3">
        <f t="shared" si="10"/>
        <v>3.1834809697824486E-3</v>
      </c>
      <c r="M25" s="3">
        <f t="shared" si="11"/>
        <v>8.5264074356664824E-4</v>
      </c>
      <c r="O25" s="1" t="s">
        <v>69</v>
      </c>
      <c r="P25" s="11">
        <f t="shared" si="0"/>
        <v>3.7075440197704652</v>
      </c>
      <c r="Q25" s="11">
        <f t="shared" si="1"/>
        <v>17.118378482817445</v>
      </c>
      <c r="R25" s="11">
        <f t="shared" si="2"/>
        <v>10.658406440615584</v>
      </c>
      <c r="S25" s="11">
        <f t="shared" si="3"/>
        <v>9.2460990182160072E-2</v>
      </c>
    </row>
    <row r="26" spans="3:30">
      <c r="C26" s="17">
        <v>4.7026322189055056</v>
      </c>
      <c r="D26" s="17">
        <v>2.1161844985074776</v>
      </c>
      <c r="E26" s="1" t="s">
        <v>69</v>
      </c>
      <c r="F26" s="41">
        <v>97.929252620656825</v>
      </c>
      <c r="G26">
        <v>2123.5392320534224</v>
      </c>
      <c r="H26" s="41">
        <v>168.83383963742492</v>
      </c>
      <c r="I26" s="42">
        <v>12.273795467232889</v>
      </c>
      <c r="J26" s="3">
        <f t="shared" si="8"/>
        <v>0.20723636634625675</v>
      </c>
      <c r="K26" s="3">
        <f t="shared" si="9"/>
        <v>4.493800804843926</v>
      </c>
      <c r="L26" s="3">
        <f t="shared" si="10"/>
        <v>0.35728355426421593</v>
      </c>
      <c r="M26" s="3">
        <f t="shared" si="11"/>
        <v>2.5973615705609583E-2</v>
      </c>
      <c r="O26" s="1" t="s">
        <v>28</v>
      </c>
      <c r="P26" s="11">
        <f t="shared" si="0"/>
        <v>10.892106395247842</v>
      </c>
      <c r="Q26" s="11">
        <f t="shared" si="1"/>
        <v>14.169974632532062</v>
      </c>
      <c r="R26" s="11">
        <f t="shared" si="2"/>
        <v>25.513894347131078</v>
      </c>
      <c r="S26" s="11">
        <f t="shared" si="3"/>
        <v>0.56338899799384523</v>
      </c>
    </row>
    <row r="27" spans="3:30">
      <c r="C27" s="17">
        <v>128.94465675041755</v>
      </c>
      <c r="D27" s="17">
        <v>58.025095537687896</v>
      </c>
      <c r="E27" s="1" t="s">
        <v>28</v>
      </c>
      <c r="F27" s="41">
        <v>10.492419923641803</v>
      </c>
      <c r="G27">
        <v>64.106844741235392</v>
      </c>
      <c r="H27" s="41">
        <v>14.739462190568842</v>
      </c>
      <c r="I27" s="42">
        <v>2.7275101038295309</v>
      </c>
      <c r="J27" s="3">
        <f>F27*D27/1000</f>
        <v>0.60882366849085556</v>
      </c>
      <c r="K27" s="3">
        <f t="shared" si="9"/>
        <v>3.7198057907299087</v>
      </c>
      <c r="L27" s="3">
        <f>H27*D27/1000</f>
        <v>0.85525870178189567</v>
      </c>
      <c r="M27" s="3">
        <f t="shared" si="11"/>
        <v>0.15826403435471756</v>
      </c>
      <c r="O27" s="1" t="s">
        <v>122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1">
        <f t="shared" si="3"/>
        <v>0</v>
      </c>
    </row>
    <row r="28" spans="3:30">
      <c r="C28" s="17"/>
      <c r="D28" s="17"/>
      <c r="E28" s="1" t="s">
        <v>122</v>
      </c>
      <c r="F28" s="41">
        <v>13.989893231522403</v>
      </c>
      <c r="G28" s="41">
        <v>0</v>
      </c>
      <c r="H28" s="41">
        <v>9.3796577576347175</v>
      </c>
      <c r="I28" s="42">
        <v>0</v>
      </c>
      <c r="J28" s="3">
        <f t="shared" si="8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O28" s="1" t="s">
        <v>74</v>
      </c>
      <c r="P28" s="11">
        <f t="shared" si="0"/>
        <v>0.23945749037572481</v>
      </c>
      <c r="Q28" s="11">
        <f t="shared" si="1"/>
        <v>0.58409958340465062</v>
      </c>
      <c r="R28" s="11">
        <f t="shared" si="2"/>
        <v>0.15297549741011446</v>
      </c>
      <c r="S28" s="11">
        <f t="shared" si="3"/>
        <v>0.17649799561621782</v>
      </c>
    </row>
    <row r="29" spans="3:30">
      <c r="C29" s="17">
        <v>8.5043506138405665</v>
      </c>
      <c r="D29" s="17">
        <v>3.8269577762282552</v>
      </c>
      <c r="E29" s="1" t="s">
        <v>74</v>
      </c>
      <c r="F29" s="41">
        <v>3.4974733078806008</v>
      </c>
      <c r="G29">
        <v>40.066777963272116</v>
      </c>
      <c r="H29" s="41">
        <v>1.3399511082335311</v>
      </c>
      <c r="I29" s="42">
        <v>12.955672993190271</v>
      </c>
      <c r="J29" s="3">
        <f t="shared" si="8"/>
        <v>1.3384682672744423E-2</v>
      </c>
      <c r="K29" s="3">
        <f t="shared" si="9"/>
        <v>0.15333386749495512</v>
      </c>
      <c r="L29" s="3">
        <f t="shared" si="10"/>
        <v>5.1279363134199805E-3</v>
      </c>
      <c r="M29" s="3">
        <f t="shared" si="11"/>
        <v>4.9580813507559905E-2</v>
      </c>
      <c r="O29" s="1"/>
      <c r="P29" s="11"/>
      <c r="Q29" s="11"/>
      <c r="R29" s="19"/>
      <c r="S29" s="19"/>
    </row>
    <row r="30" spans="3:30">
      <c r="C30" s="17">
        <v>4.6398078998212569</v>
      </c>
      <c r="D30" s="17">
        <v>2.0879135549195658</v>
      </c>
      <c r="E30" s="1"/>
      <c r="F30" s="41"/>
      <c r="G30" s="41"/>
      <c r="H30" s="41"/>
      <c r="I30" s="41"/>
      <c r="J30" s="3"/>
      <c r="K30" s="3"/>
      <c r="L30" s="3"/>
      <c r="M30" s="3"/>
    </row>
    <row r="31" spans="3:30">
      <c r="E31" s="1" t="s">
        <v>89</v>
      </c>
      <c r="F31" s="41">
        <f t="shared" ref="F31:M31" si="16">SUM(F5:F29)</f>
        <v>1168.156084832121</v>
      </c>
      <c r="G31" s="41">
        <f t="shared" si="16"/>
        <v>4691.4841402337233</v>
      </c>
      <c r="H31" s="41">
        <f t="shared" si="16"/>
        <v>509.18142112874193</v>
      </c>
      <c r="I31" s="42">
        <f t="shared" si="16"/>
        <v>412.1949644412378</v>
      </c>
      <c r="J31" s="3">
        <f t="shared" si="16"/>
        <v>5.5895861314436068</v>
      </c>
      <c r="K31" s="3">
        <f>SUM(K5:K29)</f>
        <v>26.251322865390399</v>
      </c>
      <c r="L31" s="3">
        <f t="shared" si="16"/>
        <v>3.3521291973134848</v>
      </c>
      <c r="M31" s="3">
        <f t="shared" si="16"/>
        <v>28.091431483091636</v>
      </c>
    </row>
    <row r="36" spans="11:15">
      <c r="L36" s="39" t="s">
        <v>111</v>
      </c>
      <c r="M36" s="39" t="s">
        <v>110</v>
      </c>
      <c r="N36" s="39" t="s">
        <v>118</v>
      </c>
      <c r="O36" s="39" t="s">
        <v>109</v>
      </c>
    </row>
    <row r="37" spans="11:15" ht="34">
      <c r="K37" s="25" t="s">
        <v>240</v>
      </c>
      <c r="L37">
        <v>5.5895861314436068</v>
      </c>
      <c r="M37">
        <v>26.251322865390399</v>
      </c>
      <c r="N37">
        <v>3.2491141734378606</v>
      </c>
      <c r="O37">
        <v>28.078325850135119</v>
      </c>
    </row>
    <row r="38" spans="11:15" ht="51">
      <c r="K38" s="25" t="s">
        <v>241</v>
      </c>
      <c r="L38">
        <f>L37</f>
        <v>5.5895861314436068</v>
      </c>
      <c r="M38">
        <f>M37-K21</f>
        <v>21.271515837490902</v>
      </c>
      <c r="N38">
        <f>N37</f>
        <v>3.2491141734378606</v>
      </c>
      <c r="O38">
        <f>O37-M21</f>
        <v>7.704614874559347</v>
      </c>
    </row>
    <row r="39" spans="11:15" ht="51">
      <c r="K39" s="25" t="s">
        <v>281</v>
      </c>
      <c r="L39">
        <f>L37*30</f>
        <v>167.6875839433082</v>
      </c>
      <c r="M39">
        <f>M37*30</f>
        <v>787.53968596171194</v>
      </c>
      <c r="N39">
        <f>N37*60</f>
        <v>194.94685040627164</v>
      </c>
      <c r="O39">
        <f>O37*120</f>
        <v>3369.3991020162143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EF9-D9D4-FC4F-A9A1-1A9C4BD5E74C}">
  <dimension ref="B2:V58"/>
  <sheetViews>
    <sheetView topLeftCell="D1" zoomScale="90" workbookViewId="0">
      <selection activeCell="H7" sqref="H7"/>
    </sheetView>
  </sheetViews>
  <sheetFormatPr baseColWidth="10" defaultRowHeight="16"/>
  <cols>
    <col min="2" max="2" width="18.1640625" customWidth="1"/>
    <col min="7" max="7" width="34.5" customWidth="1"/>
    <col min="8" max="8" width="26" customWidth="1"/>
    <col min="9" max="9" width="15.6640625" customWidth="1"/>
    <col min="10" max="10" width="9" customWidth="1"/>
    <col min="11" max="11" width="35" customWidth="1"/>
    <col min="12" max="12" width="14.6640625" customWidth="1"/>
    <col min="13" max="14" width="14.6640625" bestFit="1" customWidth="1"/>
    <col min="15" max="15" width="14" customWidth="1"/>
    <col min="16" max="16" width="14.33203125" customWidth="1"/>
    <col min="17" max="17" width="31.83203125" customWidth="1"/>
  </cols>
  <sheetData>
    <row r="2" spans="2:22" ht="26">
      <c r="B2" s="30" t="s">
        <v>167</v>
      </c>
    </row>
    <row r="3" spans="2:22" ht="19">
      <c r="B3" s="29" t="s">
        <v>166</v>
      </c>
      <c r="G3" s="1"/>
      <c r="H3" s="24"/>
      <c r="I3" s="24"/>
      <c r="J3" s="24"/>
      <c r="K3" s="1"/>
      <c r="L3" s="24"/>
      <c r="M3" s="24"/>
      <c r="N3" s="24"/>
      <c r="O3" s="24"/>
      <c r="Q3" s="24"/>
      <c r="R3" s="24"/>
      <c r="S3" s="24"/>
      <c r="T3" s="24"/>
    </row>
    <row r="4" spans="2:22">
      <c r="B4" s="1"/>
      <c r="D4" t="s">
        <v>165</v>
      </c>
      <c r="G4" s="24"/>
      <c r="K4" s="1" t="s">
        <v>246</v>
      </c>
      <c r="L4" s="24" t="s">
        <v>111</v>
      </c>
      <c r="M4" s="24" t="s">
        <v>110</v>
      </c>
      <c r="N4" s="24" t="s">
        <v>118</v>
      </c>
      <c r="O4" s="24" t="s">
        <v>109</v>
      </c>
      <c r="Q4" s="1" t="s">
        <v>282</v>
      </c>
      <c r="R4" s="24" t="s">
        <v>111</v>
      </c>
      <c r="S4" s="24" t="s">
        <v>110</v>
      </c>
      <c r="T4" s="24" t="s">
        <v>118</v>
      </c>
      <c r="U4" s="24" t="s">
        <v>109</v>
      </c>
    </row>
    <row r="5" spans="2:22" ht="19">
      <c r="B5" s="28" t="s">
        <v>109</v>
      </c>
      <c r="C5" t="s">
        <v>160</v>
      </c>
      <c r="D5" t="s">
        <v>159</v>
      </c>
      <c r="G5" s="5" t="s">
        <v>44</v>
      </c>
      <c r="H5" t="s">
        <v>256</v>
      </c>
      <c r="K5" s="44" t="s">
        <v>245</v>
      </c>
      <c r="L5" s="53">
        <v>15.86826347</v>
      </c>
      <c r="M5" s="53">
        <v>45.42533873</v>
      </c>
      <c r="N5" s="53">
        <v>38.933333330000004</v>
      </c>
      <c r="O5" s="53">
        <v>7.6484947109999997</v>
      </c>
      <c r="Q5" s="44" t="s">
        <v>245</v>
      </c>
      <c r="R5" s="53"/>
      <c r="S5" s="53"/>
      <c r="T5" s="53"/>
      <c r="U5" s="53"/>
    </row>
    <row r="6" spans="2:22">
      <c r="B6" s="5" t="s">
        <v>27</v>
      </c>
      <c r="G6" s="5" t="s">
        <v>46</v>
      </c>
      <c r="H6" t="s">
        <v>248</v>
      </c>
      <c r="K6" s="44" t="s">
        <v>264</v>
      </c>
      <c r="L6" s="53">
        <v>33.233532930000003</v>
      </c>
      <c r="M6" s="53">
        <v>17.600223490000001</v>
      </c>
      <c r="N6" s="53">
        <v>21.2991274</v>
      </c>
      <c r="O6" s="53">
        <v>24.89829129</v>
      </c>
      <c r="Q6" s="44" t="s">
        <v>264</v>
      </c>
      <c r="R6" s="53"/>
      <c r="S6" s="53"/>
      <c r="T6" s="53"/>
      <c r="U6" s="53"/>
    </row>
    <row r="7" spans="2:22">
      <c r="B7" s="5" t="s">
        <v>53</v>
      </c>
      <c r="G7" s="5" t="s">
        <v>22</v>
      </c>
      <c r="H7" t="s">
        <v>247</v>
      </c>
      <c r="K7" s="44" t="s">
        <v>265</v>
      </c>
      <c r="L7" s="53">
        <v>41.616766470000002</v>
      </c>
      <c r="M7" s="53">
        <v>30.507054060000002</v>
      </c>
      <c r="N7" s="53">
        <v>32.266666669999999</v>
      </c>
      <c r="O7" s="53">
        <v>20.341741249999998</v>
      </c>
      <c r="Q7" s="44" t="s">
        <v>265</v>
      </c>
      <c r="R7" s="53"/>
      <c r="S7" s="53"/>
      <c r="T7" s="53"/>
      <c r="U7" s="53"/>
    </row>
    <row r="8" spans="2:22">
      <c r="B8" s="5" t="s">
        <v>49</v>
      </c>
      <c r="G8" s="5" t="s">
        <v>24</v>
      </c>
      <c r="H8" t="s">
        <v>249</v>
      </c>
      <c r="K8" s="44" t="s">
        <v>267</v>
      </c>
      <c r="L8" s="53">
        <v>5.9880239519999998</v>
      </c>
      <c r="M8" s="53">
        <v>4.1905294040000003</v>
      </c>
      <c r="N8" s="53">
        <v>7.733333333</v>
      </c>
      <c r="O8" s="53">
        <v>40.856387310000002</v>
      </c>
      <c r="Q8" s="44" t="s">
        <v>267</v>
      </c>
      <c r="R8" s="53"/>
      <c r="S8" s="53"/>
      <c r="T8" s="53"/>
      <c r="U8" s="53"/>
    </row>
    <row r="9" spans="2:22">
      <c r="B9" s="5" t="s">
        <v>65</v>
      </c>
      <c r="G9" s="5" t="s">
        <v>70</v>
      </c>
      <c r="H9" t="s">
        <v>250</v>
      </c>
      <c r="K9" s="44" t="s">
        <v>269</v>
      </c>
      <c r="L9" s="53">
        <v>2.0958083830000001</v>
      </c>
      <c r="M9" s="53">
        <v>0.41207311600000002</v>
      </c>
      <c r="N9" s="53">
        <v>1.066666667</v>
      </c>
      <c r="O9" s="53">
        <v>4.6277461349999998</v>
      </c>
      <c r="Q9" s="44" t="s">
        <v>269</v>
      </c>
      <c r="R9" s="53"/>
      <c r="S9" s="53"/>
      <c r="T9" s="53"/>
      <c r="U9" s="53"/>
      <c r="V9" s="24"/>
    </row>
    <row r="10" spans="2:22">
      <c r="B10" s="5" t="s">
        <v>26</v>
      </c>
      <c r="G10" s="5" t="s">
        <v>76</v>
      </c>
      <c r="H10" t="s">
        <v>251</v>
      </c>
      <c r="L10" s="8"/>
      <c r="N10" s="22"/>
      <c r="O10" s="22"/>
      <c r="Q10" s="24"/>
    </row>
    <row r="11" spans="2:22">
      <c r="B11" s="5" t="s">
        <v>73</v>
      </c>
      <c r="G11" s="5" t="s">
        <v>21</v>
      </c>
      <c r="H11" t="s">
        <v>253</v>
      </c>
      <c r="L11" s="8"/>
      <c r="N11" s="22"/>
      <c r="O11" s="22"/>
      <c r="Q11" s="24"/>
    </row>
    <row r="12" spans="2:22">
      <c r="B12" s="5" t="s">
        <v>69</v>
      </c>
      <c r="G12" s="5" t="s">
        <v>23</v>
      </c>
      <c r="H12" t="s">
        <v>252</v>
      </c>
      <c r="L12" s="8"/>
      <c r="N12" s="22"/>
      <c r="O12" s="22"/>
    </row>
    <row r="13" spans="2:22">
      <c r="B13" s="5" t="s">
        <v>28</v>
      </c>
      <c r="G13" s="5" t="s">
        <v>45</v>
      </c>
      <c r="H13" t="s">
        <v>251</v>
      </c>
      <c r="L13" s="8"/>
      <c r="N13" s="22"/>
      <c r="O13" s="22"/>
    </row>
    <row r="14" spans="2:22">
      <c r="B14" s="5" t="s">
        <v>52</v>
      </c>
      <c r="G14" s="5" t="s">
        <v>25</v>
      </c>
      <c r="H14" t="s">
        <v>251</v>
      </c>
      <c r="L14" s="8"/>
      <c r="N14" s="22"/>
      <c r="O14" s="22"/>
    </row>
    <row r="15" spans="2:22">
      <c r="B15" s="5" t="s">
        <v>71</v>
      </c>
      <c r="G15" s="5" t="s">
        <v>47</v>
      </c>
      <c r="H15" t="s">
        <v>254</v>
      </c>
      <c r="L15" s="8"/>
      <c r="N15" s="22"/>
      <c r="O15" s="22"/>
    </row>
    <row r="16" spans="2:22">
      <c r="B16" s="5" t="s">
        <v>164</v>
      </c>
      <c r="C16" t="s">
        <v>163</v>
      </c>
      <c r="G16" s="5" t="s">
        <v>75</v>
      </c>
      <c r="H16" t="s">
        <v>250</v>
      </c>
      <c r="L16" s="8"/>
      <c r="N16" s="22"/>
      <c r="O16" s="22"/>
    </row>
    <row r="17" spans="2:15">
      <c r="B17" s="5" t="s">
        <v>157</v>
      </c>
      <c r="C17" t="s">
        <v>162</v>
      </c>
      <c r="G17" s="5" t="s">
        <v>27</v>
      </c>
      <c r="H17" t="s">
        <v>255</v>
      </c>
      <c r="L17" s="8"/>
      <c r="N17" s="22"/>
      <c r="O17" s="22"/>
    </row>
    <row r="18" spans="2:15">
      <c r="D18" t="s">
        <v>161</v>
      </c>
      <c r="G18" s="5" t="s">
        <v>53</v>
      </c>
      <c r="H18" t="s">
        <v>247</v>
      </c>
      <c r="L18" s="8"/>
      <c r="N18" s="22"/>
      <c r="O18" s="22"/>
    </row>
    <row r="19" spans="2:15" ht="19">
      <c r="B19" s="28" t="s">
        <v>110</v>
      </c>
      <c r="C19" t="s">
        <v>160</v>
      </c>
      <c r="D19" t="s">
        <v>159</v>
      </c>
      <c r="G19" s="5" t="s">
        <v>49</v>
      </c>
      <c r="H19" t="s">
        <v>257</v>
      </c>
      <c r="L19" s="8"/>
      <c r="N19" s="22"/>
      <c r="O19" s="22"/>
    </row>
    <row r="20" spans="2:15">
      <c r="B20" s="26" t="s">
        <v>27</v>
      </c>
      <c r="C20">
        <v>0.75</v>
      </c>
      <c r="D20">
        <v>0.7</v>
      </c>
      <c r="G20" s="5" t="s">
        <v>65</v>
      </c>
      <c r="H20" t="s">
        <v>249</v>
      </c>
      <c r="L20" s="8"/>
      <c r="N20" s="22"/>
      <c r="O20" s="22"/>
    </row>
    <row r="21" spans="2:15">
      <c r="B21" s="26" t="s">
        <v>53</v>
      </c>
      <c r="C21" t="s">
        <v>158</v>
      </c>
      <c r="G21" s="5" t="s">
        <v>26</v>
      </c>
      <c r="H21" t="s">
        <v>258</v>
      </c>
      <c r="N21" s="22"/>
      <c r="O21" s="22"/>
    </row>
    <row r="22" spans="2:15">
      <c r="B22" s="26" t="s">
        <v>49</v>
      </c>
      <c r="C22">
        <v>1</v>
      </c>
      <c r="D22">
        <v>0.4</v>
      </c>
      <c r="G22" s="5" t="s">
        <v>6</v>
      </c>
      <c r="H22" t="s">
        <v>268</v>
      </c>
      <c r="N22" s="22"/>
      <c r="O22" s="22"/>
    </row>
    <row r="23" spans="2:15">
      <c r="B23" s="26" t="s">
        <v>65</v>
      </c>
      <c r="C23">
        <v>4</v>
      </c>
      <c r="G23" s="5" t="s">
        <v>5</v>
      </c>
      <c r="H23" t="s">
        <v>268</v>
      </c>
      <c r="N23" s="22"/>
      <c r="O23" s="22"/>
    </row>
    <row r="24" spans="2:15">
      <c r="B24" s="26" t="s">
        <v>26</v>
      </c>
      <c r="C24">
        <v>15</v>
      </c>
      <c r="G24" s="7" t="s">
        <v>78</v>
      </c>
      <c r="H24" t="s">
        <v>259</v>
      </c>
      <c r="N24" s="22"/>
      <c r="O24" s="22"/>
    </row>
    <row r="25" spans="2:15">
      <c r="B25" s="26" t="s">
        <v>73</v>
      </c>
      <c r="C25">
        <v>0.15</v>
      </c>
      <c r="D25">
        <v>0.2</v>
      </c>
      <c r="G25" s="5" t="s">
        <v>117</v>
      </c>
      <c r="H25" t="s">
        <v>260</v>
      </c>
      <c r="N25" s="22"/>
      <c r="O25" s="22"/>
    </row>
    <row r="26" spans="2:15">
      <c r="B26" s="26" t="s">
        <v>69</v>
      </c>
      <c r="C26">
        <v>0.45</v>
      </c>
      <c r="D26">
        <v>0.4</v>
      </c>
      <c r="G26" s="7" t="s">
        <v>69</v>
      </c>
      <c r="H26" t="s">
        <v>261</v>
      </c>
      <c r="N26" s="22"/>
      <c r="O26" s="22"/>
    </row>
    <row r="27" spans="2:15">
      <c r="B27" s="26" t="s">
        <v>28</v>
      </c>
      <c r="C27">
        <v>0.8</v>
      </c>
      <c r="D27">
        <v>0.5</v>
      </c>
      <c r="G27" s="7" t="s">
        <v>28</v>
      </c>
      <c r="H27" t="s">
        <v>262</v>
      </c>
      <c r="N27" s="22"/>
      <c r="O27" s="22"/>
    </row>
    <row r="28" spans="2:15">
      <c r="B28" s="26"/>
      <c r="G28" s="7" t="s">
        <v>71</v>
      </c>
      <c r="H28" t="s">
        <v>266</v>
      </c>
      <c r="N28" s="22"/>
      <c r="O28" s="22"/>
    </row>
    <row r="29" spans="2:15">
      <c r="B29" s="26" t="s">
        <v>71</v>
      </c>
      <c r="C29">
        <v>0.1</v>
      </c>
      <c r="D29">
        <v>0.2</v>
      </c>
      <c r="G29" s="7" t="s">
        <v>122</v>
      </c>
      <c r="H29" t="s">
        <v>263</v>
      </c>
      <c r="N29" s="22"/>
      <c r="O29" s="22"/>
    </row>
    <row r="30" spans="2:15">
      <c r="B30" s="26" t="s">
        <v>157</v>
      </c>
      <c r="C30">
        <v>1</v>
      </c>
      <c r="D30">
        <v>0.3</v>
      </c>
      <c r="G30" s="7"/>
      <c r="N30" s="17"/>
      <c r="O30" s="22"/>
    </row>
    <row r="31" spans="2:15" ht="19">
      <c r="B31" s="27"/>
    </row>
    <row r="32" spans="2:15">
      <c r="B32" s="26"/>
      <c r="H32" s="8"/>
      <c r="I32" s="23" t="s">
        <v>111</v>
      </c>
      <c r="J32" s="23" t="s">
        <v>110</v>
      </c>
      <c r="K32" s="23" t="s">
        <v>118</v>
      </c>
      <c r="L32" s="23" t="s">
        <v>109</v>
      </c>
    </row>
    <row r="33" spans="2:12" ht="19">
      <c r="B33" s="27" t="s">
        <v>111</v>
      </c>
      <c r="D33" t="s">
        <v>156</v>
      </c>
      <c r="H33" s="5" t="s">
        <v>44</v>
      </c>
      <c r="I33" s="8">
        <v>0</v>
      </c>
      <c r="J33">
        <v>0</v>
      </c>
      <c r="K33" s="22">
        <v>0</v>
      </c>
      <c r="L33" s="22">
        <v>0.16273393002441008</v>
      </c>
    </row>
    <row r="34" spans="2:12">
      <c r="B34" s="26" t="s">
        <v>27</v>
      </c>
      <c r="H34" s="5" t="s">
        <v>46</v>
      </c>
      <c r="I34" s="8">
        <v>0</v>
      </c>
      <c r="J34" s="8">
        <v>0</v>
      </c>
      <c r="K34" s="22">
        <v>0</v>
      </c>
      <c r="L34" s="22">
        <v>0</v>
      </c>
    </row>
    <row r="35" spans="2:12">
      <c r="B35" s="26" t="s">
        <v>53</v>
      </c>
      <c r="H35" s="5" t="s">
        <v>22</v>
      </c>
      <c r="I35" s="8">
        <v>0</v>
      </c>
      <c r="J35">
        <v>5.5873725380639755E-2</v>
      </c>
      <c r="K35" s="22">
        <v>0.53333333333333333</v>
      </c>
      <c r="L35" s="22">
        <v>0.8136696501220505</v>
      </c>
    </row>
    <row r="36" spans="2:12">
      <c r="B36" s="26" t="s">
        <v>49</v>
      </c>
      <c r="H36" s="4" t="s">
        <v>24</v>
      </c>
      <c r="I36" s="8">
        <v>1.4970059880239521</v>
      </c>
      <c r="J36">
        <v>0.50286352842575777</v>
      </c>
      <c r="K36" s="22">
        <v>5.0666666666666664</v>
      </c>
      <c r="L36" s="22">
        <v>27.176566314076485</v>
      </c>
    </row>
    <row r="37" spans="2:12">
      <c r="B37" s="26" t="s">
        <v>65</v>
      </c>
      <c r="H37" s="4" t="s">
        <v>70</v>
      </c>
      <c r="I37" s="8">
        <v>8.9820359281437128</v>
      </c>
      <c r="J37">
        <v>3.0171811705545468</v>
      </c>
      <c r="K37" s="22">
        <v>2.6666666666666665</v>
      </c>
      <c r="L37" s="22">
        <v>1.9528071602929211</v>
      </c>
    </row>
    <row r="38" spans="2:12">
      <c r="B38" s="26" t="s">
        <v>26</v>
      </c>
      <c r="H38" s="4" t="s">
        <v>76</v>
      </c>
      <c r="I38" s="8">
        <v>27.245508982035929</v>
      </c>
      <c r="J38">
        <v>13.409694091353542</v>
      </c>
      <c r="K38" s="22">
        <v>22.666666666666668</v>
      </c>
      <c r="L38" s="22">
        <v>6.3466232709519934</v>
      </c>
    </row>
    <row r="39" spans="2:12">
      <c r="B39" s="26" t="s">
        <v>73</v>
      </c>
      <c r="H39" s="4" t="s">
        <v>21</v>
      </c>
      <c r="I39" s="8">
        <v>2.3952095808383231</v>
      </c>
      <c r="J39">
        <v>2.5143176421287889</v>
      </c>
      <c r="K39" s="22">
        <v>0</v>
      </c>
      <c r="L39" s="22">
        <v>5.044751830756713</v>
      </c>
    </row>
    <row r="40" spans="2:12">
      <c r="B40" s="26" t="s">
        <v>69</v>
      </c>
      <c r="H40" s="4" t="s">
        <v>23</v>
      </c>
      <c r="I40" s="8">
        <v>0.29940119760479039</v>
      </c>
      <c r="J40">
        <v>0.33524235228383853</v>
      </c>
      <c r="K40" s="22">
        <v>1.3333333333333333</v>
      </c>
      <c r="L40" s="22">
        <v>8.624898291293734</v>
      </c>
    </row>
    <row r="41" spans="2:12">
      <c r="B41" s="26" t="s">
        <v>28</v>
      </c>
      <c r="H41" s="4" t="s">
        <v>45</v>
      </c>
      <c r="I41" s="8">
        <v>3.2934131736526946</v>
      </c>
      <c r="J41">
        <v>5.6991199888252551</v>
      </c>
      <c r="K41" s="22">
        <v>6.4</v>
      </c>
      <c r="L41" s="22">
        <v>4.8820179007323024</v>
      </c>
    </row>
    <row r="42" spans="2:12">
      <c r="B42" s="26" t="s">
        <v>52</v>
      </c>
      <c r="H42" s="4" t="s">
        <v>25</v>
      </c>
      <c r="I42" s="8">
        <v>5.9880239520958085</v>
      </c>
      <c r="J42">
        <v>8.3810588070959628</v>
      </c>
      <c r="K42" s="22">
        <v>1.0666666666666667</v>
      </c>
      <c r="L42" s="22">
        <v>6.0211554109031731</v>
      </c>
    </row>
    <row r="43" spans="2:12">
      <c r="B43" s="26" t="s">
        <v>71</v>
      </c>
      <c r="H43" s="4" t="s">
        <v>47</v>
      </c>
      <c r="I43" s="8">
        <v>5.0898203592814371</v>
      </c>
      <c r="J43">
        <v>3.0171811705545468</v>
      </c>
      <c r="K43" s="22">
        <v>2.1333333333333333</v>
      </c>
      <c r="L43" s="22">
        <v>3.0919446704637918</v>
      </c>
    </row>
    <row r="44" spans="2:12">
      <c r="H44" s="4" t="s">
        <v>75</v>
      </c>
      <c r="I44" s="8">
        <v>21.556886227544911</v>
      </c>
      <c r="J44">
        <v>6.7048470456767708</v>
      </c>
      <c r="K44" s="22">
        <v>8.5333333333333332</v>
      </c>
      <c r="L44" s="22">
        <v>10.089503661513426</v>
      </c>
    </row>
    <row r="45" spans="2:12" ht="19">
      <c r="B45" s="27" t="s">
        <v>118</v>
      </c>
      <c r="D45" t="s">
        <v>155</v>
      </c>
      <c r="G45" t="s">
        <v>154</v>
      </c>
      <c r="H45" s="5" t="s">
        <v>27</v>
      </c>
      <c r="I45" s="8">
        <v>1.7964071856287425</v>
      </c>
      <c r="J45">
        <v>6.5372258695348515</v>
      </c>
      <c r="K45" s="22">
        <v>5.333333333333333</v>
      </c>
      <c r="L45" s="22">
        <v>11.228641171684297</v>
      </c>
    </row>
    <row r="46" spans="2:12">
      <c r="B46" s="26" t="s">
        <v>27</v>
      </c>
      <c r="C46" t="s">
        <v>153</v>
      </c>
      <c r="H46" s="5" t="s">
        <v>53</v>
      </c>
      <c r="I46" s="8">
        <v>2.0958083832335328</v>
      </c>
      <c r="J46">
        <v>0.33524235228383853</v>
      </c>
      <c r="K46" s="22">
        <v>0.26666666666666666</v>
      </c>
      <c r="L46" s="22">
        <v>1.1391375101708707</v>
      </c>
    </row>
    <row r="47" spans="2:12">
      <c r="B47" s="26" t="s">
        <v>53</v>
      </c>
      <c r="C47" t="s">
        <v>152</v>
      </c>
      <c r="H47" s="5" t="s">
        <v>49</v>
      </c>
      <c r="I47" s="8">
        <v>0</v>
      </c>
      <c r="J47">
        <v>0</v>
      </c>
      <c r="K47" s="22">
        <v>0</v>
      </c>
      <c r="L47" s="22">
        <v>0.97640358014646056</v>
      </c>
    </row>
    <row r="48" spans="2:12">
      <c r="B48" s="26" t="s">
        <v>49</v>
      </c>
      <c r="H48" s="5" t="s">
        <v>65</v>
      </c>
      <c r="I48" s="8">
        <v>1.7964071856287425</v>
      </c>
      <c r="J48">
        <v>0.83810588070959635</v>
      </c>
      <c r="K48" s="22">
        <v>1.3333333333333333</v>
      </c>
      <c r="L48" s="22">
        <v>1.017087062652563E-2</v>
      </c>
    </row>
    <row r="49" spans="2:12">
      <c r="B49" s="26" t="s">
        <v>65</v>
      </c>
      <c r="C49" t="s">
        <v>151</v>
      </c>
      <c r="H49" s="5" t="s">
        <v>26</v>
      </c>
      <c r="I49">
        <v>0</v>
      </c>
      <c r="J49">
        <v>2.0957038071952497E-2</v>
      </c>
      <c r="K49" s="22">
        <v>0</v>
      </c>
      <c r="L49" s="22">
        <v>0.97640358014646056</v>
      </c>
    </row>
    <row r="50" spans="2:12">
      <c r="B50" s="26" t="s">
        <v>26</v>
      </c>
      <c r="H50" s="5" t="s">
        <v>6</v>
      </c>
      <c r="I50">
        <v>0</v>
      </c>
      <c r="J50">
        <v>0</v>
      </c>
      <c r="K50" s="22">
        <v>0</v>
      </c>
      <c r="L50" s="22">
        <v>3.0512611879576892E-2</v>
      </c>
    </row>
    <row r="51" spans="2:12">
      <c r="B51" s="26" t="s">
        <v>73</v>
      </c>
      <c r="H51" s="5" t="s">
        <v>5</v>
      </c>
      <c r="I51">
        <v>0</v>
      </c>
      <c r="J51">
        <v>0</v>
      </c>
      <c r="K51" s="22">
        <v>0.26666666666666666</v>
      </c>
      <c r="L51" s="22">
        <v>4.0683482506102521E-2</v>
      </c>
    </row>
    <row r="52" spans="2:12">
      <c r="B52" s="26" t="s">
        <v>69</v>
      </c>
      <c r="H52" s="7" t="s">
        <v>78</v>
      </c>
      <c r="I52">
        <v>0</v>
      </c>
      <c r="J52">
        <v>0</v>
      </c>
      <c r="K52" s="22">
        <v>0</v>
      </c>
      <c r="L52" s="22">
        <v>1.4646053702196908</v>
      </c>
    </row>
    <row r="53" spans="2:12">
      <c r="B53" s="26" t="s">
        <v>28</v>
      </c>
      <c r="C53" t="s">
        <v>150</v>
      </c>
      <c r="H53" s="4" t="s">
        <v>117</v>
      </c>
      <c r="I53">
        <v>7.1856287425149699</v>
      </c>
      <c r="J53">
        <v>0.16762117614191926</v>
      </c>
      <c r="K53" s="22">
        <v>5.0666666666666664</v>
      </c>
      <c r="L53" s="22">
        <v>1.627339300244101</v>
      </c>
    </row>
    <row r="54" spans="2:12">
      <c r="B54" s="26" t="s">
        <v>52</v>
      </c>
      <c r="H54" s="7" t="s">
        <v>69</v>
      </c>
      <c r="I54">
        <v>8.3832335329341312</v>
      </c>
      <c r="J54">
        <v>44.419611677608607</v>
      </c>
      <c r="K54" s="22">
        <v>33.6</v>
      </c>
      <c r="L54" s="22">
        <v>2.9292107404393817</v>
      </c>
    </row>
    <row r="55" spans="2:12">
      <c r="B55" s="26" t="s">
        <v>71</v>
      </c>
      <c r="H55" s="7" t="s">
        <v>28</v>
      </c>
      <c r="I55">
        <v>0.89820359281437123</v>
      </c>
      <c r="J55">
        <v>1.3409694091353541</v>
      </c>
      <c r="K55" s="22">
        <v>2.9333333333333331</v>
      </c>
      <c r="L55" s="22">
        <v>0.65093572009764034</v>
      </c>
    </row>
    <row r="56" spans="2:12">
      <c r="B56" s="26" t="s">
        <v>149</v>
      </c>
      <c r="C56" t="s">
        <v>148</v>
      </c>
      <c r="H56" s="7" t="s">
        <v>52</v>
      </c>
      <c r="I56">
        <v>1.1976047904191616</v>
      </c>
      <c r="J56">
        <v>1.843832937561112</v>
      </c>
      <c r="K56" s="22">
        <v>0.53333333333333333</v>
      </c>
      <c r="L56" s="22">
        <v>1.627339300244101</v>
      </c>
    </row>
    <row r="57" spans="2:12">
      <c r="H57" s="7" t="s">
        <v>74</v>
      </c>
      <c r="I57">
        <v>0.29940119760479039</v>
      </c>
      <c r="J57">
        <v>0.83810588070959635</v>
      </c>
      <c r="K57" s="22">
        <v>0.26666666666666666</v>
      </c>
      <c r="L57" s="22">
        <v>3.0919446704637918</v>
      </c>
    </row>
    <row r="58" spans="2:12">
      <c r="H58" s="7" t="s">
        <v>122</v>
      </c>
      <c r="I58">
        <v>0</v>
      </c>
      <c r="J58">
        <v>0</v>
      </c>
      <c r="K58" s="17">
        <v>1.8324607329842932</v>
      </c>
      <c r="L58" s="2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DE8-FE64-144B-8488-623DC1DF8D57}">
  <dimension ref="A1:J47"/>
  <sheetViews>
    <sheetView zoomScale="75" workbookViewId="0">
      <selection activeCell="B13" sqref="B13"/>
    </sheetView>
  </sheetViews>
  <sheetFormatPr baseColWidth="10" defaultRowHeight="16"/>
  <cols>
    <col min="2" max="2" width="20" customWidth="1"/>
    <col min="3" max="3" width="35.33203125" customWidth="1"/>
    <col min="4" max="4" width="23.5" customWidth="1"/>
    <col min="5" max="5" width="24.1640625" customWidth="1"/>
    <col min="6" max="6" width="31" customWidth="1"/>
    <col min="7" max="7" width="27.1640625" customWidth="1"/>
    <col min="8" max="8" width="25.33203125" customWidth="1"/>
    <col min="9" max="9" width="25" customWidth="1"/>
    <col min="10" max="10" width="27.83203125" customWidth="1"/>
  </cols>
  <sheetData>
    <row r="1" spans="1:10" ht="19">
      <c r="A1" t="s">
        <v>232</v>
      </c>
      <c r="B1" s="1"/>
      <c r="C1" s="28" t="s">
        <v>231</v>
      </c>
    </row>
    <row r="2" spans="1:10" ht="19">
      <c r="C2" s="28"/>
      <c r="D2" s="34" t="s">
        <v>44</v>
      </c>
      <c r="E2" s="34" t="s">
        <v>46</v>
      </c>
      <c r="F2" s="37" t="s">
        <v>22</v>
      </c>
      <c r="G2" s="37" t="s">
        <v>24</v>
      </c>
      <c r="H2" s="37" t="s">
        <v>21</v>
      </c>
      <c r="I2" s="37" t="s">
        <v>23</v>
      </c>
    </row>
    <row r="3" spans="1:10">
      <c r="C3" s="34" t="s">
        <v>209</v>
      </c>
      <c r="D3" s="33" t="s">
        <v>188</v>
      </c>
      <c r="E3" s="33" t="s">
        <v>202</v>
      </c>
      <c r="F3" s="33" t="s">
        <v>230</v>
      </c>
      <c r="G3" s="33" t="s">
        <v>229</v>
      </c>
      <c r="H3" s="33" t="s">
        <v>202</v>
      </c>
      <c r="I3" s="33" t="s">
        <v>202</v>
      </c>
    </row>
    <row r="4" spans="1:10" ht="17">
      <c r="C4" s="35" t="s">
        <v>205</v>
      </c>
      <c r="D4" s="33" t="s">
        <v>228</v>
      </c>
      <c r="E4" s="33" t="s">
        <v>202</v>
      </c>
      <c r="F4" s="33" t="s">
        <v>202</v>
      </c>
      <c r="G4" s="33" t="s">
        <v>188</v>
      </c>
      <c r="H4" s="33" t="s">
        <v>202</v>
      </c>
      <c r="I4" s="33" t="s">
        <v>202</v>
      </c>
    </row>
    <row r="5" spans="1:10">
      <c r="C5" s="34" t="s">
        <v>200</v>
      </c>
      <c r="D5" s="33" t="s">
        <v>198</v>
      </c>
      <c r="E5" s="33" t="s">
        <v>199</v>
      </c>
      <c r="F5" s="33" t="s">
        <v>198</v>
      </c>
      <c r="G5" s="33" t="s">
        <v>199</v>
      </c>
      <c r="H5" s="33" t="s">
        <v>199</v>
      </c>
      <c r="I5" s="33" t="s">
        <v>199</v>
      </c>
    </row>
    <row r="6" spans="1:10">
      <c r="C6" s="34" t="s">
        <v>197</v>
      </c>
      <c r="D6" s="33"/>
      <c r="E6" s="33" t="s">
        <v>227</v>
      </c>
      <c r="F6" s="33"/>
      <c r="G6" s="33" t="s">
        <v>194</v>
      </c>
      <c r="H6" s="33" t="s">
        <v>226</v>
      </c>
      <c r="I6" s="33" t="s">
        <v>226</v>
      </c>
    </row>
    <row r="7" spans="1:10">
      <c r="C7" s="34" t="s">
        <v>193</v>
      </c>
      <c r="D7" s="33" t="s">
        <v>190</v>
      </c>
      <c r="E7" s="33" t="s">
        <v>190</v>
      </c>
      <c r="F7" s="33" t="s">
        <v>190</v>
      </c>
      <c r="G7" s="33" t="s">
        <v>191</v>
      </c>
      <c r="H7" s="33" t="s">
        <v>190</v>
      </c>
      <c r="I7" s="33" t="s">
        <v>190</v>
      </c>
    </row>
    <row r="8" spans="1:10">
      <c r="C8" s="34" t="s">
        <v>189</v>
      </c>
      <c r="D8" s="33" t="s">
        <v>225</v>
      </c>
      <c r="E8" s="33" t="s">
        <v>183</v>
      </c>
      <c r="F8" s="33" t="s">
        <v>183</v>
      </c>
      <c r="G8" s="33" t="s">
        <v>183</v>
      </c>
      <c r="H8" s="33" t="s">
        <v>183</v>
      </c>
      <c r="I8" s="33" t="s">
        <v>183</v>
      </c>
    </row>
    <row r="9" spans="1:10">
      <c r="C9" s="34" t="s">
        <v>224</v>
      </c>
      <c r="D9" s="33" t="s">
        <v>223</v>
      </c>
      <c r="E9" s="33" t="s">
        <v>222</v>
      </c>
      <c r="F9" s="33" t="s">
        <v>221</v>
      </c>
      <c r="G9" s="33" t="s">
        <v>220</v>
      </c>
      <c r="H9" s="33" t="s">
        <v>219</v>
      </c>
      <c r="I9" s="33" t="s">
        <v>218</v>
      </c>
    </row>
    <row r="10" spans="1:10" ht="34">
      <c r="C10" s="34" t="s">
        <v>174</v>
      </c>
      <c r="D10" s="32" t="s">
        <v>217</v>
      </c>
      <c r="E10" s="32" t="s">
        <v>216</v>
      </c>
      <c r="F10" s="32" t="s">
        <v>215</v>
      </c>
      <c r="G10" s="32" t="s">
        <v>214</v>
      </c>
      <c r="H10" s="32" t="s">
        <v>213</v>
      </c>
      <c r="I10" s="32" t="s">
        <v>212</v>
      </c>
    </row>
    <row r="11" spans="1:10">
      <c r="C11" s="1"/>
    </row>
    <row r="12" spans="1:10">
      <c r="C12" s="1"/>
    </row>
    <row r="13" spans="1:10">
      <c r="B13" s="31"/>
      <c r="C13" s="1"/>
    </row>
    <row r="14" spans="1:10">
      <c r="B14" s="31"/>
    </row>
    <row r="15" spans="1:10">
      <c r="B15" s="38" t="s">
        <v>211</v>
      </c>
      <c r="D15" s="31"/>
      <c r="E15" s="31"/>
      <c r="F15" s="31"/>
      <c r="G15" s="31"/>
      <c r="H15" s="31"/>
      <c r="I15" s="31"/>
      <c r="J15" s="31"/>
    </row>
    <row r="16" spans="1:10">
      <c r="G16" s="31"/>
    </row>
    <row r="17" spans="2:10">
      <c r="B17" s="31"/>
    </row>
    <row r="18" spans="2:10">
      <c r="B18" s="31"/>
    </row>
    <row r="19" spans="2:10">
      <c r="B19" s="31"/>
      <c r="C19" s="38" t="s">
        <v>210</v>
      </c>
    </row>
    <row r="20" spans="2:10">
      <c r="B20" s="38"/>
      <c r="D20" s="37" t="s">
        <v>70</v>
      </c>
      <c r="E20" s="37" t="s">
        <v>122</v>
      </c>
      <c r="F20" s="37" t="s">
        <v>76</v>
      </c>
      <c r="G20" s="37" t="s">
        <v>45</v>
      </c>
      <c r="H20" s="37" t="s">
        <v>25</v>
      </c>
      <c r="I20" s="37" t="s">
        <v>280</v>
      </c>
      <c r="J20" s="37" t="s">
        <v>279</v>
      </c>
    </row>
    <row r="21" spans="2:10">
      <c r="B21" s="31"/>
      <c r="C21" s="34" t="s">
        <v>209</v>
      </c>
      <c r="D21" s="33" t="s">
        <v>208</v>
      </c>
      <c r="E21" s="33" t="s">
        <v>207</v>
      </c>
      <c r="F21" s="33" t="s">
        <v>206</v>
      </c>
      <c r="G21" s="36" t="s">
        <v>202</v>
      </c>
      <c r="H21" s="33" t="s">
        <v>202</v>
      </c>
      <c r="I21" s="33" t="s">
        <v>202</v>
      </c>
      <c r="J21" s="33" t="s">
        <v>202</v>
      </c>
    </row>
    <row r="22" spans="2:10" ht="17">
      <c r="B22" s="31"/>
      <c r="C22" s="35" t="s">
        <v>205</v>
      </c>
      <c r="D22" s="33" t="s">
        <v>204</v>
      </c>
      <c r="E22" s="33" t="s">
        <v>188</v>
      </c>
      <c r="F22" s="33" t="s">
        <v>203</v>
      </c>
      <c r="G22" s="33" t="s">
        <v>202</v>
      </c>
      <c r="H22" s="33" t="s">
        <v>202</v>
      </c>
      <c r="I22" s="33" t="s">
        <v>202</v>
      </c>
      <c r="J22" s="33" t="s">
        <v>201</v>
      </c>
    </row>
    <row r="23" spans="2:10">
      <c r="B23" s="31"/>
      <c r="C23" s="34" t="s">
        <v>200</v>
      </c>
      <c r="D23" s="33" t="s">
        <v>199</v>
      </c>
      <c r="E23" s="33" t="s">
        <v>199</v>
      </c>
      <c r="F23" s="33" t="s">
        <v>199</v>
      </c>
      <c r="G23" s="33" t="s">
        <v>199</v>
      </c>
      <c r="H23" s="33" t="s">
        <v>198</v>
      </c>
      <c r="I23" s="33" t="s">
        <v>199</v>
      </c>
      <c r="J23" s="33" t="s">
        <v>198</v>
      </c>
    </row>
    <row r="24" spans="2:10">
      <c r="B24" s="31"/>
      <c r="C24" s="34" t="s">
        <v>197</v>
      </c>
      <c r="D24" s="33" t="s">
        <v>196</v>
      </c>
      <c r="E24" s="33" t="s">
        <v>196</v>
      </c>
      <c r="F24" s="33" t="s">
        <v>194</v>
      </c>
      <c r="G24" s="33" t="s">
        <v>195</v>
      </c>
      <c r="H24" s="33"/>
      <c r="I24" s="33" t="s">
        <v>194</v>
      </c>
      <c r="J24" s="33"/>
    </row>
    <row r="25" spans="2:10">
      <c r="B25" s="31"/>
      <c r="C25" s="34" t="s">
        <v>193</v>
      </c>
      <c r="D25" s="33" t="s">
        <v>192</v>
      </c>
      <c r="E25" s="33" t="s">
        <v>191</v>
      </c>
      <c r="F25" s="33" t="s">
        <v>191</v>
      </c>
      <c r="G25" s="33" t="s">
        <v>190</v>
      </c>
      <c r="H25" s="33" t="s">
        <v>190</v>
      </c>
      <c r="I25" s="33" t="s">
        <v>190</v>
      </c>
      <c r="J25" s="33" t="s">
        <v>190</v>
      </c>
    </row>
    <row r="26" spans="2:10">
      <c r="B26" s="31"/>
      <c r="C26" s="34" t="s">
        <v>189</v>
      </c>
      <c r="D26" s="33" t="s">
        <v>188</v>
      </c>
      <c r="E26" s="33" t="s">
        <v>187</v>
      </c>
      <c r="F26" s="33" t="s">
        <v>186</v>
      </c>
      <c r="G26" s="33" t="s">
        <v>185</v>
      </c>
      <c r="H26" s="33" t="s">
        <v>185</v>
      </c>
      <c r="I26" s="33" t="s">
        <v>184</v>
      </c>
      <c r="J26" s="33" t="s">
        <v>183</v>
      </c>
    </row>
    <row r="27" spans="2:10">
      <c r="B27" s="31"/>
      <c r="C27" s="34" t="s">
        <v>182</v>
      </c>
      <c r="D27" s="33" t="s">
        <v>181</v>
      </c>
      <c r="E27" s="33" t="s">
        <v>180</v>
      </c>
      <c r="F27" s="33" t="s">
        <v>179</v>
      </c>
      <c r="G27" s="33" t="s">
        <v>178</v>
      </c>
      <c r="H27" s="33" t="s">
        <v>177</v>
      </c>
      <c r="I27" s="33" t="s">
        <v>176</v>
      </c>
      <c r="J27" s="33" t="s">
        <v>175</v>
      </c>
    </row>
    <row r="28" spans="2:10" ht="51">
      <c r="B28" s="31"/>
      <c r="C28" s="34" t="s">
        <v>174</v>
      </c>
      <c r="D28" s="32" t="s">
        <v>173</v>
      </c>
      <c r="E28" s="32" t="s">
        <v>172</v>
      </c>
      <c r="F28" s="32" t="s">
        <v>171</v>
      </c>
      <c r="G28" s="33" t="s">
        <v>170</v>
      </c>
      <c r="H28" s="33" t="s">
        <v>169</v>
      </c>
      <c r="I28" s="33"/>
      <c r="J28" s="32" t="s">
        <v>168</v>
      </c>
    </row>
    <row r="29" spans="2:10">
      <c r="B29" s="31"/>
    </row>
    <row r="31" spans="2:10">
      <c r="B31" s="31"/>
    </row>
    <row r="32" spans="2:10">
      <c r="B32" s="31"/>
    </row>
    <row r="33" spans="2:2">
      <c r="B33" s="31" t="s">
        <v>27</v>
      </c>
    </row>
    <row r="34" spans="2:2">
      <c r="B34" s="31" t="s">
        <v>53</v>
      </c>
    </row>
    <row r="35" spans="2:2">
      <c r="B35" s="31" t="s">
        <v>49</v>
      </c>
    </row>
    <row r="36" spans="2:2">
      <c r="B36" s="31" t="s">
        <v>65</v>
      </c>
    </row>
    <row r="37" spans="2:2">
      <c r="B37" s="31" t="s">
        <v>26</v>
      </c>
    </row>
    <row r="38" spans="2:2">
      <c r="B38" s="31" t="s">
        <v>6</v>
      </c>
    </row>
    <row r="39" spans="2:2">
      <c r="B39" s="31" t="s">
        <v>5</v>
      </c>
    </row>
    <row r="40" spans="2:2">
      <c r="B40" s="31" t="s">
        <v>78</v>
      </c>
    </row>
    <row r="41" spans="2:2">
      <c r="B41" s="31" t="s">
        <v>117</v>
      </c>
    </row>
    <row r="42" spans="2:2">
      <c r="B42" s="31" t="s">
        <v>69</v>
      </c>
    </row>
    <row r="43" spans="2:2">
      <c r="B43" s="31" t="s">
        <v>28</v>
      </c>
    </row>
    <row r="44" spans="2:2">
      <c r="B44" s="31" t="s">
        <v>52</v>
      </c>
    </row>
    <row r="45" spans="2:2">
      <c r="B45" s="31" t="s">
        <v>71</v>
      </c>
    </row>
    <row r="46" spans="2:2">
      <c r="B46" s="31" t="s">
        <v>122</v>
      </c>
    </row>
    <row r="47" spans="2:2">
      <c r="B47" s="31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07E4-05FE-BE45-8AB1-9DD10E32C7C9}">
  <dimension ref="A1:C12"/>
  <sheetViews>
    <sheetView workbookViewId="0">
      <selection activeCell="C10" sqref="C10"/>
    </sheetView>
  </sheetViews>
  <sheetFormatPr baseColWidth="10" defaultRowHeight="16"/>
  <cols>
    <col min="2" max="2" width="32.83203125" customWidth="1"/>
    <col min="3" max="3" width="19.1640625" customWidth="1"/>
  </cols>
  <sheetData>
    <row r="1" spans="1:3">
      <c r="A1" s="19"/>
      <c r="B1" s="54"/>
      <c r="C1" s="19"/>
    </row>
    <row r="2" spans="1:3">
      <c r="A2" s="45"/>
      <c r="B2" s="54"/>
      <c r="C2" s="19"/>
    </row>
    <row r="3" spans="1:3">
      <c r="A3" s="51"/>
      <c r="B3" s="49" t="s">
        <v>276</v>
      </c>
      <c r="C3" s="47" t="s">
        <v>277</v>
      </c>
    </row>
    <row r="4" spans="1:3">
      <c r="A4" s="50" t="s">
        <v>111</v>
      </c>
      <c r="B4" s="48">
        <v>2.2389210632570999</v>
      </c>
      <c r="C4" s="48">
        <v>0.79024090012639703</v>
      </c>
    </row>
    <row r="5" spans="1:3">
      <c r="A5" s="47" t="s">
        <v>110</v>
      </c>
      <c r="B5" s="48">
        <v>1.8876183539467499</v>
      </c>
      <c r="C5" s="48">
        <v>0.65307113134841299</v>
      </c>
    </row>
    <row r="6" spans="1:3">
      <c r="A6" s="47" t="s">
        <v>118</v>
      </c>
      <c r="B6" s="48">
        <v>2.1494813620790398</v>
      </c>
      <c r="C6" s="48">
        <v>0.73001389306683795</v>
      </c>
    </row>
    <row r="7" spans="1:3">
      <c r="A7" s="47" t="s">
        <v>109</v>
      </c>
      <c r="B7" s="48">
        <v>2.4981034801973498</v>
      </c>
      <c r="C7" s="48">
        <v>0.79671761711640798</v>
      </c>
    </row>
    <row r="8" spans="1:3">
      <c r="A8" s="46"/>
    </row>
    <row r="9" spans="1:3">
      <c r="A9" s="19"/>
    </row>
    <row r="10" spans="1:3">
      <c r="A10" s="19"/>
    </row>
    <row r="11" spans="1:3">
      <c r="A11" s="19"/>
    </row>
    <row r="12" spans="1:3">
      <c r="A12" s="19"/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795A-5F01-2D43-AEBE-1784BA67FBD9}">
  <dimension ref="A1"/>
  <sheetViews>
    <sheetView workbookViewId="0">
      <selection activeCell="B3" sqref="B3"/>
    </sheetView>
  </sheetViews>
  <sheetFormatPr baseColWidth="10" defaultRowHeight="16"/>
  <cols>
    <col min="1" max="1" width="19.33203125" customWidth="1"/>
  </cols>
  <sheetData>
    <row r="1" spans="1:1" ht="31">
      <c r="A1" s="5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 counts</vt:lpstr>
      <vt:lpstr>Conversion factors</vt:lpstr>
      <vt:lpstr>Biomass</vt:lpstr>
      <vt:lpstr>Size structure</vt:lpstr>
      <vt:lpstr>Key Table</vt:lpstr>
      <vt:lpstr>Diversity and Evenness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cp:lastPrinted>2022-04-05T08:26:05Z</cp:lastPrinted>
  <dcterms:created xsi:type="dcterms:W3CDTF">2022-02-25T04:34:05Z</dcterms:created>
  <dcterms:modified xsi:type="dcterms:W3CDTF">2022-04-23T08:35:42Z</dcterms:modified>
</cp:coreProperties>
</file>