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bertrafael/Documents/Competitions/Undergraduate Competitions/Semester 6 (Competition)/Youth Energy Hackathon 2025/"/>
    </mc:Choice>
  </mc:AlternateContent>
  <xr:revisionPtr revIDLastSave="0" documentId="13_ncr:1_{94200741-59CC-B04F-A456-2307384B3702}" xr6:coauthVersionLast="47" xr6:coauthVersionMax="47" xr10:uidLastSave="{00000000-0000-0000-0000-000000000000}"/>
  <bookViews>
    <workbookView xWindow="0" yWindow="680" windowWidth="30240" windowHeight="17880" xr2:uid="{DE4134B0-A97E-AE4A-BE9A-860A08B1996D}"/>
  </bookViews>
  <sheets>
    <sheet name="The RHC Company Financial Model" sheetId="1" r:id="rId1"/>
    <sheet name="The FWC Company 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2" l="1"/>
  <c r="D29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J111" i="1"/>
  <c r="K111" i="1"/>
  <c r="L111" i="1"/>
  <c r="I111" i="1"/>
  <c r="I116" i="1"/>
  <c r="I95" i="1"/>
  <c r="O104" i="2"/>
  <c r="V104" i="2"/>
  <c r="H93" i="2"/>
  <c r="H95" i="2" s="1"/>
  <c r="D53" i="2"/>
  <c r="D43" i="2"/>
  <c r="D40" i="2"/>
  <c r="D8" i="2"/>
  <c r="D35" i="2" s="1"/>
  <c r="D36" i="2" s="1"/>
  <c r="D7" i="2"/>
  <c r="D19" i="2" s="1"/>
  <c r="D37" i="2" s="1"/>
  <c r="D38" i="2" s="1"/>
  <c r="H75" i="1"/>
  <c r="D142" i="1" s="1"/>
  <c r="H72" i="1"/>
  <c r="I86" i="1" s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J88" i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D46" i="1"/>
  <c r="I110" i="2" l="1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D47" i="2"/>
  <c r="D48" i="2" s="1"/>
  <c r="I111" i="2" s="1"/>
  <c r="J111" i="2" s="1"/>
  <c r="K111" i="2" s="1"/>
  <c r="L111" i="2" s="1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D33" i="2"/>
  <c r="N89" i="1"/>
  <c r="T89" i="1"/>
  <c r="I87" i="1"/>
  <c r="H73" i="1"/>
  <c r="D141" i="1"/>
  <c r="J86" i="1"/>
  <c r="H96" i="2" l="1"/>
  <c r="D49" i="2"/>
  <c r="K86" i="1"/>
  <c r="D30" i="1"/>
  <c r="D33" i="1"/>
  <c r="D19" i="1"/>
  <c r="H81" i="1" s="1"/>
  <c r="D146" i="1" s="1"/>
  <c r="D15" i="1"/>
  <c r="H98" i="2" l="1"/>
  <c r="I96" i="1"/>
  <c r="J96" i="1" s="1"/>
  <c r="K96" i="1" s="1"/>
  <c r="D37" i="1"/>
  <c r="I97" i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D16" i="1"/>
  <c r="L86" i="1"/>
  <c r="D24" i="1"/>
  <c r="D17" i="1"/>
  <c r="D18" i="1"/>
  <c r="D25" i="1" s="1"/>
  <c r="D31" i="1" s="1"/>
  <c r="I105" i="2" l="1"/>
  <c r="J105" i="2" s="1"/>
  <c r="K105" i="2" s="1"/>
  <c r="L105" i="2" s="1"/>
  <c r="M105" i="2" s="1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J86" i="2"/>
  <c r="V86" i="2"/>
  <c r="S116" i="2"/>
  <c r="X86" i="2"/>
  <c r="J116" i="2"/>
  <c r="V116" i="2"/>
  <c r="N86" i="2"/>
  <c r="K116" i="2"/>
  <c r="L116" i="2"/>
  <c r="AB86" i="2"/>
  <c r="M116" i="2"/>
  <c r="Y116" i="2"/>
  <c r="K86" i="2"/>
  <c r="W86" i="2"/>
  <c r="T116" i="2"/>
  <c r="U116" i="2"/>
  <c r="Y86" i="2"/>
  <c r="Z86" i="2"/>
  <c r="W116" i="2"/>
  <c r="O86" i="2"/>
  <c r="AA86" i="2"/>
  <c r="X116" i="2"/>
  <c r="Q86" i="2"/>
  <c r="O116" i="2"/>
  <c r="Q116" i="2"/>
  <c r="L86" i="2"/>
  <c r="P86" i="2"/>
  <c r="N116" i="2"/>
  <c r="P116" i="2"/>
  <c r="I86" i="2"/>
  <c r="R116" i="2"/>
  <c r="M86" i="2"/>
  <c r="Z116" i="2"/>
  <c r="R86" i="2"/>
  <c r="AB116" i="2"/>
  <c r="T86" i="2"/>
  <c r="U86" i="2"/>
  <c r="AA116" i="2"/>
  <c r="S86" i="2"/>
  <c r="I102" i="2"/>
  <c r="J102" i="2" s="1"/>
  <c r="I101" i="2"/>
  <c r="J101" i="2" s="1"/>
  <c r="K101" i="2" s="1"/>
  <c r="D60" i="2"/>
  <c r="I103" i="2"/>
  <c r="J103" i="2" s="1"/>
  <c r="K103" i="2" s="1"/>
  <c r="L103" i="2" s="1"/>
  <c r="M103" i="2" s="1"/>
  <c r="N103" i="2" s="1"/>
  <c r="O103" i="2" s="1"/>
  <c r="P103" i="2" s="1"/>
  <c r="Q103" i="2" s="1"/>
  <c r="R103" i="2" s="1"/>
  <c r="S103" i="2" s="1"/>
  <c r="T103" i="2" s="1"/>
  <c r="U103" i="2" s="1"/>
  <c r="V103" i="2" s="1"/>
  <c r="W103" i="2" s="1"/>
  <c r="X103" i="2" s="1"/>
  <c r="Y103" i="2" s="1"/>
  <c r="Z103" i="2" s="1"/>
  <c r="AA103" i="2" s="1"/>
  <c r="AB103" i="2" s="1"/>
  <c r="I116" i="2"/>
  <c r="I87" i="2"/>
  <c r="H127" i="2"/>
  <c r="H128" i="2" s="1"/>
  <c r="H129" i="2" s="1"/>
  <c r="I65" i="1"/>
  <c r="I103" i="1"/>
  <c r="I68" i="1" s="1"/>
  <c r="I91" i="1" s="1"/>
  <c r="I98" i="1"/>
  <c r="L96" i="1"/>
  <c r="L95" i="1"/>
  <c r="M95" i="1"/>
  <c r="N95" i="1"/>
  <c r="O95" i="1"/>
  <c r="AA95" i="1"/>
  <c r="P95" i="1"/>
  <c r="AB95" i="1"/>
  <c r="Q95" i="1"/>
  <c r="K95" i="1"/>
  <c r="R95" i="1"/>
  <c r="J95" i="1"/>
  <c r="S95" i="1"/>
  <c r="T95" i="1"/>
  <c r="U95" i="1"/>
  <c r="V95" i="1"/>
  <c r="W95" i="1"/>
  <c r="X95" i="1"/>
  <c r="Y95" i="1"/>
  <c r="Z95" i="1"/>
  <c r="M86" i="1"/>
  <c r="D34" i="1"/>
  <c r="D65" i="2" s="1"/>
  <c r="D43" i="1"/>
  <c r="L101" i="2" l="1"/>
  <c r="J107" i="2"/>
  <c r="K102" i="2"/>
  <c r="L102" i="2" s="1"/>
  <c r="M102" i="2" s="1"/>
  <c r="N102" i="2" s="1"/>
  <c r="O102" i="2" s="1"/>
  <c r="P102" i="2" s="1"/>
  <c r="Q102" i="2" s="1"/>
  <c r="R102" i="2" s="1"/>
  <c r="S102" i="2" s="1"/>
  <c r="T102" i="2" s="1"/>
  <c r="U102" i="2" s="1"/>
  <c r="V102" i="2" s="1"/>
  <c r="W102" i="2" s="1"/>
  <c r="X102" i="2" s="1"/>
  <c r="Y102" i="2" s="1"/>
  <c r="Z102" i="2" s="1"/>
  <c r="AA102" i="2" s="1"/>
  <c r="AB102" i="2" s="1"/>
  <c r="K120" i="2"/>
  <c r="W120" i="2"/>
  <c r="X120" i="2"/>
  <c r="M120" i="2"/>
  <c r="Y120" i="2"/>
  <c r="N120" i="2"/>
  <c r="Z120" i="2"/>
  <c r="O120" i="2"/>
  <c r="P120" i="2"/>
  <c r="R120" i="2"/>
  <c r="T120" i="2"/>
  <c r="V120" i="2"/>
  <c r="L120" i="2"/>
  <c r="AA120" i="2"/>
  <c r="AB120" i="2"/>
  <c r="Q120" i="2"/>
  <c r="S120" i="2"/>
  <c r="U120" i="2"/>
  <c r="J120" i="2"/>
  <c r="J87" i="2"/>
  <c r="L74" i="2"/>
  <c r="L75" i="2" s="1"/>
  <c r="L76" i="2" s="1"/>
  <c r="I120" i="2"/>
  <c r="I89" i="2"/>
  <c r="I119" i="2"/>
  <c r="I121" i="2" s="1"/>
  <c r="I107" i="2"/>
  <c r="AB65" i="1"/>
  <c r="AB69" i="1" s="1"/>
  <c r="AB103" i="1"/>
  <c r="AB68" i="1" s="1"/>
  <c r="AB91" i="1" s="1"/>
  <c r="AA65" i="1"/>
  <c r="AA69" i="1" s="1"/>
  <c r="AA103" i="1"/>
  <c r="AA68" i="1" s="1"/>
  <c r="AA91" i="1" s="1"/>
  <c r="U65" i="1"/>
  <c r="U103" i="1"/>
  <c r="U68" i="1" s="1"/>
  <c r="U91" i="1" s="1"/>
  <c r="Q65" i="1"/>
  <c r="Q103" i="1"/>
  <c r="Q68" i="1" s="1"/>
  <c r="Q91" i="1" s="1"/>
  <c r="Y65" i="1"/>
  <c r="Y69" i="1" s="1"/>
  <c r="Y103" i="1"/>
  <c r="Y68" i="1" s="1"/>
  <c r="Y91" i="1" s="1"/>
  <c r="X65" i="1"/>
  <c r="X69" i="1" s="1"/>
  <c r="X103" i="1"/>
  <c r="X68" i="1" s="1"/>
  <c r="X91" i="1" s="1"/>
  <c r="W65" i="1"/>
  <c r="W103" i="1"/>
  <c r="W68" i="1" s="1"/>
  <c r="W91" i="1" s="1"/>
  <c r="V65" i="1"/>
  <c r="V103" i="1"/>
  <c r="V68" i="1" s="1"/>
  <c r="V91" i="1" s="1"/>
  <c r="M65" i="1"/>
  <c r="M103" i="1"/>
  <c r="M68" i="1" s="1"/>
  <c r="M91" i="1" s="1"/>
  <c r="T65" i="1"/>
  <c r="T103" i="1"/>
  <c r="T68" i="1" s="1"/>
  <c r="T91" i="1" s="1"/>
  <c r="R65" i="1"/>
  <c r="R103" i="1"/>
  <c r="R68" i="1" s="1"/>
  <c r="R91" i="1" s="1"/>
  <c r="Z65" i="1"/>
  <c r="Z69" i="1" s="1"/>
  <c r="Z103" i="1"/>
  <c r="Z68" i="1" s="1"/>
  <c r="Z91" i="1" s="1"/>
  <c r="P65" i="1"/>
  <c r="P103" i="1"/>
  <c r="P68" i="1" s="1"/>
  <c r="P91" i="1" s="1"/>
  <c r="O65" i="1"/>
  <c r="O103" i="1"/>
  <c r="O68" i="1" s="1"/>
  <c r="O91" i="1" s="1"/>
  <c r="N65" i="1"/>
  <c r="N103" i="1"/>
  <c r="N68" i="1" s="1"/>
  <c r="N91" i="1" s="1"/>
  <c r="L65" i="1"/>
  <c r="L103" i="1"/>
  <c r="L68" i="1" s="1"/>
  <c r="L91" i="1" s="1"/>
  <c r="S65" i="1"/>
  <c r="S103" i="1"/>
  <c r="S68" i="1" s="1"/>
  <c r="S91" i="1" s="1"/>
  <c r="J65" i="1"/>
  <c r="J103" i="1"/>
  <c r="J68" i="1" s="1"/>
  <c r="J91" i="1" s="1"/>
  <c r="K65" i="1"/>
  <c r="K103" i="1"/>
  <c r="K68" i="1" s="1"/>
  <c r="K91" i="1" s="1"/>
  <c r="J98" i="1"/>
  <c r="J99" i="1" s="1"/>
  <c r="J100" i="1" s="1"/>
  <c r="J101" i="1" s="1"/>
  <c r="J126" i="1" s="1"/>
  <c r="K98" i="1"/>
  <c r="K99" i="1" s="1"/>
  <c r="K100" i="1" s="1"/>
  <c r="K101" i="1" s="1"/>
  <c r="K126" i="1" s="1"/>
  <c r="L98" i="1"/>
  <c r="L99" i="1" s="1"/>
  <c r="L100" i="1" s="1"/>
  <c r="L102" i="1" s="1"/>
  <c r="M96" i="1"/>
  <c r="D36" i="1"/>
  <c r="D68" i="2" s="1"/>
  <c r="D69" i="2" s="1"/>
  <c r="D72" i="2" s="1"/>
  <c r="D73" i="2" s="1"/>
  <c r="I99" i="1"/>
  <c r="N86" i="1"/>
  <c r="D39" i="1"/>
  <c r="H77" i="1" s="1"/>
  <c r="D144" i="1" s="1"/>
  <c r="D48" i="1"/>
  <c r="M101" i="2" l="1"/>
  <c r="L107" i="2"/>
  <c r="K107" i="2"/>
  <c r="J89" i="2"/>
  <c r="J115" i="2" s="1"/>
  <c r="J117" i="2" s="1"/>
  <c r="K87" i="2"/>
  <c r="D12" i="2"/>
  <c r="D75" i="2"/>
  <c r="D77" i="2" s="1"/>
  <c r="I122" i="2"/>
  <c r="I123" i="2" s="1"/>
  <c r="J119" i="2" s="1"/>
  <c r="J121" i="2" s="1"/>
  <c r="J122" i="2" s="1"/>
  <c r="J123" i="2" s="1"/>
  <c r="K119" i="2" s="1"/>
  <c r="K121" i="2" s="1"/>
  <c r="K122" i="2" s="1"/>
  <c r="K123" i="2" s="1"/>
  <c r="L119" i="2" s="1"/>
  <c r="L121" i="2" s="1"/>
  <c r="L122" i="2" s="1"/>
  <c r="L123" i="2" s="1"/>
  <c r="M119" i="2" s="1"/>
  <c r="I115" i="2"/>
  <c r="J102" i="1"/>
  <c r="L101" i="1"/>
  <c r="L126" i="1" s="1"/>
  <c r="K102" i="1"/>
  <c r="N96" i="1"/>
  <c r="M98" i="1"/>
  <c r="M99" i="1" s="1"/>
  <c r="M100" i="1" s="1"/>
  <c r="D47" i="1"/>
  <c r="I100" i="1"/>
  <c r="I101" i="1"/>
  <c r="I126" i="1" s="1"/>
  <c r="D38" i="1"/>
  <c r="I102" i="1" s="1"/>
  <c r="O86" i="1"/>
  <c r="D41" i="1"/>
  <c r="D42" i="1" s="1"/>
  <c r="N101" i="2" l="1"/>
  <c r="M107" i="2"/>
  <c r="M121" i="2"/>
  <c r="M122" i="2" s="1"/>
  <c r="M123" i="2"/>
  <c r="N119" i="2" s="1"/>
  <c r="J125" i="2"/>
  <c r="J127" i="2" s="1"/>
  <c r="J128" i="2" s="1"/>
  <c r="L87" i="2"/>
  <c r="K89" i="2"/>
  <c r="K115" i="2" s="1"/>
  <c r="K117" i="2" s="1"/>
  <c r="K125" i="2" s="1"/>
  <c r="K127" i="2" s="1"/>
  <c r="K128" i="2" s="1"/>
  <c r="D9" i="2"/>
  <c r="D11" i="2" s="1"/>
  <c r="D78" i="2"/>
  <c r="D79" i="2" s="1"/>
  <c r="D45" i="2" s="1"/>
  <c r="D46" i="2" s="1"/>
  <c r="I117" i="2"/>
  <c r="H76" i="1"/>
  <c r="M101" i="1"/>
  <c r="M126" i="1" s="1"/>
  <c r="M102" i="1"/>
  <c r="O96" i="1"/>
  <c r="N98" i="1"/>
  <c r="N99" i="1" s="1"/>
  <c r="N100" i="1" s="1"/>
  <c r="P86" i="1"/>
  <c r="N107" i="2" l="1"/>
  <c r="O101" i="2"/>
  <c r="N121" i="2"/>
  <c r="N122" i="2" s="1"/>
  <c r="N123" i="2"/>
  <c r="O119" i="2" s="1"/>
  <c r="O121" i="2" s="1"/>
  <c r="O122" i="2" s="1"/>
  <c r="O123" i="2" s="1"/>
  <c r="P119" i="2" s="1"/>
  <c r="M87" i="2"/>
  <c r="L89" i="2"/>
  <c r="L115" i="2" s="1"/>
  <c r="L117" i="2" s="1"/>
  <c r="L125" i="2" s="1"/>
  <c r="L127" i="2" s="1"/>
  <c r="L128" i="2" s="1"/>
  <c r="I125" i="2"/>
  <c r="I127" i="2" s="1"/>
  <c r="I128" i="2" s="1"/>
  <c r="D52" i="2"/>
  <c r="I112" i="2" s="1"/>
  <c r="J112" i="2" s="1"/>
  <c r="K112" i="2" s="1"/>
  <c r="L112" i="2" s="1"/>
  <c r="M112" i="2" s="1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D34" i="2"/>
  <c r="D42" i="2"/>
  <c r="D41" i="2" s="1"/>
  <c r="H78" i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D143" i="1"/>
  <c r="N101" i="1"/>
  <c r="N126" i="1" s="1"/>
  <c r="N102" i="1"/>
  <c r="P96" i="1"/>
  <c r="O98" i="1"/>
  <c r="O99" i="1" s="1"/>
  <c r="O100" i="1" s="1"/>
  <c r="Q86" i="1"/>
  <c r="P101" i="2" l="1"/>
  <c r="O107" i="2"/>
  <c r="P121" i="2"/>
  <c r="P122" i="2" s="1"/>
  <c r="P123" i="2" s="1"/>
  <c r="Q119" i="2" s="1"/>
  <c r="Q121" i="2" s="1"/>
  <c r="Q122" i="2" s="1"/>
  <c r="Q123" i="2" s="1"/>
  <c r="R119" i="2" s="1"/>
  <c r="N87" i="2"/>
  <c r="M89" i="2"/>
  <c r="M115" i="2" s="1"/>
  <c r="M117" i="2" s="1"/>
  <c r="M125" i="2" s="1"/>
  <c r="M127" i="2" s="1"/>
  <c r="M128" i="2" s="1"/>
  <c r="I129" i="2"/>
  <c r="J129" i="2" s="1"/>
  <c r="K129" i="2" s="1"/>
  <c r="L129" i="2" s="1"/>
  <c r="T67" i="1"/>
  <c r="S69" i="1"/>
  <c r="I90" i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D54" i="1"/>
  <c r="H82" i="1"/>
  <c r="D145" i="1"/>
  <c r="D147" i="1" s="1"/>
  <c r="O101" i="1"/>
  <c r="O126" i="1" s="1"/>
  <c r="O102" i="1"/>
  <c r="Q96" i="1"/>
  <c r="P98" i="1"/>
  <c r="P99" i="1" s="1"/>
  <c r="P100" i="1" s="1"/>
  <c r="R86" i="1"/>
  <c r="H83" i="1" l="1"/>
  <c r="P107" i="2"/>
  <c r="Q101" i="2"/>
  <c r="R121" i="2"/>
  <c r="R122" i="2" s="1"/>
  <c r="R123" i="2"/>
  <c r="S119" i="2" s="1"/>
  <c r="M129" i="2"/>
  <c r="O87" i="2"/>
  <c r="N89" i="2"/>
  <c r="N115" i="2" s="1"/>
  <c r="N117" i="2" s="1"/>
  <c r="N125" i="2" s="1"/>
  <c r="N127" i="2" s="1"/>
  <c r="N128" i="2" s="1"/>
  <c r="U67" i="1"/>
  <c r="T69" i="1"/>
  <c r="R66" i="1"/>
  <c r="R69" i="1" s="1"/>
  <c r="K66" i="1"/>
  <c r="K69" i="1" s="1"/>
  <c r="L66" i="1"/>
  <c r="L69" i="1" s="1"/>
  <c r="N66" i="1"/>
  <c r="N69" i="1" s="1"/>
  <c r="O66" i="1"/>
  <c r="O69" i="1" s="1"/>
  <c r="Q66" i="1"/>
  <c r="Q69" i="1" s="1"/>
  <c r="I66" i="1"/>
  <c r="I69" i="1" s="1"/>
  <c r="M66" i="1"/>
  <c r="M69" i="1" s="1"/>
  <c r="P66" i="1"/>
  <c r="P69" i="1" s="1"/>
  <c r="J66" i="1"/>
  <c r="J69" i="1" s="1"/>
  <c r="N107" i="1"/>
  <c r="Z107" i="1"/>
  <c r="Y107" i="1"/>
  <c r="O107" i="1"/>
  <c r="AA107" i="1"/>
  <c r="S107" i="1"/>
  <c r="U107" i="1"/>
  <c r="M107" i="1"/>
  <c r="P107" i="1"/>
  <c r="AB107" i="1"/>
  <c r="I107" i="1"/>
  <c r="R107" i="1"/>
  <c r="T107" i="1"/>
  <c r="J107" i="1"/>
  <c r="V107" i="1"/>
  <c r="W107" i="1"/>
  <c r="L107" i="1"/>
  <c r="X107" i="1"/>
  <c r="Q107" i="1"/>
  <c r="K107" i="1"/>
  <c r="P101" i="1"/>
  <c r="P126" i="1" s="1"/>
  <c r="P102" i="1"/>
  <c r="R96" i="1"/>
  <c r="Q98" i="1"/>
  <c r="Q99" i="1" s="1"/>
  <c r="Q100" i="1" s="1"/>
  <c r="S86" i="1"/>
  <c r="H118" i="1" l="1"/>
  <c r="H119" i="1" s="1"/>
  <c r="H120" i="1" s="1"/>
  <c r="D52" i="1"/>
  <c r="I110" i="1" s="1"/>
  <c r="I112" i="1" s="1"/>
  <c r="H123" i="1"/>
  <c r="Q107" i="2"/>
  <c r="R101" i="2"/>
  <c r="S121" i="2"/>
  <c r="S122" i="2" s="1"/>
  <c r="S123" i="2" s="1"/>
  <c r="T119" i="2" s="1"/>
  <c r="O89" i="2"/>
  <c r="O115" i="2" s="1"/>
  <c r="O117" i="2" s="1"/>
  <c r="O125" i="2" s="1"/>
  <c r="O127" i="2" s="1"/>
  <c r="O128" i="2" s="1"/>
  <c r="P87" i="2"/>
  <c r="N129" i="2"/>
  <c r="I113" i="1"/>
  <c r="I114" i="1" s="1"/>
  <c r="J110" i="1" s="1"/>
  <c r="V67" i="1"/>
  <c r="U69" i="1"/>
  <c r="J87" i="1"/>
  <c r="I92" i="1"/>
  <c r="Q101" i="1"/>
  <c r="Q126" i="1" s="1"/>
  <c r="Q102" i="1"/>
  <c r="S96" i="1"/>
  <c r="R98" i="1"/>
  <c r="R99" i="1" s="1"/>
  <c r="R100" i="1" s="1"/>
  <c r="T86" i="1"/>
  <c r="O129" i="2" l="1"/>
  <c r="R107" i="2"/>
  <c r="S101" i="2"/>
  <c r="T121" i="2"/>
  <c r="T122" i="2" s="1"/>
  <c r="T123" i="2"/>
  <c r="U119" i="2" s="1"/>
  <c r="Q87" i="2"/>
  <c r="P89" i="2"/>
  <c r="P115" i="2" s="1"/>
  <c r="P117" i="2" s="1"/>
  <c r="P125" i="2" s="1"/>
  <c r="P127" i="2" s="1"/>
  <c r="P128" i="2" s="1"/>
  <c r="P129" i="2" s="1"/>
  <c r="W67" i="1"/>
  <c r="W69" i="1" s="1"/>
  <c r="V69" i="1"/>
  <c r="J112" i="1"/>
  <c r="J113" i="1" s="1"/>
  <c r="J114" i="1" s="1"/>
  <c r="K110" i="1" s="1"/>
  <c r="I125" i="1"/>
  <c r="I106" i="1"/>
  <c r="I108" i="1" s="1"/>
  <c r="K87" i="1"/>
  <c r="J92" i="1"/>
  <c r="R101" i="1"/>
  <c r="R126" i="1" s="1"/>
  <c r="R102" i="1"/>
  <c r="T96" i="1"/>
  <c r="S98" i="1"/>
  <c r="S99" i="1" s="1"/>
  <c r="S100" i="1" s="1"/>
  <c r="U86" i="1"/>
  <c r="O142" i="2" l="1"/>
  <c r="S107" i="2"/>
  <c r="T101" i="2"/>
  <c r="U121" i="2"/>
  <c r="U122" i="2" s="1"/>
  <c r="U123" i="2" s="1"/>
  <c r="V119" i="2" s="1"/>
  <c r="R87" i="2"/>
  <c r="Q89" i="2"/>
  <c r="Q115" i="2" s="1"/>
  <c r="Q117" i="2" s="1"/>
  <c r="I118" i="1"/>
  <c r="I119" i="1" s="1"/>
  <c r="K112" i="1"/>
  <c r="K113" i="1" s="1"/>
  <c r="K114" i="1" s="1"/>
  <c r="L110" i="1" s="1"/>
  <c r="L112" i="1" s="1"/>
  <c r="L113" i="1" s="1"/>
  <c r="L114" i="1" s="1"/>
  <c r="M110" i="1" s="1"/>
  <c r="M112" i="1" s="1"/>
  <c r="M113" i="1" s="1"/>
  <c r="M114" i="1" s="1"/>
  <c r="N110" i="1" s="1"/>
  <c r="N112" i="1" s="1"/>
  <c r="N113" i="1" s="1"/>
  <c r="N114" i="1" s="1"/>
  <c r="O110" i="1" s="1"/>
  <c r="J125" i="1"/>
  <c r="J106" i="1"/>
  <c r="J108" i="1" s="1"/>
  <c r="J116" i="1" s="1"/>
  <c r="L87" i="1"/>
  <c r="K92" i="1"/>
  <c r="S101" i="1"/>
  <c r="S126" i="1" s="1"/>
  <c r="S102" i="1"/>
  <c r="U96" i="1"/>
  <c r="T98" i="1"/>
  <c r="T99" i="1" s="1"/>
  <c r="T100" i="1" s="1"/>
  <c r="V86" i="1"/>
  <c r="T107" i="2" l="1"/>
  <c r="U101" i="2"/>
  <c r="V121" i="2"/>
  <c r="V122" i="2" s="1"/>
  <c r="V123" i="2" s="1"/>
  <c r="W119" i="2" s="1"/>
  <c r="W121" i="2" s="1"/>
  <c r="W122" i="2" s="1"/>
  <c r="W123" i="2" s="1"/>
  <c r="X119" i="2" s="1"/>
  <c r="X121" i="2" s="1"/>
  <c r="X122" i="2" s="1"/>
  <c r="X123" i="2" s="1"/>
  <c r="Y119" i="2" s="1"/>
  <c r="Q125" i="2"/>
  <c r="Q127" i="2" s="1"/>
  <c r="Q128" i="2" s="1"/>
  <c r="Q129" i="2" s="1"/>
  <c r="S87" i="2"/>
  <c r="R89" i="2"/>
  <c r="R115" i="2" s="1"/>
  <c r="R117" i="2" s="1"/>
  <c r="I120" i="1"/>
  <c r="J118" i="1"/>
  <c r="J119" i="1" s="1"/>
  <c r="O112" i="1"/>
  <c r="O113" i="1" s="1"/>
  <c r="O114" i="1" s="1"/>
  <c r="P110" i="1" s="1"/>
  <c r="K125" i="1"/>
  <c r="K106" i="1"/>
  <c r="K108" i="1" s="1"/>
  <c r="K116" i="1" s="1"/>
  <c r="M87" i="1"/>
  <c r="L92" i="1"/>
  <c r="T101" i="1"/>
  <c r="T126" i="1" s="1"/>
  <c r="T102" i="1"/>
  <c r="V96" i="1"/>
  <c r="U98" i="1"/>
  <c r="U99" i="1" s="1"/>
  <c r="U100" i="1" s="1"/>
  <c r="W86" i="1"/>
  <c r="V101" i="2" l="1"/>
  <c r="U107" i="2"/>
  <c r="R125" i="2"/>
  <c r="R127" i="2"/>
  <c r="S89" i="2"/>
  <c r="S115" i="2" s="1"/>
  <c r="S117" i="2" s="1"/>
  <c r="T87" i="2"/>
  <c r="Y121" i="2"/>
  <c r="Y122" i="2" s="1"/>
  <c r="Y123" i="2" s="1"/>
  <c r="Z119" i="2" s="1"/>
  <c r="J120" i="1"/>
  <c r="K118" i="1"/>
  <c r="K119" i="1" s="1"/>
  <c r="P112" i="1"/>
  <c r="P113" i="1" s="1"/>
  <c r="P114" i="1" s="1"/>
  <c r="Q110" i="1" s="1"/>
  <c r="Q112" i="1" s="1"/>
  <c r="Q113" i="1" s="1"/>
  <c r="Q114" i="1" s="1"/>
  <c r="R110" i="1" s="1"/>
  <c r="R112" i="1" s="1"/>
  <c r="R113" i="1" s="1"/>
  <c r="R114" i="1" s="1"/>
  <c r="S110" i="1" s="1"/>
  <c r="S112" i="1" s="1"/>
  <c r="S113" i="1" s="1"/>
  <c r="S114" i="1" s="1"/>
  <c r="T110" i="1" s="1"/>
  <c r="T112" i="1" s="1"/>
  <c r="T113" i="1" s="1"/>
  <c r="T114" i="1" s="1"/>
  <c r="U110" i="1" s="1"/>
  <c r="U112" i="1" s="1"/>
  <c r="U113" i="1" s="1"/>
  <c r="U114" i="1" s="1"/>
  <c r="V110" i="1" s="1"/>
  <c r="V112" i="1" s="1"/>
  <c r="V113" i="1" s="1"/>
  <c r="V114" i="1" s="1"/>
  <c r="W110" i="1" s="1"/>
  <c r="W112" i="1" s="1"/>
  <c r="W113" i="1" s="1"/>
  <c r="W114" i="1" s="1"/>
  <c r="X110" i="1" s="1"/>
  <c r="X112" i="1" s="1"/>
  <c r="X113" i="1" s="1"/>
  <c r="X114" i="1" s="1"/>
  <c r="Y110" i="1" s="1"/>
  <c r="Y112" i="1" s="1"/>
  <c r="Y113" i="1" s="1"/>
  <c r="Y114" i="1" s="1"/>
  <c r="Z110" i="1" s="1"/>
  <c r="Z112" i="1" s="1"/>
  <c r="Z113" i="1" s="1"/>
  <c r="L125" i="1"/>
  <c r="L106" i="1"/>
  <c r="L108" i="1" s="1"/>
  <c r="L116" i="1" s="1"/>
  <c r="N87" i="1"/>
  <c r="M92" i="1"/>
  <c r="U101" i="1"/>
  <c r="U126" i="1" s="1"/>
  <c r="U102" i="1"/>
  <c r="W96" i="1"/>
  <c r="V98" i="1"/>
  <c r="V99" i="1" s="1"/>
  <c r="V100" i="1" s="1"/>
  <c r="X86" i="1"/>
  <c r="V107" i="2" l="1"/>
  <c r="W101" i="2"/>
  <c r="U87" i="2"/>
  <c r="T89" i="2"/>
  <c r="T115" i="2" s="1"/>
  <c r="T117" i="2" s="1"/>
  <c r="T125" i="2" s="1"/>
  <c r="T127" i="2" s="1"/>
  <c r="T128" i="2" s="1"/>
  <c r="S125" i="2"/>
  <c r="S127" i="2" s="1"/>
  <c r="S128" i="2" s="1"/>
  <c r="R128" i="2"/>
  <c r="R129" i="2" s="1"/>
  <c r="Z121" i="2"/>
  <c r="Z122" i="2" s="1"/>
  <c r="Z123" i="2" s="1"/>
  <c r="AA119" i="2" s="1"/>
  <c r="K120" i="1"/>
  <c r="L118" i="1"/>
  <c r="L119" i="1" s="1"/>
  <c r="Z114" i="1"/>
  <c r="AA110" i="1" s="1"/>
  <c r="AA112" i="1" s="1"/>
  <c r="AA113" i="1" s="1"/>
  <c r="AA114" i="1" s="1"/>
  <c r="AB110" i="1" s="1"/>
  <c r="M125" i="1"/>
  <c r="M106" i="1"/>
  <c r="M108" i="1" s="1"/>
  <c r="M116" i="1" s="1"/>
  <c r="O87" i="1"/>
  <c r="N92" i="1"/>
  <c r="V101" i="1"/>
  <c r="V126" i="1" s="1"/>
  <c r="V102" i="1"/>
  <c r="X96" i="1"/>
  <c r="W98" i="1"/>
  <c r="W99" i="1" s="1"/>
  <c r="W100" i="1" s="1"/>
  <c r="Y86" i="1"/>
  <c r="W107" i="2" l="1"/>
  <c r="X101" i="2"/>
  <c r="S129" i="2"/>
  <c r="T129" i="2" s="1"/>
  <c r="U89" i="2"/>
  <c r="U115" i="2" s="1"/>
  <c r="U117" i="2" s="1"/>
  <c r="U125" i="2" s="1"/>
  <c r="U127" i="2" s="1"/>
  <c r="U128" i="2" s="1"/>
  <c r="U129" i="2" s="1"/>
  <c r="V87" i="2"/>
  <c r="AA121" i="2"/>
  <c r="AA122" i="2" s="1"/>
  <c r="AA123" i="2" s="1"/>
  <c r="AB119" i="2" s="1"/>
  <c r="L120" i="1"/>
  <c r="M118" i="1"/>
  <c r="M119" i="1" s="1"/>
  <c r="AB112" i="1"/>
  <c r="AB113" i="1" s="1"/>
  <c r="AB114" i="1" s="1"/>
  <c r="N125" i="1"/>
  <c r="N106" i="1"/>
  <c r="N108" i="1" s="1"/>
  <c r="N116" i="1" s="1"/>
  <c r="P87" i="1"/>
  <c r="O92" i="1"/>
  <c r="W101" i="1"/>
  <c r="W126" i="1" s="1"/>
  <c r="W102" i="1"/>
  <c r="Y96" i="1"/>
  <c r="X98" i="1"/>
  <c r="X99" i="1" s="1"/>
  <c r="X100" i="1" s="1"/>
  <c r="Z86" i="1"/>
  <c r="X107" i="2" l="1"/>
  <c r="Y101" i="2"/>
  <c r="V89" i="2"/>
  <c r="V115" i="2" s="1"/>
  <c r="V117" i="2" s="1"/>
  <c r="V125" i="2" s="1"/>
  <c r="V127" i="2" s="1"/>
  <c r="V128" i="2" s="1"/>
  <c r="V129" i="2" s="1"/>
  <c r="W87" i="2"/>
  <c r="AB121" i="2"/>
  <c r="AB122" i="2" s="1"/>
  <c r="AB123" i="2"/>
  <c r="M120" i="1"/>
  <c r="N118" i="1"/>
  <c r="N119" i="1" s="1"/>
  <c r="O125" i="1"/>
  <c r="O106" i="1"/>
  <c r="O108" i="1" s="1"/>
  <c r="O116" i="1" s="1"/>
  <c r="Q87" i="1"/>
  <c r="P92" i="1"/>
  <c r="X101" i="1"/>
  <c r="X126" i="1" s="1"/>
  <c r="X102" i="1"/>
  <c r="Z96" i="1"/>
  <c r="Y98" i="1"/>
  <c r="Y99" i="1" s="1"/>
  <c r="Y100" i="1" s="1"/>
  <c r="AA86" i="1"/>
  <c r="Y107" i="2" l="1"/>
  <c r="Z101" i="2"/>
  <c r="X87" i="2"/>
  <c r="W89" i="2"/>
  <c r="W115" i="2" s="1"/>
  <c r="W117" i="2" s="1"/>
  <c r="W125" i="2" s="1"/>
  <c r="W127" i="2" s="1"/>
  <c r="W128" i="2" s="1"/>
  <c r="W129" i="2" s="1"/>
  <c r="N120" i="1"/>
  <c r="O118" i="1"/>
  <c r="O119" i="1" s="1"/>
  <c r="R87" i="1"/>
  <c r="Q92" i="1"/>
  <c r="P125" i="1"/>
  <c r="P106" i="1"/>
  <c r="P108" i="1" s="1"/>
  <c r="P116" i="1" s="1"/>
  <c r="Y101" i="1"/>
  <c r="Y126" i="1" s="1"/>
  <c r="Y102" i="1"/>
  <c r="AA96" i="1"/>
  <c r="Z98" i="1"/>
  <c r="Z99" i="1" s="1"/>
  <c r="Z100" i="1" s="1"/>
  <c r="AB86" i="1"/>
  <c r="AA101" i="2" l="1"/>
  <c r="Z107" i="2"/>
  <c r="Y87" i="2"/>
  <c r="X89" i="2"/>
  <c r="X115" i="2" s="1"/>
  <c r="X117" i="2" s="1"/>
  <c r="X125" i="2" s="1"/>
  <c r="X127" i="2" s="1"/>
  <c r="X128" i="2" s="1"/>
  <c r="X129" i="2" s="1"/>
  <c r="O120" i="1"/>
  <c r="P118" i="1"/>
  <c r="P119" i="1" s="1"/>
  <c r="Q125" i="1"/>
  <c r="Q106" i="1"/>
  <c r="Q108" i="1" s="1"/>
  <c r="Q116" i="1" s="1"/>
  <c r="R92" i="1"/>
  <c r="S87" i="1"/>
  <c r="Z101" i="1"/>
  <c r="Z126" i="1" s="1"/>
  <c r="Z102" i="1"/>
  <c r="AB96" i="1"/>
  <c r="AA98" i="1"/>
  <c r="AA99" i="1" s="1"/>
  <c r="AA100" i="1" s="1"/>
  <c r="P133" i="1" l="1"/>
  <c r="AB101" i="2"/>
  <c r="AB107" i="2" s="1"/>
  <c r="AA107" i="2"/>
  <c r="Z87" i="2"/>
  <c r="Y89" i="2"/>
  <c r="Y115" i="2" s="1"/>
  <c r="Y117" i="2" s="1"/>
  <c r="Y125" i="2" s="1"/>
  <c r="Y127" i="2" s="1"/>
  <c r="Y128" i="2" s="1"/>
  <c r="Y129" i="2" s="1"/>
  <c r="P120" i="1"/>
  <c r="D129" i="1" s="1"/>
  <c r="Q118" i="1"/>
  <c r="Q119" i="1" s="1"/>
  <c r="S92" i="1"/>
  <c r="T87" i="1"/>
  <c r="R125" i="1"/>
  <c r="R106" i="1"/>
  <c r="R108" i="1" s="1"/>
  <c r="R116" i="1" s="1"/>
  <c r="AA101" i="1"/>
  <c r="AA126" i="1" s="1"/>
  <c r="AA102" i="1"/>
  <c r="AB98" i="1"/>
  <c r="AB99" i="1" s="1"/>
  <c r="AB100" i="1" s="1"/>
  <c r="Z89" i="2" l="1"/>
  <c r="Z115" i="2" s="1"/>
  <c r="Z117" i="2" s="1"/>
  <c r="Z125" i="2" s="1"/>
  <c r="Z127" i="2" s="1"/>
  <c r="Z128" i="2" s="1"/>
  <c r="Z129" i="2" s="1"/>
  <c r="AA87" i="2"/>
  <c r="Q120" i="1"/>
  <c r="R118" i="1"/>
  <c r="R119" i="1" s="1"/>
  <c r="U87" i="1"/>
  <c r="T92" i="1"/>
  <c r="S125" i="1"/>
  <c r="S106" i="1"/>
  <c r="S108" i="1" s="1"/>
  <c r="S116" i="1" s="1"/>
  <c r="AB101" i="1"/>
  <c r="AB126" i="1" s="1"/>
  <c r="AB102" i="1"/>
  <c r="AB87" i="2" l="1"/>
  <c r="AB89" i="2" s="1"/>
  <c r="AB115" i="2" s="1"/>
  <c r="AB117" i="2" s="1"/>
  <c r="AB125" i="2" s="1"/>
  <c r="AB127" i="2" s="1"/>
  <c r="AB128" i="2" s="1"/>
  <c r="AA89" i="2"/>
  <c r="AA115" i="2" s="1"/>
  <c r="AA117" i="2" s="1"/>
  <c r="AA125" i="2" s="1"/>
  <c r="AA127" i="2" s="1"/>
  <c r="AA128" i="2" s="1"/>
  <c r="AA129" i="2" s="1"/>
  <c r="R120" i="1"/>
  <c r="S118" i="1"/>
  <c r="S119" i="1" s="1"/>
  <c r="T125" i="1"/>
  <c r="T106" i="1"/>
  <c r="T108" i="1" s="1"/>
  <c r="T116" i="1" s="1"/>
  <c r="V87" i="1"/>
  <c r="U92" i="1"/>
  <c r="AB129" i="2" l="1"/>
  <c r="S120" i="1"/>
  <c r="T118" i="1"/>
  <c r="T119" i="1" s="1"/>
  <c r="U125" i="1"/>
  <c r="U106" i="1"/>
  <c r="U108" i="1" s="1"/>
  <c r="U116" i="1" s="1"/>
  <c r="W87" i="1"/>
  <c r="V92" i="1"/>
  <c r="T120" i="1" l="1"/>
  <c r="U118" i="1"/>
  <c r="U119" i="1" s="1"/>
  <c r="V125" i="1"/>
  <c r="V106" i="1"/>
  <c r="V108" i="1" s="1"/>
  <c r="V116" i="1" s="1"/>
  <c r="X87" i="1"/>
  <c r="W92" i="1"/>
  <c r="U120" i="1" l="1"/>
  <c r="V118" i="1"/>
  <c r="V119" i="1" s="1"/>
  <c r="W125" i="1"/>
  <c r="W106" i="1"/>
  <c r="W108" i="1" s="1"/>
  <c r="W116" i="1" s="1"/>
  <c r="Y87" i="1"/>
  <c r="X92" i="1"/>
  <c r="V120" i="1" l="1"/>
  <c r="W118" i="1"/>
  <c r="W119" i="1" s="1"/>
  <c r="Z87" i="1"/>
  <c r="Y92" i="1"/>
  <c r="X125" i="1"/>
  <c r="X106" i="1"/>
  <c r="X108" i="1" s="1"/>
  <c r="X116" i="1" s="1"/>
  <c r="W120" i="1" l="1"/>
  <c r="X118" i="1"/>
  <c r="X119" i="1" s="1"/>
  <c r="Y125" i="1"/>
  <c r="Y106" i="1"/>
  <c r="Y108" i="1" s="1"/>
  <c r="Y116" i="1" s="1"/>
  <c r="AA87" i="1"/>
  <c r="Z92" i="1"/>
  <c r="X120" i="1" l="1"/>
  <c r="Y118" i="1"/>
  <c r="Y119" i="1" s="1"/>
  <c r="Z125" i="1"/>
  <c r="Z106" i="1"/>
  <c r="Z108" i="1" s="1"/>
  <c r="Z116" i="1" s="1"/>
  <c r="AA92" i="1"/>
  <c r="AB87" i="1"/>
  <c r="AB92" i="1" s="1"/>
  <c r="Y120" i="1" l="1"/>
  <c r="Z118" i="1"/>
  <c r="Z119" i="1" s="1"/>
  <c r="AB125" i="1"/>
  <c r="AB106" i="1"/>
  <c r="AB108" i="1" s="1"/>
  <c r="AA125" i="1"/>
  <c r="AA106" i="1"/>
  <c r="AA108" i="1" s="1"/>
  <c r="AA116" i="1" s="1"/>
  <c r="AB116" i="1" l="1"/>
  <c r="AB118" i="1" s="1"/>
  <c r="AB119" i="1" s="1"/>
  <c r="Z120" i="1"/>
  <c r="AA118" i="1"/>
  <c r="AA119" i="1" s="1"/>
  <c r="D128" i="1" l="1"/>
  <c r="D127" i="1"/>
  <c r="AA120" i="1"/>
  <c r="AB120" i="1" s="1"/>
  <c r="D131" i="2" l="1"/>
  <c r="D132" i="2"/>
</calcChain>
</file>

<file path=xl/sharedStrings.xml><?xml version="1.0" encoding="utf-8"?>
<sst xmlns="http://schemas.openxmlformats.org/spreadsheetml/2006/main" count="636" uniqueCount="490">
  <si>
    <t>Section 1: Technical Calculations</t>
  </si>
  <si>
    <t>Parameter</t>
  </si>
  <si>
    <t>Value</t>
  </si>
  <si>
    <t>Unit</t>
  </si>
  <si>
    <t>Notes</t>
  </si>
  <si>
    <t>PV Installed Capacity</t>
  </si>
  <si>
    <t>kWp</t>
  </si>
  <si>
    <t>Floating PV, initial scenario</t>
  </si>
  <si>
    <t>Site Location</t>
  </si>
  <si>
    <t>Gili Ketapang</t>
  </si>
  <si>
    <t>-</t>
  </si>
  <si>
    <t>Global Horizontal Irradiation (GHI)</t>
  </si>
  <si>
    <t>kWh/m²/year</t>
  </si>
  <si>
    <t>GSA report</t>
  </si>
  <si>
    <t>Global Tilted Irradiation (GTI)</t>
  </si>
  <si>
    <t>Optimal tilt 12°</t>
  </si>
  <si>
    <t>Direct Normal Irradiation (DNI)</t>
  </si>
  <si>
    <t>For advanced/optional system planning</t>
  </si>
  <si>
    <t>Air Temperature (Average Annual)</t>
  </si>
  <si>
    <t>°C</t>
  </si>
  <si>
    <t>Typical floating PV PR</t>
  </si>
  <si>
    <t>kWh/year</t>
  </si>
  <si>
    <t>kWh/month</t>
  </si>
  <si>
    <t>kWh/day</t>
  </si>
  <si>
    <t>Optimum Tilt Angle</t>
  </si>
  <si>
    <t>degrees</t>
  </si>
  <si>
    <t>GSA recommendation</t>
  </si>
  <si>
    <t>m²</t>
  </si>
  <si>
    <t>Water Surface Elevation</t>
  </si>
  <si>
    <t>m</t>
  </si>
  <si>
    <t>Nearly sea level</t>
  </si>
  <si>
    <t>Siting Factor</t>
  </si>
  <si>
    <t>Single-site scenario</t>
  </si>
  <si>
    <t>Hours of Sunlight (Effective, est.)</t>
  </si>
  <si>
    <t>hours/day</t>
  </si>
  <si>
    <t>Use for further simulation</t>
  </si>
  <si>
    <t>Annual PV Output</t>
  </si>
  <si>
    <t>Specific Yield</t>
  </si>
  <si>
    <t>kWh/kWp/year</t>
  </si>
  <si>
    <t>Monthly PV Output (avg)</t>
  </si>
  <si>
    <t>Daily PV Output (avg)</t>
  </si>
  <si>
    <t>Area Requirement</t>
  </si>
  <si>
    <t>System Performance Ratio (PR)</t>
  </si>
  <si>
    <t>Variable</t>
  </si>
  <si>
    <t>GHI</t>
  </si>
  <si>
    <t>GTI</t>
  </si>
  <si>
    <t>DNI</t>
  </si>
  <si>
    <t>T</t>
  </si>
  <si>
    <t>PR</t>
  </si>
  <si>
    <t>PVOA</t>
  </si>
  <si>
    <t>PVOM</t>
  </si>
  <si>
    <t>PVOD</t>
  </si>
  <si>
    <t>TA</t>
  </si>
  <si>
    <t>PVC</t>
  </si>
  <si>
    <t>SY</t>
  </si>
  <si>
    <t>AR</t>
  </si>
  <si>
    <t>HoS</t>
  </si>
  <si>
    <t>SF</t>
  </si>
  <si>
    <t>E</t>
  </si>
  <si>
    <t>Parameter Description</t>
  </si>
  <si>
    <t>Calculation Formula / Reference</t>
  </si>
  <si>
    <t>Annual PV Output (from Sect. 1)</t>
  </si>
  <si>
    <t>e.g. 1,727,760</t>
  </si>
  <si>
    <t>Connect from Section 1</t>
  </si>
  <si>
    <t>DCS</t>
  </si>
  <si>
    <t>SPV</t>
  </si>
  <si>
    <t>EE</t>
  </si>
  <si>
    <t>Electrolyzer Efficiency</t>
  </si>
  <si>
    <t>EEC</t>
  </si>
  <si>
    <t>Electrolyzer Consumption</t>
  </si>
  <si>
    <t>kWh/kg H₂</t>
  </si>
  <si>
    <t>HPD</t>
  </si>
  <si>
    <t>Hydrogen Produced per Day</t>
  </si>
  <si>
    <t>kg H₂/day</t>
  </si>
  <si>
    <t>HFCGE</t>
  </si>
  <si>
    <t>HFCG Electrical Efficiency</t>
  </si>
  <si>
    <t>HFCGO</t>
  </si>
  <si>
    <t>HFCG Energy Output per Day</t>
  </si>
  <si>
    <t>NLD</t>
  </si>
  <si>
    <t>Night Load Demand</t>
  </si>
  <si>
    <t>kWh/night</t>
  </si>
  <si>
    <t>e.g. 2,400</t>
  </si>
  <si>
    <t>NLS</t>
  </si>
  <si>
    <t>Night Load Served by HFCG</t>
  </si>
  <si>
    <t>kg</t>
  </si>
  <si>
    <t>StoP</t>
  </si>
  <si>
    <t>Storage Pressure</t>
  </si>
  <si>
    <t>bar</t>
  </si>
  <si>
    <t>StoV</t>
  </si>
  <si>
    <t>Storage Volume</t>
  </si>
  <si>
    <t>Nm³</t>
  </si>
  <si>
    <t>1 kg H₂ ≈ 11.126 Nm³ at STP</t>
  </si>
  <si>
    <t>PVOA / 365</t>
  </si>
  <si>
    <t>PVOD - DCS</t>
  </si>
  <si>
    <t>Section 2: Hydrogen Production and Storage Calculations</t>
  </si>
  <si>
    <t>Surplus PV for Hydrogen (per day)</t>
  </si>
  <si>
    <t>kWh for electrolysis after direct use</t>
  </si>
  <si>
    <t>PEM/Alkaline efficiency</t>
  </si>
  <si>
    <t>39.4 / EE</t>
  </si>
  <si>
    <t>Energy needed for 1 kg H₂ (LHV basis)</t>
  </si>
  <si>
    <t>SPV / EEC</t>
  </si>
  <si>
    <t>Daily output</t>
  </si>
  <si>
    <t>e.g. 50% (enter as 0.5)</t>
  </si>
  <si>
    <t>Fuel cell/losses</t>
  </si>
  <si>
    <t>HPD × 33.33 × HFCGE</t>
  </si>
  <si>
    <t>33.33 kWh/kg H₂ (LHV basis)</t>
  </si>
  <si>
    <t>Demand for all night load (sum)</t>
  </si>
  <si>
    <t>HFCGO / NLD</t>
  </si>
  <si>
    <t>Percentage of demand covered</t>
  </si>
  <si>
    <t>H2_Storage_Req</t>
  </si>
  <si>
    <t>Hydrogen Storage Requirement</t>
  </si>
  <si>
    <t>HPD × Storage Days</t>
  </si>
  <si>
    <t>For backup autonomy</t>
  </si>
  <si>
    <t>Recommended 300–700</t>
  </si>
  <si>
    <t>Pressurized hydrogen</t>
  </si>
  <si>
    <t>H2_Storage_Req × 11.126</t>
  </si>
  <si>
    <t>kW</t>
  </si>
  <si>
    <t>PDL</t>
  </si>
  <si>
    <t>PNL</t>
  </si>
  <si>
    <t>Nighttime Peak Load</t>
  </si>
  <si>
    <t>Daytime Peak Load</t>
  </si>
  <si>
    <t>hours</t>
  </si>
  <si>
    <t>Estimate: 70% * PDL * DH</t>
  </si>
  <si>
    <t>NCS</t>
  </si>
  <si>
    <t>Nighttime Consumption (avg; 70% PNL)</t>
  </si>
  <si>
    <t>Daytime Consumption (avg; 70% PDL)</t>
  </si>
  <si>
    <t>Estimate: 70% * PNL * NH</t>
  </si>
  <si>
    <t>Daytime Hour/Nighttime Hour</t>
  </si>
  <si>
    <t>DH/NH</t>
  </si>
  <si>
    <t>litres</t>
  </si>
  <si>
    <t>Real Volume at StoP (litres)</t>
  </si>
  <si>
    <t>RV</t>
  </si>
  <si>
    <t>Description</t>
  </si>
  <si>
    <t>Electricity Sales (Grid Offset)</t>
  </si>
  <si>
    <t>PV Plant (EPC &amp; Installation)</t>
  </si>
  <si>
    <t>Electrolyzer</t>
  </si>
  <si>
    <t>HFCG Unit(s)</t>
  </si>
  <si>
    <t>Hydrogen Storage</t>
  </si>
  <si>
    <t>Balance of Plant/Infrastructure</t>
  </si>
  <si>
    <t>Land/Sea Lease and Permitting</t>
  </si>
  <si>
    <t>Other CAPEX</t>
  </si>
  <si>
    <t>PV O&amp;M</t>
  </si>
  <si>
    <t>Admin/Insurance/Security</t>
  </si>
  <si>
    <t>Staff &amp; Community Program</t>
  </si>
  <si>
    <t>Major Replacement/Refurbishment</t>
  </si>
  <si>
    <t>EBITDA</t>
  </si>
  <si>
    <t>Accumulated Cash Flow</t>
  </si>
  <si>
    <t>REVENUE</t>
  </si>
  <si>
    <t>No.</t>
  </si>
  <si>
    <t xml:space="preserve">Section 3: Financial Model &amp; Cashflow </t>
  </si>
  <si>
    <t>Year</t>
  </si>
  <si>
    <t>Total Revenue</t>
  </si>
  <si>
    <t>CAPITAL EXPENDITURE (CAPEX)</t>
  </si>
  <si>
    <t>Total CAPEX</t>
  </si>
  <si>
    <t>OPERATING EXPENDITURE (OPEX)</t>
  </si>
  <si>
    <t>Total OPEX</t>
  </si>
  <si>
    <t>EBITDA (Earnings before interest, tax, depreciation, amortization)</t>
  </si>
  <si>
    <t>Depreciation &amp; Amortization</t>
  </si>
  <si>
    <t>EBIT (Earnings before interest and tax)</t>
  </si>
  <si>
    <t>Tax</t>
  </si>
  <si>
    <t>NET PROFIT</t>
  </si>
  <si>
    <t>CAPEX Category</t>
  </si>
  <si>
    <t>Benchmark Value</t>
  </si>
  <si>
    <t>Calculation Formula for Total</t>
  </si>
  <si>
    <t>Notes / Source</t>
  </si>
  <si>
    <t>USD/kWp</t>
  </si>
  <si>
    <t>Installed Capacity (kWp) × Value</t>
  </si>
  <si>
    <t>IEA PVPS 2025 , SERIS, Indonesia PLTS</t>
  </si>
  <si>
    <t>Electrolyzer (PEM/Alkaline)</t>
  </si>
  <si>
    <t>USD/kW</t>
  </si>
  <si>
    <t>Electrolyzer Size (kW) × Value</t>
  </si>
  <si>
    <t>Hydrogen Council, KPMG, IEA</t>
  </si>
  <si>
    <t>HFCG Unit(s) (Fuel Cell, stationary)</t>
  </si>
  <si>
    <t>HFCG size (kW) × Value</t>
  </si>
  <si>
    <t>IEA, Hydrogen Council</t>
  </si>
  <si>
    <t>Hydrogen Storage (compressed, 300 bar)</t>
  </si>
  <si>
    <t>USD/kg H₂ stored</t>
  </si>
  <si>
    <t>Storage Capacity (kg) × Value</t>
  </si>
  <si>
    <t>KPMG, IEA, recent projects</t>
  </si>
  <si>
    <t>(PV EPC + Electrolyzer + HFCG) × %</t>
  </si>
  <si>
    <t>For site, grid, water, civil</t>
  </si>
  <si>
    <t>USD/ha/year</t>
  </si>
  <si>
    <t>Surface area (ha) × $1,900</t>
  </si>
  <si>
    <t>Indonesia KKP standard, 2025</t>
  </si>
  <si>
    <t>Other CAPEX (Engineering/Dev, Contingency)</t>
  </si>
  <si>
    <t>Total CAPEX × %</t>
  </si>
  <si>
    <t>Industry standard</t>
  </si>
  <si>
    <t>Electrolyzer Plant Size Needed</t>
  </si>
  <si>
    <t>Electrolyzer Plant Size Used</t>
  </si>
  <si>
    <t>EPSN</t>
  </si>
  <si>
    <t>EPSU</t>
  </si>
  <si>
    <t>Current HFCG Installed</t>
  </si>
  <si>
    <t>HFCG1</t>
  </si>
  <si>
    <t>Current HFCG Output</t>
  </si>
  <si>
    <t>Additional HFCG Needed</t>
  </si>
  <si>
    <t>HFCG2</t>
  </si>
  <si>
    <t>Tax for CAPEX (PPn 11%)</t>
  </si>
  <si>
    <t>Water Needed to Produce H2</t>
  </si>
  <si>
    <t>Typically electrolyzer needed 9 litres of water for producing 1 kg of H2</t>
  </si>
  <si>
    <t>litres/day</t>
  </si>
  <si>
    <t>WH2</t>
  </si>
  <si>
    <t>Inflation Rate</t>
  </si>
  <si>
    <t>INF</t>
  </si>
  <si>
    <t>Technical Production</t>
  </si>
  <si>
    <t>PV Output (kWh)</t>
  </si>
  <si>
    <t>Surplus PV to H₂</t>
  </si>
  <si>
    <t>H₂ Produced (kg)</t>
  </si>
  <si>
    <t>HFCG Output (kWh)</t>
  </si>
  <si>
    <t>Usable Elec (kWh)</t>
  </si>
  <si>
    <t>% Night Load Served</t>
  </si>
  <si>
    <t>Daytime Consumption (kWh)</t>
  </si>
  <si>
    <t>Nighttime Consumption (kWh)</t>
  </si>
  <si>
    <t>LCOE</t>
  </si>
  <si>
    <t>Discount Factor</t>
  </si>
  <si>
    <t>Discounted OPEX (USD)</t>
  </si>
  <si>
    <t>Discounted Electricity (kWh)</t>
  </si>
  <si>
    <t>Total CAPEX (USD)</t>
  </si>
  <si>
    <t>Tariff to PLN</t>
  </si>
  <si>
    <t>USD/kWh</t>
  </si>
  <si>
    <t>Asset Group</t>
  </si>
  <si>
    <t>Depreciation Life (yr)</t>
  </si>
  <si>
    <t>Annual Depreciation (USD)</t>
  </si>
  <si>
    <t>PV Plant (EPC &amp; Install)</t>
  </si>
  <si>
    <t>Total Depreciation Each Year (USD/Year)</t>
  </si>
  <si>
    <t>Tarrif</t>
  </si>
  <si>
    <t>Loan Amount Ratio</t>
  </si>
  <si>
    <t>Loan Amout (USD)</t>
  </si>
  <si>
    <t>LR</t>
  </si>
  <si>
    <t>LA</t>
  </si>
  <si>
    <t xml:space="preserve">Loan Repayment </t>
  </si>
  <si>
    <t>Interest</t>
  </si>
  <si>
    <t>Opening Balance</t>
  </si>
  <si>
    <t>Interest Rate (%)</t>
  </si>
  <si>
    <t>IR</t>
  </si>
  <si>
    <t>Principal</t>
  </si>
  <si>
    <t>Closing Balance</t>
  </si>
  <si>
    <t>Balance of Plant/Infrastructure (H2)</t>
  </si>
  <si>
    <t>Balance of Plant/ Infrastucture (PV)</t>
  </si>
  <si>
    <t>Build-Transfer Revenue From IaaS H2 (IaaS Loan)</t>
  </si>
  <si>
    <t>O&amp;M Service Fee</t>
  </si>
  <si>
    <t>Rate for IaaS Loan (%)</t>
  </si>
  <si>
    <t>CAPEX for H2 System (USD)</t>
  </si>
  <si>
    <t>Service Cost for H2 System (% of CAPEX)</t>
  </si>
  <si>
    <t>Service Fee for H2 System (% of CAPEX)</t>
  </si>
  <si>
    <t>Service Cost for H2 System</t>
  </si>
  <si>
    <t>IRR</t>
  </si>
  <si>
    <t>Free Cash Flow to Equity (FCFE)</t>
  </si>
  <si>
    <t>NPV</t>
  </si>
  <si>
    <t>Payback Period</t>
  </si>
  <si>
    <t>years</t>
  </si>
  <si>
    <t>USD</t>
  </si>
  <si>
    <t>Grid Emission Factor</t>
  </si>
  <si>
    <t>tCO₂/MWh</t>
  </si>
  <si>
    <t>Latest data, PLN/IDXCarbon/IEEFA</t>
  </si>
  <si>
    <t>Annual CO2 Avoided (tCO2/year)</t>
  </si>
  <si>
    <t>Carbon Revenue</t>
  </si>
  <si>
    <t>Carbon Trade Price (USD/tCO2)</t>
  </si>
  <si>
    <t>USD/tCO2</t>
  </si>
  <si>
    <t xml:space="preserve">Carbon Trading Certification </t>
  </si>
  <si>
    <t>(with 8% of discount rate)</t>
  </si>
  <si>
    <t>SWROC</t>
  </si>
  <si>
    <t>SWRO Installed Capacity (Nominal)</t>
  </si>
  <si>
    <t>m3/day</t>
  </si>
  <si>
    <t>OPSR</t>
  </si>
  <si>
    <t>Operational Schedule Ratio (avail.)</t>
  </si>
  <si>
    <t>percent</t>
  </si>
  <si>
    <t>Uptime after maintenance/downtime</t>
  </si>
  <si>
    <t>SWROP</t>
  </si>
  <si>
    <t>SWRO Output per Year</t>
  </si>
  <si>
    <t>m3/year</t>
  </si>
  <si>
    <t>SWROC x OPSR x 365</t>
  </si>
  <si>
    <t>FEEDR</t>
  </si>
  <si>
    <t>Feedwater Intake Requirement</t>
  </si>
  <si>
    <t>Typical recovery 55 percent (RO ratio)</t>
  </si>
  <si>
    <t>ENE</t>
  </si>
  <si>
    <t>SWRO Specific Energy Consumption</t>
  </si>
  <si>
    <t>kWh/m3</t>
  </si>
  <si>
    <t>ENEBASE</t>
  </si>
  <si>
    <t>Baseline SWRO SEC (no WHR)</t>
  </si>
  <si>
    <t>Reference for efficiency comparison</t>
  </si>
  <si>
    <t>ENEYEAR</t>
  </si>
  <si>
    <t>Annual Energy Use</t>
  </si>
  <si>
    <t>SWRO Output x ENE</t>
  </si>
  <si>
    <t>WHRU</t>
  </si>
  <si>
    <t>WHR Utilization Temperature Gain</t>
  </si>
  <si>
    <t>Celsius</t>
  </si>
  <si>
    <t>PRSWRO</t>
  </si>
  <si>
    <t>SWRO Plant Recovery Ratio</t>
  </si>
  <si>
    <t>Feedwater converted to product water</t>
  </si>
  <si>
    <t>FWI</t>
  </si>
  <si>
    <t>Feedwater Salinity Input</t>
  </si>
  <si>
    <t>mg/L</t>
  </si>
  <si>
    <t>PROD</t>
  </si>
  <si>
    <t>Product Water Salinity (output)</t>
  </si>
  <si>
    <t>MEMB</t>
  </si>
  <si>
    <t>Membrane Type</t>
  </si>
  <si>
    <t>SWRO Polyamide</t>
  </si>
  <si>
    <t>High-rejection, industry standard</t>
  </si>
  <si>
    <t>MEMBLIFE</t>
  </si>
  <si>
    <t>Membrane Life Span</t>
  </si>
  <si>
    <t>CHEM</t>
  </si>
  <si>
    <t>Chemical Consumption</t>
  </si>
  <si>
    <t>g/m3</t>
  </si>
  <si>
    <t>CHEMYEAR</t>
  </si>
  <si>
    <t>Annual Chemical Use</t>
  </si>
  <si>
    <t>kg/year</t>
  </si>
  <si>
    <t>CHEM x SWRO Output</t>
  </si>
  <si>
    <t>REPL</t>
  </si>
  <si>
    <t>Major Replacements Interval</t>
  </si>
  <si>
    <t>STAFF</t>
  </si>
  <si>
    <t>Staffing Requirement</t>
  </si>
  <si>
    <t>FTE</t>
  </si>
  <si>
    <t>TANK</t>
  </si>
  <si>
    <t>Product Water Storage</t>
  </si>
  <si>
    <t>m3</t>
  </si>
  <si>
    <t>PIPE</t>
  </si>
  <si>
    <t>Distribution Pipe Output (Main Island)</t>
  </si>
  <si>
    <t>SITE</t>
  </si>
  <si>
    <t>Siting Elevation</t>
  </si>
  <si>
    <t>GRID</t>
  </si>
  <si>
    <t>Electricity Source</t>
  </si>
  <si>
    <t>PLN</t>
  </si>
  <si>
    <t>EMI</t>
  </si>
  <si>
    <t>Emissions Factor (electricity)</t>
  </si>
  <si>
    <t>tCO2/MWh</t>
  </si>
  <si>
    <t>REUSED</t>
  </si>
  <si>
    <t>Brine Reuse Potential</t>
  </si>
  <si>
    <t>Target average daily output for population/industry</t>
  </si>
  <si>
    <t>Conservative, with WHR effect (~5% less than baseline)</t>
  </si>
  <si>
    <t>From HFCG, annual-averaged</t>
  </si>
  <si>
    <t>Sea/brackish water (East Java islands)</t>
  </si>
  <si>
    <t>Meets PDAM potable standards</t>
  </si>
  <si>
    <t>Typical, with cleaning</t>
  </si>
  <si>
    <t>Antiscalants/cleaning per m3 output</t>
  </si>
  <si>
    <t>Membrane/pump replacement</t>
  </si>
  <si>
    <t>O&amp;M and monitoring</t>
  </si>
  <si>
    <t>Buffer stock for downtime/peak hours</t>
  </si>
  <si>
    <t>To PDAM tie-in</t>
  </si>
  <si>
    <t>Near coastline, WHR access</t>
  </si>
  <si>
    <t>Tariff per hackathon scenario</t>
  </si>
  <si>
    <t>PLN standard reference</t>
  </si>
  <si>
    <t>For ice/fish pond pilot use</t>
  </si>
  <si>
    <t>Section 2: Clean Water Production and Storage Calculations</t>
  </si>
  <si>
    <t>SWROC × OPSR × 365</t>
  </si>
  <si>
    <t>SWROP × ENE</t>
  </si>
  <si>
    <t>Feedwater Intake Requirement (daily)</t>
  </si>
  <si>
    <t>SWROC / PRSWRO × 100</t>
  </si>
  <si>
    <t>FEEDYEAR</t>
  </si>
  <si>
    <t>Annual Feedwater Requirement</t>
  </si>
  <si>
    <t>FEEDR × OPSR × 365</t>
  </si>
  <si>
    <t>CHEM × SWROP</t>
  </si>
  <si>
    <t>CHEMCOST</t>
  </si>
  <si>
    <t>Annual Chemical Cost</t>
  </si>
  <si>
    <t>IDR/year</t>
  </si>
  <si>
    <t>MEMBRAIN</t>
  </si>
  <si>
    <t>Number of Membrane Units</t>
  </si>
  <si>
    <t>unit</t>
  </si>
  <si>
    <t>Based on SWROC, manufacturer design (insert after design)</t>
  </si>
  <si>
    <t>MEMBREP</t>
  </si>
  <si>
    <t>Annual Membrane Replacement Cost</t>
  </si>
  <si>
    <t>OPEXTOTAL</t>
  </si>
  <si>
    <t>Total Annual OPEX (est.)</t>
  </si>
  <si>
    <t>Energy cost + CHEMCOST + MEMBREP + labor + other</t>
  </si>
  <si>
    <t>ENECOST</t>
  </si>
  <si>
    <t>Annual Electricity Cost</t>
  </si>
  <si>
    <t>ENEYEAR × electricity tariff (see GRID/PLN price)</t>
  </si>
  <si>
    <t>LABCOST</t>
  </si>
  <si>
    <t>Annual Labor Cost</t>
  </si>
  <si>
    <t>STAFF × average salary × 12</t>
  </si>
  <si>
    <t>PRODUCT</t>
  </si>
  <si>
    <t>Product Water Delivered (daily)</t>
  </si>
  <si>
    <t>WHRSAVE</t>
  </si>
  <si>
    <t>Energy Saved by WHR</t>
  </si>
  <si>
    <t>(ENEBASE − ENE) × SWROP</t>
  </si>
  <si>
    <t>WHRMONEY</t>
  </si>
  <si>
    <t>Money Saved by WHR</t>
  </si>
  <si>
    <t>WHRSAVE × electricity tariff</t>
  </si>
  <si>
    <t>BRIYIELD</t>
  </si>
  <si>
    <t>Brine Output per Day</t>
  </si>
  <si>
    <t>FEEDR − SWROC</t>
  </si>
  <si>
    <t>BRIYEAR</t>
  </si>
  <si>
    <t>Brine Output per Year</t>
  </si>
  <si>
    <t>BRIYIELD × OPSR × 365</t>
  </si>
  <si>
    <t>REUWAR</t>
  </si>
  <si>
    <t>Brine Reused per Year</t>
  </si>
  <si>
    <t>BRIYEAR × REUSED ÷ 100</t>
  </si>
  <si>
    <t>CAPINIT</t>
  </si>
  <si>
    <t>Initial CAPEX Estimate</t>
  </si>
  <si>
    <t>IDR/unit</t>
  </si>
  <si>
    <t>Construction + equipment + buffer tanks + installation</t>
  </si>
  <si>
    <t>MAJREP</t>
  </si>
  <si>
    <t>Major Replacement CAPEX (every 6 yr)</t>
  </si>
  <si>
    <t>IDR</t>
  </si>
  <si>
    <t>For membranes, HP pumps, relayed as CAPEX in year n</t>
  </si>
  <si>
    <t>CARBcUT</t>
  </si>
  <si>
    <t>Annual CO2 Saving (grid offset)</t>
  </si>
  <si>
    <t>tCO2/year</t>
  </si>
  <si>
    <t>ENEYEAR × EMI ÷ 1000</t>
  </si>
  <si>
    <t>TANKBUFF</t>
  </si>
  <si>
    <t>Buffer Storage Days</t>
  </si>
  <si>
    <t>day</t>
  </si>
  <si>
    <t>TANK ÷ SWROC</t>
  </si>
  <si>
    <t>CHEMYEAR × 20.000 idr/kg</t>
  </si>
  <si>
    <t>(MEMBLIFE ÷ 365) × 15.000.000 IDR × MEMBRAIN</t>
  </si>
  <si>
    <t>PLN Electricity Cost</t>
  </si>
  <si>
    <t>USD to IDR</t>
  </si>
  <si>
    <t>USD/year</t>
  </si>
  <si>
    <t>Staff Salary for Chem Treatment</t>
  </si>
  <si>
    <t>kg/day</t>
  </si>
  <si>
    <t>From electrolyzer/HFCG calculations</t>
  </si>
  <si>
    <t>HFCG_EFF</t>
  </si>
  <si>
    <t>Input efficiency of fuel cell generator</t>
  </si>
  <si>
    <t>H_H2</t>
  </si>
  <si>
    <t>LHV of H₂</t>
  </si>
  <si>
    <t>kWh/kg</t>
  </si>
  <si>
    <t>Lower Heating Value of H₂</t>
  </si>
  <si>
    <t>HFCG Output (electrical)</t>
  </si>
  <si>
    <t>HPD × H_H2 × HFCG_EFF</t>
  </si>
  <si>
    <t>HFCG_HEAT</t>
  </si>
  <si>
    <t>Waste Heat Generated per Day</t>
  </si>
  <si>
    <t>HPD × H_H2 × (1 − HFCG_EFF)</t>
  </si>
  <si>
    <t>WATERMASS</t>
  </si>
  <si>
    <t>Water to be pre-heated (SWRO feed)</t>
  </si>
  <si>
    <t>SWROC × 1.000 (density, 1 m³ = 1.000 kg)</t>
  </si>
  <si>
    <t>C_WATER</t>
  </si>
  <si>
    <t>Specific Heat of Water</t>
  </si>
  <si>
    <t>kJ/kg·°C</t>
  </si>
  <si>
    <t>Use for temp rise calculation</t>
  </si>
  <si>
    <t>H_HEAT</t>
  </si>
  <si>
    <t>Waste Heat in kJ/day</t>
  </si>
  <si>
    <t>kJ/day</t>
  </si>
  <si>
    <t>HFCG_HEAT × 3.6 (kWh to kJ)</t>
  </si>
  <si>
    <t>DELTAT</t>
  </si>
  <si>
    <t>Temp. Rise in Preheated Feedwater</t>
  </si>
  <si>
    <t>H_HEAT / (WATERMASS × C_WATER)</t>
  </si>
  <si>
    <t>EFF_GAIN</t>
  </si>
  <si>
    <t>SWRO Efficiency Gain per °C</t>
  </si>
  <si>
    <t>%/°C</t>
  </si>
  <si>
    <t>Industry reference</t>
  </si>
  <si>
    <t>PGAIN</t>
  </si>
  <si>
    <t>Projected Efficiency Gain</t>
  </si>
  <si>
    <t>%</t>
  </si>
  <si>
    <t>DELTAT × EFF_GAIN</t>
  </si>
  <si>
    <t>kWh/m³</t>
  </si>
  <si>
    <t>Reference</t>
  </si>
  <si>
    <t>ENE_NEW</t>
  </si>
  <si>
    <t>New SWRO SEC (with WHR)</t>
  </si>
  <si>
    <t>ENEBASE × (1 − PGAIN / 100)</t>
  </si>
  <si>
    <t>E_SAVE</t>
  </si>
  <si>
    <t>Daily Energy Saved</t>
  </si>
  <si>
    <t>(ENEBASE − ENE_NEW) × SWROC</t>
  </si>
  <si>
    <t>ANNUAL_SAVE</t>
  </si>
  <si>
    <t>Annual Energy Saved</t>
  </si>
  <si>
    <t>E_SAVE × 365</t>
  </si>
  <si>
    <t>Section 3: Efficiency Gain from Intergration of WHR</t>
  </si>
  <si>
    <t>SALLARY</t>
  </si>
  <si>
    <t>CONV</t>
  </si>
  <si>
    <t>USD/6 years</t>
  </si>
  <si>
    <t>Lease/BLT Payment from PDAM</t>
  </si>
  <si>
    <t>SWRO EPC &amp; Installation</t>
  </si>
  <si>
    <t>Balance of Plant (site, pipeline, tanks)</t>
  </si>
  <si>
    <t>Electricity Cost</t>
  </si>
  <si>
    <t>Chemicals</t>
  </si>
  <si>
    <t>Membrane/HP Pump Minor Replacement</t>
  </si>
  <si>
    <t>Labor/Admin</t>
  </si>
  <si>
    <t>Insurance, Security</t>
  </si>
  <si>
    <t>Major Replacement (year 6/12)</t>
  </si>
  <si>
    <t>O&amp;M Fee (if paid to FWC)</t>
  </si>
  <si>
    <t>Insurance/Security/Asset Management</t>
  </si>
  <si>
    <t>Warranty Reserves or Performance Guarantee</t>
  </si>
  <si>
    <t>Admin/Legal Compliance</t>
  </si>
  <si>
    <t>Water output (m3)</t>
  </si>
  <si>
    <t>Brine output (m3)</t>
  </si>
  <si>
    <t>Annual CO2 avoided</t>
  </si>
  <si>
    <t>Annual O&amp;M Service Cost</t>
  </si>
  <si>
    <t>OPEX Inflation per year</t>
  </si>
  <si>
    <t>per year</t>
  </si>
  <si>
    <t>Rate for BLT</t>
  </si>
  <si>
    <t>Service Fee for SWRO (% of CAPEX)</t>
  </si>
  <si>
    <t>Asset Lifetime</t>
  </si>
  <si>
    <t>Loan Percentage (% of CAPEX)</t>
  </si>
  <si>
    <t>Loan Amount (USD)</t>
  </si>
  <si>
    <t>Loan Interest (%)</t>
  </si>
  <si>
    <t>Total Cost for PDAM (USD)</t>
  </si>
  <si>
    <t>Total Cost for PDAM (Rp)</t>
  </si>
  <si>
    <t>Production Cost/m3 (Rp/m3)</t>
  </si>
  <si>
    <t>Rp/year</t>
  </si>
  <si>
    <t>Rp/m3</t>
  </si>
  <si>
    <t>PPn (11%)</t>
  </si>
  <si>
    <t>exempted using the IPP renewable project scheme with note from Kementerian ESDM &amp; BKPM (e.g. Cirata 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</si>
</sst>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_);_(@_)"/>
    <numFmt numFmtId="165" formatCode="_(* #,##0.00_);_(* \(#,##0.00\);_(* &quot;-&quot;_);_(@_)"/>
    <numFmt numFmtId="166" formatCode="_(* #,##0_);_(* \(#,##0\);_(* &quot;-&quot;??_);_(@_)"/>
    <numFmt numFmtId="167" formatCode="_([$$-409]* #,##0.00_);_([$$-409]* \(#,##0.00\);_([$$-409]* &quot;-&quot;??_);_(@_)"/>
    <numFmt numFmtId="168" formatCode="0.000%"/>
    <numFmt numFmtId="169" formatCode="0.0"/>
    <numFmt numFmtId="170" formatCode="_(&quot;Rp&quot;* #,##0.00_);_(&quot;Rp&quot;* \(#,##0.00\);_(&quot;Rp&quot;* &quot;-&quot;_);_(@_)"/>
    <numFmt numFmtId="171" formatCode="0.0%"/>
    <numFmt numFmtId="172" formatCode="_(* #,##0.000_);_(* \(#,##0.000\);_(* &quot;-&quot;???_);_(@_)"/>
    <numFmt numFmtId="173" formatCode="_-[$Rp-3809]* #,##0.00_-;\-[$Rp-3809]* #,##0.00_-;_-[$Rp-3809]* &quot;-&quot;??_-;_-@_-"/>
  </numFmts>
  <fonts count="1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10.5"/>
      <color theme="1"/>
      <name val="Helvetica Neue"/>
      <family val="2"/>
    </font>
    <font>
      <sz val="10.5"/>
      <color theme="1"/>
      <name val="Helvetica Neue"/>
      <family val="2"/>
    </font>
    <font>
      <sz val="10"/>
      <color theme="1"/>
      <name val="Helvetica Neue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i/>
      <sz val="10"/>
      <color theme="1"/>
      <name val="Aptos Narrow"/>
      <scheme val="minor"/>
    </font>
    <font>
      <sz val="10"/>
      <color theme="1"/>
      <name val="Aptos Narrow"/>
      <family val="2"/>
    </font>
    <font>
      <b/>
      <i/>
      <sz val="10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41" fontId="3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67" fontId="3" fillId="0" borderId="0" xfId="0" applyNumberFormat="1" applyFont="1"/>
    <xf numFmtId="167" fontId="5" fillId="0" borderId="0" xfId="0" applyNumberFormat="1" applyFont="1"/>
    <xf numFmtId="0" fontId="7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1" fontId="3" fillId="0" borderId="0" xfId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43" fontId="3" fillId="0" borderId="0" xfId="0" applyNumberFormat="1" applyFont="1"/>
    <xf numFmtId="0" fontId="4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6" fontId="3" fillId="0" borderId="0" xfId="0" applyNumberFormat="1" applyFont="1"/>
    <xf numFmtId="165" fontId="3" fillId="0" borderId="0" xfId="1" applyNumberFormat="1" applyFont="1" applyBorder="1"/>
    <xf numFmtId="9" fontId="3" fillId="0" borderId="0" xfId="2" applyFont="1" applyBorder="1"/>
    <xf numFmtId="2" fontId="3" fillId="0" borderId="0" xfId="0" applyNumberFormat="1" applyFont="1"/>
    <xf numFmtId="9" fontId="3" fillId="0" borderId="0" xfId="0" applyNumberFormat="1" applyFont="1"/>
    <xf numFmtId="165" fontId="3" fillId="0" borderId="0" xfId="0" applyNumberFormat="1" applyFont="1"/>
    <xf numFmtId="10" fontId="3" fillId="0" borderId="0" xfId="2" applyNumberFormat="1" applyFont="1" applyBorder="1"/>
    <xf numFmtId="10" fontId="3" fillId="0" borderId="0" xfId="0" applyNumberFormat="1" applyFont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" fillId="5" borderId="1" xfId="0" applyFont="1" applyFill="1" applyBorder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/>
    <xf numFmtId="0" fontId="3" fillId="6" borderId="0" xfId="0" applyFont="1" applyFill="1"/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67" fontId="3" fillId="6" borderId="0" xfId="0" applyNumberFormat="1" applyFont="1" applyFill="1"/>
    <xf numFmtId="167" fontId="4" fillId="0" borderId="0" xfId="0" applyNumberFormat="1" applyFont="1"/>
    <xf numFmtId="167" fontId="4" fillId="6" borderId="0" xfId="0" applyNumberFormat="1" applyFont="1" applyFill="1"/>
    <xf numFmtId="164" fontId="5" fillId="0" borderId="0" xfId="1" applyNumberFormat="1" applyFont="1" applyBorder="1"/>
    <xf numFmtId="164" fontId="5" fillId="0" borderId="0" xfId="0" applyNumberFormat="1" applyFont="1"/>
    <xf numFmtId="10" fontId="5" fillId="0" borderId="0" xfId="1" applyNumberFormat="1" applyFont="1" applyBorder="1"/>
    <xf numFmtId="10" fontId="5" fillId="0" borderId="0" xfId="2" applyNumberFormat="1" applyFont="1" applyBorder="1"/>
    <xf numFmtId="2" fontId="5" fillId="0" borderId="0" xfId="1" applyNumberFormat="1" applyFont="1" applyBorder="1"/>
    <xf numFmtId="0" fontId="5" fillId="0" borderId="0" xfId="1" applyNumberFormat="1" applyFont="1" applyBorder="1"/>
    <xf numFmtId="0" fontId="5" fillId="6" borderId="0" xfId="0" applyFont="1" applyFill="1" applyAlignment="1">
      <alignment horizontal="center"/>
    </xf>
    <xf numFmtId="167" fontId="0" fillId="0" borderId="0" xfId="0" applyNumberFormat="1"/>
    <xf numFmtId="0" fontId="5" fillId="6" borderId="0" xfId="0" applyFont="1" applyFill="1"/>
    <xf numFmtId="167" fontId="5" fillId="0" borderId="0" xfId="0" applyNumberFormat="1" applyFont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/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7" fontId="9" fillId="0" borderId="0" xfId="0" applyNumberFormat="1" applyFont="1"/>
    <xf numFmtId="0" fontId="10" fillId="0" borderId="2" xfId="0" applyFont="1" applyBorder="1" applyAlignment="1">
      <alignment horizontal="left"/>
    </xf>
    <xf numFmtId="0" fontId="5" fillId="7" borderId="0" xfId="0" applyFont="1" applyFill="1" applyAlignment="1">
      <alignment horizontal="center"/>
    </xf>
    <xf numFmtId="0" fontId="4" fillId="7" borderId="0" xfId="0" applyFont="1" applyFill="1"/>
    <xf numFmtId="168" fontId="4" fillId="7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167" fontId="4" fillId="7" borderId="0" xfId="0" applyNumberFormat="1" applyFont="1" applyFill="1"/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/>
    <xf numFmtId="169" fontId="4" fillId="7" borderId="2" xfId="0" applyNumberFormat="1" applyFont="1" applyFill="1" applyBorder="1"/>
    <xf numFmtId="0" fontId="5" fillId="7" borderId="2" xfId="0" applyFont="1" applyFill="1" applyBorder="1"/>
    <xf numFmtId="0" fontId="4" fillId="0" borderId="2" xfId="0" applyFont="1" applyBorder="1"/>
    <xf numFmtId="167" fontId="4" fillId="0" borderId="2" xfId="0" applyNumberFormat="1" applyFont="1" applyBorder="1"/>
    <xf numFmtId="0" fontId="11" fillId="7" borderId="0" xfId="0" applyFont="1" applyFill="1"/>
    <xf numFmtId="0" fontId="12" fillId="0" borderId="0" xfId="0" applyFont="1"/>
    <xf numFmtId="165" fontId="12" fillId="0" borderId="0" xfId="1" applyNumberFormat="1" applyFont="1"/>
    <xf numFmtId="9" fontId="3" fillId="0" borderId="0" xfId="1" applyNumberFormat="1" applyFont="1"/>
    <xf numFmtId="9" fontId="12" fillId="0" borderId="0" xfId="1" applyNumberFormat="1" applyFont="1"/>
    <xf numFmtId="3" fontId="3" fillId="0" borderId="0" xfId="0" applyNumberFormat="1" applyFont="1"/>
    <xf numFmtId="170" fontId="12" fillId="0" borderId="0" xfId="3" applyNumberFormat="1" applyFont="1"/>
    <xf numFmtId="167" fontId="12" fillId="0" borderId="0" xfId="3" applyNumberFormat="1" applyFont="1"/>
    <xf numFmtId="167" fontId="3" fillId="0" borderId="0" xfId="3" applyNumberFormat="1" applyFont="1"/>
    <xf numFmtId="170" fontId="3" fillId="0" borderId="0" xfId="3" applyNumberFormat="1" applyFont="1"/>
    <xf numFmtId="0" fontId="2" fillId="0" borderId="0" xfId="0" applyFont="1"/>
    <xf numFmtId="0" fontId="2" fillId="7" borderId="0" xfId="0" applyFont="1" applyFill="1" applyAlignment="1">
      <alignment horizontal="center"/>
    </xf>
    <xf numFmtId="4" fontId="3" fillId="0" borderId="0" xfId="0" applyNumberFormat="1" applyFont="1"/>
    <xf numFmtId="9" fontId="3" fillId="0" borderId="0" xfId="2" applyFont="1"/>
    <xf numFmtId="171" fontId="3" fillId="0" borderId="0" xfId="2" applyNumberFormat="1" applyFont="1"/>
    <xf numFmtId="10" fontId="3" fillId="0" borderId="0" xfId="2" applyNumberFormat="1" applyFont="1"/>
    <xf numFmtId="168" fontId="3" fillId="0" borderId="0" xfId="2" applyNumberFormat="1" applyFont="1"/>
    <xf numFmtId="172" fontId="3" fillId="0" borderId="0" xfId="0" applyNumberFormat="1" applyFont="1"/>
    <xf numFmtId="0" fontId="2" fillId="7" borderId="3" xfId="0" applyFont="1" applyFill="1" applyBorder="1"/>
    <xf numFmtId="0" fontId="0" fillId="7" borderId="4" xfId="0" applyFill="1" applyBorder="1"/>
    <xf numFmtId="167" fontId="0" fillId="7" borderId="5" xfId="0" applyNumberFormat="1" applyFill="1" applyBorder="1"/>
    <xf numFmtId="0" fontId="2" fillId="7" borderId="6" xfId="0" applyFont="1" applyFill="1" applyBorder="1"/>
    <xf numFmtId="0" fontId="0" fillId="7" borderId="0" xfId="0" applyFill="1"/>
    <xf numFmtId="173" fontId="0" fillId="7" borderId="7" xfId="0" applyNumberFormat="1" applyFill="1" applyBorder="1"/>
    <xf numFmtId="0" fontId="2" fillId="7" borderId="8" xfId="0" applyFont="1" applyFill="1" applyBorder="1"/>
    <xf numFmtId="0" fontId="0" fillId="7" borderId="9" xfId="0" applyFill="1" applyBorder="1"/>
    <xf numFmtId="173" fontId="0" fillId="7" borderId="10" xfId="1" applyNumberFormat="1" applyFont="1" applyFill="1" applyBorder="1"/>
    <xf numFmtId="167" fontId="13" fillId="0" borderId="0" xfId="0" applyNumberFormat="1" applyFont="1"/>
    <xf numFmtId="171" fontId="3" fillId="0" borderId="0" xfId="0" applyNumberFormat="1" applyFont="1"/>
    <xf numFmtId="173" fontId="3" fillId="0" borderId="0" xfId="0" applyNumberFormat="1" applyFont="1"/>
  </cellXfs>
  <cellStyles count="4">
    <cellStyle name="Comma [0]" xfId="1" builtinId="6"/>
    <cellStyle name="Currency [0]" xfId="3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2427-663E-8245-A1F0-6D6E37D0452D}">
  <dimension ref="B2:AD148"/>
  <sheetViews>
    <sheetView showGridLines="0" tabSelected="1" topLeftCell="H59" zoomScale="63" zoomScaleNormal="56" workbookViewId="0">
      <selection activeCell="AD76" sqref="AD76"/>
    </sheetView>
  </sheetViews>
  <sheetFormatPr baseColWidth="10" defaultRowHeight="16"/>
  <cols>
    <col min="1" max="1" width="3.1640625" customWidth="1"/>
    <col min="2" max="2" width="15.33203125" style="8" customWidth="1"/>
    <col min="3" max="3" width="29.5" customWidth="1"/>
    <col min="4" max="4" width="13.33203125" customWidth="1"/>
    <col min="5" max="5" width="12.1640625" customWidth="1"/>
    <col min="6" max="6" width="28.83203125" customWidth="1"/>
    <col min="7" max="7" width="26.5" customWidth="1"/>
    <col min="8" max="28" width="15.83203125" customWidth="1"/>
    <col min="30" max="30" width="13.5" bestFit="1" customWidth="1"/>
  </cols>
  <sheetData>
    <row r="2" spans="2:7" s="6" customFormat="1" ht="33" customHeight="1">
      <c r="B2" s="7" t="s">
        <v>0</v>
      </c>
      <c r="C2" s="5"/>
    </row>
    <row r="3" spans="2:7">
      <c r="B3" s="23" t="s">
        <v>43</v>
      </c>
      <c r="C3" s="24" t="s">
        <v>1</v>
      </c>
      <c r="D3" s="24" t="s">
        <v>2</v>
      </c>
      <c r="E3" s="24" t="s">
        <v>3</v>
      </c>
      <c r="F3" s="24" t="s">
        <v>4</v>
      </c>
    </row>
    <row r="4" spans="2:7">
      <c r="B4" s="13" t="s">
        <v>53</v>
      </c>
      <c r="C4" s="1" t="s">
        <v>5</v>
      </c>
      <c r="D4" s="16">
        <v>2000</v>
      </c>
      <c r="E4" s="1" t="s">
        <v>6</v>
      </c>
      <c r="F4" s="1" t="s">
        <v>7</v>
      </c>
    </row>
    <row r="5" spans="2:7">
      <c r="B5" s="2" t="s">
        <v>10</v>
      </c>
      <c r="C5" s="1" t="s">
        <v>8</v>
      </c>
      <c r="D5" s="16" t="s">
        <v>9</v>
      </c>
      <c r="E5" s="1" t="s">
        <v>10</v>
      </c>
      <c r="F5" s="1" t="s">
        <v>10</v>
      </c>
    </row>
    <row r="6" spans="2:7">
      <c r="B6" s="13" t="s">
        <v>44</v>
      </c>
      <c r="C6" s="1" t="s">
        <v>11</v>
      </c>
      <c r="D6" s="16">
        <v>2118.6999999999998</v>
      </c>
      <c r="E6" s="1" t="s">
        <v>12</v>
      </c>
      <c r="F6" s="1" t="s">
        <v>13</v>
      </c>
    </row>
    <row r="7" spans="2:7">
      <c r="B7" s="13" t="s">
        <v>45</v>
      </c>
      <c r="C7" s="1" t="s">
        <v>14</v>
      </c>
      <c r="D7" s="16">
        <v>2159.6999999999998</v>
      </c>
      <c r="E7" s="1" t="s">
        <v>12</v>
      </c>
      <c r="F7" s="1" t="s">
        <v>15</v>
      </c>
    </row>
    <row r="8" spans="2:7">
      <c r="B8" s="13" t="s">
        <v>46</v>
      </c>
      <c r="C8" s="1" t="s">
        <v>16</v>
      </c>
      <c r="D8" s="16">
        <v>1779.9</v>
      </c>
      <c r="E8" s="1" t="s">
        <v>12</v>
      </c>
      <c r="F8" s="1" t="s">
        <v>17</v>
      </c>
    </row>
    <row r="9" spans="2:7">
      <c r="B9" s="13" t="s">
        <v>47</v>
      </c>
      <c r="C9" s="1" t="s">
        <v>18</v>
      </c>
      <c r="D9" s="17">
        <v>26.9</v>
      </c>
      <c r="E9" s="1" t="s">
        <v>19</v>
      </c>
      <c r="F9" s="1" t="s">
        <v>10</v>
      </c>
    </row>
    <row r="10" spans="2:7">
      <c r="B10" s="13" t="s">
        <v>48</v>
      </c>
      <c r="C10" s="1" t="s">
        <v>42</v>
      </c>
      <c r="D10" s="18">
        <v>0.86</v>
      </c>
      <c r="E10" s="1" t="s">
        <v>10</v>
      </c>
      <c r="F10" s="1" t="s">
        <v>20</v>
      </c>
    </row>
    <row r="11" spans="2:7">
      <c r="B11" s="13" t="s">
        <v>52</v>
      </c>
      <c r="C11" s="1" t="s">
        <v>24</v>
      </c>
      <c r="D11" s="16">
        <v>12</v>
      </c>
      <c r="E11" s="1" t="s">
        <v>25</v>
      </c>
      <c r="F11" s="1" t="s">
        <v>26</v>
      </c>
    </row>
    <row r="12" spans="2:7">
      <c r="B12" s="13" t="s">
        <v>58</v>
      </c>
      <c r="C12" s="1" t="s">
        <v>28</v>
      </c>
      <c r="D12" s="16">
        <v>1</v>
      </c>
      <c r="E12" s="1" t="s">
        <v>29</v>
      </c>
      <c r="F12" s="1" t="s">
        <v>30</v>
      </c>
    </row>
    <row r="13" spans="2:7">
      <c r="B13" s="13" t="s">
        <v>57</v>
      </c>
      <c r="C13" s="1" t="s">
        <v>31</v>
      </c>
      <c r="D13" s="16">
        <v>1</v>
      </c>
      <c r="E13" s="1" t="s">
        <v>10</v>
      </c>
      <c r="F13" s="1" t="s">
        <v>32</v>
      </c>
    </row>
    <row r="14" spans="2:7">
      <c r="B14" s="13" t="s">
        <v>56</v>
      </c>
      <c r="C14" s="1" t="s">
        <v>33</v>
      </c>
      <c r="D14" s="16">
        <v>6</v>
      </c>
      <c r="E14" s="1" t="s">
        <v>34</v>
      </c>
      <c r="F14" s="1" t="s">
        <v>35</v>
      </c>
    </row>
    <row r="15" spans="2:7">
      <c r="B15" s="13" t="s">
        <v>49</v>
      </c>
      <c r="C15" s="1" t="s">
        <v>36</v>
      </c>
      <c r="D15" s="19">
        <f>D4*D7*D10</f>
        <v>3714684</v>
      </c>
      <c r="E15" s="1" t="s">
        <v>21</v>
      </c>
      <c r="F15" s="1" t="s">
        <v>10</v>
      </c>
      <c r="G15" s="1"/>
    </row>
    <row r="16" spans="2:7">
      <c r="B16" s="13" t="s">
        <v>54</v>
      </c>
      <c r="C16" s="1" t="s">
        <v>37</v>
      </c>
      <c r="D16" s="1">
        <f>D15/D4</f>
        <v>1857.3420000000001</v>
      </c>
      <c r="E16" s="1" t="s">
        <v>38</v>
      </c>
      <c r="F16" s="1" t="s">
        <v>10</v>
      </c>
      <c r="G16" s="1"/>
    </row>
    <row r="17" spans="2:7">
      <c r="B17" s="13" t="s">
        <v>50</v>
      </c>
      <c r="C17" s="1" t="s">
        <v>39</v>
      </c>
      <c r="D17" s="19">
        <f>D15/12</f>
        <v>309557</v>
      </c>
      <c r="E17" s="1" t="s">
        <v>22</v>
      </c>
      <c r="F17" s="1" t="s">
        <v>10</v>
      </c>
      <c r="G17" s="1"/>
    </row>
    <row r="18" spans="2:7">
      <c r="B18" s="13" t="s">
        <v>51</v>
      </c>
      <c r="C18" s="1" t="s">
        <v>40</v>
      </c>
      <c r="D18" s="19">
        <f>D15/365</f>
        <v>10177.216438356165</v>
      </c>
      <c r="E18" s="1" t="s">
        <v>23</v>
      </c>
      <c r="F18" s="1" t="s">
        <v>10</v>
      </c>
      <c r="G18" s="1"/>
    </row>
    <row r="19" spans="2:7">
      <c r="B19" s="13" t="s">
        <v>55</v>
      </c>
      <c r="C19" s="1" t="s">
        <v>41</v>
      </c>
      <c r="D19" s="4">
        <f>D4*10</f>
        <v>20000</v>
      </c>
      <c r="E19" s="1" t="s">
        <v>27</v>
      </c>
      <c r="F19" s="1" t="s">
        <v>10</v>
      </c>
      <c r="G19" s="1"/>
    </row>
    <row r="20" spans="2:7" ht="17" thickBot="1">
      <c r="B20" s="20"/>
      <c r="C20" s="21" t="s">
        <v>251</v>
      </c>
      <c r="D20" s="22">
        <v>0.95</v>
      </c>
      <c r="E20" s="21" t="s">
        <v>252</v>
      </c>
      <c r="F20" s="21" t="s">
        <v>253</v>
      </c>
      <c r="G20" s="1"/>
    </row>
    <row r="21" spans="2:7" ht="17" thickTop="1">
      <c r="B21" s="13"/>
      <c r="C21" s="1"/>
      <c r="D21" s="4"/>
      <c r="E21" s="1"/>
      <c r="F21" s="1"/>
      <c r="G21" s="1"/>
    </row>
    <row r="22" spans="2:7" s="6" customFormat="1" ht="33" customHeight="1">
      <c r="B22" s="7" t="s">
        <v>94</v>
      </c>
    </row>
    <row r="23" spans="2:7">
      <c r="B23" s="25" t="s">
        <v>43</v>
      </c>
      <c r="C23" s="26" t="s">
        <v>59</v>
      </c>
      <c r="D23" s="26" t="s">
        <v>2</v>
      </c>
      <c r="E23" s="26" t="s">
        <v>3</v>
      </c>
      <c r="F23" s="26" t="s">
        <v>60</v>
      </c>
      <c r="G23" s="26" t="s">
        <v>4</v>
      </c>
    </row>
    <row r="24" spans="2:7">
      <c r="B24" s="13" t="s">
        <v>49</v>
      </c>
      <c r="C24" s="1" t="s">
        <v>61</v>
      </c>
      <c r="D24" s="19">
        <f>D15</f>
        <v>3714684</v>
      </c>
      <c r="E24" s="1" t="s">
        <v>21</v>
      </c>
      <c r="F24" s="1"/>
      <c r="G24" s="1" t="s">
        <v>62</v>
      </c>
    </row>
    <row r="25" spans="2:7">
      <c r="B25" s="13" t="s">
        <v>51</v>
      </c>
      <c r="C25" s="1" t="s">
        <v>40</v>
      </c>
      <c r="D25" s="19">
        <f>D18</f>
        <v>10177.216438356165</v>
      </c>
      <c r="E25" s="1" t="s">
        <v>23</v>
      </c>
      <c r="F25" s="1" t="s">
        <v>92</v>
      </c>
      <c r="G25" s="1" t="s">
        <v>63</v>
      </c>
    </row>
    <row r="26" spans="2:7">
      <c r="B26" s="13" t="s">
        <v>117</v>
      </c>
      <c r="C26" s="1" t="s">
        <v>120</v>
      </c>
      <c r="D26" s="19">
        <v>317</v>
      </c>
      <c r="E26" s="1" t="s">
        <v>116</v>
      </c>
      <c r="F26" s="1"/>
      <c r="G26" s="1"/>
    </row>
    <row r="27" spans="2:7">
      <c r="B27" s="13" t="s">
        <v>118</v>
      </c>
      <c r="C27" s="1" t="s">
        <v>119</v>
      </c>
      <c r="D27" s="19">
        <v>425</v>
      </c>
      <c r="E27" s="1" t="s">
        <v>116</v>
      </c>
      <c r="F27" s="1"/>
      <c r="G27" s="1"/>
    </row>
    <row r="28" spans="2:7">
      <c r="B28" s="13" t="s">
        <v>128</v>
      </c>
      <c r="C28" s="1" t="s">
        <v>127</v>
      </c>
      <c r="D28" s="27">
        <v>12</v>
      </c>
      <c r="E28" s="1" t="s">
        <v>121</v>
      </c>
      <c r="F28" s="1"/>
      <c r="G28" s="1"/>
    </row>
    <row r="29" spans="2:7">
      <c r="B29" s="13" t="s">
        <v>64</v>
      </c>
      <c r="C29" s="1" t="s">
        <v>125</v>
      </c>
      <c r="D29" s="28">
        <f>0.7*D26*D28</f>
        <v>2662.7999999999997</v>
      </c>
      <c r="E29" s="1" t="s">
        <v>23</v>
      </c>
      <c r="F29" s="1" t="s">
        <v>122</v>
      </c>
    </row>
    <row r="30" spans="2:7">
      <c r="B30" s="13" t="s">
        <v>123</v>
      </c>
      <c r="C30" s="1" t="s">
        <v>124</v>
      </c>
      <c r="D30" s="28">
        <f>0.7*D27*D28</f>
        <v>3570</v>
      </c>
      <c r="E30" s="1" t="s">
        <v>80</v>
      </c>
      <c r="F30" s="1" t="s">
        <v>126</v>
      </c>
      <c r="G30" s="1"/>
    </row>
    <row r="31" spans="2:7">
      <c r="B31" s="13" t="s">
        <v>65</v>
      </c>
      <c r="C31" s="1" t="s">
        <v>95</v>
      </c>
      <c r="D31" s="19">
        <f>D25-D29</f>
        <v>7514.4164383561656</v>
      </c>
      <c r="E31" s="1" t="s">
        <v>23</v>
      </c>
      <c r="F31" s="1" t="s">
        <v>93</v>
      </c>
      <c r="G31" s="1" t="s">
        <v>96</v>
      </c>
    </row>
    <row r="32" spans="2:7">
      <c r="B32" s="13" t="s">
        <v>66</v>
      </c>
      <c r="C32" s="1" t="s">
        <v>67</v>
      </c>
      <c r="D32" s="29">
        <v>0.65</v>
      </c>
      <c r="E32" s="1"/>
      <c r="F32" s="1"/>
      <c r="G32" s="1" t="s">
        <v>97</v>
      </c>
    </row>
    <row r="33" spans="2:7">
      <c r="B33" s="13" t="s">
        <v>68</v>
      </c>
      <c r="C33" s="1" t="s">
        <v>69</v>
      </c>
      <c r="D33" s="30">
        <f>39.4/D32</f>
        <v>60.615384615384613</v>
      </c>
      <c r="E33" s="1" t="s">
        <v>70</v>
      </c>
      <c r="F33" s="1" t="s">
        <v>98</v>
      </c>
      <c r="G33" s="1" t="s">
        <v>99</v>
      </c>
    </row>
    <row r="34" spans="2:7">
      <c r="B34" s="13" t="s">
        <v>71</v>
      </c>
      <c r="C34" s="1" t="s">
        <v>72</v>
      </c>
      <c r="D34" s="19">
        <f>D31/D33</f>
        <v>123.96879910993675</v>
      </c>
      <c r="E34" s="1" t="s">
        <v>73</v>
      </c>
      <c r="F34" s="1" t="s">
        <v>100</v>
      </c>
      <c r="G34" s="1" t="s">
        <v>101</v>
      </c>
    </row>
    <row r="35" spans="2:7">
      <c r="B35" s="13" t="s">
        <v>74</v>
      </c>
      <c r="C35" s="1" t="s">
        <v>75</v>
      </c>
      <c r="D35" s="31">
        <v>0.5</v>
      </c>
      <c r="E35" s="1"/>
      <c r="F35" s="1" t="s">
        <v>102</v>
      </c>
      <c r="G35" s="1" t="s">
        <v>103</v>
      </c>
    </row>
    <row r="36" spans="2:7">
      <c r="B36" s="13" t="s">
        <v>76</v>
      </c>
      <c r="C36" s="1" t="s">
        <v>77</v>
      </c>
      <c r="D36" s="19">
        <f>D34*33.33*D35</f>
        <v>2065.9400371670959</v>
      </c>
      <c r="E36" s="1" t="s">
        <v>23</v>
      </c>
      <c r="F36" s="1" t="s">
        <v>104</v>
      </c>
      <c r="G36" s="1" t="s">
        <v>105</v>
      </c>
    </row>
    <row r="37" spans="2:7">
      <c r="B37" s="13" t="s">
        <v>78</v>
      </c>
      <c r="C37" s="1" t="s">
        <v>79</v>
      </c>
      <c r="D37" s="32">
        <f>D30</f>
        <v>3570</v>
      </c>
      <c r="E37" s="1" t="s">
        <v>80</v>
      </c>
      <c r="F37" s="1" t="s">
        <v>106</v>
      </c>
      <c r="G37" s="1" t="s">
        <v>81</v>
      </c>
    </row>
    <row r="38" spans="2:7">
      <c r="B38" s="13" t="s">
        <v>82</v>
      </c>
      <c r="C38" s="1" t="s">
        <v>83</v>
      </c>
      <c r="D38" s="33">
        <f>D36/D37</f>
        <v>0.57869468828209969</v>
      </c>
      <c r="E38" s="1"/>
      <c r="F38" s="1" t="s">
        <v>107</v>
      </c>
      <c r="G38" s="1" t="s">
        <v>108</v>
      </c>
    </row>
    <row r="39" spans="2:7">
      <c r="B39" s="13" t="s">
        <v>109</v>
      </c>
      <c r="C39" s="1" t="s">
        <v>110</v>
      </c>
      <c r="D39" s="19">
        <f>D34*5</f>
        <v>619.84399554968377</v>
      </c>
      <c r="E39" s="1" t="s">
        <v>84</v>
      </c>
      <c r="F39" s="1" t="s">
        <v>111</v>
      </c>
      <c r="G39" s="1" t="s">
        <v>112</v>
      </c>
    </row>
    <row r="40" spans="2:7">
      <c r="B40" s="13" t="s">
        <v>85</v>
      </c>
      <c r="C40" s="1" t="s">
        <v>86</v>
      </c>
      <c r="D40" s="1">
        <v>300</v>
      </c>
      <c r="E40" s="1" t="s">
        <v>87</v>
      </c>
      <c r="F40" s="1" t="s">
        <v>113</v>
      </c>
      <c r="G40" s="1" t="s">
        <v>114</v>
      </c>
    </row>
    <row r="41" spans="2:7">
      <c r="B41" s="13" t="s">
        <v>88</v>
      </c>
      <c r="C41" s="1" t="s">
        <v>89</v>
      </c>
      <c r="D41" s="19">
        <f>D39*11.126</f>
        <v>6896.3842944857815</v>
      </c>
      <c r="E41" s="1" t="s">
        <v>90</v>
      </c>
      <c r="F41" s="1" t="s">
        <v>115</v>
      </c>
      <c r="G41" s="1" t="s">
        <v>91</v>
      </c>
    </row>
    <row r="42" spans="2:7">
      <c r="B42" s="13" t="s">
        <v>131</v>
      </c>
      <c r="C42" s="1" t="s">
        <v>130</v>
      </c>
      <c r="D42" s="19">
        <f>D41*(1/D40)*1000</f>
        <v>22987.947648285939</v>
      </c>
      <c r="E42" s="1" t="s">
        <v>129</v>
      </c>
      <c r="F42" s="1"/>
      <c r="G42" s="1"/>
    </row>
    <row r="43" spans="2:7">
      <c r="B43" s="13" t="s">
        <v>189</v>
      </c>
      <c r="C43" s="1" t="s">
        <v>187</v>
      </c>
      <c r="D43" s="19">
        <f>D31/8</f>
        <v>939.3020547945207</v>
      </c>
      <c r="E43" s="1" t="s">
        <v>116</v>
      </c>
      <c r="F43" s="1"/>
      <c r="G43" s="1"/>
    </row>
    <row r="44" spans="2:7">
      <c r="B44" s="13" t="s">
        <v>190</v>
      </c>
      <c r="C44" s="1" t="s">
        <v>188</v>
      </c>
      <c r="D44" s="1">
        <v>900</v>
      </c>
      <c r="E44" s="1" t="s">
        <v>116</v>
      </c>
      <c r="F44" s="1"/>
      <c r="G44" s="1"/>
    </row>
    <row r="45" spans="2:7">
      <c r="B45" s="13" t="s">
        <v>192</v>
      </c>
      <c r="C45" s="1" t="s">
        <v>191</v>
      </c>
      <c r="D45" s="1">
        <v>80</v>
      </c>
      <c r="E45" s="1" t="s">
        <v>116</v>
      </c>
      <c r="F45" s="1"/>
      <c r="G45" s="1"/>
    </row>
    <row r="46" spans="2:7">
      <c r="B46" s="13"/>
      <c r="C46" s="1" t="s">
        <v>193</v>
      </c>
      <c r="D46" s="27">
        <f>D45*D28</f>
        <v>960</v>
      </c>
      <c r="E46" s="1" t="s">
        <v>23</v>
      </c>
      <c r="F46" s="1"/>
      <c r="G46" s="1"/>
    </row>
    <row r="47" spans="2:7">
      <c r="B47" s="13" t="s">
        <v>195</v>
      </c>
      <c r="C47" s="1" t="s">
        <v>194</v>
      </c>
      <c r="D47" s="27">
        <f>(D36-D46)/12 + 4</f>
        <v>96.16166976392465</v>
      </c>
      <c r="E47" s="1" t="s">
        <v>116</v>
      </c>
      <c r="F47" s="1"/>
      <c r="G47" s="1"/>
    </row>
    <row r="48" spans="2:7">
      <c r="B48" s="13" t="s">
        <v>200</v>
      </c>
      <c r="C48" s="1" t="s">
        <v>197</v>
      </c>
      <c r="D48" s="19">
        <f>D34*9</f>
        <v>1115.7191919894308</v>
      </c>
      <c r="E48" s="1" t="s">
        <v>199</v>
      </c>
      <c r="F48" s="1"/>
      <c r="G48" s="1" t="s">
        <v>198</v>
      </c>
    </row>
    <row r="49" spans="2:28">
      <c r="B49" s="13" t="s">
        <v>202</v>
      </c>
      <c r="C49" s="1" t="s">
        <v>201</v>
      </c>
      <c r="D49" s="31">
        <v>0.02</v>
      </c>
      <c r="E49" s="1"/>
      <c r="F49" s="1"/>
      <c r="G49" s="1"/>
    </row>
    <row r="50" spans="2:28">
      <c r="B50" s="13" t="s">
        <v>224</v>
      </c>
      <c r="C50" s="1" t="s">
        <v>217</v>
      </c>
      <c r="D50" s="1">
        <v>0.13</v>
      </c>
      <c r="E50" s="1" t="s">
        <v>218</v>
      </c>
      <c r="F50" s="1"/>
      <c r="G50" s="1"/>
    </row>
    <row r="51" spans="2:28">
      <c r="B51" s="13" t="s">
        <v>227</v>
      </c>
      <c r="C51" s="1" t="s">
        <v>225</v>
      </c>
      <c r="D51" s="31">
        <v>0.4</v>
      </c>
      <c r="E51" s="1"/>
      <c r="F51" s="1"/>
      <c r="G51" s="1"/>
    </row>
    <row r="52" spans="2:28">
      <c r="B52" s="13" t="s">
        <v>228</v>
      </c>
      <c r="C52" s="1" t="s">
        <v>226</v>
      </c>
      <c r="D52" s="9">
        <f>-D51*H83</f>
        <v>1584334.8487623341</v>
      </c>
      <c r="E52" s="1"/>
      <c r="F52" s="1"/>
      <c r="G52" s="1"/>
    </row>
    <row r="53" spans="2:28">
      <c r="B53" s="13" t="s">
        <v>233</v>
      </c>
      <c r="C53" s="1" t="s">
        <v>232</v>
      </c>
      <c r="D53" s="110">
        <v>5.5E-2</v>
      </c>
      <c r="E53" s="1"/>
      <c r="F53" s="1"/>
      <c r="G53" s="1"/>
    </row>
    <row r="54" spans="2:28">
      <c r="B54" s="13"/>
      <c r="C54" s="1" t="s">
        <v>241</v>
      </c>
      <c r="D54" s="9">
        <f>SUM(H75:H78)</f>
        <v>-1643072.9338891595</v>
      </c>
      <c r="E54" s="1"/>
      <c r="F54" s="1"/>
      <c r="G54" s="1"/>
    </row>
    <row r="55" spans="2:28">
      <c r="B55" s="13"/>
      <c r="C55" s="1" t="s">
        <v>240</v>
      </c>
      <c r="D55" s="31">
        <v>0.15</v>
      </c>
      <c r="E55" s="1"/>
      <c r="F55" s="1"/>
      <c r="G55" s="1"/>
    </row>
    <row r="56" spans="2:28">
      <c r="B56" s="13"/>
      <c r="C56" s="1" t="s">
        <v>243</v>
      </c>
      <c r="D56" s="31">
        <v>0.05</v>
      </c>
      <c r="E56" s="1"/>
      <c r="F56" s="1"/>
      <c r="G56" s="1"/>
    </row>
    <row r="57" spans="2:28">
      <c r="B57" s="13"/>
      <c r="C57" s="1" t="s">
        <v>242</v>
      </c>
      <c r="D57" s="34">
        <v>1.7999999999999999E-2</v>
      </c>
      <c r="E57" s="1"/>
      <c r="F57" s="1"/>
      <c r="G57" s="1"/>
    </row>
    <row r="58" spans="2:28">
      <c r="B58" s="13"/>
      <c r="C58" s="1" t="s">
        <v>256</v>
      </c>
      <c r="D58" s="1">
        <v>8</v>
      </c>
      <c r="E58" s="1" t="s">
        <v>257</v>
      </c>
      <c r="F58" s="1"/>
      <c r="G58" s="1"/>
    </row>
    <row r="59" spans="2:28" ht="17" thickBot="1">
      <c r="B59" s="20"/>
      <c r="C59" s="21"/>
      <c r="D59" s="21"/>
      <c r="E59" s="21"/>
      <c r="F59" s="21"/>
      <c r="G59" s="21"/>
    </row>
    <row r="60" spans="2:28" ht="17" thickTop="1">
      <c r="B60" s="13"/>
      <c r="C60" s="1"/>
      <c r="D60" s="1"/>
      <c r="E60" s="1"/>
      <c r="F60" s="1"/>
      <c r="G60" s="1"/>
    </row>
    <row r="61" spans="2:28">
      <c r="B61" s="15" t="s">
        <v>149</v>
      </c>
    </row>
    <row r="62" spans="2:28">
      <c r="B62" s="35"/>
      <c r="C62" s="36"/>
      <c r="D62" s="36"/>
      <c r="E62" s="36"/>
      <c r="F62" s="36"/>
      <c r="G62" s="36"/>
      <c r="H62" s="37" t="s">
        <v>150</v>
      </c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2:28" s="8" customFormat="1">
      <c r="B63" s="38" t="s">
        <v>148</v>
      </c>
      <c r="C63" s="38" t="s">
        <v>132</v>
      </c>
      <c r="D63" s="39"/>
      <c r="E63" s="39"/>
      <c r="F63" s="38"/>
      <c r="G63" s="38"/>
      <c r="H63" s="38">
        <v>0</v>
      </c>
      <c r="I63" s="38">
        <v>1</v>
      </c>
      <c r="J63" s="38">
        <v>2</v>
      </c>
      <c r="K63" s="38">
        <v>3</v>
      </c>
      <c r="L63" s="38">
        <v>4</v>
      </c>
      <c r="M63" s="38">
        <v>5</v>
      </c>
      <c r="N63" s="38">
        <v>6</v>
      </c>
      <c r="O63" s="38">
        <v>7</v>
      </c>
      <c r="P63" s="38">
        <v>8</v>
      </c>
      <c r="Q63" s="38">
        <v>9</v>
      </c>
      <c r="R63" s="38">
        <v>10</v>
      </c>
      <c r="S63" s="38">
        <v>11</v>
      </c>
      <c r="T63" s="38">
        <v>12</v>
      </c>
      <c r="U63" s="38">
        <v>13</v>
      </c>
      <c r="V63" s="38">
        <v>14</v>
      </c>
      <c r="W63" s="38">
        <v>15</v>
      </c>
      <c r="X63" s="38">
        <v>16</v>
      </c>
      <c r="Y63" s="38">
        <v>17</v>
      </c>
      <c r="Z63" s="38">
        <v>18</v>
      </c>
      <c r="AA63" s="38">
        <v>19</v>
      </c>
      <c r="AB63" s="38">
        <v>20</v>
      </c>
    </row>
    <row r="64" spans="2:28" s="1" customFormat="1" ht="14">
      <c r="B64" s="40">
        <v>1</v>
      </c>
      <c r="C64" s="41" t="s">
        <v>147</v>
      </c>
      <c r="D64" s="42"/>
      <c r="E64" s="42"/>
      <c r="F64" s="40"/>
      <c r="G64" s="41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</row>
    <row r="65" spans="2:30" s="1" customFormat="1" ht="14">
      <c r="B65" s="43"/>
      <c r="C65" s="1" t="s">
        <v>133</v>
      </c>
      <c r="F65" s="43"/>
      <c r="H65" s="9"/>
      <c r="I65" s="9">
        <f t="shared" ref="I65:AB65" si="0">$D$50*I95</f>
        <v>482908.92000000004</v>
      </c>
      <c r="J65" s="9">
        <f t="shared" si="0"/>
        <v>480494.37540000002</v>
      </c>
      <c r="K65" s="9">
        <f t="shared" si="0"/>
        <v>478091.90352300002</v>
      </c>
      <c r="L65" s="9">
        <f t="shared" si="0"/>
        <v>475701.44400538504</v>
      </c>
      <c r="M65" s="9">
        <f t="shared" si="0"/>
        <v>473322.93678535812</v>
      </c>
      <c r="N65" s="9">
        <f t="shared" si="0"/>
        <v>470956.32210143137</v>
      </c>
      <c r="O65" s="9">
        <f t="shared" si="0"/>
        <v>468601.54049092421</v>
      </c>
      <c r="P65" s="9">
        <f t="shared" si="0"/>
        <v>466258.53278846957</v>
      </c>
      <c r="Q65" s="9">
        <f t="shared" si="0"/>
        <v>463927.24012452725</v>
      </c>
      <c r="R65" s="9">
        <f t="shared" si="0"/>
        <v>461607.60392390459</v>
      </c>
      <c r="S65" s="9">
        <f t="shared" si="0"/>
        <v>459299.56590428506</v>
      </c>
      <c r="T65" s="9">
        <f t="shared" si="0"/>
        <v>457003.06807476358</v>
      </c>
      <c r="U65" s="9">
        <f t="shared" si="0"/>
        <v>454718.05273438984</v>
      </c>
      <c r="V65" s="9">
        <f t="shared" si="0"/>
        <v>452444.4624707179</v>
      </c>
      <c r="W65" s="9">
        <f t="shared" si="0"/>
        <v>450182.24015836435</v>
      </c>
      <c r="X65" s="9">
        <f t="shared" si="0"/>
        <v>447931.32895757246</v>
      </c>
      <c r="Y65" s="9">
        <f t="shared" si="0"/>
        <v>445691.67231278465</v>
      </c>
      <c r="Z65" s="9">
        <f t="shared" si="0"/>
        <v>443463.21395122068</v>
      </c>
      <c r="AA65" s="9">
        <f t="shared" si="0"/>
        <v>441245.89788146457</v>
      </c>
      <c r="AB65" s="9">
        <f t="shared" si="0"/>
        <v>439039.66839205724</v>
      </c>
      <c r="AD65" s="9"/>
    </row>
    <row r="66" spans="2:30" s="1" customFormat="1" ht="14">
      <c r="B66" s="43"/>
      <c r="C66" s="1" t="s">
        <v>238</v>
      </c>
      <c r="F66" s="43"/>
      <c r="H66" s="9"/>
      <c r="I66" s="9">
        <f>PMT($D$55,10,$D$54)</f>
        <v>327385.6709442343</v>
      </c>
      <c r="J66" s="9">
        <f t="shared" ref="J66:R66" si="1">PMT($D$55,10,$D$54)</f>
        <v>327385.6709442343</v>
      </c>
      <c r="K66" s="9">
        <f t="shared" si="1"/>
        <v>327385.6709442343</v>
      </c>
      <c r="L66" s="9">
        <f t="shared" si="1"/>
        <v>327385.6709442343</v>
      </c>
      <c r="M66" s="9">
        <f t="shared" si="1"/>
        <v>327385.6709442343</v>
      </c>
      <c r="N66" s="9">
        <f t="shared" si="1"/>
        <v>327385.6709442343</v>
      </c>
      <c r="O66" s="9">
        <f t="shared" si="1"/>
        <v>327385.6709442343</v>
      </c>
      <c r="P66" s="9">
        <f t="shared" si="1"/>
        <v>327385.6709442343</v>
      </c>
      <c r="Q66" s="9">
        <f t="shared" si="1"/>
        <v>327385.6709442343</v>
      </c>
      <c r="R66" s="9">
        <f t="shared" si="1"/>
        <v>327385.6709442343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2:30" s="1" customFormat="1" ht="14">
      <c r="B67" s="43"/>
      <c r="C67" s="1" t="s">
        <v>239</v>
      </c>
      <c r="F67" s="43"/>
      <c r="H67" s="9"/>
      <c r="I67" s="9">
        <f>-D56*SUM(H75:H78)</f>
        <v>82153.646694457973</v>
      </c>
      <c r="J67" s="9">
        <f>I67*(1+0.02)^(J63-I63)</f>
        <v>83796.719628347128</v>
      </c>
      <c r="K67" s="9">
        <f>J67*(1+0.02)^(K63-J63)</f>
        <v>85472.654020914066</v>
      </c>
      <c r="L67" s="9">
        <f t="shared" ref="L67:W67" si="2">K67*(1+0.02)^(L63-K63)</f>
        <v>87182.107101332353</v>
      </c>
      <c r="M67" s="9">
        <f t="shared" si="2"/>
        <v>88925.749243358994</v>
      </c>
      <c r="N67" s="9">
        <f t="shared" si="2"/>
        <v>90704.26422822618</v>
      </c>
      <c r="O67" s="9">
        <f t="shared" si="2"/>
        <v>92518.349512790708</v>
      </c>
      <c r="P67" s="9">
        <f t="shared" si="2"/>
        <v>94368.716503046526</v>
      </c>
      <c r="Q67" s="9">
        <f t="shared" si="2"/>
        <v>96256.090833107461</v>
      </c>
      <c r="R67" s="9">
        <f t="shared" si="2"/>
        <v>98181.212649769615</v>
      </c>
      <c r="S67" s="9">
        <f t="shared" si="2"/>
        <v>100144.836902765</v>
      </c>
      <c r="T67" s="9">
        <f t="shared" si="2"/>
        <v>102147.73364082031</v>
      </c>
      <c r="U67" s="9">
        <f t="shared" si="2"/>
        <v>104190.68831363673</v>
      </c>
      <c r="V67" s="9">
        <f t="shared" si="2"/>
        <v>106274.50207990946</v>
      </c>
      <c r="W67" s="9">
        <f t="shared" si="2"/>
        <v>108399.99212150766</v>
      </c>
      <c r="X67" s="9"/>
      <c r="Y67" s="9"/>
      <c r="Z67" s="9"/>
      <c r="AA67" s="9"/>
      <c r="AB67" s="9"/>
    </row>
    <row r="68" spans="2:30" s="1" customFormat="1" ht="14">
      <c r="B68" s="43"/>
      <c r="C68" s="1" t="s">
        <v>255</v>
      </c>
      <c r="F68" s="43"/>
      <c r="H68" s="9"/>
      <c r="I68" s="9">
        <f t="shared" ref="I68:AB68" si="3">$D$58*I103</f>
        <v>28231.598399999999</v>
      </c>
      <c r="J68" s="9">
        <f t="shared" si="3"/>
        <v>28090.440407999999</v>
      </c>
      <c r="K68" s="9">
        <f t="shared" si="3"/>
        <v>27949.988205959999</v>
      </c>
      <c r="L68" s="9">
        <f t="shared" si="3"/>
        <v>27810.238264930198</v>
      </c>
      <c r="M68" s="9">
        <f t="shared" si="3"/>
        <v>27671.18707360555</v>
      </c>
      <c r="N68" s="9">
        <f t="shared" si="3"/>
        <v>27532.831138237521</v>
      </c>
      <c r="O68" s="9">
        <f t="shared" si="3"/>
        <v>27395.166982546336</v>
      </c>
      <c r="P68" s="9">
        <f t="shared" si="3"/>
        <v>27258.191147633603</v>
      </c>
      <c r="Q68" s="9">
        <f t="shared" si="3"/>
        <v>27121.900191895435</v>
      </c>
      <c r="R68" s="9">
        <f t="shared" si="3"/>
        <v>26986.290690935959</v>
      </c>
      <c r="S68" s="9">
        <f t="shared" si="3"/>
        <v>26851.359237481276</v>
      </c>
      <c r="T68" s="9">
        <f t="shared" si="3"/>
        <v>26717.102441293868</v>
      </c>
      <c r="U68" s="9">
        <f t="shared" si="3"/>
        <v>26583.516929087404</v>
      </c>
      <c r="V68" s="9">
        <f t="shared" si="3"/>
        <v>26450.599344441966</v>
      </c>
      <c r="W68" s="9">
        <f t="shared" si="3"/>
        <v>26318.346347719758</v>
      </c>
      <c r="X68" s="9">
        <f t="shared" si="3"/>
        <v>26186.754615981157</v>
      </c>
      <c r="Y68" s="9">
        <f t="shared" si="3"/>
        <v>26055.820842901252</v>
      </c>
      <c r="Z68" s="9">
        <f t="shared" si="3"/>
        <v>25925.541738686745</v>
      </c>
      <c r="AA68" s="9">
        <f t="shared" si="3"/>
        <v>25795.91402999331</v>
      </c>
      <c r="AB68" s="9">
        <f t="shared" si="3"/>
        <v>25666.934459843345</v>
      </c>
    </row>
    <row r="69" spans="2:30" s="1" customFormat="1" ht="14">
      <c r="B69" s="44"/>
      <c r="C69" s="45" t="s">
        <v>151</v>
      </c>
      <c r="F69" s="44"/>
      <c r="G69" s="45"/>
      <c r="H69" s="9"/>
      <c r="I69" s="9">
        <f t="shared" ref="I69:AB69" si="4">SUM(I65:I67)</f>
        <v>892448.23763869226</v>
      </c>
      <c r="J69" s="9">
        <f t="shared" si="4"/>
        <v>891676.76597258146</v>
      </c>
      <c r="K69" s="9">
        <f t="shared" si="4"/>
        <v>890950.22848814842</v>
      </c>
      <c r="L69" s="9">
        <f t="shared" si="4"/>
        <v>890269.22205095179</v>
      </c>
      <c r="M69" s="9">
        <f t="shared" si="4"/>
        <v>889634.35697295133</v>
      </c>
      <c r="N69" s="9">
        <f t="shared" si="4"/>
        <v>889046.25727389182</v>
      </c>
      <c r="O69" s="9">
        <f t="shared" si="4"/>
        <v>888505.56094794918</v>
      </c>
      <c r="P69" s="9">
        <f t="shared" si="4"/>
        <v>888012.92023575038</v>
      </c>
      <c r="Q69" s="9">
        <f t="shared" si="4"/>
        <v>887569.00190186896</v>
      </c>
      <c r="R69" s="9">
        <f t="shared" si="4"/>
        <v>887174.48751790845</v>
      </c>
      <c r="S69" s="9">
        <f t="shared" si="4"/>
        <v>559444.40280705004</v>
      </c>
      <c r="T69" s="9">
        <f t="shared" si="4"/>
        <v>559150.80171558389</v>
      </c>
      <c r="U69" s="9">
        <f t="shared" si="4"/>
        <v>558908.7410480266</v>
      </c>
      <c r="V69" s="9">
        <f t="shared" si="4"/>
        <v>558718.9645506274</v>
      </c>
      <c r="W69" s="9">
        <f t="shared" si="4"/>
        <v>558582.23227987206</v>
      </c>
      <c r="X69" s="9">
        <f t="shared" si="4"/>
        <v>447931.32895757246</v>
      </c>
      <c r="Y69" s="9">
        <f t="shared" si="4"/>
        <v>445691.67231278465</v>
      </c>
      <c r="Z69" s="9">
        <f t="shared" si="4"/>
        <v>443463.21395122068</v>
      </c>
      <c r="AA69" s="9">
        <f t="shared" si="4"/>
        <v>441245.89788146457</v>
      </c>
      <c r="AB69" s="9">
        <f t="shared" si="4"/>
        <v>439039.66839205724</v>
      </c>
    </row>
    <row r="70" spans="2:30" s="1" customFormat="1" ht="14">
      <c r="B70" s="44"/>
      <c r="F70" s="44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2:30" s="1" customFormat="1" ht="14">
      <c r="B71" s="40">
        <v>2</v>
      </c>
      <c r="C71" s="41" t="s">
        <v>152</v>
      </c>
      <c r="D71" s="42"/>
      <c r="E71" s="42"/>
      <c r="F71" s="40"/>
      <c r="G71" s="41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2:30" s="1" customFormat="1" ht="14">
      <c r="B72" s="43"/>
      <c r="C72" s="1" t="s">
        <v>134</v>
      </c>
      <c r="F72" s="43"/>
      <c r="H72" s="9">
        <f>-D4*C132</f>
        <v>-2000000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2:30" s="1" customFormat="1" ht="14">
      <c r="B73" s="43"/>
      <c r="C73" s="1" t="s">
        <v>237</v>
      </c>
      <c r="F73" s="43"/>
      <c r="H73" s="9">
        <f>C136*H72</f>
        <v>-200000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2:30" s="1" customFormat="1" ht="14">
      <c r="B74" s="43"/>
      <c r="F74" s="4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2:30" s="1" customFormat="1" ht="14">
      <c r="B75" s="43"/>
      <c r="C75" s="1" t="s">
        <v>135</v>
      </c>
      <c r="F75" s="43"/>
      <c r="H75" s="9">
        <f>-D44*C133</f>
        <v>-720000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2:30" s="1" customFormat="1" ht="14">
      <c r="B76" s="43"/>
      <c r="C76" s="1" t="s">
        <v>136</v>
      </c>
      <c r="F76" s="43"/>
      <c r="H76" s="9">
        <f>-D47*C134</f>
        <v>-153858.67162227945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2:30" s="1" customFormat="1" ht="14">
      <c r="B77" s="43"/>
      <c r="C77" s="1" t="s">
        <v>137</v>
      </c>
      <c r="F77" s="43"/>
      <c r="H77" s="9">
        <f>-D39*C135</f>
        <v>-619843.99554968381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2:30" s="1" customFormat="1" ht="14">
      <c r="B78" s="43"/>
      <c r="C78" s="1" t="s">
        <v>236</v>
      </c>
      <c r="F78" s="43"/>
      <c r="H78" s="9">
        <f>C136*(SUM(H75:H77))</f>
        <v>-149370.26671719633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2:30" s="1" customFormat="1" ht="14">
      <c r="B79" s="43"/>
      <c r="C79" s="1" t="s">
        <v>488</v>
      </c>
      <c r="F79" s="43"/>
      <c r="H79" s="109" t="s">
        <v>489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2:30" s="1" customFormat="1" ht="14">
      <c r="B80" s="4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2:28" s="1" customFormat="1" ht="14">
      <c r="B81" s="43"/>
      <c r="C81" s="1" t="s">
        <v>139</v>
      </c>
      <c r="F81" s="43"/>
      <c r="H81" s="9">
        <f>-(D19/10000)*C137</f>
        <v>-2400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2:28" s="1" customFormat="1" ht="14">
      <c r="B82" s="43"/>
      <c r="C82" s="1" t="s">
        <v>140</v>
      </c>
      <c r="F82" s="43"/>
      <c r="H82" s="9">
        <f>C138*SUM(H72:H81)</f>
        <v>-115364.18801667479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2:28" s="1" customFormat="1" ht="14">
      <c r="B83" s="44"/>
      <c r="C83" s="45" t="s">
        <v>153</v>
      </c>
      <c r="F83" s="44"/>
      <c r="G83" s="45"/>
      <c r="H83" s="47">
        <f>SUM(H72:H82)</f>
        <v>-3960837.1219058349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2:28" s="1" customFormat="1" ht="14">
      <c r="B84" s="44"/>
      <c r="F84" s="44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2:28" s="1" customFormat="1" ht="14">
      <c r="B85" s="40">
        <v>3</v>
      </c>
      <c r="C85" s="41" t="s">
        <v>154</v>
      </c>
      <c r="D85" s="42"/>
      <c r="E85" s="42"/>
      <c r="F85" s="40"/>
      <c r="G85" s="41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 spans="2:28" s="1" customFormat="1" ht="14">
      <c r="B86" s="43"/>
      <c r="C86" s="1" t="s">
        <v>141</v>
      </c>
      <c r="F86" s="43"/>
      <c r="H86" s="9"/>
      <c r="I86" s="9">
        <f>(0.015)*H72</f>
        <v>-30000</v>
      </c>
      <c r="J86" s="9">
        <f t="shared" ref="J86:AB86" si="5">I86*(1+$D$49)^(J$63-I$63)</f>
        <v>-30600</v>
      </c>
      <c r="K86" s="9">
        <f t="shared" si="5"/>
        <v>-31212</v>
      </c>
      <c r="L86" s="9">
        <f t="shared" si="5"/>
        <v>-31836.240000000002</v>
      </c>
      <c r="M86" s="9">
        <f t="shared" si="5"/>
        <v>-32472.964800000002</v>
      </c>
      <c r="N86" s="9">
        <f t="shared" si="5"/>
        <v>-33122.424096000002</v>
      </c>
      <c r="O86" s="9">
        <f t="shared" si="5"/>
        <v>-33784.872577920003</v>
      </c>
      <c r="P86" s="9">
        <f t="shared" si="5"/>
        <v>-34460.570029478404</v>
      </c>
      <c r="Q86" s="9">
        <f t="shared" si="5"/>
        <v>-35149.781430067975</v>
      </c>
      <c r="R86" s="9">
        <f t="shared" si="5"/>
        <v>-35852.777058669337</v>
      </c>
      <c r="S86" s="9">
        <f t="shared" si="5"/>
        <v>-36569.832599842724</v>
      </c>
      <c r="T86" s="9">
        <f t="shared" si="5"/>
        <v>-37301.229251839577</v>
      </c>
      <c r="U86" s="9">
        <f t="shared" si="5"/>
        <v>-38047.253836876371</v>
      </c>
      <c r="V86" s="9">
        <f t="shared" si="5"/>
        <v>-38808.198913613902</v>
      </c>
      <c r="W86" s="9">
        <f t="shared" si="5"/>
        <v>-39584.36289188618</v>
      </c>
      <c r="X86" s="9">
        <f t="shared" si="5"/>
        <v>-40376.050149723902</v>
      </c>
      <c r="Y86" s="9">
        <f t="shared" si="5"/>
        <v>-41183.571152718381</v>
      </c>
      <c r="Z86" s="9">
        <f t="shared" si="5"/>
        <v>-42007.242575772747</v>
      </c>
      <c r="AA86" s="9">
        <f t="shared" si="5"/>
        <v>-42847.387427288202</v>
      </c>
      <c r="AB86" s="9">
        <f t="shared" si="5"/>
        <v>-43704.33517583397</v>
      </c>
    </row>
    <row r="87" spans="2:28" s="1" customFormat="1" ht="14">
      <c r="B87" s="43"/>
      <c r="C87" s="1" t="s">
        <v>142</v>
      </c>
      <c r="F87" s="43"/>
      <c r="H87" s="9"/>
      <c r="I87" s="9">
        <f>1.5%*(H72+(C136*H72))</f>
        <v>-33000</v>
      </c>
      <c r="J87" s="9">
        <f t="shared" ref="J87:AB87" si="6">I87*(1+$D$49)^(J$63-I$63)</f>
        <v>-33660</v>
      </c>
      <c r="K87" s="9">
        <f t="shared" si="6"/>
        <v>-34333.199999999997</v>
      </c>
      <c r="L87" s="9">
        <f t="shared" si="6"/>
        <v>-35019.863999999994</v>
      </c>
      <c r="M87" s="9">
        <f t="shared" si="6"/>
        <v>-35720.261279999992</v>
      </c>
      <c r="N87" s="9">
        <f t="shared" si="6"/>
        <v>-36434.666505599991</v>
      </c>
      <c r="O87" s="9">
        <f t="shared" si="6"/>
        <v>-37163.359835711992</v>
      </c>
      <c r="P87" s="9">
        <f t="shared" si="6"/>
        <v>-37906.62703242623</v>
      </c>
      <c r="Q87" s="9">
        <f t="shared" si="6"/>
        <v>-38664.759573074756</v>
      </c>
      <c r="R87" s="9">
        <f t="shared" si="6"/>
        <v>-39438.054764536253</v>
      </c>
      <c r="S87" s="9">
        <f t="shared" si="6"/>
        <v>-40226.81585982698</v>
      </c>
      <c r="T87" s="9">
        <f t="shared" si="6"/>
        <v>-41031.352177023524</v>
      </c>
      <c r="U87" s="9">
        <f t="shared" si="6"/>
        <v>-41851.979220563997</v>
      </c>
      <c r="V87" s="9">
        <f t="shared" si="6"/>
        <v>-42689.018804975276</v>
      </c>
      <c r="W87" s="9">
        <f t="shared" si="6"/>
        <v>-43542.799181074784</v>
      </c>
      <c r="X87" s="9">
        <f t="shared" si="6"/>
        <v>-44413.655164696283</v>
      </c>
      <c r="Y87" s="9">
        <f t="shared" si="6"/>
        <v>-45301.92826799021</v>
      </c>
      <c r="Z87" s="9">
        <f t="shared" si="6"/>
        <v>-46207.966833350016</v>
      </c>
      <c r="AA87" s="9">
        <f t="shared" si="6"/>
        <v>-47132.126170017014</v>
      </c>
      <c r="AB87" s="9">
        <f t="shared" si="6"/>
        <v>-48074.768693417354</v>
      </c>
    </row>
    <row r="88" spans="2:28" s="1" customFormat="1" ht="14">
      <c r="B88" s="43"/>
      <c r="C88" s="1" t="s">
        <v>143</v>
      </c>
      <c r="F88" s="43"/>
      <c r="H88" s="9"/>
      <c r="I88" s="9">
        <v>-18000</v>
      </c>
      <c r="J88" s="9">
        <f t="shared" ref="J88:AB88" si="7">I88*(1+$D$49)^(J$63-I$63)</f>
        <v>-18360</v>
      </c>
      <c r="K88" s="9">
        <f t="shared" si="7"/>
        <v>-18727.2</v>
      </c>
      <c r="L88" s="9">
        <f t="shared" si="7"/>
        <v>-19101.744000000002</v>
      </c>
      <c r="M88" s="9">
        <f t="shared" si="7"/>
        <v>-19483.778880000002</v>
      </c>
      <c r="N88" s="9">
        <f t="shared" si="7"/>
        <v>-19873.454457600001</v>
      </c>
      <c r="O88" s="9">
        <f t="shared" si="7"/>
        <v>-20270.923546752001</v>
      </c>
      <c r="P88" s="9">
        <f t="shared" si="7"/>
        <v>-20676.342017687042</v>
      </c>
      <c r="Q88" s="9">
        <f t="shared" si="7"/>
        <v>-21089.868858040783</v>
      </c>
      <c r="R88" s="9">
        <f t="shared" si="7"/>
        <v>-21511.666235201599</v>
      </c>
      <c r="S88" s="9">
        <f t="shared" si="7"/>
        <v>-21941.899559905632</v>
      </c>
      <c r="T88" s="9">
        <f t="shared" si="7"/>
        <v>-22380.737551103746</v>
      </c>
      <c r="U88" s="9">
        <f t="shared" si="7"/>
        <v>-22828.352302125822</v>
      </c>
      <c r="V88" s="9">
        <f t="shared" si="7"/>
        <v>-23284.91934816834</v>
      </c>
      <c r="W88" s="9">
        <f t="shared" si="7"/>
        <v>-23750.617735131706</v>
      </c>
      <c r="X88" s="9">
        <f t="shared" si="7"/>
        <v>-24225.63008983434</v>
      </c>
      <c r="Y88" s="9">
        <f t="shared" si="7"/>
        <v>-24710.142691631027</v>
      </c>
      <c r="Z88" s="9">
        <f t="shared" si="7"/>
        <v>-25204.345545463646</v>
      </c>
      <c r="AA88" s="9">
        <f t="shared" si="7"/>
        <v>-25708.432456372921</v>
      </c>
      <c r="AB88" s="9">
        <f t="shared" si="7"/>
        <v>-26222.60110550038</v>
      </c>
    </row>
    <row r="89" spans="2:28" s="1" customFormat="1" ht="14">
      <c r="B89" s="43"/>
      <c r="C89" s="1" t="s">
        <v>144</v>
      </c>
      <c r="F89" s="43"/>
      <c r="H89" s="9"/>
      <c r="I89" s="9"/>
      <c r="J89" s="9"/>
      <c r="K89" s="9"/>
      <c r="L89" s="9"/>
      <c r="M89" s="9"/>
      <c r="N89" s="9">
        <f>8%*H72</f>
        <v>-160000</v>
      </c>
      <c r="O89" s="9"/>
      <c r="P89" s="9"/>
      <c r="Q89" s="9"/>
      <c r="R89" s="9"/>
      <c r="S89" s="9"/>
      <c r="T89" s="9">
        <f>8%*H72</f>
        <v>-160000</v>
      </c>
      <c r="U89" s="9"/>
      <c r="V89" s="9"/>
      <c r="W89" s="9"/>
      <c r="X89" s="9"/>
      <c r="Y89" s="9"/>
      <c r="Z89" s="9"/>
      <c r="AA89" s="9"/>
      <c r="AB89" s="9"/>
    </row>
    <row r="90" spans="2:28" s="1" customFormat="1" ht="14">
      <c r="B90" s="43"/>
      <c r="C90" s="1" t="s">
        <v>244</v>
      </c>
      <c r="F90" s="43"/>
      <c r="H90" s="9"/>
      <c r="I90" s="9">
        <f>D57*SUM(H75:H78)</f>
        <v>-29575.312810004867</v>
      </c>
      <c r="J90" s="9">
        <f t="shared" ref="J90:W90" si="8">I90*(1+0.02)^(J63-I63)</f>
        <v>-30166.819066204964</v>
      </c>
      <c r="K90" s="9">
        <f t="shared" si="8"/>
        <v>-30770.155447529065</v>
      </c>
      <c r="L90" s="9">
        <f t="shared" si="8"/>
        <v>-31385.558556479646</v>
      </c>
      <c r="M90" s="9">
        <f t="shared" si="8"/>
        <v>-32013.26972760924</v>
      </c>
      <c r="N90" s="9">
        <f t="shared" si="8"/>
        <v>-32653.535122161426</v>
      </c>
      <c r="O90" s="9">
        <f t="shared" si="8"/>
        <v>-33306.605824604652</v>
      </c>
      <c r="P90" s="9">
        <f t="shared" si="8"/>
        <v>-33972.737941096748</v>
      </c>
      <c r="Q90" s="9">
        <f t="shared" si="8"/>
        <v>-34652.192699918684</v>
      </c>
      <c r="R90" s="9">
        <f t="shared" si="8"/>
        <v>-35345.236553917057</v>
      </c>
      <c r="S90" s="9">
        <f t="shared" si="8"/>
        <v>-36052.141284995399</v>
      </c>
      <c r="T90" s="9">
        <f t="shared" si="8"/>
        <v>-36773.184110695307</v>
      </c>
      <c r="U90" s="9">
        <f t="shared" si="8"/>
        <v>-37508.647792909214</v>
      </c>
      <c r="V90" s="9">
        <f t="shared" si="8"/>
        <v>-38258.820748767401</v>
      </c>
      <c r="W90" s="9">
        <f t="shared" si="8"/>
        <v>-39023.997163742752</v>
      </c>
      <c r="X90" s="9"/>
      <c r="Y90" s="9"/>
      <c r="Z90" s="9"/>
      <c r="AA90" s="9"/>
      <c r="AB90" s="9"/>
    </row>
    <row r="91" spans="2:28" s="1" customFormat="1" ht="14">
      <c r="B91" s="43"/>
      <c r="C91" s="1" t="s">
        <v>258</v>
      </c>
      <c r="F91" s="43"/>
      <c r="H91" s="9"/>
      <c r="I91" s="9">
        <f t="shared" ref="I91:AB91" si="9">10%*I68</f>
        <v>2823.1598400000003</v>
      </c>
      <c r="J91" s="9">
        <f t="shared" si="9"/>
        <v>2809.0440407999999</v>
      </c>
      <c r="K91" s="9">
        <f t="shared" si="9"/>
        <v>2794.9988205959999</v>
      </c>
      <c r="L91" s="9">
        <f t="shared" si="9"/>
        <v>2781.0238264930199</v>
      </c>
      <c r="M91" s="9">
        <f t="shared" si="9"/>
        <v>2767.1187073605552</v>
      </c>
      <c r="N91" s="9">
        <f t="shared" si="9"/>
        <v>2753.2831138237525</v>
      </c>
      <c r="O91" s="9">
        <f t="shared" si="9"/>
        <v>2739.5166982546339</v>
      </c>
      <c r="P91" s="9">
        <f t="shared" si="9"/>
        <v>2725.8191147633606</v>
      </c>
      <c r="Q91" s="9">
        <f t="shared" si="9"/>
        <v>2712.1900191895438</v>
      </c>
      <c r="R91" s="9">
        <f t="shared" si="9"/>
        <v>2698.6290690935962</v>
      </c>
      <c r="S91" s="9">
        <f t="shared" si="9"/>
        <v>2685.1359237481279</v>
      </c>
      <c r="T91" s="9">
        <f t="shared" si="9"/>
        <v>2671.7102441293869</v>
      </c>
      <c r="U91" s="9">
        <f t="shared" si="9"/>
        <v>2658.3516929087405</v>
      </c>
      <c r="V91" s="9">
        <f t="shared" si="9"/>
        <v>2645.0599344441966</v>
      </c>
      <c r="W91" s="9">
        <f t="shared" si="9"/>
        <v>2631.8346347719762</v>
      </c>
      <c r="X91" s="9">
        <f t="shared" si="9"/>
        <v>2618.6754615981158</v>
      </c>
      <c r="Y91" s="9">
        <f t="shared" si="9"/>
        <v>2605.5820842901253</v>
      </c>
      <c r="Z91" s="9">
        <f t="shared" si="9"/>
        <v>2592.5541738686748</v>
      </c>
      <c r="AA91" s="9">
        <f t="shared" si="9"/>
        <v>2579.591402999331</v>
      </c>
      <c r="AB91" s="9">
        <f t="shared" si="9"/>
        <v>2566.6934459843346</v>
      </c>
    </row>
    <row r="92" spans="2:28" s="1" customFormat="1" ht="14">
      <c r="B92" s="44"/>
      <c r="C92" s="45" t="s">
        <v>155</v>
      </c>
      <c r="F92" s="44"/>
      <c r="G92" s="45"/>
      <c r="H92" s="9"/>
      <c r="I92" s="47">
        <f t="shared" ref="I92:AB92" si="10">SUM(I86:I89)</f>
        <v>-81000</v>
      </c>
      <c r="J92" s="47">
        <f t="shared" si="10"/>
        <v>-82620</v>
      </c>
      <c r="K92" s="47">
        <f t="shared" si="10"/>
        <v>-84272.4</v>
      </c>
      <c r="L92" s="47">
        <f t="shared" si="10"/>
        <v>-85957.847999999998</v>
      </c>
      <c r="M92" s="47">
        <f t="shared" si="10"/>
        <v>-87677.004959999991</v>
      </c>
      <c r="N92" s="47">
        <f t="shared" si="10"/>
        <v>-249430.5450592</v>
      </c>
      <c r="O92" s="47">
        <f t="shared" si="10"/>
        <v>-91219.155960384</v>
      </c>
      <c r="P92" s="47">
        <f t="shared" si="10"/>
        <v>-93043.539079591676</v>
      </c>
      <c r="Q92" s="47">
        <f t="shared" si="10"/>
        <v>-94904.409861183522</v>
      </c>
      <c r="R92" s="47">
        <f t="shared" si="10"/>
        <v>-96802.498058407189</v>
      </c>
      <c r="S92" s="47">
        <f t="shared" si="10"/>
        <v>-98738.548019575333</v>
      </c>
      <c r="T92" s="47">
        <f t="shared" si="10"/>
        <v>-260713.31897996686</v>
      </c>
      <c r="U92" s="47">
        <f t="shared" si="10"/>
        <v>-102727.5853595662</v>
      </c>
      <c r="V92" s="47">
        <f t="shared" si="10"/>
        <v>-104782.13706675751</v>
      </c>
      <c r="W92" s="47">
        <f t="shared" si="10"/>
        <v>-106877.77980809266</v>
      </c>
      <c r="X92" s="47">
        <f t="shared" si="10"/>
        <v>-109015.33540425453</v>
      </c>
      <c r="Y92" s="47">
        <f t="shared" si="10"/>
        <v>-111195.64211233963</v>
      </c>
      <c r="Z92" s="47">
        <f t="shared" si="10"/>
        <v>-113419.55495458641</v>
      </c>
      <c r="AA92" s="47">
        <f t="shared" si="10"/>
        <v>-115687.94605367814</v>
      </c>
      <c r="AB92" s="47">
        <f t="shared" si="10"/>
        <v>-118001.7049747517</v>
      </c>
    </row>
    <row r="93" spans="2:28" s="1" customFormat="1" ht="14">
      <c r="B93" s="44"/>
      <c r="C93" s="45"/>
      <c r="F93" s="44"/>
      <c r="G93" s="45"/>
      <c r="H93" s="9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 spans="2:28" s="1" customFormat="1" ht="14">
      <c r="B94" s="40">
        <v>4</v>
      </c>
      <c r="C94" s="41" t="s">
        <v>203</v>
      </c>
      <c r="D94" s="42"/>
      <c r="E94" s="42"/>
      <c r="F94" s="40"/>
      <c r="G94" s="41"/>
      <c r="H94" s="46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2:28" s="1" customFormat="1" ht="14">
      <c r="B95" s="44"/>
      <c r="C95" s="3" t="s">
        <v>204</v>
      </c>
      <c r="F95" s="44"/>
      <c r="G95" s="3"/>
      <c r="H95" s="9"/>
      <c r="I95" s="49">
        <f>D15</f>
        <v>3714684</v>
      </c>
      <c r="J95" s="49">
        <f t="shared" ref="J95:AB95" si="11">$I$95*0.995^(J63-1)</f>
        <v>3696110.58</v>
      </c>
      <c r="K95" s="49">
        <f t="shared" si="11"/>
        <v>3677630.0271000001</v>
      </c>
      <c r="L95" s="49">
        <f t="shared" si="11"/>
        <v>3659241.8769645002</v>
      </c>
      <c r="M95" s="49">
        <f t="shared" si="11"/>
        <v>3640945.6675796779</v>
      </c>
      <c r="N95" s="49">
        <f t="shared" si="11"/>
        <v>3622740.9392417795</v>
      </c>
      <c r="O95" s="49">
        <f t="shared" si="11"/>
        <v>3604627.2345455708</v>
      </c>
      <c r="P95" s="49">
        <f t="shared" si="11"/>
        <v>3586604.0983728427</v>
      </c>
      <c r="Q95" s="49">
        <f t="shared" si="11"/>
        <v>3568671.0778809786</v>
      </c>
      <c r="R95" s="49">
        <f t="shared" si="11"/>
        <v>3550827.7224915735</v>
      </c>
      <c r="S95" s="49">
        <f t="shared" si="11"/>
        <v>3533073.5838791155</v>
      </c>
      <c r="T95" s="49">
        <f t="shared" si="11"/>
        <v>3515408.2159597198</v>
      </c>
      <c r="U95" s="49">
        <f t="shared" si="11"/>
        <v>3497831.1748799216</v>
      </c>
      <c r="V95" s="49">
        <f t="shared" si="11"/>
        <v>3480342.0190055221</v>
      </c>
      <c r="W95" s="49">
        <f t="shared" si="11"/>
        <v>3462940.3089104947</v>
      </c>
      <c r="X95" s="49">
        <f t="shared" si="11"/>
        <v>3445625.6073659421</v>
      </c>
      <c r="Y95" s="49">
        <f t="shared" si="11"/>
        <v>3428397.4793291125</v>
      </c>
      <c r="Z95" s="49">
        <f t="shared" si="11"/>
        <v>3411255.4919324666</v>
      </c>
      <c r="AA95" s="49">
        <f t="shared" si="11"/>
        <v>3394199.2144728042</v>
      </c>
      <c r="AB95" s="49">
        <f t="shared" si="11"/>
        <v>3377228.2184004402</v>
      </c>
    </row>
    <row r="96" spans="2:28" s="1" customFormat="1" ht="14">
      <c r="B96" s="44"/>
      <c r="C96" s="3" t="s">
        <v>210</v>
      </c>
      <c r="F96" s="44"/>
      <c r="G96" s="3"/>
      <c r="H96" s="9"/>
      <c r="I96" s="49">
        <f>D29*365</f>
        <v>971921.99999999988</v>
      </c>
      <c r="J96" s="49">
        <f>I96*(1+0.02)^(J$63-I$63)</f>
        <v>991360.44</v>
      </c>
      <c r="K96" s="49">
        <f>J96*(1+0.02)^(K$63-J$63)</f>
        <v>1011187.6488</v>
      </c>
      <c r="L96" s="49">
        <f t="shared" ref="L96:AB96" si="12">K96*(1+0.02)^(L$63-K$63)</f>
        <v>1031411.4017759999</v>
      </c>
      <c r="M96" s="49">
        <f t="shared" si="12"/>
        <v>1052039.62981152</v>
      </c>
      <c r="N96" s="49">
        <f t="shared" si="12"/>
        <v>1073080.4224077505</v>
      </c>
      <c r="O96" s="49">
        <f t="shared" si="12"/>
        <v>1094542.0308559055</v>
      </c>
      <c r="P96" s="49">
        <f t="shared" si="12"/>
        <v>1116432.8714730237</v>
      </c>
      <c r="Q96" s="49">
        <f t="shared" si="12"/>
        <v>1138761.5289024841</v>
      </c>
      <c r="R96" s="49">
        <f t="shared" si="12"/>
        <v>1161536.7594805339</v>
      </c>
      <c r="S96" s="49">
        <f t="shared" si="12"/>
        <v>1184767.4946701445</v>
      </c>
      <c r="T96" s="49">
        <f t="shared" si="12"/>
        <v>1208462.8445635475</v>
      </c>
      <c r="U96" s="49">
        <f t="shared" si="12"/>
        <v>1232632.1014548184</v>
      </c>
      <c r="V96" s="49">
        <f t="shared" si="12"/>
        <v>1257284.7434839148</v>
      </c>
      <c r="W96" s="49">
        <f t="shared" si="12"/>
        <v>1282430.438353593</v>
      </c>
      <c r="X96" s="49">
        <f t="shared" si="12"/>
        <v>1308079.047120665</v>
      </c>
      <c r="Y96" s="49">
        <f t="shared" si="12"/>
        <v>1334240.6280630783</v>
      </c>
      <c r="Z96" s="49">
        <f t="shared" si="12"/>
        <v>1360925.44062434</v>
      </c>
      <c r="AA96" s="49">
        <f t="shared" si="12"/>
        <v>1388143.9494368269</v>
      </c>
      <c r="AB96" s="49">
        <f t="shared" si="12"/>
        <v>1415906.8284255634</v>
      </c>
    </row>
    <row r="97" spans="2:28" s="1" customFormat="1" ht="14">
      <c r="B97" s="44"/>
      <c r="C97" s="3" t="s">
        <v>211</v>
      </c>
      <c r="F97" s="44"/>
      <c r="G97" s="3"/>
      <c r="H97" s="9"/>
      <c r="I97" s="49">
        <f>D30*365</f>
        <v>1303050</v>
      </c>
      <c r="J97" s="49">
        <f>I97*(1+0.02)^(J$63-I$63)</f>
        <v>1329111</v>
      </c>
      <c r="K97" s="49">
        <f t="shared" ref="K97:AB97" si="13">J97*(1+0.02)^(K$63-J$63)</f>
        <v>1355693.22</v>
      </c>
      <c r="L97" s="49">
        <f t="shared" si="13"/>
        <v>1382807.0844000001</v>
      </c>
      <c r="M97" s="49">
        <f t="shared" si="13"/>
        <v>1410463.226088</v>
      </c>
      <c r="N97" s="49">
        <f t="shared" si="13"/>
        <v>1438672.4906097599</v>
      </c>
      <c r="O97" s="49">
        <f t="shared" si="13"/>
        <v>1467445.9404219552</v>
      </c>
      <c r="P97" s="49">
        <f t="shared" si="13"/>
        <v>1496794.8592303942</v>
      </c>
      <c r="Q97" s="49">
        <f t="shared" si="13"/>
        <v>1526730.756415002</v>
      </c>
      <c r="R97" s="49">
        <f t="shared" si="13"/>
        <v>1557265.3715433022</v>
      </c>
      <c r="S97" s="49">
        <f t="shared" si="13"/>
        <v>1588410.6789741684</v>
      </c>
      <c r="T97" s="49">
        <f t="shared" si="13"/>
        <v>1620178.8925536517</v>
      </c>
      <c r="U97" s="49">
        <f t="shared" si="13"/>
        <v>1652582.4704047248</v>
      </c>
      <c r="V97" s="49">
        <f t="shared" si="13"/>
        <v>1685634.1198128194</v>
      </c>
      <c r="W97" s="49">
        <f t="shared" si="13"/>
        <v>1719346.8022090758</v>
      </c>
      <c r="X97" s="49">
        <f t="shared" si="13"/>
        <v>1753733.7382532572</v>
      </c>
      <c r="Y97" s="49">
        <f t="shared" si="13"/>
        <v>1788808.4130183223</v>
      </c>
      <c r="Z97" s="49">
        <f t="shared" si="13"/>
        <v>1824584.5812786887</v>
      </c>
      <c r="AA97" s="49">
        <f t="shared" si="13"/>
        <v>1861076.2729042626</v>
      </c>
      <c r="AB97" s="49">
        <f t="shared" si="13"/>
        <v>1898297.798362348</v>
      </c>
    </row>
    <row r="98" spans="2:28" s="1" customFormat="1" ht="14">
      <c r="B98" s="44"/>
      <c r="C98" s="3" t="s">
        <v>205</v>
      </c>
      <c r="F98" s="44"/>
      <c r="G98" s="3"/>
      <c r="H98" s="9"/>
      <c r="I98" s="50">
        <f>I95-I96</f>
        <v>2742762</v>
      </c>
      <c r="J98" s="50">
        <f t="shared" ref="J98:M98" si="14">J95-J96</f>
        <v>2704750.14</v>
      </c>
      <c r="K98" s="50">
        <f t="shared" si="14"/>
        <v>2666442.3783</v>
      </c>
      <c r="L98" s="50">
        <f t="shared" si="14"/>
        <v>2627830.4751885002</v>
      </c>
      <c r="M98" s="50">
        <f t="shared" si="14"/>
        <v>2588906.0377681581</v>
      </c>
      <c r="N98" s="50">
        <f t="shared" ref="N98" si="15">N95-N96</f>
        <v>2549660.516834029</v>
      </c>
      <c r="O98" s="50">
        <f t="shared" ref="O98" si="16">O95-O96</f>
        <v>2510085.2036896655</v>
      </c>
      <c r="P98" s="50">
        <f t="shared" ref="P98:Q98" si="17">P95-P96</f>
        <v>2470171.226899819</v>
      </c>
      <c r="Q98" s="50">
        <f t="shared" si="17"/>
        <v>2429909.5489784945</v>
      </c>
      <c r="R98" s="50">
        <f t="shared" ref="R98" si="18">R95-R96</f>
        <v>2389290.9630110394</v>
      </c>
      <c r="S98" s="50">
        <f t="shared" ref="S98" si="19">S95-S96</f>
        <v>2348306.0892089708</v>
      </c>
      <c r="T98" s="50">
        <f t="shared" ref="T98:U98" si="20">T95-T96</f>
        <v>2306945.3713961723</v>
      </c>
      <c r="U98" s="50">
        <f t="shared" si="20"/>
        <v>2265199.073425103</v>
      </c>
      <c r="V98" s="50">
        <f t="shared" ref="V98" si="21">V95-V96</f>
        <v>2223057.2755216071</v>
      </c>
      <c r="W98" s="50">
        <f t="shared" ref="W98" si="22">W95-W96</f>
        <v>2180509.8705569017</v>
      </c>
      <c r="X98" s="50">
        <f t="shared" ref="X98:Y98" si="23">X95-X96</f>
        <v>2137546.5602452774</v>
      </c>
      <c r="Y98" s="50">
        <f t="shared" si="23"/>
        <v>2094156.8512660342</v>
      </c>
      <c r="Z98" s="50">
        <f t="shared" ref="Z98" si="24">Z95-Z96</f>
        <v>2050330.0513081267</v>
      </c>
      <c r="AA98" s="50">
        <f t="shared" ref="AA98" si="25">AA95-AA96</f>
        <v>2006055.2650359774</v>
      </c>
      <c r="AB98" s="50">
        <f t="shared" ref="AB98" si="26">AB95-AB96</f>
        <v>1961321.3899748768</v>
      </c>
    </row>
    <row r="99" spans="2:28" s="1" customFormat="1" ht="14">
      <c r="B99" s="44"/>
      <c r="C99" s="3" t="s">
        <v>206</v>
      </c>
      <c r="F99" s="44"/>
      <c r="G99" s="3"/>
      <c r="H99" s="9"/>
      <c r="I99" s="49">
        <f>D34*365</f>
        <v>45248.611675126915</v>
      </c>
      <c r="J99" s="19">
        <f>J98/$D$33</f>
        <v>44621.512461928934</v>
      </c>
      <c r="K99" s="19">
        <f>K98/$D$33</f>
        <v>43989.531621700509</v>
      </c>
      <c r="L99" s="19">
        <f t="shared" ref="L99:T99" si="27">L98/$D$33</f>
        <v>43352.533220114856</v>
      </c>
      <c r="M99" s="19">
        <f t="shared" si="27"/>
        <v>42710.378795667588</v>
      </c>
      <c r="N99" s="19">
        <f t="shared" si="27"/>
        <v>42062.927308175604</v>
      </c>
      <c r="O99" s="19">
        <f t="shared" si="27"/>
        <v>41410.035086250828</v>
      </c>
      <c r="P99" s="19">
        <f t="shared" si="27"/>
        <v>40751.555773727981</v>
      </c>
      <c r="Q99" s="19">
        <f t="shared" si="27"/>
        <v>40087.340275025927</v>
      </c>
      <c r="R99" s="19">
        <f t="shared" si="27"/>
        <v>39417.236699420704</v>
      </c>
      <c r="S99" s="19">
        <f t="shared" si="27"/>
        <v>38741.090304208912</v>
      </c>
      <c r="T99" s="19">
        <f t="shared" si="27"/>
        <v>38058.743436738885</v>
      </c>
      <c r="U99" s="19">
        <f>U98/$D$33</f>
        <v>37370.03547528723</v>
      </c>
      <c r="V99" s="19">
        <f t="shared" ref="V99" si="28">V98/$D$33</f>
        <v>36674.802768757479</v>
      </c>
      <c r="W99" s="19">
        <f t="shared" ref="W99" si="29">W98/$D$33</f>
        <v>35972.87857517731</v>
      </c>
      <c r="X99" s="19">
        <f t="shared" ref="X99" si="30">X98/$D$33</f>
        <v>35264.092998970315</v>
      </c>
      <c r="Y99" s="19">
        <f t="shared" ref="Y99" si="31">Y98/$D$33</f>
        <v>34548.272926977719</v>
      </c>
      <c r="Z99" s="19">
        <f t="shared" ref="Z99" si="32">Z98/$D$33</f>
        <v>33825.241963205139</v>
      </c>
      <c r="AA99" s="19">
        <f t="shared" ref="AA99" si="33">AA98/$D$33</f>
        <v>33094.820362268663</v>
      </c>
      <c r="AB99" s="19">
        <f t="shared" ref="AB99" si="34">AB98/$D$33</f>
        <v>32356.824961514467</v>
      </c>
    </row>
    <row r="100" spans="2:28" s="1" customFormat="1" ht="14">
      <c r="B100" s="44"/>
      <c r="C100" s="3" t="s">
        <v>207</v>
      </c>
      <c r="F100" s="44"/>
      <c r="G100" s="3"/>
      <c r="H100" s="9"/>
      <c r="I100" s="49">
        <f>D36*365</f>
        <v>754068.11356599</v>
      </c>
      <c r="J100" s="49">
        <f>J99*$D$35*33.33</f>
        <v>743617.5051780456</v>
      </c>
      <c r="K100" s="49">
        <f t="shared" ref="K100:O100" si="35">K99*$D$35*33.33</f>
        <v>733085.54447563901</v>
      </c>
      <c r="L100" s="49">
        <f t="shared" si="35"/>
        <v>722469.96611321403</v>
      </c>
      <c r="M100" s="49">
        <f t="shared" si="35"/>
        <v>711768.46262980031</v>
      </c>
      <c r="N100" s="49">
        <f t="shared" si="35"/>
        <v>700978.68359074637</v>
      </c>
      <c r="O100" s="49">
        <f t="shared" si="35"/>
        <v>690098.23471236997</v>
      </c>
      <c r="P100" s="49">
        <f t="shared" ref="P100" si="36">P99*$D$35*33.33</f>
        <v>679124.67696917674</v>
      </c>
      <c r="Q100" s="49">
        <f t="shared" ref="Q100" si="37">Q99*$D$35*33.33</f>
        <v>668055.52568330709</v>
      </c>
      <c r="R100" s="49">
        <f t="shared" ref="R100" si="38">R99*$D$35*33.33</f>
        <v>656888.24959584605</v>
      </c>
      <c r="S100" s="49">
        <f t="shared" ref="S100:T100" si="39">S99*$D$35*33.33</f>
        <v>645620.26991964143</v>
      </c>
      <c r="T100" s="49">
        <f t="shared" si="39"/>
        <v>634248.95937325351</v>
      </c>
      <c r="U100" s="49">
        <f t="shared" ref="U100" si="40">U99*$D$35*33.33</f>
        <v>622771.64119566162</v>
      </c>
      <c r="V100" s="49">
        <f t="shared" ref="V100" si="41">V99*$D$35*33.33</f>
        <v>611185.58814134332</v>
      </c>
      <c r="W100" s="49">
        <f t="shared" ref="W100" si="42">W99*$D$35*33.33</f>
        <v>599488.02145532984</v>
      </c>
      <c r="X100" s="49">
        <f t="shared" ref="X100:Y100" si="43">X99*$D$35*33.33</f>
        <v>587676.10982784024</v>
      </c>
      <c r="Y100" s="49">
        <f t="shared" si="43"/>
        <v>575746.96832808363</v>
      </c>
      <c r="Z100" s="49">
        <f t="shared" ref="Z100" si="44">Z99*$D$35*33.33</f>
        <v>563697.65731681359</v>
      </c>
      <c r="AA100" s="49">
        <f t="shared" ref="AA100" si="45">AA99*$D$35*33.33</f>
        <v>551525.18133720721</v>
      </c>
      <c r="AB100" s="49">
        <f t="shared" ref="AB100" si="46">AB99*$D$35*33.33</f>
        <v>539226.48798363854</v>
      </c>
    </row>
    <row r="101" spans="2:28" s="1" customFormat="1" ht="14">
      <c r="B101" s="44"/>
      <c r="C101" s="3" t="s">
        <v>208</v>
      </c>
      <c r="F101" s="44"/>
      <c r="G101" s="3"/>
      <c r="H101" s="9"/>
      <c r="I101" s="49">
        <f>(D29+D36)*365</f>
        <v>1725990.1135659898</v>
      </c>
      <c r="J101" s="49">
        <f>J96+J100</f>
        <v>1734977.9451780454</v>
      </c>
      <c r="K101" s="49">
        <f>K96+K100</f>
        <v>1744273.1932756389</v>
      </c>
      <c r="L101" s="49">
        <f t="shared" ref="L101:AB101" si="47">L96+L100</f>
        <v>1753881.3678892138</v>
      </c>
      <c r="M101" s="49">
        <f t="shared" si="47"/>
        <v>1763808.0924413204</v>
      </c>
      <c r="N101" s="49">
        <f t="shared" si="47"/>
        <v>1774059.105998497</v>
      </c>
      <c r="O101" s="49">
        <f t="shared" si="47"/>
        <v>1784640.2655682755</v>
      </c>
      <c r="P101" s="49">
        <f t="shared" si="47"/>
        <v>1795557.5484422003</v>
      </c>
      <c r="Q101" s="49">
        <f t="shared" si="47"/>
        <v>1806817.0545857912</v>
      </c>
      <c r="R101" s="49">
        <f t="shared" si="47"/>
        <v>1818425.0090763799</v>
      </c>
      <c r="S101" s="49">
        <f t="shared" si="47"/>
        <v>1830387.7645897861</v>
      </c>
      <c r="T101" s="49">
        <f t="shared" si="47"/>
        <v>1842711.8039368009</v>
      </c>
      <c r="U101" s="49">
        <f t="shared" si="47"/>
        <v>1855403.74265048</v>
      </c>
      <c r="V101" s="49">
        <f t="shared" si="47"/>
        <v>1868470.3316252581</v>
      </c>
      <c r="W101" s="49">
        <f t="shared" si="47"/>
        <v>1881918.4598089228</v>
      </c>
      <c r="X101" s="49">
        <f t="shared" si="47"/>
        <v>1895755.1569485052</v>
      </c>
      <c r="Y101" s="49">
        <f t="shared" si="47"/>
        <v>1909987.5963911619</v>
      </c>
      <c r="Z101" s="49">
        <f t="shared" si="47"/>
        <v>1924623.0979411537</v>
      </c>
      <c r="AA101" s="49">
        <f t="shared" si="47"/>
        <v>1939669.1307740342</v>
      </c>
      <c r="AB101" s="49">
        <f t="shared" si="47"/>
        <v>1955133.3164092018</v>
      </c>
    </row>
    <row r="102" spans="2:28" s="1" customFormat="1" ht="14">
      <c r="B102" s="44"/>
      <c r="C102" s="3" t="s">
        <v>209</v>
      </c>
      <c r="F102" s="44"/>
      <c r="G102" s="3"/>
      <c r="H102" s="9"/>
      <c r="I102" s="51">
        <f>D38</f>
        <v>0.57869468828209969</v>
      </c>
      <c r="J102" s="52">
        <f>J100/J97</f>
        <v>0.55948487761973653</v>
      </c>
      <c r="K102" s="52">
        <f t="shared" ref="K102:AB102" si="48">K100/K97</f>
        <v>0.54074589565007858</v>
      </c>
      <c r="L102" s="52">
        <f t="shared" si="48"/>
        <v>0.52246620245418662</v>
      </c>
      <c r="M102" s="52">
        <f t="shared" si="48"/>
        <v>0.50463454095427263</v>
      </c>
      <c r="N102" s="52">
        <f t="shared" si="48"/>
        <v>0.48723992998131699</v>
      </c>
      <c r="O102" s="52">
        <f t="shared" si="48"/>
        <v>0.47027165751260069</v>
      </c>
      <c r="P102" s="52">
        <f t="shared" si="48"/>
        <v>0.45371927407498025</v>
      </c>
      <c r="Q102" s="52">
        <f t="shared" si="48"/>
        <v>0.43757258630985069</v>
      </c>
      <c r="R102" s="52">
        <f t="shared" si="48"/>
        <v>0.421821650695827</v>
      </c>
      <c r="S102" s="52">
        <f t="shared" si="48"/>
        <v>0.40645676742528425</v>
      </c>
      <c r="T102" s="52">
        <f t="shared" si="48"/>
        <v>0.39146847443098048</v>
      </c>
      <c r="U102" s="52">
        <f t="shared" si="48"/>
        <v>0.37684754155908606</v>
      </c>
      <c r="V102" s="52">
        <f t="shared" si="48"/>
        <v>0.36258496488503222</v>
      </c>
      <c r="W102" s="52">
        <f t="shared" si="48"/>
        <v>0.34867196116867583</v>
      </c>
      <c r="X102" s="52">
        <f t="shared" si="48"/>
        <v>0.33509996244536738</v>
      </c>
      <c r="Y102" s="52">
        <f t="shared" si="48"/>
        <v>0.32186061074959088</v>
      </c>
      <c r="Z102" s="52">
        <f t="shared" si="48"/>
        <v>0.30894575296792659</v>
      </c>
      <c r="AA102" s="52">
        <f t="shared" si="48"/>
        <v>0.29634743581816581</v>
      </c>
      <c r="AB102" s="52">
        <f t="shared" si="48"/>
        <v>0.28405790095148747</v>
      </c>
    </row>
    <row r="103" spans="2:28" s="1" customFormat="1" ht="14">
      <c r="B103" s="44"/>
      <c r="C103" s="3" t="s">
        <v>254</v>
      </c>
      <c r="F103" s="44"/>
      <c r="G103" s="3"/>
      <c r="H103" s="9"/>
      <c r="I103" s="53">
        <f>(I95/1000)*$D$20</f>
        <v>3528.9497999999999</v>
      </c>
      <c r="J103" s="53">
        <f>(J95/1000)*$D$20</f>
        <v>3511.3050509999998</v>
      </c>
      <c r="K103" s="53">
        <f t="shared" ref="K103:U103" si="49">(K95/1000)*$D$20</f>
        <v>3493.7485257449998</v>
      </c>
      <c r="L103" s="53">
        <f t="shared" si="49"/>
        <v>3476.2797831162748</v>
      </c>
      <c r="M103" s="53">
        <f t="shared" si="49"/>
        <v>3458.8983842006937</v>
      </c>
      <c r="N103" s="53">
        <f t="shared" si="49"/>
        <v>3441.6038922796902</v>
      </c>
      <c r="O103" s="53">
        <f t="shared" si="49"/>
        <v>3424.395872818292</v>
      </c>
      <c r="P103" s="53">
        <f t="shared" si="49"/>
        <v>3407.2738934542003</v>
      </c>
      <c r="Q103" s="53">
        <f t="shared" si="49"/>
        <v>3390.2375239869293</v>
      </c>
      <c r="R103" s="53">
        <f t="shared" si="49"/>
        <v>3373.2863363669949</v>
      </c>
      <c r="S103" s="53">
        <f t="shared" si="49"/>
        <v>3356.4199046851595</v>
      </c>
      <c r="T103" s="53">
        <f t="shared" si="49"/>
        <v>3339.6378051617335</v>
      </c>
      <c r="U103" s="53">
        <f t="shared" si="49"/>
        <v>3322.9396161359255</v>
      </c>
      <c r="V103" s="53">
        <f>(V95/1000)*$D$20</f>
        <v>3306.3249180552457</v>
      </c>
      <c r="W103" s="53">
        <f>(W95/1000)*$D$20</f>
        <v>3289.7932934649698</v>
      </c>
      <c r="X103" s="53">
        <f t="shared" ref="X103:AB103" si="50">(X95/1000)*$D$20</f>
        <v>3273.3443269976447</v>
      </c>
      <c r="Y103" s="53">
        <f t="shared" si="50"/>
        <v>3256.9776053626565</v>
      </c>
      <c r="Z103" s="53">
        <f t="shared" si="50"/>
        <v>3240.6927173358431</v>
      </c>
      <c r="AA103" s="53">
        <f t="shared" si="50"/>
        <v>3224.4892537491637</v>
      </c>
      <c r="AB103" s="53">
        <f t="shared" si="50"/>
        <v>3208.3668074804182</v>
      </c>
    </row>
    <row r="104" spans="2:28" s="1" customFormat="1" ht="14">
      <c r="B104" s="44"/>
      <c r="C104" s="3"/>
      <c r="F104" s="44"/>
      <c r="G104" s="3"/>
      <c r="H104" s="9"/>
      <c r="I104" s="54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</row>
    <row r="105" spans="2:28" s="1" customFormat="1" ht="14">
      <c r="B105" s="40">
        <v>4</v>
      </c>
      <c r="C105" s="41" t="s">
        <v>156</v>
      </c>
      <c r="D105" s="42"/>
      <c r="E105" s="42"/>
      <c r="F105" s="40"/>
      <c r="G105" s="41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 spans="2:28" s="1" customFormat="1" ht="14">
      <c r="B106" s="43"/>
      <c r="C106" s="1" t="s">
        <v>145</v>
      </c>
      <c r="F106" s="43"/>
      <c r="H106" s="9"/>
      <c r="I106" s="9">
        <f t="shared" ref="I106:AB106" si="51">I69+I92</f>
        <v>811448.23763869226</v>
      </c>
      <c r="J106" s="9">
        <f t="shared" si="51"/>
        <v>809056.76597258146</v>
      </c>
      <c r="K106" s="9">
        <f t="shared" si="51"/>
        <v>806677.8284881484</v>
      </c>
      <c r="L106" s="9">
        <f t="shared" si="51"/>
        <v>804311.3740509518</v>
      </c>
      <c r="M106" s="9">
        <f t="shared" si="51"/>
        <v>801957.35201295139</v>
      </c>
      <c r="N106" s="9">
        <f t="shared" si="51"/>
        <v>639615.7122146918</v>
      </c>
      <c r="O106" s="9">
        <f t="shared" si="51"/>
        <v>797286.40498756524</v>
      </c>
      <c r="P106" s="9">
        <f t="shared" si="51"/>
        <v>794969.38115615875</v>
      </c>
      <c r="Q106" s="9">
        <f t="shared" si="51"/>
        <v>792664.59204068547</v>
      </c>
      <c r="R106" s="9">
        <f t="shared" si="51"/>
        <v>790371.98945950123</v>
      </c>
      <c r="S106" s="9">
        <f t="shared" si="51"/>
        <v>460705.85478747473</v>
      </c>
      <c r="T106" s="9">
        <f t="shared" si="51"/>
        <v>298437.48273561703</v>
      </c>
      <c r="U106" s="9">
        <f t="shared" si="51"/>
        <v>456181.15568846039</v>
      </c>
      <c r="V106" s="9">
        <f t="shared" si="51"/>
        <v>453936.82748386986</v>
      </c>
      <c r="W106" s="9">
        <f t="shared" si="51"/>
        <v>451704.45247177943</v>
      </c>
      <c r="X106" s="9">
        <f t="shared" si="51"/>
        <v>338915.99355331797</v>
      </c>
      <c r="Y106" s="9">
        <f t="shared" si="51"/>
        <v>334496.03020044504</v>
      </c>
      <c r="Z106" s="9">
        <f t="shared" si="51"/>
        <v>330043.6589966343</v>
      </c>
      <c r="AA106" s="9">
        <f t="shared" si="51"/>
        <v>325557.9518277864</v>
      </c>
      <c r="AB106" s="9">
        <f t="shared" si="51"/>
        <v>321037.96341730555</v>
      </c>
    </row>
    <row r="107" spans="2:28" s="1" customFormat="1" ht="14">
      <c r="B107" s="2"/>
      <c r="C107" s="3" t="s">
        <v>157</v>
      </c>
      <c r="F107" s="2"/>
      <c r="G107" s="3"/>
      <c r="H107" s="9"/>
      <c r="I107" s="9">
        <f t="shared" ref="I107:AB107" si="52">$D$147</f>
        <v>-236297.31353473334</v>
      </c>
      <c r="J107" s="9">
        <f t="shared" si="52"/>
        <v>-236297.31353473334</v>
      </c>
      <c r="K107" s="9">
        <f t="shared" si="52"/>
        <v>-236297.31353473334</v>
      </c>
      <c r="L107" s="9">
        <f t="shared" si="52"/>
        <v>-236297.31353473334</v>
      </c>
      <c r="M107" s="9">
        <f t="shared" si="52"/>
        <v>-236297.31353473334</v>
      </c>
      <c r="N107" s="9">
        <f t="shared" si="52"/>
        <v>-236297.31353473334</v>
      </c>
      <c r="O107" s="9">
        <f t="shared" si="52"/>
        <v>-236297.31353473334</v>
      </c>
      <c r="P107" s="9">
        <f t="shared" si="52"/>
        <v>-236297.31353473334</v>
      </c>
      <c r="Q107" s="9">
        <f t="shared" si="52"/>
        <v>-236297.31353473334</v>
      </c>
      <c r="R107" s="9">
        <f t="shared" si="52"/>
        <v>-236297.31353473334</v>
      </c>
      <c r="S107" s="9">
        <f t="shared" si="52"/>
        <v>-236297.31353473334</v>
      </c>
      <c r="T107" s="9">
        <f t="shared" si="52"/>
        <v>-236297.31353473334</v>
      </c>
      <c r="U107" s="9">
        <f t="shared" si="52"/>
        <v>-236297.31353473334</v>
      </c>
      <c r="V107" s="9">
        <f t="shared" si="52"/>
        <v>-236297.31353473334</v>
      </c>
      <c r="W107" s="9">
        <f t="shared" si="52"/>
        <v>-236297.31353473334</v>
      </c>
      <c r="X107" s="9">
        <f t="shared" si="52"/>
        <v>-236297.31353473334</v>
      </c>
      <c r="Y107" s="9">
        <f t="shared" si="52"/>
        <v>-236297.31353473334</v>
      </c>
      <c r="Z107" s="9">
        <f t="shared" si="52"/>
        <v>-236297.31353473334</v>
      </c>
      <c r="AA107" s="9">
        <f t="shared" si="52"/>
        <v>-236297.31353473334</v>
      </c>
      <c r="AB107" s="9">
        <f t="shared" si="52"/>
        <v>-236297.31353473334</v>
      </c>
    </row>
    <row r="108" spans="2:28" s="1" customFormat="1" ht="14">
      <c r="B108" s="2"/>
      <c r="C108" s="3" t="s">
        <v>158</v>
      </c>
      <c r="F108" s="2"/>
      <c r="G108" s="3"/>
      <c r="H108" s="9"/>
      <c r="I108" s="9">
        <f>SUM(I106:I107)</f>
        <v>575150.92410395888</v>
      </c>
      <c r="J108" s="9">
        <f t="shared" ref="J108:M108" si="53">SUM(J106:J107)</f>
        <v>572759.45243784809</v>
      </c>
      <c r="K108" s="9">
        <f t="shared" si="53"/>
        <v>570380.51495341503</v>
      </c>
      <c r="L108" s="9">
        <f t="shared" si="53"/>
        <v>568014.06051621842</v>
      </c>
      <c r="M108" s="9">
        <f t="shared" si="53"/>
        <v>565660.03847821802</v>
      </c>
      <c r="N108" s="9">
        <f t="shared" ref="N108" si="54">SUM(N106:N107)</f>
        <v>403318.39867995842</v>
      </c>
      <c r="O108" s="9">
        <f t="shared" ref="O108" si="55">SUM(O106:O107)</f>
        <v>560989.09145283187</v>
      </c>
      <c r="P108" s="9">
        <f t="shared" ref="P108:Q108" si="56">SUM(P106:P107)</f>
        <v>558672.06762142538</v>
      </c>
      <c r="Q108" s="9">
        <f t="shared" si="56"/>
        <v>556367.2785059521</v>
      </c>
      <c r="R108" s="9">
        <f t="shared" ref="R108" si="57">SUM(R106:R107)</f>
        <v>554074.67592476786</v>
      </c>
      <c r="S108" s="9">
        <f t="shared" ref="S108" si="58">SUM(S106:S107)</f>
        <v>224408.54125274139</v>
      </c>
      <c r="T108" s="9">
        <f t="shared" ref="T108:U108" si="59">SUM(T106:T107)</f>
        <v>62140.169200883684</v>
      </c>
      <c r="U108" s="9">
        <f t="shared" si="59"/>
        <v>219883.84215372705</v>
      </c>
      <c r="V108" s="9">
        <f t="shared" ref="V108" si="60">SUM(V106:V107)</f>
        <v>217639.51394913651</v>
      </c>
      <c r="W108" s="9">
        <f t="shared" ref="W108" si="61">SUM(W106:W107)</f>
        <v>215407.13893704608</v>
      </c>
      <c r="X108" s="9">
        <f t="shared" ref="X108:Y108" si="62">SUM(X106:X107)</f>
        <v>102618.68001858462</v>
      </c>
      <c r="Y108" s="9">
        <f t="shared" si="62"/>
        <v>98198.71666571169</v>
      </c>
      <c r="Z108" s="9">
        <f t="shared" ref="Z108" si="63">SUM(Z106:Z107)</f>
        <v>93746.345461900957</v>
      </c>
      <c r="AA108" s="9">
        <f t="shared" ref="AA108" si="64">SUM(AA106:AA107)</f>
        <v>89260.638293053053</v>
      </c>
      <c r="AB108" s="9">
        <f t="shared" ref="AB108" si="65">SUM(AB106:AB107)</f>
        <v>84740.649882572208</v>
      </c>
    </row>
    <row r="109" spans="2:28" s="1" customFormat="1" ht="14">
      <c r="B109" s="2"/>
      <c r="C109" s="3"/>
      <c r="F109" s="2"/>
      <c r="G109" s="3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2:28" s="1" customFormat="1" ht="14">
      <c r="B110" s="2"/>
      <c r="C110" s="3" t="s">
        <v>231</v>
      </c>
      <c r="F110" s="2"/>
      <c r="G110" s="3"/>
      <c r="H110" s="9"/>
      <c r="I110" s="9">
        <f>D52</f>
        <v>1584334.8487623341</v>
      </c>
      <c r="J110" s="9">
        <f>I114</f>
        <v>1538897.1867488332</v>
      </c>
      <c r="K110" s="9">
        <f>J114</f>
        <v>1490960.4533245896</v>
      </c>
      <c r="L110" s="9">
        <f t="shared" ref="L110:AB110" si="66">K114</f>
        <v>1440387.1995620127</v>
      </c>
      <c r="M110" s="9">
        <f t="shared" si="66"/>
        <v>1387032.4168424942</v>
      </c>
      <c r="N110" s="9">
        <f t="shared" si="66"/>
        <v>1330743.121073402</v>
      </c>
      <c r="O110" s="9">
        <f t="shared" si="66"/>
        <v>1271357.9140370097</v>
      </c>
      <c r="P110" s="9">
        <f t="shared" si="66"/>
        <v>1208706.5206136159</v>
      </c>
      <c r="Q110" s="9">
        <f t="shared" si="66"/>
        <v>1142609.3005519353</v>
      </c>
      <c r="R110" s="9">
        <f t="shared" si="66"/>
        <v>1072876.7333868626</v>
      </c>
      <c r="S110" s="9">
        <f t="shared" si="66"/>
        <v>999308.87502771069</v>
      </c>
      <c r="T110" s="9">
        <f t="shared" si="66"/>
        <v>921694.78445880546</v>
      </c>
      <c r="U110" s="9">
        <f t="shared" si="66"/>
        <v>839811.91890861047</v>
      </c>
      <c r="V110" s="9">
        <f t="shared" si="66"/>
        <v>753425.49575315474</v>
      </c>
      <c r="W110" s="9">
        <f t="shared" si="66"/>
        <v>662287.81932414894</v>
      </c>
      <c r="X110" s="9">
        <f t="shared" si="66"/>
        <v>566137.57069154782</v>
      </c>
      <c r="Y110" s="9">
        <f t="shared" si="66"/>
        <v>464699.05838415364</v>
      </c>
      <c r="Z110" s="9">
        <f t="shared" si="66"/>
        <v>357681.42789985274</v>
      </c>
      <c r="AA110" s="9">
        <f t="shared" si="66"/>
        <v>244777.82773891534</v>
      </c>
      <c r="AB110" s="9">
        <f t="shared" si="66"/>
        <v>125664.52956912637</v>
      </c>
    </row>
    <row r="111" spans="2:28" s="1" customFormat="1" ht="14">
      <c r="B111" s="2"/>
      <c r="C111" s="3" t="s">
        <v>229</v>
      </c>
      <c r="F111" s="2"/>
      <c r="G111" s="3"/>
      <c r="H111" s="9"/>
      <c r="I111" s="9">
        <f>PMT($D$53, 20, $D$52)</f>
        <v>-132576.07869542931</v>
      </c>
      <c r="J111" s="9">
        <f t="shared" ref="J111:AB111" si="67">PMT($D$53, 20, $D$52)</f>
        <v>-132576.07869542931</v>
      </c>
      <c r="K111" s="9">
        <f t="shared" si="67"/>
        <v>-132576.07869542931</v>
      </c>
      <c r="L111" s="9">
        <f t="shared" si="67"/>
        <v>-132576.07869542931</v>
      </c>
      <c r="M111" s="9">
        <f t="shared" si="67"/>
        <v>-132576.07869542931</v>
      </c>
      <c r="N111" s="9">
        <f t="shared" si="67"/>
        <v>-132576.07869542931</v>
      </c>
      <c r="O111" s="9">
        <f t="shared" si="67"/>
        <v>-132576.07869542931</v>
      </c>
      <c r="P111" s="9">
        <f t="shared" si="67"/>
        <v>-132576.07869542931</v>
      </c>
      <c r="Q111" s="9">
        <f t="shared" si="67"/>
        <v>-132576.07869542931</v>
      </c>
      <c r="R111" s="9">
        <f t="shared" si="67"/>
        <v>-132576.07869542931</v>
      </c>
      <c r="S111" s="9">
        <f t="shared" si="67"/>
        <v>-132576.07869542931</v>
      </c>
      <c r="T111" s="9">
        <f t="shared" si="67"/>
        <v>-132576.07869542931</v>
      </c>
      <c r="U111" s="9">
        <f t="shared" si="67"/>
        <v>-132576.07869542931</v>
      </c>
      <c r="V111" s="9">
        <f t="shared" si="67"/>
        <v>-132576.07869542931</v>
      </c>
      <c r="W111" s="9">
        <f t="shared" si="67"/>
        <v>-132576.07869542931</v>
      </c>
      <c r="X111" s="9">
        <f t="shared" si="67"/>
        <v>-132576.07869542931</v>
      </c>
      <c r="Y111" s="9">
        <f t="shared" si="67"/>
        <v>-132576.07869542931</v>
      </c>
      <c r="Z111" s="9">
        <f t="shared" si="67"/>
        <v>-132576.07869542931</v>
      </c>
      <c r="AA111" s="9">
        <f t="shared" si="67"/>
        <v>-132576.07869542931</v>
      </c>
      <c r="AB111" s="9">
        <f t="shared" si="67"/>
        <v>-132576.07869542931</v>
      </c>
    </row>
    <row r="112" spans="2:28" s="1" customFormat="1" ht="14">
      <c r="B112" s="2"/>
      <c r="C112" s="45" t="s">
        <v>230</v>
      </c>
      <c r="F112" s="2"/>
      <c r="G112" s="3"/>
      <c r="H112" s="9"/>
      <c r="I112" s="9">
        <f>-I110*$D$53</f>
        <v>-87138.416681928371</v>
      </c>
      <c r="J112" s="9">
        <f>-J110*$D$53</f>
        <v>-84639.345271185826</v>
      </c>
      <c r="K112" s="9">
        <f t="shared" ref="K112:AB112" si="68">-K110*$D$53</f>
        <v>-82002.824932852425</v>
      </c>
      <c r="L112" s="9">
        <f t="shared" si="68"/>
        <v>-79221.295975910703</v>
      </c>
      <c r="M112" s="9">
        <f t="shared" si="68"/>
        <v>-76286.782926337182</v>
      </c>
      <c r="N112" s="9">
        <f t="shared" si="68"/>
        <v>-73190.871659037104</v>
      </c>
      <c r="O112" s="9">
        <f t="shared" si="68"/>
        <v>-69924.685272035538</v>
      </c>
      <c r="P112" s="9">
        <f t="shared" si="68"/>
        <v>-66478.858633748867</v>
      </c>
      <c r="Q112" s="9">
        <f t="shared" si="68"/>
        <v>-62843.511530356445</v>
      </c>
      <c r="R112" s="9">
        <f t="shared" si="68"/>
        <v>-59008.220336277438</v>
      </c>
      <c r="S112" s="9">
        <f t="shared" si="68"/>
        <v>-54961.988126524091</v>
      </c>
      <c r="T112" s="9">
        <f t="shared" si="68"/>
        <v>-50693.213145234302</v>
      </c>
      <c r="U112" s="9">
        <f t="shared" si="68"/>
        <v>-46189.655539973573</v>
      </c>
      <c r="V112" s="9">
        <f t="shared" si="68"/>
        <v>-41438.402266423509</v>
      </c>
      <c r="W112" s="9">
        <f t="shared" si="68"/>
        <v>-36425.830062828194</v>
      </c>
      <c r="X112" s="9">
        <f t="shared" si="68"/>
        <v>-31137.566388035131</v>
      </c>
      <c r="Y112" s="9">
        <f t="shared" si="68"/>
        <v>-25558.448211128449</v>
      </c>
      <c r="Z112" s="9">
        <f t="shared" si="68"/>
        <v>-19672.4785344919</v>
      </c>
      <c r="AA112" s="9">
        <f t="shared" si="68"/>
        <v>-13462.780525640344</v>
      </c>
      <c r="AB112" s="9">
        <f t="shared" si="68"/>
        <v>-6911.5491263019503</v>
      </c>
    </row>
    <row r="113" spans="2:28" s="1" customFormat="1" ht="14">
      <c r="B113" s="2"/>
      <c r="C113" s="3" t="s">
        <v>234</v>
      </c>
      <c r="F113" s="2"/>
      <c r="G113" s="3"/>
      <c r="H113" s="9"/>
      <c r="I113" s="9">
        <f>-(I111-I112)</f>
        <v>45437.662013500943</v>
      </c>
      <c r="J113" s="9">
        <f>-(J111-J112)</f>
        <v>47936.733424243488</v>
      </c>
      <c r="K113" s="9">
        <f t="shared" ref="K113:AB113" si="69">-(K111-K112)</f>
        <v>50573.253762576889</v>
      </c>
      <c r="L113" s="9">
        <f t="shared" si="69"/>
        <v>53354.782719518611</v>
      </c>
      <c r="M113" s="9">
        <f t="shared" si="69"/>
        <v>56289.295769092132</v>
      </c>
      <c r="N113" s="9">
        <f t="shared" si="69"/>
        <v>59385.20703639221</v>
      </c>
      <c r="O113" s="9">
        <f t="shared" si="69"/>
        <v>62651.393423393776</v>
      </c>
      <c r="P113" s="9">
        <f t="shared" si="69"/>
        <v>66097.220061680448</v>
      </c>
      <c r="Q113" s="9">
        <f t="shared" si="69"/>
        <v>69732.567165072862</v>
      </c>
      <c r="R113" s="9">
        <f t="shared" si="69"/>
        <v>73567.858359151869</v>
      </c>
      <c r="S113" s="9">
        <f t="shared" si="69"/>
        <v>77614.090568905231</v>
      </c>
      <c r="T113" s="9">
        <f t="shared" si="69"/>
        <v>81882.865550195012</v>
      </c>
      <c r="U113" s="9">
        <f t="shared" si="69"/>
        <v>86386.423155455734</v>
      </c>
      <c r="V113" s="9">
        <f t="shared" si="69"/>
        <v>91137.676429005805</v>
      </c>
      <c r="W113" s="9">
        <f t="shared" si="69"/>
        <v>96150.248632601113</v>
      </c>
      <c r="X113" s="9">
        <f t="shared" si="69"/>
        <v>101438.51230739418</v>
      </c>
      <c r="Y113" s="9">
        <f t="shared" si="69"/>
        <v>107017.63048430087</v>
      </c>
      <c r="Z113" s="9">
        <f t="shared" si="69"/>
        <v>112903.60016093741</v>
      </c>
      <c r="AA113" s="9">
        <f t="shared" si="69"/>
        <v>119113.29816978896</v>
      </c>
      <c r="AB113" s="9">
        <f t="shared" si="69"/>
        <v>125664.52956912736</v>
      </c>
    </row>
    <row r="114" spans="2:28" s="1" customFormat="1" ht="14">
      <c r="B114" s="2"/>
      <c r="C114" s="3" t="s">
        <v>235</v>
      </c>
      <c r="F114" s="2"/>
      <c r="G114" s="3"/>
      <c r="H114" s="9"/>
      <c r="I114" s="9">
        <f>I110-I113</f>
        <v>1538897.1867488332</v>
      </c>
      <c r="J114" s="9">
        <f>J110-J113</f>
        <v>1490960.4533245896</v>
      </c>
      <c r="K114" s="9">
        <f t="shared" ref="K114:AB114" si="70">K110-K113</f>
        <v>1440387.1995620127</v>
      </c>
      <c r="L114" s="9">
        <f t="shared" si="70"/>
        <v>1387032.4168424942</v>
      </c>
      <c r="M114" s="9">
        <f t="shared" si="70"/>
        <v>1330743.121073402</v>
      </c>
      <c r="N114" s="9">
        <f t="shared" si="70"/>
        <v>1271357.9140370097</v>
      </c>
      <c r="O114" s="9">
        <f t="shared" si="70"/>
        <v>1208706.5206136159</v>
      </c>
      <c r="P114" s="9">
        <f t="shared" si="70"/>
        <v>1142609.3005519353</v>
      </c>
      <c r="Q114" s="9">
        <f t="shared" si="70"/>
        <v>1072876.7333868626</v>
      </c>
      <c r="R114" s="9">
        <f t="shared" si="70"/>
        <v>999308.87502771069</v>
      </c>
      <c r="S114" s="9">
        <f t="shared" si="70"/>
        <v>921694.78445880546</v>
      </c>
      <c r="T114" s="9">
        <f t="shared" si="70"/>
        <v>839811.91890861047</v>
      </c>
      <c r="U114" s="9">
        <f t="shared" si="70"/>
        <v>753425.49575315474</v>
      </c>
      <c r="V114" s="9">
        <f t="shared" si="70"/>
        <v>662287.81932414894</v>
      </c>
      <c r="W114" s="9">
        <f t="shared" si="70"/>
        <v>566137.57069154782</v>
      </c>
      <c r="X114" s="9">
        <f t="shared" si="70"/>
        <v>464699.05838415364</v>
      </c>
      <c r="Y114" s="9">
        <f t="shared" si="70"/>
        <v>357681.42789985274</v>
      </c>
      <c r="Z114" s="9">
        <f t="shared" si="70"/>
        <v>244777.82773891534</v>
      </c>
      <c r="AA114" s="9">
        <f t="shared" si="70"/>
        <v>125664.52956912637</v>
      </c>
      <c r="AB114" s="9">
        <f t="shared" si="70"/>
        <v>-9.8953023552894592E-10</v>
      </c>
    </row>
    <row r="115" spans="2:28" s="1" customFormat="1" ht="14">
      <c r="B115" s="2"/>
      <c r="C115" s="3"/>
      <c r="F115" s="2"/>
      <c r="G115" s="3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2:28" s="1" customFormat="1" ht="14">
      <c r="B116" s="2"/>
      <c r="C116" s="45" t="s">
        <v>159</v>
      </c>
      <c r="F116" s="2"/>
      <c r="G116" s="3"/>
      <c r="H116" s="9"/>
      <c r="I116" s="9">
        <f t="shared" ref="I116:AB116" si="71">-MAX((I108+I112)*22%,0)</f>
        <v>-107362.7516328467</v>
      </c>
      <c r="J116" s="9">
        <f t="shared" si="71"/>
        <v>-107386.42357666569</v>
      </c>
      <c r="K116" s="9">
        <f t="shared" si="71"/>
        <v>-107443.09180452378</v>
      </c>
      <c r="L116" s="9">
        <f t="shared" si="71"/>
        <v>-107534.40819886769</v>
      </c>
      <c r="M116" s="9">
        <f t="shared" si="71"/>
        <v>-107662.11622141377</v>
      </c>
      <c r="N116" s="9">
        <f t="shared" si="71"/>
        <v>-72628.055944602704</v>
      </c>
      <c r="O116" s="9">
        <f t="shared" si="71"/>
        <v>-108034.16935977519</v>
      </c>
      <c r="P116" s="9">
        <f t="shared" si="71"/>
        <v>-108282.50597728883</v>
      </c>
      <c r="Q116" s="9">
        <f t="shared" si="71"/>
        <v>-108575.22873463105</v>
      </c>
      <c r="R116" s="9">
        <f t="shared" si="71"/>
        <v>-108914.6202294679</v>
      </c>
      <c r="S116" s="9">
        <f t="shared" si="71"/>
        <v>-37278.241687767804</v>
      </c>
      <c r="T116" s="9">
        <f t="shared" si="71"/>
        <v>-2518.3303322428642</v>
      </c>
      <c r="U116" s="9">
        <f t="shared" si="71"/>
        <v>-38212.721055025766</v>
      </c>
      <c r="V116" s="9">
        <f t="shared" si="71"/>
        <v>-38764.244570196861</v>
      </c>
      <c r="W116" s="9">
        <f t="shared" si="71"/>
        <v>-39375.887952327932</v>
      </c>
      <c r="X116" s="9">
        <f t="shared" si="71"/>
        <v>-15725.844998720888</v>
      </c>
      <c r="Y116" s="9">
        <f t="shared" si="71"/>
        <v>-15980.859060008313</v>
      </c>
      <c r="Z116" s="9">
        <f t="shared" si="71"/>
        <v>-16296.250724029991</v>
      </c>
      <c r="AA116" s="9">
        <f t="shared" si="71"/>
        <v>-16675.528708830796</v>
      </c>
      <c r="AB116" s="9">
        <f t="shared" si="71"/>
        <v>-17122.402166379456</v>
      </c>
    </row>
    <row r="117" spans="2:28" s="1" customFormat="1" ht="14">
      <c r="B117" s="2"/>
      <c r="C117" s="3"/>
      <c r="F117" s="2"/>
      <c r="G117" s="3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B117" s="9"/>
    </row>
    <row r="118" spans="2:28" s="1" customFormat="1" ht="14">
      <c r="B118" s="55">
        <v>5</v>
      </c>
      <c r="C118" s="41" t="s">
        <v>160</v>
      </c>
      <c r="D118" s="42"/>
      <c r="E118" s="42"/>
      <c r="F118" s="55"/>
      <c r="G118" s="41"/>
      <c r="H118" s="46">
        <f>H83</f>
        <v>-3960837.1219058349</v>
      </c>
      <c r="I118" s="46">
        <f t="shared" ref="I118:S118" si="72">I108+I112+I116</f>
        <v>380649.75578918378</v>
      </c>
      <c r="J118" s="46">
        <f t="shared" si="72"/>
        <v>380733.68358999654</v>
      </c>
      <c r="K118" s="46">
        <f t="shared" si="72"/>
        <v>380934.59821603884</v>
      </c>
      <c r="L118" s="46">
        <f t="shared" si="72"/>
        <v>381258.35634144</v>
      </c>
      <c r="M118" s="46">
        <f t="shared" si="72"/>
        <v>381711.13933046703</v>
      </c>
      <c r="N118" s="46">
        <f t="shared" si="72"/>
        <v>257499.47107631864</v>
      </c>
      <c r="O118" s="46">
        <f t="shared" si="72"/>
        <v>383030.23682102113</v>
      </c>
      <c r="P118" s="46">
        <f t="shared" si="72"/>
        <v>383910.70301038772</v>
      </c>
      <c r="Q118" s="46">
        <f t="shared" si="72"/>
        <v>384948.53824096464</v>
      </c>
      <c r="R118" s="46">
        <f t="shared" si="72"/>
        <v>386151.83535902249</v>
      </c>
      <c r="S118" s="46">
        <f t="shared" si="72"/>
        <v>132168.31143844948</v>
      </c>
      <c r="T118" s="46">
        <f t="shared" ref="T118:AA118" si="73">T108+T112+T116</f>
        <v>8928.6257234065179</v>
      </c>
      <c r="U118" s="46">
        <f t="shared" si="73"/>
        <v>135481.46555872771</v>
      </c>
      <c r="V118" s="46">
        <f t="shared" si="73"/>
        <v>137436.86711251613</v>
      </c>
      <c r="W118" s="46">
        <f t="shared" si="73"/>
        <v>139605.42092188995</v>
      </c>
      <c r="X118" s="46">
        <f t="shared" si="73"/>
        <v>55755.2686318286</v>
      </c>
      <c r="Y118" s="46">
        <f t="shared" si="73"/>
        <v>56659.409394574934</v>
      </c>
      <c r="Z118" s="46">
        <f t="shared" si="73"/>
        <v>57777.616203379061</v>
      </c>
      <c r="AA118" s="46">
        <f t="shared" si="73"/>
        <v>59122.329058581905</v>
      </c>
      <c r="AB118" s="46">
        <f>AB108+AB112+AB116</f>
        <v>60706.698589890802</v>
      </c>
    </row>
    <row r="119" spans="2:28" s="1" customFormat="1" ht="14">
      <c r="B119" s="44"/>
      <c r="C119" s="45" t="s">
        <v>246</v>
      </c>
      <c r="F119" s="44"/>
      <c r="H119" s="9">
        <f>H118</f>
        <v>-3960837.1219058349</v>
      </c>
      <c r="I119" s="9">
        <f t="shared" ref="I119:AB119" si="74">I118-I107-I113</f>
        <v>571509.40731041622</v>
      </c>
      <c r="J119" s="9">
        <f t="shared" si="74"/>
        <v>569094.26370048639</v>
      </c>
      <c r="K119" s="9">
        <f t="shared" si="74"/>
        <v>566658.65798819531</v>
      </c>
      <c r="L119" s="9">
        <f t="shared" si="74"/>
        <v>564200.88715665473</v>
      </c>
      <c r="M119" s="9">
        <f t="shared" si="74"/>
        <v>561719.15709610819</v>
      </c>
      <c r="N119" s="9">
        <f t="shared" si="74"/>
        <v>434411.57757465984</v>
      </c>
      <c r="O119" s="9">
        <f t="shared" si="74"/>
        <v>556676.15693236073</v>
      </c>
      <c r="P119" s="9">
        <f t="shared" si="74"/>
        <v>554110.79648344067</v>
      </c>
      <c r="Q119" s="9">
        <f t="shared" si="74"/>
        <v>551513.28461062512</v>
      </c>
      <c r="R119" s="9">
        <f t="shared" si="74"/>
        <v>548881.29053460399</v>
      </c>
      <c r="S119" s="9">
        <f t="shared" si="74"/>
        <v>290851.53440427757</v>
      </c>
      <c r="T119" s="9">
        <f t="shared" si="74"/>
        <v>163343.07370794486</v>
      </c>
      <c r="U119" s="9">
        <f t="shared" si="74"/>
        <v>285392.35593800532</v>
      </c>
      <c r="V119" s="9">
        <f t="shared" si="74"/>
        <v>282596.50421824364</v>
      </c>
      <c r="W119" s="9">
        <f t="shared" si="74"/>
        <v>279752.48582402221</v>
      </c>
      <c r="X119" s="9">
        <f t="shared" si="74"/>
        <v>190614.06985916779</v>
      </c>
      <c r="Y119" s="9">
        <f t="shared" si="74"/>
        <v>185939.09244500744</v>
      </c>
      <c r="Z119" s="9">
        <f t="shared" si="74"/>
        <v>181171.32957717497</v>
      </c>
      <c r="AA119" s="9">
        <f t="shared" si="74"/>
        <v>176306.34442352626</v>
      </c>
      <c r="AB119" s="9">
        <f t="shared" si="74"/>
        <v>171339.4825554968</v>
      </c>
    </row>
    <row r="120" spans="2:28" s="1" customFormat="1" ht="14">
      <c r="B120" s="43"/>
      <c r="C120" s="45" t="s">
        <v>146</v>
      </c>
      <c r="F120" s="43"/>
      <c r="H120" s="9">
        <f>H119</f>
        <v>-3960837.1219058349</v>
      </c>
      <c r="I120" s="9">
        <f>H120+I119</f>
        <v>-3389327.7145954184</v>
      </c>
      <c r="J120" s="9">
        <f>I120+J119</f>
        <v>-2820233.4508949323</v>
      </c>
      <c r="K120" s="9">
        <f t="shared" ref="K120:AB120" si="75">J120+K119</f>
        <v>-2253574.792906737</v>
      </c>
      <c r="L120" s="9">
        <f t="shared" si="75"/>
        <v>-1689373.9057500823</v>
      </c>
      <c r="M120" s="9">
        <f t="shared" si="75"/>
        <v>-1127654.7486539742</v>
      </c>
      <c r="N120" s="9">
        <f t="shared" si="75"/>
        <v>-693243.17107931431</v>
      </c>
      <c r="O120" s="9">
        <f t="shared" si="75"/>
        <v>-136567.01414695359</v>
      </c>
      <c r="P120" s="9">
        <f t="shared" si="75"/>
        <v>417543.78233648709</v>
      </c>
      <c r="Q120" s="9">
        <f t="shared" si="75"/>
        <v>969057.06694711221</v>
      </c>
      <c r="R120" s="9">
        <f t="shared" si="75"/>
        <v>1517938.3574817162</v>
      </c>
      <c r="S120" s="9">
        <f t="shared" si="75"/>
        <v>1808789.8918859938</v>
      </c>
      <c r="T120" s="9">
        <f t="shared" si="75"/>
        <v>1972132.9655939387</v>
      </c>
      <c r="U120" s="9">
        <f t="shared" si="75"/>
        <v>2257525.321531944</v>
      </c>
      <c r="V120" s="9">
        <f t="shared" si="75"/>
        <v>2540121.8257501875</v>
      </c>
      <c r="W120" s="9">
        <f t="shared" si="75"/>
        <v>2819874.3115742095</v>
      </c>
      <c r="X120" s="9">
        <f t="shared" si="75"/>
        <v>3010488.381433377</v>
      </c>
      <c r="Y120" s="9">
        <f t="shared" si="75"/>
        <v>3196427.4738783846</v>
      </c>
      <c r="Z120" s="9">
        <f t="shared" si="75"/>
        <v>3377598.8034555595</v>
      </c>
      <c r="AA120" s="9">
        <f t="shared" si="75"/>
        <v>3553905.147879086</v>
      </c>
      <c r="AB120" s="9">
        <f t="shared" si="75"/>
        <v>3725244.6304345829</v>
      </c>
    </row>
    <row r="121" spans="2:28"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</row>
    <row r="122" spans="2:28" s="3" customFormat="1" ht="14">
      <c r="B122" s="55">
        <v>6</v>
      </c>
      <c r="C122" s="41" t="s">
        <v>212</v>
      </c>
      <c r="D122" s="57"/>
      <c r="E122" s="57"/>
      <c r="F122" s="55"/>
      <c r="G122" s="41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</row>
    <row r="123" spans="2:28" s="3" customFormat="1" ht="14">
      <c r="B123" s="2"/>
      <c r="C123" s="3" t="s">
        <v>216</v>
      </c>
      <c r="H123" s="10">
        <f>H83</f>
        <v>-3960837.1219058349</v>
      </c>
    </row>
    <row r="124" spans="2:28" s="3" customFormat="1" ht="14">
      <c r="B124" s="2"/>
      <c r="C124" s="1" t="s">
        <v>213</v>
      </c>
      <c r="G124" s="1"/>
      <c r="H124" s="9"/>
      <c r="I124" s="30">
        <f t="shared" ref="I124:AB124" si="76">1/(1+0.08)^I63</f>
        <v>0.92592592592592582</v>
      </c>
      <c r="J124" s="30">
        <f t="shared" si="76"/>
        <v>0.85733882030178321</v>
      </c>
      <c r="K124" s="30">
        <f t="shared" si="76"/>
        <v>0.79383224102016958</v>
      </c>
      <c r="L124" s="30">
        <f t="shared" si="76"/>
        <v>0.73502985279645328</v>
      </c>
      <c r="M124" s="30">
        <f t="shared" si="76"/>
        <v>0.68058319703375303</v>
      </c>
      <c r="N124" s="30">
        <f t="shared" si="76"/>
        <v>0.63016962688310452</v>
      </c>
      <c r="O124" s="30">
        <f t="shared" si="76"/>
        <v>0.58349039526213387</v>
      </c>
      <c r="P124" s="30">
        <f t="shared" si="76"/>
        <v>0.54026888450197574</v>
      </c>
      <c r="Q124" s="30">
        <f t="shared" si="76"/>
        <v>0.50024896713145905</v>
      </c>
      <c r="R124" s="30">
        <f t="shared" si="76"/>
        <v>0.46319348808468425</v>
      </c>
      <c r="S124" s="30">
        <f t="shared" si="76"/>
        <v>0.42888285933767062</v>
      </c>
      <c r="T124" s="30">
        <f t="shared" si="76"/>
        <v>0.39711375864599124</v>
      </c>
      <c r="U124" s="30">
        <f t="shared" si="76"/>
        <v>0.36769792467221413</v>
      </c>
      <c r="V124" s="30">
        <f t="shared" si="76"/>
        <v>0.34046104136316119</v>
      </c>
      <c r="W124" s="30">
        <f t="shared" si="76"/>
        <v>0.31524170496588994</v>
      </c>
      <c r="X124" s="30">
        <f t="shared" si="76"/>
        <v>0.29189046756100923</v>
      </c>
      <c r="Y124" s="30">
        <f t="shared" si="76"/>
        <v>0.27026895144537894</v>
      </c>
      <c r="Z124" s="30">
        <f t="shared" si="76"/>
        <v>0.25024902911609154</v>
      </c>
      <c r="AA124" s="30">
        <f t="shared" si="76"/>
        <v>0.23171206399638106</v>
      </c>
      <c r="AB124" s="30">
        <f t="shared" si="76"/>
        <v>0.21454820740405653</v>
      </c>
    </row>
    <row r="125" spans="2:28" s="10" customFormat="1" ht="14">
      <c r="B125" s="58"/>
      <c r="C125" s="1" t="s">
        <v>214</v>
      </c>
      <c r="G125" s="1"/>
      <c r="H125" s="9"/>
      <c r="I125" s="9">
        <f t="shared" ref="I125:AB125" si="77">I92*I124</f>
        <v>-74999.999999999985</v>
      </c>
      <c r="J125" s="9">
        <f t="shared" si="77"/>
        <v>-70833.333333333328</v>
      </c>
      <c r="K125" s="9">
        <f t="shared" si="77"/>
        <v>-66898.148148148131</v>
      </c>
      <c r="L125" s="9">
        <f t="shared" si="77"/>
        <v>-63181.584362139904</v>
      </c>
      <c r="M125" s="9">
        <f t="shared" si="77"/>
        <v>-59671.496342021019</v>
      </c>
      <c r="N125" s="9">
        <f t="shared" si="77"/>
        <v>-157183.55351320546</v>
      </c>
      <c r="O125" s="9">
        <f t="shared" si="77"/>
        <v>-53225.501366802695</v>
      </c>
      <c r="P125" s="9">
        <f t="shared" si="77"/>
        <v>-50268.529068646982</v>
      </c>
      <c r="Q125" s="9">
        <f t="shared" si="77"/>
        <v>-47475.833009277711</v>
      </c>
      <c r="R125" s="9">
        <f t="shared" si="77"/>
        <v>-44838.286730984502</v>
      </c>
      <c r="S125" s="9">
        <f t="shared" si="77"/>
        <v>-42347.270801485363</v>
      </c>
      <c r="T125" s="9">
        <f t="shared" si="77"/>
        <v>-103532.84602920589</v>
      </c>
      <c r="U125" s="9">
        <f t="shared" si="77"/>
        <v>-37772.719943300224</v>
      </c>
      <c r="V125" s="9">
        <f t="shared" si="77"/>
        <v>-35674.235502005751</v>
      </c>
      <c r="W125" s="9">
        <f t="shared" si="77"/>
        <v>-33692.333529672098</v>
      </c>
      <c r="X125" s="9">
        <f t="shared" si="77"/>
        <v>-31820.537222468098</v>
      </c>
      <c r="Y125" s="9">
        <f t="shared" si="77"/>
        <v>-30052.729598997652</v>
      </c>
      <c r="Z125" s="9">
        <f t="shared" si="77"/>
        <v>-28383.133510164436</v>
      </c>
      <c r="AA125" s="9">
        <f t="shared" si="77"/>
        <v>-26806.29275959975</v>
      </c>
      <c r="AB125" s="9">
        <f t="shared" si="77"/>
        <v>-25317.054272955316</v>
      </c>
    </row>
    <row r="126" spans="2:28" s="3" customFormat="1" ht="14">
      <c r="B126" s="2"/>
      <c r="C126" s="1" t="s">
        <v>215</v>
      </c>
      <c r="G126" s="1"/>
      <c r="H126" s="9"/>
      <c r="I126" s="28">
        <f t="shared" ref="I126:AB126" si="78">I101*I124</f>
        <v>1598138.994042583</v>
      </c>
      <c r="J126" s="28">
        <f t="shared" si="78"/>
        <v>1487463.9447685573</v>
      </c>
      <c r="K126" s="28">
        <f t="shared" si="78"/>
        <v>1384660.2979694079</v>
      </c>
      <c r="L126" s="28">
        <f t="shared" si="78"/>
        <v>1289155.1636620509</v>
      </c>
      <c r="M126" s="28">
        <f t="shared" si="78"/>
        <v>1200418.1505077193</v>
      </c>
      <c r="N126" s="28">
        <f t="shared" si="78"/>
        <v>1117958.1648956467</v>
      </c>
      <c r="O126" s="28">
        <f t="shared" si="78"/>
        <v>1041320.4539571526</v>
      </c>
      <c r="P126" s="28">
        <f t="shared" si="78"/>
        <v>970083.87375596981</v>
      </c>
      <c r="Q126" s="28">
        <f t="shared" si="78"/>
        <v>903858.36535204714</v>
      </c>
      <c r="R126" s="28">
        <f t="shared" si="78"/>
        <v>842282.62277451204</v>
      </c>
      <c r="S126" s="28">
        <f t="shared" si="78"/>
        <v>785021.93817395461</v>
      </c>
      <c r="T126" s="28">
        <f t="shared" si="78"/>
        <v>731766.21056267794</v>
      </c>
      <c r="U126" s="28">
        <f t="shared" si="78"/>
        <v>682228.10560164042</v>
      </c>
      <c r="V126" s="28">
        <f t="shared" si="78"/>
        <v>636141.35486130649</v>
      </c>
      <c r="W126" s="28">
        <f t="shared" si="78"/>
        <v>593259.18387694645</v>
      </c>
      <c r="X126" s="28">
        <f t="shared" si="78"/>
        <v>553352.85914289358</v>
      </c>
      <c r="Y126" s="28">
        <f t="shared" si="78"/>
        <v>516210.34495031898</v>
      </c>
      <c r="Z126" s="28">
        <f t="shared" si="78"/>
        <v>481635.06167417805</v>
      </c>
      <c r="AA126" s="28">
        <f t="shared" si="78"/>
        <v>449444.73776171781</v>
      </c>
      <c r="AB126" s="28">
        <f t="shared" si="78"/>
        <v>419470.34827154229</v>
      </c>
    </row>
    <row r="127" spans="2:28" s="3" customFormat="1" ht="14">
      <c r="B127" s="70">
        <v>7</v>
      </c>
      <c r="C127" s="71" t="s">
        <v>245</v>
      </c>
      <c r="D127" s="72">
        <f>IRR(H119:AB119)</f>
        <v>9.8471741889204711E-2</v>
      </c>
      <c r="E127" s="73"/>
      <c r="F127" s="73"/>
      <c r="G127" s="73"/>
      <c r="H127" s="74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</row>
    <row r="128" spans="2:28" s="3" customFormat="1" ht="14">
      <c r="B128" s="70">
        <v>8</v>
      </c>
      <c r="C128" s="71" t="s">
        <v>247</v>
      </c>
      <c r="D128" s="75">
        <f>NPV(8%,I119:AB119)+H119</f>
        <v>438937.84810902504</v>
      </c>
      <c r="E128" s="73" t="s">
        <v>250</v>
      </c>
      <c r="F128" s="82" t="s">
        <v>259</v>
      </c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</row>
    <row r="129" spans="2:28" s="3" customFormat="1" ht="15" thickBot="1">
      <c r="B129" s="76">
        <v>9</v>
      </c>
      <c r="C129" s="77" t="s">
        <v>248</v>
      </c>
      <c r="D129" s="78">
        <f>9+(P120/P119)</f>
        <v>9.7535384348876608</v>
      </c>
      <c r="E129" s="79" t="s">
        <v>249</v>
      </c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</row>
    <row r="130" spans="2:28" s="3" customFormat="1" ht="15" thickTop="1">
      <c r="B130" s="2"/>
    </row>
    <row r="131" spans="2:28">
      <c r="B131" s="59" t="s">
        <v>161</v>
      </c>
      <c r="C131" s="60" t="s">
        <v>162</v>
      </c>
      <c r="D131" s="60" t="s">
        <v>3</v>
      </c>
      <c r="E131" s="60" t="s">
        <v>163</v>
      </c>
      <c r="F131" s="60" t="s">
        <v>164</v>
      </c>
    </row>
    <row r="132" spans="2:28">
      <c r="B132" s="61" t="s">
        <v>134</v>
      </c>
      <c r="C132" s="1">
        <v>1000</v>
      </c>
      <c r="D132" s="1" t="s">
        <v>165</v>
      </c>
      <c r="E132" s="1" t="s">
        <v>166</v>
      </c>
      <c r="F132" s="1" t="s">
        <v>167</v>
      </c>
    </row>
    <row r="133" spans="2:28">
      <c r="B133" s="61" t="s">
        <v>168</v>
      </c>
      <c r="C133" s="1">
        <v>800</v>
      </c>
      <c r="D133" s="1" t="s">
        <v>169</v>
      </c>
      <c r="E133" s="1" t="s">
        <v>170</v>
      </c>
      <c r="F133" s="1" t="s">
        <v>171</v>
      </c>
      <c r="P133">
        <f>O120/P119</f>
        <v>-0.2464615651123391</v>
      </c>
    </row>
    <row r="134" spans="2:28">
      <c r="B134" s="61" t="s">
        <v>172</v>
      </c>
      <c r="C134" s="1">
        <v>1600</v>
      </c>
      <c r="D134" s="1" t="s">
        <v>169</v>
      </c>
      <c r="E134" s="1" t="s">
        <v>173</v>
      </c>
      <c r="F134" s="1" t="s">
        <v>174</v>
      </c>
    </row>
    <row r="135" spans="2:28">
      <c r="B135" s="61" t="s">
        <v>175</v>
      </c>
      <c r="C135" s="1">
        <v>1000</v>
      </c>
      <c r="D135" s="1" t="s">
        <v>176</v>
      </c>
      <c r="E135" s="1" t="s">
        <v>177</v>
      </c>
      <c r="F135" s="1" t="s">
        <v>178</v>
      </c>
    </row>
    <row r="136" spans="2:28">
      <c r="B136" s="61" t="s">
        <v>138</v>
      </c>
      <c r="C136" s="31">
        <v>0.1</v>
      </c>
      <c r="D136" s="1"/>
      <c r="E136" s="1" t="s">
        <v>179</v>
      </c>
      <c r="F136" s="1" t="s">
        <v>180</v>
      </c>
    </row>
    <row r="137" spans="2:28">
      <c r="B137" s="61" t="s">
        <v>139</v>
      </c>
      <c r="C137" s="1">
        <v>1200</v>
      </c>
      <c r="D137" s="1" t="s">
        <v>181</v>
      </c>
      <c r="E137" s="1" t="s">
        <v>182</v>
      </c>
      <c r="F137" s="1" t="s">
        <v>183</v>
      </c>
    </row>
    <row r="138" spans="2:28" ht="17" thickBot="1">
      <c r="B138" s="62" t="s">
        <v>184</v>
      </c>
      <c r="C138" s="63">
        <v>0.03</v>
      </c>
      <c r="D138" s="21"/>
      <c r="E138" s="21" t="s">
        <v>185</v>
      </c>
      <c r="F138" s="21" t="s">
        <v>186</v>
      </c>
    </row>
    <row r="139" spans="2:28" ht="17" thickTop="1">
      <c r="B139" s="14"/>
    </row>
    <row r="140" spans="2:28">
      <c r="B140" s="64" t="s">
        <v>219</v>
      </c>
      <c r="C140" s="65" t="s">
        <v>220</v>
      </c>
      <c r="D140" s="64" t="s">
        <v>221</v>
      </c>
      <c r="E140" s="12"/>
    </row>
    <row r="141" spans="2:28">
      <c r="B141" s="66" t="s">
        <v>222</v>
      </c>
      <c r="C141" s="67">
        <v>20</v>
      </c>
      <c r="D141" s="68">
        <f>H72/C141</f>
        <v>-100000</v>
      </c>
      <c r="E141" s="11"/>
    </row>
    <row r="142" spans="2:28">
      <c r="B142" s="66" t="s">
        <v>135</v>
      </c>
      <c r="C142" s="67">
        <v>10</v>
      </c>
      <c r="D142" s="68">
        <f>H75/C142</f>
        <v>-72000</v>
      </c>
      <c r="E142" s="11"/>
    </row>
    <row r="143" spans="2:28">
      <c r="B143" s="66" t="s">
        <v>136</v>
      </c>
      <c r="C143" s="67">
        <v>10</v>
      </c>
      <c r="D143" s="68">
        <f>H76/C143</f>
        <v>-15385.867162227945</v>
      </c>
      <c r="E143" s="11"/>
    </row>
    <row r="144" spans="2:28">
      <c r="B144" s="66" t="s">
        <v>137</v>
      </c>
      <c r="C144" s="67">
        <v>15</v>
      </c>
      <c r="D144" s="68">
        <f>H77/C144</f>
        <v>-41322.933036645591</v>
      </c>
      <c r="E144" s="11"/>
    </row>
    <row r="145" spans="2:5">
      <c r="B145" s="66" t="s">
        <v>138</v>
      </c>
      <c r="C145" s="67">
        <v>20</v>
      </c>
      <c r="D145" s="68">
        <f>H78/C145</f>
        <v>-7468.5133358598159</v>
      </c>
      <c r="E145" s="11"/>
    </row>
    <row r="146" spans="2:5">
      <c r="B146" s="66" t="s">
        <v>139</v>
      </c>
      <c r="C146" s="67">
        <v>20</v>
      </c>
      <c r="D146" s="68">
        <f>H81/C146</f>
        <v>-120</v>
      </c>
    </row>
    <row r="147" spans="2:5" ht="17" thickBot="1">
      <c r="B147" s="69" t="s">
        <v>223</v>
      </c>
      <c r="C147" s="80"/>
      <c r="D147" s="81">
        <f>SUM(D141:D146)</f>
        <v>-236297.31353473334</v>
      </c>
      <c r="E147" s="11"/>
    </row>
    <row r="148" spans="2:5" ht="17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0275-16A9-1540-ABB0-909E9DD3F854}">
  <dimension ref="B3:AB167"/>
  <sheetViews>
    <sheetView showGridLines="0" topLeftCell="A43" zoomScale="50" zoomScaleNormal="110" workbookViewId="0">
      <selection activeCell="X58" sqref="X58"/>
    </sheetView>
  </sheetViews>
  <sheetFormatPr baseColWidth="10" defaultRowHeight="16"/>
  <cols>
    <col min="2" max="2" width="16.83203125" customWidth="1"/>
    <col min="3" max="3" width="29.33203125" customWidth="1"/>
    <col min="4" max="5" width="16.83203125" customWidth="1"/>
    <col min="6" max="6" width="47" customWidth="1"/>
    <col min="8" max="9" width="15.83203125" customWidth="1"/>
    <col min="10" max="10" width="19.6640625" customWidth="1"/>
    <col min="11" max="11" width="15.83203125" customWidth="1"/>
    <col min="12" max="12" width="21.33203125" customWidth="1"/>
    <col min="13" max="28" width="15.83203125" customWidth="1"/>
  </cols>
  <sheetData>
    <row r="3" spans="2:6">
      <c r="B3" s="7" t="s">
        <v>0</v>
      </c>
      <c r="C3" s="5"/>
      <c r="D3" s="6"/>
      <c r="E3" s="6"/>
      <c r="F3" s="6"/>
    </row>
    <row r="4" spans="2:6">
      <c r="B4" s="23" t="s">
        <v>43</v>
      </c>
      <c r="C4" s="24" t="s">
        <v>1</v>
      </c>
      <c r="D4" s="24" t="s">
        <v>2</v>
      </c>
      <c r="E4" s="24" t="s">
        <v>3</v>
      </c>
      <c r="F4" s="24" t="s">
        <v>4</v>
      </c>
    </row>
    <row r="5" spans="2:6">
      <c r="B5" s="83" t="s">
        <v>260</v>
      </c>
      <c r="C5" s="83" t="s">
        <v>261</v>
      </c>
      <c r="D5" s="84">
        <v>800</v>
      </c>
      <c r="E5" s="83" t="s">
        <v>262</v>
      </c>
      <c r="F5" s="83" t="s">
        <v>327</v>
      </c>
    </row>
    <row r="6" spans="2:6">
      <c r="B6" s="83" t="s">
        <v>263</v>
      </c>
      <c r="C6" s="83" t="s">
        <v>264</v>
      </c>
      <c r="D6" s="86">
        <v>0.95</v>
      </c>
      <c r="E6" s="83" t="s">
        <v>265</v>
      </c>
      <c r="F6" s="83" t="s">
        <v>266</v>
      </c>
    </row>
    <row r="7" spans="2:6">
      <c r="B7" s="83" t="s">
        <v>267</v>
      </c>
      <c r="C7" s="83" t="s">
        <v>268</v>
      </c>
      <c r="D7" s="84">
        <f>D5*D6*365</f>
        <v>277400</v>
      </c>
      <c r="E7" s="83" t="s">
        <v>269</v>
      </c>
      <c r="F7" s="83" t="s">
        <v>270</v>
      </c>
    </row>
    <row r="8" spans="2:6">
      <c r="B8" s="83" t="s">
        <v>271</v>
      </c>
      <c r="C8" s="83" t="s">
        <v>272</v>
      </c>
      <c r="D8" s="84">
        <f>D5/D13</f>
        <v>1454.5454545454545</v>
      </c>
      <c r="E8" s="83" t="s">
        <v>262</v>
      </c>
      <c r="F8" s="83" t="s">
        <v>273</v>
      </c>
    </row>
    <row r="9" spans="2:6">
      <c r="B9" s="83" t="s">
        <v>274</v>
      </c>
      <c r="C9" s="83" t="s">
        <v>275</v>
      </c>
      <c r="D9" s="84">
        <f>D77</f>
        <v>3.1734671578930489</v>
      </c>
      <c r="E9" s="83" t="s">
        <v>276</v>
      </c>
      <c r="F9" s="83" t="s">
        <v>328</v>
      </c>
    </row>
    <row r="10" spans="2:6">
      <c r="B10" s="83" t="s">
        <v>277</v>
      </c>
      <c r="C10" s="83" t="s">
        <v>278</v>
      </c>
      <c r="D10" s="84">
        <v>3.4</v>
      </c>
      <c r="E10" s="83" t="s">
        <v>276</v>
      </c>
      <c r="F10" s="83" t="s">
        <v>279</v>
      </c>
    </row>
    <row r="11" spans="2:6">
      <c r="B11" s="83" t="s">
        <v>280</v>
      </c>
      <c r="C11" s="83" t="s">
        <v>281</v>
      </c>
      <c r="D11" s="84">
        <f>D7*D9</f>
        <v>880319.7895995318</v>
      </c>
      <c r="E11" s="83" t="s">
        <v>21</v>
      </c>
      <c r="F11" s="83" t="s">
        <v>282</v>
      </c>
    </row>
    <row r="12" spans="2:6">
      <c r="B12" s="83" t="s">
        <v>283</v>
      </c>
      <c r="C12" s="83" t="s">
        <v>284</v>
      </c>
      <c r="D12" s="84">
        <f>D73</f>
        <v>2.220910216734814</v>
      </c>
      <c r="E12" s="83" t="s">
        <v>285</v>
      </c>
      <c r="F12" s="83" t="s">
        <v>329</v>
      </c>
    </row>
    <row r="13" spans="2:6">
      <c r="B13" s="83" t="s">
        <v>286</v>
      </c>
      <c r="C13" s="83" t="s">
        <v>287</v>
      </c>
      <c r="D13" s="86">
        <v>0.55000000000000004</v>
      </c>
      <c r="E13" s="83" t="s">
        <v>265</v>
      </c>
      <c r="F13" s="83" t="s">
        <v>288</v>
      </c>
    </row>
    <row r="14" spans="2:6">
      <c r="B14" s="83" t="s">
        <v>289</v>
      </c>
      <c r="C14" s="83" t="s">
        <v>290</v>
      </c>
      <c r="D14" s="84">
        <v>38000</v>
      </c>
      <c r="E14" s="83" t="s">
        <v>291</v>
      </c>
      <c r="F14" s="83" t="s">
        <v>330</v>
      </c>
    </row>
    <row r="15" spans="2:6">
      <c r="B15" s="83" t="s">
        <v>292</v>
      </c>
      <c r="C15" s="83" t="s">
        <v>293</v>
      </c>
      <c r="D15" s="84">
        <v>500</v>
      </c>
      <c r="E15" s="83" t="s">
        <v>291</v>
      </c>
      <c r="F15" s="83" t="s">
        <v>331</v>
      </c>
    </row>
    <row r="16" spans="2:6">
      <c r="B16" s="83" t="s">
        <v>294</v>
      </c>
      <c r="C16" s="83" t="s">
        <v>295</v>
      </c>
      <c r="D16" s="84" t="s">
        <v>296</v>
      </c>
      <c r="E16" s="83" t="s">
        <v>10</v>
      </c>
      <c r="F16" s="83" t="s">
        <v>297</v>
      </c>
    </row>
    <row r="17" spans="2:7">
      <c r="B17" s="83" t="s">
        <v>298</v>
      </c>
      <c r="C17" s="83" t="s">
        <v>299</v>
      </c>
      <c r="D17" s="84">
        <v>6</v>
      </c>
      <c r="E17" s="83" t="s">
        <v>249</v>
      </c>
      <c r="F17" s="83" t="s">
        <v>332</v>
      </c>
    </row>
    <row r="18" spans="2:7">
      <c r="B18" s="83" t="s">
        <v>300</v>
      </c>
      <c r="C18" s="83" t="s">
        <v>301</v>
      </c>
      <c r="D18" s="84">
        <v>2.5</v>
      </c>
      <c r="E18" s="83" t="s">
        <v>302</v>
      </c>
      <c r="F18" s="83" t="s">
        <v>333</v>
      </c>
    </row>
    <row r="19" spans="2:7">
      <c r="B19" s="83" t="s">
        <v>303</v>
      </c>
      <c r="C19" s="83" t="s">
        <v>304</v>
      </c>
      <c r="D19" s="84">
        <f>D18*D7/1000</f>
        <v>693.5</v>
      </c>
      <c r="E19" s="83" t="s">
        <v>305</v>
      </c>
      <c r="F19" s="83" t="s">
        <v>306</v>
      </c>
    </row>
    <row r="20" spans="2:7">
      <c r="B20" s="83" t="s">
        <v>307</v>
      </c>
      <c r="C20" s="83" t="s">
        <v>308</v>
      </c>
      <c r="D20" s="84">
        <v>6</v>
      </c>
      <c r="E20" s="83" t="s">
        <v>249</v>
      </c>
      <c r="F20" s="83" t="s">
        <v>334</v>
      </c>
    </row>
    <row r="21" spans="2:7">
      <c r="B21" s="83" t="s">
        <v>309</v>
      </c>
      <c r="C21" s="83" t="s">
        <v>310</v>
      </c>
      <c r="D21" s="84">
        <v>8</v>
      </c>
      <c r="E21" s="83" t="s">
        <v>311</v>
      </c>
      <c r="F21" s="83" t="s">
        <v>335</v>
      </c>
    </row>
    <row r="22" spans="2:7">
      <c r="B22" s="83" t="s">
        <v>312</v>
      </c>
      <c r="C22" s="83" t="s">
        <v>313</v>
      </c>
      <c r="D22" s="84">
        <v>250</v>
      </c>
      <c r="E22" s="83" t="s">
        <v>314</v>
      </c>
      <c r="F22" s="83" t="s">
        <v>336</v>
      </c>
    </row>
    <row r="23" spans="2:7">
      <c r="B23" s="83" t="s">
        <v>315</v>
      </c>
      <c r="C23" s="83" t="s">
        <v>316</v>
      </c>
      <c r="D23" s="84">
        <v>1000</v>
      </c>
      <c r="E23" s="83" t="s">
        <v>29</v>
      </c>
      <c r="F23" s="83" t="s">
        <v>337</v>
      </c>
    </row>
    <row r="24" spans="2:7">
      <c r="B24" s="83" t="s">
        <v>317</v>
      </c>
      <c r="C24" s="83" t="s">
        <v>318</v>
      </c>
      <c r="D24" s="84">
        <v>2</v>
      </c>
      <c r="E24" s="83" t="s">
        <v>29</v>
      </c>
      <c r="F24" s="83" t="s">
        <v>338</v>
      </c>
    </row>
    <row r="25" spans="2:7">
      <c r="B25" s="83" t="s">
        <v>319</v>
      </c>
      <c r="C25" s="83" t="s">
        <v>320</v>
      </c>
      <c r="D25" s="84" t="s">
        <v>321</v>
      </c>
      <c r="E25" s="83" t="s">
        <v>10</v>
      </c>
      <c r="F25" s="83" t="s">
        <v>339</v>
      </c>
    </row>
    <row r="26" spans="2:7">
      <c r="B26" s="83" t="s">
        <v>322</v>
      </c>
      <c r="C26" s="83" t="s">
        <v>323</v>
      </c>
      <c r="D26" s="84">
        <v>0.95</v>
      </c>
      <c r="E26" s="83" t="s">
        <v>324</v>
      </c>
      <c r="F26" s="83" t="s">
        <v>340</v>
      </c>
    </row>
    <row r="27" spans="2:7">
      <c r="B27" s="1" t="s">
        <v>325</v>
      </c>
      <c r="C27" s="1" t="s">
        <v>326</v>
      </c>
      <c r="D27" s="85">
        <v>0.1</v>
      </c>
      <c r="E27" s="1" t="s">
        <v>265</v>
      </c>
      <c r="F27" s="1" t="s">
        <v>341</v>
      </c>
    </row>
    <row r="28" spans="2:7">
      <c r="B28" s="1" t="s">
        <v>321</v>
      </c>
      <c r="C28" s="1" t="s">
        <v>404</v>
      </c>
      <c r="D28" s="89">
        <v>0.09</v>
      </c>
      <c r="E28" s="1" t="s">
        <v>218</v>
      </c>
    </row>
    <row r="29" spans="2:7">
      <c r="B29" s="1" t="s">
        <v>456</v>
      </c>
      <c r="C29" s="1" t="s">
        <v>405</v>
      </c>
      <c r="D29" s="88">
        <v>16770</v>
      </c>
      <c r="E29" s="1" t="s">
        <v>392</v>
      </c>
    </row>
    <row r="31" spans="2:7">
      <c r="B31" s="7" t="s">
        <v>342</v>
      </c>
      <c r="C31" s="6"/>
      <c r="D31" s="6"/>
      <c r="E31" s="6"/>
      <c r="F31" s="6"/>
      <c r="G31" s="6"/>
    </row>
    <row r="32" spans="2:7">
      <c r="B32" s="25" t="s">
        <v>43</v>
      </c>
      <c r="C32" s="26" t="s">
        <v>59</v>
      </c>
      <c r="D32" s="26" t="s">
        <v>2</v>
      </c>
      <c r="E32" s="26" t="s">
        <v>3</v>
      </c>
      <c r="F32" s="26" t="s">
        <v>60</v>
      </c>
      <c r="G32" s="26"/>
    </row>
    <row r="33" spans="2:6">
      <c r="B33" s="1" t="s">
        <v>267</v>
      </c>
      <c r="C33" s="1" t="s">
        <v>268</v>
      </c>
      <c r="D33" s="32">
        <f>D7</f>
        <v>277400</v>
      </c>
      <c r="E33" s="1" t="s">
        <v>269</v>
      </c>
      <c r="F33" s="1" t="s">
        <v>343</v>
      </c>
    </row>
    <row r="34" spans="2:6">
      <c r="B34" s="1" t="s">
        <v>280</v>
      </c>
      <c r="C34" s="1" t="s">
        <v>281</v>
      </c>
      <c r="D34" s="32">
        <f>D11</f>
        <v>880319.7895995318</v>
      </c>
      <c r="E34" s="1" t="s">
        <v>21</v>
      </c>
      <c r="F34" s="1" t="s">
        <v>344</v>
      </c>
    </row>
    <row r="35" spans="2:6">
      <c r="B35" s="1" t="s">
        <v>271</v>
      </c>
      <c r="C35" s="1" t="s">
        <v>345</v>
      </c>
      <c r="D35" s="32">
        <f>D8</f>
        <v>1454.5454545454545</v>
      </c>
      <c r="E35" s="1" t="s">
        <v>262</v>
      </c>
      <c r="F35" s="1" t="s">
        <v>346</v>
      </c>
    </row>
    <row r="36" spans="2:6">
      <c r="B36" s="1" t="s">
        <v>347</v>
      </c>
      <c r="C36" s="1" t="s">
        <v>348</v>
      </c>
      <c r="D36" s="19">
        <f>D35*D6*365</f>
        <v>504363.63636363635</v>
      </c>
      <c r="E36" s="1" t="s">
        <v>269</v>
      </c>
      <c r="F36" s="1" t="s">
        <v>349</v>
      </c>
    </row>
    <row r="37" spans="2:6">
      <c r="B37" s="1" t="s">
        <v>303</v>
      </c>
      <c r="C37" s="1" t="s">
        <v>304</v>
      </c>
      <c r="D37" s="32">
        <f>D19</f>
        <v>693.5</v>
      </c>
      <c r="E37" s="1" t="s">
        <v>305</v>
      </c>
      <c r="F37" s="1" t="s">
        <v>350</v>
      </c>
    </row>
    <row r="38" spans="2:6">
      <c r="B38" s="1" t="s">
        <v>351</v>
      </c>
      <c r="C38" s="1" t="s">
        <v>352</v>
      </c>
      <c r="D38" s="19">
        <f>D37*20000/D29</f>
        <v>827.07215265354796</v>
      </c>
      <c r="E38" s="1" t="s">
        <v>406</v>
      </c>
      <c r="F38" s="1" t="s">
        <v>402</v>
      </c>
    </row>
    <row r="39" spans="2:6">
      <c r="B39" s="1" t="s">
        <v>354</v>
      </c>
      <c r="C39" s="1" t="s">
        <v>355</v>
      </c>
      <c r="D39" s="1">
        <v>16</v>
      </c>
      <c r="E39" s="1" t="s">
        <v>356</v>
      </c>
      <c r="F39" s="1" t="s">
        <v>357</v>
      </c>
    </row>
    <row r="40" spans="2:6">
      <c r="B40" s="1" t="s">
        <v>358</v>
      </c>
      <c r="C40" s="1" t="s">
        <v>359</v>
      </c>
      <c r="D40" s="9">
        <f>15000000*D39/D20/D29</f>
        <v>2385.211687537269</v>
      </c>
      <c r="E40" s="1" t="s">
        <v>406</v>
      </c>
      <c r="F40" s="1" t="s">
        <v>403</v>
      </c>
    </row>
    <row r="41" spans="2:6">
      <c r="B41" s="45" t="s">
        <v>360</v>
      </c>
      <c r="C41" s="45" t="s">
        <v>361</v>
      </c>
      <c r="D41" s="47">
        <f>D42+D43+D38+D40</f>
        <v>171647.9820180425</v>
      </c>
      <c r="E41" s="45" t="s">
        <v>353</v>
      </c>
      <c r="F41" s="45" t="s">
        <v>362</v>
      </c>
    </row>
    <row r="42" spans="2:6">
      <c r="B42" s="1" t="s">
        <v>363</v>
      </c>
      <c r="C42" s="1" t="s">
        <v>364</v>
      </c>
      <c r="D42" s="90">
        <f>D11*D28</f>
        <v>79228.781063957853</v>
      </c>
      <c r="E42" s="1" t="s">
        <v>406</v>
      </c>
      <c r="F42" s="1" t="s">
        <v>365</v>
      </c>
    </row>
    <row r="43" spans="2:6">
      <c r="B43" s="1" t="s">
        <v>366</v>
      </c>
      <c r="C43" s="1" t="s">
        <v>367</v>
      </c>
      <c r="D43" s="9">
        <f>D21*D54/D29</f>
        <v>89206.917113893855</v>
      </c>
      <c r="E43" s="1" t="s">
        <v>406</v>
      </c>
      <c r="F43" s="1" t="s">
        <v>368</v>
      </c>
    </row>
    <row r="44" spans="2:6">
      <c r="B44" s="1" t="s">
        <v>369</v>
      </c>
      <c r="C44" s="1" t="s">
        <v>370</v>
      </c>
      <c r="D44" s="1">
        <v>800</v>
      </c>
      <c r="E44" s="1" t="s">
        <v>262</v>
      </c>
      <c r="F44" s="1" t="s">
        <v>260</v>
      </c>
    </row>
    <row r="45" spans="2:6">
      <c r="B45" s="1" t="s">
        <v>371</v>
      </c>
      <c r="C45" s="1" t="s">
        <v>372</v>
      </c>
      <c r="D45" s="87">
        <f>D79</f>
        <v>66147.589895229699</v>
      </c>
      <c r="E45" s="1" t="s">
        <v>21</v>
      </c>
      <c r="F45" s="1" t="s">
        <v>373</v>
      </c>
    </row>
    <row r="46" spans="2:6">
      <c r="B46" s="1" t="s">
        <v>374</v>
      </c>
      <c r="C46" s="1" t="s">
        <v>375</v>
      </c>
      <c r="D46" s="9">
        <f>D45*D28</f>
        <v>5953.2830905706724</v>
      </c>
      <c r="E46" s="1" t="s">
        <v>353</v>
      </c>
      <c r="F46" s="1" t="s">
        <v>376</v>
      </c>
    </row>
    <row r="47" spans="2:6">
      <c r="B47" s="1" t="s">
        <v>377</v>
      </c>
      <c r="C47" s="1" t="s">
        <v>378</v>
      </c>
      <c r="D47" s="19">
        <f>D35-D5</f>
        <v>654.5454545454545</v>
      </c>
      <c r="E47" s="1" t="s">
        <v>262</v>
      </c>
      <c r="F47" s="1" t="s">
        <v>379</v>
      </c>
    </row>
    <row r="48" spans="2:6">
      <c r="B48" s="1" t="s">
        <v>380</v>
      </c>
      <c r="C48" s="1" t="s">
        <v>381</v>
      </c>
      <c r="D48" s="19">
        <f>D47*D6*365</f>
        <v>226963.63636363635</v>
      </c>
      <c r="E48" s="1" t="s">
        <v>269</v>
      </c>
      <c r="F48" s="1" t="s">
        <v>382</v>
      </c>
    </row>
    <row r="49" spans="2:6">
      <c r="B49" s="1" t="s">
        <v>383</v>
      </c>
      <c r="C49" s="1" t="s">
        <v>384</v>
      </c>
      <c r="D49" s="19">
        <f>D48*D27</f>
        <v>22696.363636363636</v>
      </c>
      <c r="E49" s="1" t="s">
        <v>269</v>
      </c>
      <c r="F49" s="1" t="s">
        <v>385</v>
      </c>
    </row>
    <row r="50" spans="2:6">
      <c r="B50" s="1" t="s">
        <v>386</v>
      </c>
      <c r="C50" s="1" t="s">
        <v>387</v>
      </c>
      <c r="D50" s="90">
        <v>1900000</v>
      </c>
      <c r="E50" s="1" t="s">
        <v>388</v>
      </c>
      <c r="F50" s="1" t="s">
        <v>389</v>
      </c>
    </row>
    <row r="51" spans="2:6">
      <c r="B51" s="1" t="s">
        <v>390</v>
      </c>
      <c r="C51" s="1" t="s">
        <v>391</v>
      </c>
      <c r="D51" s="90">
        <v>36000</v>
      </c>
      <c r="E51" s="1" t="s">
        <v>457</v>
      </c>
      <c r="F51" s="1" t="s">
        <v>393</v>
      </c>
    </row>
    <row r="52" spans="2:6">
      <c r="B52" s="1" t="s">
        <v>394</v>
      </c>
      <c r="C52" s="1" t="s">
        <v>395</v>
      </c>
      <c r="D52" s="30">
        <f>D11*D26/1000</f>
        <v>836.30380011955526</v>
      </c>
      <c r="E52" s="1" t="s">
        <v>396</v>
      </c>
      <c r="F52" s="1" t="s">
        <v>397</v>
      </c>
    </row>
    <row r="53" spans="2:6">
      <c r="B53" s="1" t="s">
        <v>398</v>
      </c>
      <c r="C53" s="1" t="s">
        <v>399</v>
      </c>
      <c r="D53" s="1">
        <f>D22/D5</f>
        <v>0.3125</v>
      </c>
      <c r="E53" s="1" t="s">
        <v>400</v>
      </c>
      <c r="F53" s="1" t="s">
        <v>401</v>
      </c>
    </row>
    <row r="54" spans="2:6">
      <c r="B54" s="1" t="s">
        <v>455</v>
      </c>
      <c r="C54" s="1" t="s">
        <v>407</v>
      </c>
      <c r="D54" s="91">
        <v>187000000</v>
      </c>
      <c r="E54" s="1" t="s">
        <v>353</v>
      </c>
    </row>
    <row r="55" spans="2:6">
      <c r="B55" s="1"/>
      <c r="C55" s="1" t="s">
        <v>475</v>
      </c>
      <c r="D55" s="96">
        <v>2.5000000000000001E-2</v>
      </c>
      <c r="E55" s="1" t="s">
        <v>476</v>
      </c>
    </row>
    <row r="56" spans="2:6">
      <c r="B56" s="1"/>
      <c r="C56" s="1" t="s">
        <v>477</v>
      </c>
      <c r="D56" s="95">
        <v>0.16</v>
      </c>
      <c r="E56" s="1"/>
    </row>
    <row r="57" spans="2:6">
      <c r="B57" s="1"/>
      <c r="C57" s="1" t="s">
        <v>478</v>
      </c>
      <c r="D57" s="97">
        <v>0.04</v>
      </c>
      <c r="E57" s="1"/>
    </row>
    <row r="58" spans="2:6">
      <c r="B58" s="1"/>
      <c r="C58" s="1" t="s">
        <v>479</v>
      </c>
      <c r="D58">
        <v>20</v>
      </c>
      <c r="E58" s="1" t="s">
        <v>249</v>
      </c>
    </row>
    <row r="59" spans="2:6">
      <c r="B59" s="1"/>
      <c r="C59" s="1" t="s">
        <v>480</v>
      </c>
      <c r="D59" s="95">
        <v>0.3</v>
      </c>
      <c r="E59" s="1"/>
    </row>
    <row r="60" spans="2:6">
      <c r="B60" s="1"/>
      <c r="C60" s="1" t="s">
        <v>481</v>
      </c>
      <c r="D60" s="90">
        <f>-D59*H98</f>
        <v>161713.125</v>
      </c>
      <c r="E60" s="1" t="s">
        <v>250</v>
      </c>
    </row>
    <row r="61" spans="2:6">
      <c r="B61" s="1"/>
      <c r="C61" s="1" t="s">
        <v>482</v>
      </c>
      <c r="D61" s="95">
        <v>7.0000000000000007E-2</v>
      </c>
      <c r="E61" s="1"/>
    </row>
    <row r="62" spans="2:6">
      <c r="B62" s="1"/>
      <c r="C62" s="1"/>
      <c r="D62" s="90"/>
      <c r="E62" s="1"/>
    </row>
    <row r="63" spans="2:6">
      <c r="B63" s="92" t="s">
        <v>454</v>
      </c>
    </row>
    <row r="64" spans="2:6">
      <c r="B64" s="93" t="s">
        <v>43</v>
      </c>
      <c r="C64" s="93" t="s">
        <v>59</v>
      </c>
      <c r="D64" s="93" t="s">
        <v>2</v>
      </c>
      <c r="E64" s="93" t="s">
        <v>3</v>
      </c>
      <c r="F64" s="93" t="s">
        <v>60</v>
      </c>
    </row>
    <row r="65" spans="2:13">
      <c r="B65" s="1" t="s">
        <v>71</v>
      </c>
      <c r="C65" s="1" t="s">
        <v>72</v>
      </c>
      <c r="D65" s="19">
        <f>'The RHC Company Financial Model'!D34</f>
        <v>123.96879910993675</v>
      </c>
      <c r="E65" s="1" t="s">
        <v>408</v>
      </c>
      <c r="F65" s="1" t="s">
        <v>409</v>
      </c>
    </row>
    <row r="66" spans="2:13">
      <c r="B66" s="1" t="s">
        <v>410</v>
      </c>
      <c r="C66" s="1" t="s">
        <v>75</v>
      </c>
      <c r="D66" s="1">
        <v>0.5</v>
      </c>
      <c r="E66" s="1" t="s">
        <v>10</v>
      </c>
      <c r="F66" s="1" t="s">
        <v>411</v>
      </c>
    </row>
    <row r="67" spans="2:13">
      <c r="B67" s="1" t="s">
        <v>412</v>
      </c>
      <c r="C67" s="1" t="s">
        <v>413</v>
      </c>
      <c r="D67" s="1">
        <v>33.33</v>
      </c>
      <c r="E67" s="1" t="s">
        <v>414</v>
      </c>
      <c r="F67" s="1" t="s">
        <v>415</v>
      </c>
    </row>
    <row r="68" spans="2:13">
      <c r="B68" s="1" t="s">
        <v>76</v>
      </c>
      <c r="C68" s="1" t="s">
        <v>416</v>
      </c>
      <c r="D68" s="94">
        <f>'The RHC Company Financial Model'!D36</f>
        <v>2065.9400371670959</v>
      </c>
      <c r="E68" s="1" t="s">
        <v>23</v>
      </c>
      <c r="F68" s="1" t="s">
        <v>417</v>
      </c>
    </row>
    <row r="69" spans="2:13">
      <c r="B69" s="1" t="s">
        <v>418</v>
      </c>
      <c r="C69" s="1" t="s">
        <v>419</v>
      </c>
      <c r="D69" s="94">
        <f>D68/D66-D68</f>
        <v>2065.9400371670959</v>
      </c>
      <c r="E69" s="1" t="s">
        <v>23</v>
      </c>
      <c r="F69" s="1" t="s">
        <v>420</v>
      </c>
    </row>
    <row r="70" spans="2:13">
      <c r="B70" s="1" t="s">
        <v>421</v>
      </c>
      <c r="C70" s="1" t="s">
        <v>422</v>
      </c>
      <c r="D70" s="87">
        <v>800000</v>
      </c>
      <c r="E70" s="1" t="s">
        <v>408</v>
      </c>
      <c r="F70" s="1" t="s">
        <v>423</v>
      </c>
    </row>
    <row r="71" spans="2:13">
      <c r="B71" s="1" t="s">
        <v>424</v>
      </c>
      <c r="C71" s="1" t="s">
        <v>425</v>
      </c>
      <c r="D71" s="1">
        <v>4.1859999999999999</v>
      </c>
      <c r="E71" s="1" t="s">
        <v>426</v>
      </c>
      <c r="F71" s="1" t="s">
        <v>427</v>
      </c>
    </row>
    <row r="72" spans="2:13">
      <c r="B72" s="1" t="s">
        <v>428</v>
      </c>
      <c r="C72" s="1" t="s">
        <v>429</v>
      </c>
      <c r="D72" s="87">
        <f>D69*3600</f>
        <v>7437384.133801545</v>
      </c>
      <c r="E72" s="1" t="s">
        <v>430</v>
      </c>
      <c r="F72" s="1" t="s">
        <v>431</v>
      </c>
    </row>
    <row r="73" spans="2:13" ht="17" thickBot="1">
      <c r="B73" s="1" t="s">
        <v>432</v>
      </c>
      <c r="C73" s="1" t="s">
        <v>433</v>
      </c>
      <c r="D73" s="1">
        <f>D72/(D70*D71)</f>
        <v>2.220910216734814</v>
      </c>
      <c r="E73" s="1" t="s">
        <v>19</v>
      </c>
      <c r="F73" s="1" t="s">
        <v>434</v>
      </c>
    </row>
    <row r="74" spans="2:13">
      <c r="B74" s="1" t="s">
        <v>435</v>
      </c>
      <c r="C74" s="1" t="s">
        <v>436</v>
      </c>
      <c r="D74" s="1">
        <v>3</v>
      </c>
      <c r="E74" s="1" t="s">
        <v>437</v>
      </c>
      <c r="F74" s="1" t="s">
        <v>438</v>
      </c>
      <c r="J74" s="100" t="s">
        <v>483</v>
      </c>
      <c r="K74" s="101"/>
      <c r="L74" s="102">
        <f>SUM(I86:I87)</f>
        <v>112480.65963724499</v>
      </c>
      <c r="M74" t="s">
        <v>406</v>
      </c>
    </row>
    <row r="75" spans="2:13">
      <c r="B75" s="1" t="s">
        <v>439</v>
      </c>
      <c r="C75" s="1" t="s">
        <v>440</v>
      </c>
      <c r="D75" s="98">
        <f>D73*D74/100</f>
        <v>6.6627306502044417E-2</v>
      </c>
      <c r="E75" s="1" t="s">
        <v>441</v>
      </c>
      <c r="F75" s="1" t="s">
        <v>442</v>
      </c>
      <c r="J75" s="103" t="s">
        <v>484</v>
      </c>
      <c r="K75" s="104"/>
      <c r="L75" s="105">
        <f>L74*D29</f>
        <v>1886300662.1165984</v>
      </c>
      <c r="M75" t="s">
        <v>486</v>
      </c>
    </row>
    <row r="76" spans="2:13" ht="17" thickBot="1">
      <c r="B76" s="1" t="s">
        <v>277</v>
      </c>
      <c r="C76" s="1" t="s">
        <v>278</v>
      </c>
      <c r="D76" s="1">
        <v>3.4</v>
      </c>
      <c r="E76" s="1" t="s">
        <v>443</v>
      </c>
      <c r="F76" s="1" t="s">
        <v>444</v>
      </c>
      <c r="J76" s="106" t="s">
        <v>485</v>
      </c>
      <c r="K76" s="107"/>
      <c r="L76" s="108">
        <f>L75/D7</f>
        <v>6799.9302888125394</v>
      </c>
      <c r="M76" t="s">
        <v>487</v>
      </c>
    </row>
    <row r="77" spans="2:13">
      <c r="B77" s="1" t="s">
        <v>445</v>
      </c>
      <c r="C77" s="1" t="s">
        <v>446</v>
      </c>
      <c r="D77" s="99">
        <f>D10*(1-D75)</f>
        <v>3.1734671578930489</v>
      </c>
      <c r="E77" s="1" t="s">
        <v>443</v>
      </c>
      <c r="F77" s="1" t="s">
        <v>447</v>
      </c>
    </row>
    <row r="78" spans="2:13">
      <c r="B78" s="1" t="s">
        <v>448</v>
      </c>
      <c r="C78" s="1" t="s">
        <v>449</v>
      </c>
      <c r="D78" s="30">
        <f>(D10-D77)*D5</f>
        <v>181.22627368556081</v>
      </c>
      <c r="E78" s="1" t="s">
        <v>23</v>
      </c>
      <c r="F78" s="1" t="s">
        <v>450</v>
      </c>
    </row>
    <row r="79" spans="2:13">
      <c r="B79" s="1" t="s">
        <v>451</v>
      </c>
      <c r="C79" s="1" t="s">
        <v>452</v>
      </c>
      <c r="D79" s="94">
        <f>D78*365</f>
        <v>66147.589895229699</v>
      </c>
      <c r="E79" s="1" t="s">
        <v>21</v>
      </c>
      <c r="F79" s="1" t="s">
        <v>453</v>
      </c>
    </row>
    <row r="80" spans="2:13">
      <c r="B80" s="1"/>
      <c r="C80" s="1"/>
      <c r="D80" s="111"/>
      <c r="E80" s="1"/>
      <c r="F80" s="1"/>
    </row>
    <row r="82" spans="2:28">
      <c r="B82" s="15" t="s">
        <v>149</v>
      </c>
    </row>
    <row r="83" spans="2:28">
      <c r="B83" s="35"/>
      <c r="C83" s="36"/>
      <c r="D83" s="36"/>
      <c r="E83" s="36"/>
      <c r="F83" s="36"/>
      <c r="G83" s="36"/>
      <c r="H83" s="37" t="s">
        <v>150</v>
      </c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spans="2:28">
      <c r="B84" s="38" t="s">
        <v>148</v>
      </c>
      <c r="C84" s="38" t="s">
        <v>132</v>
      </c>
      <c r="D84" s="39"/>
      <c r="E84" s="39"/>
      <c r="F84" s="38"/>
      <c r="G84" s="38"/>
      <c r="H84" s="38">
        <v>0</v>
      </c>
      <c r="I84" s="38">
        <v>1</v>
      </c>
      <c r="J84" s="38">
        <v>2</v>
      </c>
      <c r="K84" s="38">
        <v>3</v>
      </c>
      <c r="L84" s="38">
        <v>4</v>
      </c>
      <c r="M84" s="38">
        <v>5</v>
      </c>
      <c r="N84" s="38">
        <v>6</v>
      </c>
      <c r="O84" s="38">
        <v>7</v>
      </c>
      <c r="P84" s="38">
        <v>8</v>
      </c>
      <c r="Q84" s="38">
        <v>9</v>
      </c>
      <c r="R84" s="38">
        <v>10</v>
      </c>
      <c r="S84" s="38">
        <v>11</v>
      </c>
      <c r="T84" s="38">
        <v>12</v>
      </c>
      <c r="U84" s="38">
        <v>13</v>
      </c>
      <c r="V84" s="38">
        <v>14</v>
      </c>
      <c r="W84" s="38">
        <v>15</v>
      </c>
      <c r="X84" s="38">
        <v>16</v>
      </c>
      <c r="Y84" s="38">
        <v>17</v>
      </c>
      <c r="Z84" s="38">
        <v>18</v>
      </c>
      <c r="AA84" s="38">
        <v>19</v>
      </c>
      <c r="AB84" s="38">
        <v>20</v>
      </c>
    </row>
    <row r="85" spans="2:28">
      <c r="B85" s="40">
        <v>1</v>
      </c>
      <c r="C85" s="41" t="s">
        <v>147</v>
      </c>
      <c r="D85" s="42"/>
      <c r="E85" s="42"/>
      <c r="F85" s="40"/>
      <c r="G85" s="41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</row>
    <row r="86" spans="2:28">
      <c r="B86" s="43"/>
      <c r="C86" s="1" t="s">
        <v>458</v>
      </c>
      <c r="D86" s="1"/>
      <c r="E86" s="1"/>
      <c r="F86" s="43"/>
      <c r="G86" s="1"/>
      <c r="H86" s="9"/>
      <c r="I86" s="9">
        <f t="shared" ref="I86:AB86" si="0">PMT($D$56,20,$H$98)</f>
        <v>90918.909637244986</v>
      </c>
      <c r="J86" s="9">
        <f t="shared" si="0"/>
        <v>90918.909637244986</v>
      </c>
      <c r="K86" s="9">
        <f t="shared" si="0"/>
        <v>90918.909637244986</v>
      </c>
      <c r="L86" s="9">
        <f t="shared" si="0"/>
        <v>90918.909637244986</v>
      </c>
      <c r="M86" s="9">
        <f t="shared" si="0"/>
        <v>90918.909637244986</v>
      </c>
      <c r="N86" s="9">
        <f t="shared" si="0"/>
        <v>90918.909637244986</v>
      </c>
      <c r="O86" s="9">
        <f t="shared" si="0"/>
        <v>90918.909637244986</v>
      </c>
      <c r="P86" s="9">
        <f t="shared" si="0"/>
        <v>90918.909637244986</v>
      </c>
      <c r="Q86" s="9">
        <f t="shared" si="0"/>
        <v>90918.909637244986</v>
      </c>
      <c r="R86" s="9">
        <f t="shared" si="0"/>
        <v>90918.909637244986</v>
      </c>
      <c r="S86" s="9">
        <f t="shared" si="0"/>
        <v>90918.909637244986</v>
      </c>
      <c r="T86" s="9">
        <f t="shared" si="0"/>
        <v>90918.909637244986</v>
      </c>
      <c r="U86" s="9">
        <f t="shared" si="0"/>
        <v>90918.909637244986</v>
      </c>
      <c r="V86" s="9">
        <f t="shared" si="0"/>
        <v>90918.909637244986</v>
      </c>
      <c r="W86" s="9">
        <f t="shared" si="0"/>
        <v>90918.909637244986</v>
      </c>
      <c r="X86" s="9">
        <f t="shared" si="0"/>
        <v>90918.909637244986</v>
      </c>
      <c r="Y86" s="9">
        <f t="shared" si="0"/>
        <v>90918.909637244986</v>
      </c>
      <c r="Z86" s="9">
        <f t="shared" si="0"/>
        <v>90918.909637244986</v>
      </c>
      <c r="AA86" s="9">
        <f t="shared" si="0"/>
        <v>90918.909637244986</v>
      </c>
      <c r="AB86" s="9">
        <f t="shared" si="0"/>
        <v>90918.909637244986</v>
      </c>
    </row>
    <row r="87" spans="2:28">
      <c r="B87" s="43"/>
      <c r="C87" s="1" t="s">
        <v>239</v>
      </c>
      <c r="D87" s="1"/>
      <c r="E87" s="1"/>
      <c r="F87" s="43"/>
      <c r="G87" s="1"/>
      <c r="H87" s="9"/>
      <c r="I87" s="9">
        <f>-D57*H98</f>
        <v>21561.75</v>
      </c>
      <c r="J87" s="9">
        <f>I87*(1+$D$55)^1</f>
        <v>22100.793749999997</v>
      </c>
      <c r="K87" s="9">
        <f t="shared" ref="K87:AB87" si="1">J87*(1+$D$55)^1</f>
        <v>22653.313593749994</v>
      </c>
      <c r="L87" s="9">
        <f t="shared" si="1"/>
        <v>23219.646433593742</v>
      </c>
      <c r="M87" s="9">
        <f t="shared" si="1"/>
        <v>23800.137594433581</v>
      </c>
      <c r="N87" s="9">
        <f t="shared" si="1"/>
        <v>24395.141034294418</v>
      </c>
      <c r="O87" s="9">
        <f t="shared" si="1"/>
        <v>25005.019560151777</v>
      </c>
      <c r="P87" s="9">
        <f t="shared" si="1"/>
        <v>25630.14504915557</v>
      </c>
      <c r="Q87" s="9">
        <f t="shared" si="1"/>
        <v>26270.898675384458</v>
      </c>
      <c r="R87" s="9">
        <f t="shared" si="1"/>
        <v>26927.671142269068</v>
      </c>
      <c r="S87" s="9">
        <f t="shared" si="1"/>
        <v>27600.862920825792</v>
      </c>
      <c r="T87" s="9">
        <f t="shared" si="1"/>
        <v>28290.884493846435</v>
      </c>
      <c r="U87" s="9">
        <f>T87*(1+$D$55)^1</f>
        <v>28998.156606192595</v>
      </c>
      <c r="V87" s="9">
        <f t="shared" si="1"/>
        <v>29723.110521347407</v>
      </c>
      <c r="W87" s="9">
        <f t="shared" si="1"/>
        <v>30466.188284381089</v>
      </c>
      <c r="X87" s="9">
        <f t="shared" si="1"/>
        <v>31227.842991490612</v>
      </c>
      <c r="Y87" s="9">
        <f t="shared" si="1"/>
        <v>32008.539066277874</v>
      </c>
      <c r="Z87" s="9">
        <f t="shared" si="1"/>
        <v>32808.752542934817</v>
      </c>
      <c r="AA87" s="9">
        <f t="shared" si="1"/>
        <v>33628.971356508184</v>
      </c>
      <c r="AB87" s="9">
        <f t="shared" si="1"/>
        <v>34469.695640420883</v>
      </c>
    </row>
    <row r="88" spans="2:28">
      <c r="B88" s="43"/>
      <c r="C88" s="1"/>
      <c r="D88" s="1"/>
      <c r="E88" s="1"/>
      <c r="F88" s="43"/>
      <c r="G88" s="1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2:28">
      <c r="B89" s="44"/>
      <c r="C89" s="45" t="s">
        <v>151</v>
      </c>
      <c r="D89" s="1"/>
      <c r="E89" s="1"/>
      <c r="F89" s="44"/>
      <c r="G89" s="45"/>
      <c r="H89" s="9"/>
      <c r="I89" s="9">
        <f>SUM(I86:I87)</f>
        <v>112480.65963724499</v>
      </c>
      <c r="J89" s="9">
        <f t="shared" ref="J89:AB89" si="2">SUM(J86:J87)</f>
        <v>113019.70338724498</v>
      </c>
      <c r="K89" s="9">
        <f t="shared" si="2"/>
        <v>113572.22323099498</v>
      </c>
      <c r="L89" s="9">
        <f t="shared" si="2"/>
        <v>114138.55607083873</v>
      </c>
      <c r="M89" s="9">
        <f t="shared" si="2"/>
        <v>114719.04723167856</v>
      </c>
      <c r="N89" s="9">
        <f t="shared" si="2"/>
        <v>115314.0506715394</v>
      </c>
      <c r="O89" s="9">
        <f t="shared" si="2"/>
        <v>115923.92919739676</v>
      </c>
      <c r="P89" s="9">
        <f t="shared" si="2"/>
        <v>116549.05468640056</v>
      </c>
      <c r="Q89" s="9">
        <f t="shared" si="2"/>
        <v>117189.80831262944</v>
      </c>
      <c r="R89" s="9">
        <f t="shared" si="2"/>
        <v>117846.58077951406</v>
      </c>
      <c r="S89" s="9">
        <f t="shared" si="2"/>
        <v>118519.77255807078</v>
      </c>
      <c r="T89" s="9">
        <f t="shared" si="2"/>
        <v>119209.79413109142</v>
      </c>
      <c r="U89" s="9">
        <f t="shared" si="2"/>
        <v>119917.06624343758</v>
      </c>
      <c r="V89" s="9">
        <f t="shared" si="2"/>
        <v>120642.02015859239</v>
      </c>
      <c r="W89" s="9">
        <f t="shared" si="2"/>
        <v>121385.09792162607</v>
      </c>
      <c r="X89" s="9">
        <f t="shared" si="2"/>
        <v>122146.7526287356</v>
      </c>
      <c r="Y89" s="9">
        <f t="shared" si="2"/>
        <v>122927.44870352285</v>
      </c>
      <c r="Z89" s="9">
        <f t="shared" si="2"/>
        <v>123727.6621801798</v>
      </c>
      <c r="AA89" s="9">
        <f t="shared" si="2"/>
        <v>124547.88099375318</v>
      </c>
      <c r="AB89" s="9">
        <f t="shared" si="2"/>
        <v>125388.60527766586</v>
      </c>
    </row>
    <row r="90" spans="2:28">
      <c r="B90" s="44"/>
      <c r="C90" s="1"/>
      <c r="D90" s="1"/>
      <c r="E90" s="1"/>
      <c r="F90" s="44"/>
      <c r="G90" s="1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2:28">
      <c r="B91" s="40">
        <v>2</v>
      </c>
      <c r="C91" s="41" t="s">
        <v>152</v>
      </c>
      <c r="D91" s="42"/>
      <c r="E91" s="42"/>
      <c r="F91" s="40"/>
      <c r="G91" s="41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 spans="2:28">
      <c r="B92" s="43"/>
      <c r="C92" s="1" t="s">
        <v>459</v>
      </c>
      <c r="D92" s="1"/>
      <c r="E92" s="1"/>
      <c r="F92" s="43"/>
      <c r="G92" s="1"/>
      <c r="H92" s="9">
        <v>-400000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2:28">
      <c r="B93" s="43"/>
      <c r="C93" s="1" t="s">
        <v>460</v>
      </c>
      <c r="D93" s="1"/>
      <c r="E93" s="1"/>
      <c r="F93" s="43"/>
      <c r="G93" s="1"/>
      <c r="H93" s="9">
        <f>0.15*H92</f>
        <v>-60000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2:28">
      <c r="B94" s="43"/>
      <c r="C94" s="1" t="s">
        <v>139</v>
      </c>
      <c r="D94" s="1"/>
      <c r="E94" s="1"/>
      <c r="F94" s="43"/>
      <c r="G94" s="1"/>
      <c r="H94" s="9">
        <v>-2500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2:28">
      <c r="B95" s="43"/>
      <c r="C95" s="1" t="s">
        <v>140</v>
      </c>
      <c r="D95" s="1"/>
      <c r="E95" s="1"/>
      <c r="F95" s="43"/>
      <c r="G95" s="1"/>
      <c r="H95" s="9">
        <f>5%*SUM(H92:H94)</f>
        <v>-23125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2:28">
      <c r="B96" s="43"/>
      <c r="C96" s="1" t="s">
        <v>196</v>
      </c>
      <c r="D96" s="1"/>
      <c r="E96" s="1"/>
      <c r="F96" s="43"/>
      <c r="G96" s="1"/>
      <c r="H96" s="9">
        <f>0.11*SUM(H92:H95)</f>
        <v>-53418.75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2:28">
      <c r="B97" s="43"/>
      <c r="C97" s="1"/>
      <c r="D97" s="1"/>
      <c r="E97" s="1"/>
      <c r="F97" s="43"/>
      <c r="G97" s="1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2:28">
      <c r="B98" s="44"/>
      <c r="C98" s="45" t="s">
        <v>153</v>
      </c>
      <c r="D98" s="1"/>
      <c r="E98" s="1"/>
      <c r="F98" s="44"/>
      <c r="G98" s="45"/>
      <c r="H98" s="47">
        <f>SUM(H92:H96)</f>
        <v>-539043.75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2:28">
      <c r="B99" s="44"/>
      <c r="C99" s="1"/>
      <c r="D99" s="1"/>
      <c r="E99" s="1"/>
      <c r="F99" s="44"/>
      <c r="G99" s="1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2:28">
      <c r="B100" s="40">
        <v>3</v>
      </c>
      <c r="C100" s="41" t="s">
        <v>154</v>
      </c>
      <c r="D100" s="42"/>
      <c r="E100" s="42"/>
      <c r="F100" s="40"/>
      <c r="G100" s="41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 spans="2:28">
      <c r="B101" s="43"/>
      <c r="C101" s="1" t="s">
        <v>474</v>
      </c>
      <c r="D101" s="1"/>
      <c r="E101" s="1"/>
      <c r="F101" s="43"/>
      <c r="G101" s="1"/>
      <c r="H101" s="9"/>
      <c r="I101" s="9">
        <f>(0.01)*H98</f>
        <v>-5390.4375</v>
      </c>
      <c r="J101" s="9">
        <f t="shared" ref="J101:AB101" si="3">I101*(1+$D$55)^($J$84-$I$84)</f>
        <v>-5525.1984374999993</v>
      </c>
      <c r="K101" s="9">
        <f t="shared" si="3"/>
        <v>-5663.3283984374984</v>
      </c>
      <c r="L101" s="9">
        <f t="shared" si="3"/>
        <v>-5804.9116083984354</v>
      </c>
      <c r="M101" s="9">
        <f t="shared" si="3"/>
        <v>-5950.0343986083953</v>
      </c>
      <c r="N101" s="9">
        <f t="shared" si="3"/>
        <v>-6098.7852585736046</v>
      </c>
      <c r="O101" s="9">
        <f t="shared" si="3"/>
        <v>-6251.2548900379443</v>
      </c>
      <c r="P101" s="9">
        <f t="shared" si="3"/>
        <v>-6407.5362622888924</v>
      </c>
      <c r="Q101" s="9">
        <f t="shared" si="3"/>
        <v>-6567.7246688461146</v>
      </c>
      <c r="R101" s="9">
        <f t="shared" si="3"/>
        <v>-6731.9177855672669</v>
      </c>
      <c r="S101" s="9">
        <f t="shared" si="3"/>
        <v>-6900.2157302064479</v>
      </c>
      <c r="T101" s="9">
        <f t="shared" si="3"/>
        <v>-7072.7211234616088</v>
      </c>
      <c r="U101" s="9">
        <f t="shared" si="3"/>
        <v>-7249.5391515481488</v>
      </c>
      <c r="V101" s="9">
        <f t="shared" si="3"/>
        <v>-7430.7776303368519</v>
      </c>
      <c r="W101" s="9">
        <f t="shared" si="3"/>
        <v>-7616.5470710952723</v>
      </c>
      <c r="X101" s="9">
        <f t="shared" si="3"/>
        <v>-7806.960747872653</v>
      </c>
      <c r="Y101" s="9">
        <f t="shared" si="3"/>
        <v>-8002.1347665694684</v>
      </c>
      <c r="Z101" s="9">
        <f t="shared" si="3"/>
        <v>-8202.1881357337043</v>
      </c>
      <c r="AA101" s="9">
        <f t="shared" si="3"/>
        <v>-8407.242839127046</v>
      </c>
      <c r="AB101" s="9">
        <f t="shared" si="3"/>
        <v>-8617.4239101052208</v>
      </c>
    </row>
    <row r="102" spans="2:28">
      <c r="B102" s="43"/>
      <c r="C102" s="1" t="s">
        <v>468</v>
      </c>
      <c r="D102" s="1"/>
      <c r="E102" s="1"/>
      <c r="F102" s="43"/>
      <c r="G102" s="1"/>
      <c r="H102" s="9"/>
      <c r="I102" s="9">
        <f>0.002*H98</f>
        <v>-1078.0875000000001</v>
      </c>
      <c r="J102" s="9">
        <f t="shared" ref="J102:AB102" si="4">I102*(1+$D$55)^($J$84-$I$84)</f>
        <v>-1105.0396874999999</v>
      </c>
      <c r="K102" s="9">
        <f t="shared" si="4"/>
        <v>-1132.6656796874997</v>
      </c>
      <c r="L102" s="9">
        <f t="shared" si="4"/>
        <v>-1160.9823216796872</v>
      </c>
      <c r="M102" s="9">
        <f t="shared" si="4"/>
        <v>-1190.0068797216793</v>
      </c>
      <c r="N102" s="9">
        <f t="shared" si="4"/>
        <v>-1219.7570517147212</v>
      </c>
      <c r="O102" s="9">
        <f t="shared" si="4"/>
        <v>-1250.2509780075891</v>
      </c>
      <c r="P102" s="9">
        <f t="shared" si="4"/>
        <v>-1281.5072524577788</v>
      </c>
      <c r="Q102" s="9">
        <f t="shared" si="4"/>
        <v>-1313.5449337692232</v>
      </c>
      <c r="R102" s="9">
        <f t="shared" si="4"/>
        <v>-1346.3835571134537</v>
      </c>
      <c r="S102" s="9">
        <f t="shared" si="4"/>
        <v>-1380.0431460412899</v>
      </c>
      <c r="T102" s="9">
        <f t="shared" si="4"/>
        <v>-1414.5442246923221</v>
      </c>
      <c r="U102" s="9">
        <f t="shared" si="4"/>
        <v>-1449.9078303096301</v>
      </c>
      <c r="V102" s="9">
        <f t="shared" si="4"/>
        <v>-1486.1555260673706</v>
      </c>
      <c r="W102" s="9">
        <f t="shared" si="4"/>
        <v>-1523.3094142190548</v>
      </c>
      <c r="X102" s="9">
        <f t="shared" si="4"/>
        <v>-1561.392149574531</v>
      </c>
      <c r="Y102" s="9">
        <f t="shared" si="4"/>
        <v>-1600.426953313894</v>
      </c>
      <c r="Z102" s="9">
        <f t="shared" si="4"/>
        <v>-1640.4376271467413</v>
      </c>
      <c r="AA102" s="9">
        <f t="shared" si="4"/>
        <v>-1681.4485678254098</v>
      </c>
      <c r="AB102" s="9">
        <f t="shared" si="4"/>
        <v>-1723.4847820210448</v>
      </c>
    </row>
    <row r="103" spans="2:28">
      <c r="B103" s="43"/>
      <c r="C103" s="1" t="s">
        <v>469</v>
      </c>
      <c r="D103" s="1"/>
      <c r="E103" s="1"/>
      <c r="F103" s="43"/>
      <c r="G103" s="1"/>
      <c r="H103" s="9"/>
      <c r="I103" s="9">
        <f>0.01*H98</f>
        <v>-5390.4375</v>
      </c>
      <c r="J103" s="9">
        <f t="shared" ref="J103:AB103" si="5">I103*(1+$D$55)^($J$84-$I$84)</f>
        <v>-5525.1984374999993</v>
      </c>
      <c r="K103" s="9">
        <f t="shared" si="5"/>
        <v>-5663.3283984374984</v>
      </c>
      <c r="L103" s="9">
        <f t="shared" si="5"/>
        <v>-5804.9116083984354</v>
      </c>
      <c r="M103" s="9">
        <f t="shared" si="5"/>
        <v>-5950.0343986083953</v>
      </c>
      <c r="N103" s="9">
        <f t="shared" si="5"/>
        <v>-6098.7852585736046</v>
      </c>
      <c r="O103" s="9">
        <f t="shared" si="5"/>
        <v>-6251.2548900379443</v>
      </c>
      <c r="P103" s="9">
        <f t="shared" si="5"/>
        <v>-6407.5362622888924</v>
      </c>
      <c r="Q103" s="9">
        <f t="shared" si="5"/>
        <v>-6567.7246688461146</v>
      </c>
      <c r="R103" s="9">
        <f t="shared" si="5"/>
        <v>-6731.9177855672669</v>
      </c>
      <c r="S103" s="9">
        <f t="shared" si="5"/>
        <v>-6900.2157302064479</v>
      </c>
      <c r="T103" s="9">
        <f t="shared" si="5"/>
        <v>-7072.7211234616088</v>
      </c>
      <c r="U103" s="9">
        <f t="shared" si="5"/>
        <v>-7249.5391515481488</v>
      </c>
      <c r="V103" s="9">
        <f t="shared" si="5"/>
        <v>-7430.7776303368519</v>
      </c>
      <c r="W103" s="9">
        <f t="shared" si="5"/>
        <v>-7616.5470710952723</v>
      </c>
      <c r="X103" s="9">
        <f t="shared" si="5"/>
        <v>-7806.960747872653</v>
      </c>
      <c r="Y103" s="9">
        <f t="shared" si="5"/>
        <v>-8002.1347665694684</v>
      </c>
      <c r="Z103" s="9">
        <f t="shared" si="5"/>
        <v>-8202.1881357337043</v>
      </c>
      <c r="AA103" s="9">
        <f t="shared" si="5"/>
        <v>-8407.242839127046</v>
      </c>
      <c r="AB103" s="9">
        <f t="shared" si="5"/>
        <v>-8617.4239101052208</v>
      </c>
    </row>
    <row r="104" spans="2:28">
      <c r="B104" s="43"/>
      <c r="C104" s="3" t="s">
        <v>144</v>
      </c>
      <c r="D104" s="1"/>
      <c r="E104" s="1"/>
      <c r="F104" s="43"/>
      <c r="G104" s="1"/>
      <c r="H104" s="9"/>
      <c r="I104" s="9"/>
      <c r="J104" s="9"/>
      <c r="K104" s="9"/>
      <c r="L104" s="9"/>
      <c r="M104" s="9"/>
      <c r="O104" s="9">
        <f>-D51</f>
        <v>-36000</v>
      </c>
      <c r="P104" s="9"/>
      <c r="Q104" s="9"/>
      <c r="R104" s="9"/>
      <c r="S104" s="9"/>
      <c r="U104" s="9"/>
      <c r="V104" s="9">
        <f>O104*(1+D55)^(V84-O84)</f>
        <v>-42792.687132055653</v>
      </c>
      <c r="W104" s="9"/>
    </row>
    <row r="105" spans="2:28">
      <c r="B105" s="43"/>
      <c r="C105" s="1" t="s">
        <v>470</v>
      </c>
      <c r="D105" s="1"/>
      <c r="E105" s="1"/>
      <c r="F105" s="43"/>
      <c r="G105" s="1"/>
      <c r="H105" s="9"/>
      <c r="I105" s="9">
        <f>0.002*H98</f>
        <v>-1078.0875000000001</v>
      </c>
      <c r="J105" s="9">
        <f t="shared" ref="J105:AB105" si="6">I105*(1+$D$55)^($J$84-$I$84)</f>
        <v>-1105.0396874999999</v>
      </c>
      <c r="K105" s="9">
        <f t="shared" si="6"/>
        <v>-1132.6656796874997</v>
      </c>
      <c r="L105" s="9">
        <f t="shared" si="6"/>
        <v>-1160.9823216796872</v>
      </c>
      <c r="M105" s="9">
        <f t="shared" si="6"/>
        <v>-1190.0068797216793</v>
      </c>
      <c r="N105" s="9">
        <f t="shared" si="6"/>
        <v>-1219.7570517147212</v>
      </c>
      <c r="O105" s="9">
        <f t="shared" si="6"/>
        <v>-1250.2509780075891</v>
      </c>
      <c r="P105" s="9">
        <f t="shared" si="6"/>
        <v>-1281.5072524577788</v>
      </c>
      <c r="Q105" s="9">
        <f t="shared" si="6"/>
        <v>-1313.5449337692232</v>
      </c>
      <c r="R105" s="9">
        <f t="shared" si="6"/>
        <v>-1346.3835571134537</v>
      </c>
      <c r="S105" s="9">
        <f t="shared" si="6"/>
        <v>-1380.0431460412899</v>
      </c>
      <c r="T105" s="9">
        <f t="shared" si="6"/>
        <v>-1414.5442246923221</v>
      </c>
      <c r="U105" s="9">
        <f t="shared" si="6"/>
        <v>-1449.9078303096301</v>
      </c>
      <c r="V105" s="9">
        <f t="shared" si="6"/>
        <v>-1486.1555260673706</v>
      </c>
      <c r="W105" s="9">
        <f t="shared" si="6"/>
        <v>-1523.3094142190548</v>
      </c>
      <c r="X105" s="9">
        <f t="shared" si="6"/>
        <v>-1561.392149574531</v>
      </c>
      <c r="Y105" s="9">
        <f t="shared" si="6"/>
        <v>-1600.426953313894</v>
      </c>
      <c r="Z105" s="9">
        <f t="shared" si="6"/>
        <v>-1640.4376271467413</v>
      </c>
      <c r="AA105" s="9">
        <f t="shared" si="6"/>
        <v>-1681.4485678254098</v>
      </c>
      <c r="AB105" s="9">
        <f t="shared" si="6"/>
        <v>-1723.4847820210448</v>
      </c>
    </row>
    <row r="106" spans="2:28">
      <c r="B106" s="43"/>
      <c r="C106" s="1"/>
      <c r="D106" s="1"/>
      <c r="E106" s="1"/>
      <c r="F106" s="43"/>
      <c r="G106" s="1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2:28">
      <c r="B107" s="44"/>
      <c r="C107" s="45" t="s">
        <v>155</v>
      </c>
      <c r="D107" s="1"/>
      <c r="E107" s="1"/>
      <c r="F107" s="44"/>
      <c r="G107" s="45"/>
      <c r="H107" s="9"/>
      <c r="I107" s="47">
        <f>SUM(I101:I105)</f>
        <v>-12937.05</v>
      </c>
      <c r="J107" s="47">
        <f t="shared" ref="J107:AB107" si="7">SUM(J101:J105)</f>
        <v>-13260.47625</v>
      </c>
      <c r="K107" s="47">
        <f t="shared" si="7"/>
        <v>-13591.988156249996</v>
      </c>
      <c r="L107" s="47">
        <f t="shared" si="7"/>
        <v>-13931.787860156244</v>
      </c>
      <c r="M107" s="47">
        <f t="shared" si="7"/>
        <v>-14280.082556660149</v>
      </c>
      <c r="N107" s="47">
        <f t="shared" si="7"/>
        <v>-14637.084620576652</v>
      </c>
      <c r="O107" s="47">
        <f t="shared" si="7"/>
        <v>-51003.011736091066</v>
      </c>
      <c r="P107" s="47">
        <f t="shared" si="7"/>
        <v>-15378.087029493343</v>
      </c>
      <c r="Q107" s="47">
        <f t="shared" si="7"/>
        <v>-15762.539205230674</v>
      </c>
      <c r="R107" s="47">
        <f t="shared" si="7"/>
        <v>-16156.60268536144</v>
      </c>
      <c r="S107" s="47">
        <f t="shared" si="7"/>
        <v>-16560.517752495474</v>
      </c>
      <c r="T107" s="47">
        <f t="shared" si="7"/>
        <v>-16974.530696307862</v>
      </c>
      <c r="U107" s="47">
        <f t="shared" si="7"/>
        <v>-17398.893963715556</v>
      </c>
      <c r="V107" s="47">
        <f t="shared" si="7"/>
        <v>-60626.553444864097</v>
      </c>
      <c r="W107" s="47">
        <f t="shared" si="7"/>
        <v>-18279.712970628651</v>
      </c>
      <c r="X107" s="47">
        <f t="shared" si="7"/>
        <v>-18736.705794894369</v>
      </c>
      <c r="Y107" s="47">
        <f t="shared" si="7"/>
        <v>-19205.123439766725</v>
      </c>
      <c r="Z107" s="47">
        <f t="shared" si="7"/>
        <v>-19685.25152576089</v>
      </c>
      <c r="AA107" s="47">
        <f t="shared" si="7"/>
        <v>-20177.382813904911</v>
      </c>
      <c r="AB107" s="47">
        <f t="shared" si="7"/>
        <v>-20681.817384252532</v>
      </c>
    </row>
    <row r="108" spans="2:28">
      <c r="B108" s="44"/>
      <c r="C108" s="45"/>
      <c r="D108" s="1"/>
      <c r="E108" s="1"/>
      <c r="F108" s="44"/>
      <c r="G108" s="45"/>
      <c r="H108" s="9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</row>
    <row r="109" spans="2:28">
      <c r="B109" s="40">
        <v>4</v>
      </c>
      <c r="C109" s="41" t="s">
        <v>203</v>
      </c>
      <c r="D109" s="42"/>
      <c r="E109" s="42"/>
      <c r="F109" s="40"/>
      <c r="G109" s="41"/>
      <c r="H109" s="46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</row>
    <row r="110" spans="2:28">
      <c r="B110" s="44"/>
      <c r="C110" s="3" t="s">
        <v>471</v>
      </c>
      <c r="D110" s="1"/>
      <c r="E110" s="1"/>
      <c r="F110" s="44"/>
      <c r="G110" s="3"/>
      <c r="H110" s="9"/>
      <c r="I110" s="49">
        <f>D7</f>
        <v>277400</v>
      </c>
      <c r="J110" s="49">
        <f>I110</f>
        <v>277400</v>
      </c>
      <c r="K110" s="49">
        <f t="shared" ref="K110:AB110" si="8">J110</f>
        <v>277400</v>
      </c>
      <c r="L110" s="49">
        <f t="shared" si="8"/>
        <v>277400</v>
      </c>
      <c r="M110" s="49">
        <f t="shared" si="8"/>
        <v>277400</v>
      </c>
      <c r="N110" s="49">
        <f t="shared" si="8"/>
        <v>277400</v>
      </c>
      <c r="O110" s="49">
        <f t="shared" si="8"/>
        <v>277400</v>
      </c>
      <c r="P110" s="49">
        <f t="shared" si="8"/>
        <v>277400</v>
      </c>
      <c r="Q110" s="49">
        <f t="shared" si="8"/>
        <v>277400</v>
      </c>
      <c r="R110" s="49">
        <f t="shared" si="8"/>
        <v>277400</v>
      </c>
      <c r="S110" s="49">
        <f t="shared" si="8"/>
        <v>277400</v>
      </c>
      <c r="T110" s="49">
        <f t="shared" si="8"/>
        <v>277400</v>
      </c>
      <c r="U110" s="49">
        <f t="shared" si="8"/>
        <v>277400</v>
      </c>
      <c r="V110" s="49">
        <f t="shared" si="8"/>
        <v>277400</v>
      </c>
      <c r="W110" s="49">
        <f t="shared" si="8"/>
        <v>277400</v>
      </c>
      <c r="X110" s="49">
        <f t="shared" si="8"/>
        <v>277400</v>
      </c>
      <c r="Y110" s="49">
        <f t="shared" si="8"/>
        <v>277400</v>
      </c>
      <c r="Z110" s="49">
        <f t="shared" si="8"/>
        <v>277400</v>
      </c>
      <c r="AA110" s="49">
        <f t="shared" si="8"/>
        <v>277400</v>
      </c>
      <c r="AB110" s="49">
        <f t="shared" si="8"/>
        <v>277400</v>
      </c>
    </row>
    <row r="111" spans="2:28">
      <c r="B111" s="44"/>
      <c r="C111" s="3" t="s">
        <v>472</v>
      </c>
      <c r="D111" s="1"/>
      <c r="E111" s="1"/>
      <c r="F111" s="44"/>
      <c r="G111" s="3"/>
      <c r="H111" s="9"/>
      <c r="I111" s="49">
        <f>D48</f>
        <v>226963.63636363635</v>
      </c>
      <c r="J111" s="50">
        <f>I111</f>
        <v>226963.63636363635</v>
      </c>
      <c r="K111" s="50">
        <f t="shared" ref="K111:AB111" si="9">J111</f>
        <v>226963.63636363635</v>
      </c>
      <c r="L111" s="50">
        <f t="shared" si="9"/>
        <v>226963.63636363635</v>
      </c>
      <c r="M111" s="50">
        <f t="shared" si="9"/>
        <v>226963.63636363635</v>
      </c>
      <c r="N111" s="50">
        <f t="shared" si="9"/>
        <v>226963.63636363635</v>
      </c>
      <c r="O111" s="50">
        <f t="shared" si="9"/>
        <v>226963.63636363635</v>
      </c>
      <c r="P111" s="50">
        <f t="shared" si="9"/>
        <v>226963.63636363635</v>
      </c>
      <c r="Q111" s="50">
        <f t="shared" si="9"/>
        <v>226963.63636363635</v>
      </c>
      <c r="R111" s="50">
        <f t="shared" si="9"/>
        <v>226963.63636363635</v>
      </c>
      <c r="S111" s="50">
        <f>R111</f>
        <v>226963.63636363635</v>
      </c>
      <c r="T111" s="50">
        <f t="shared" si="9"/>
        <v>226963.63636363635</v>
      </c>
      <c r="U111" s="50">
        <f t="shared" si="9"/>
        <v>226963.63636363635</v>
      </c>
      <c r="V111" s="50">
        <f t="shared" si="9"/>
        <v>226963.63636363635</v>
      </c>
      <c r="W111" s="50">
        <f t="shared" si="9"/>
        <v>226963.63636363635</v>
      </c>
      <c r="X111" s="50">
        <f t="shared" si="9"/>
        <v>226963.63636363635</v>
      </c>
      <c r="Y111" s="50">
        <f t="shared" si="9"/>
        <v>226963.63636363635</v>
      </c>
      <c r="Z111" s="50">
        <f t="shared" si="9"/>
        <v>226963.63636363635</v>
      </c>
      <c r="AA111" s="50">
        <f t="shared" si="9"/>
        <v>226963.63636363635</v>
      </c>
      <c r="AB111" s="50">
        <f t="shared" si="9"/>
        <v>226963.63636363635</v>
      </c>
    </row>
    <row r="112" spans="2:28">
      <c r="B112" s="44"/>
      <c r="C112" s="3" t="s">
        <v>473</v>
      </c>
      <c r="D112" s="1"/>
      <c r="E112" s="1"/>
      <c r="F112" s="44"/>
      <c r="G112" s="3"/>
      <c r="H112" s="9"/>
      <c r="I112" s="49">
        <f>D52</f>
        <v>836.30380011955526</v>
      </c>
      <c r="J112" s="49">
        <f>I112</f>
        <v>836.30380011955526</v>
      </c>
      <c r="K112" s="49">
        <f t="shared" ref="K112:AB112" si="10">J112</f>
        <v>836.30380011955526</v>
      </c>
      <c r="L112" s="49">
        <f t="shared" si="10"/>
        <v>836.30380011955526</v>
      </c>
      <c r="M112" s="49">
        <f t="shared" si="10"/>
        <v>836.30380011955526</v>
      </c>
      <c r="N112" s="49">
        <f t="shared" si="10"/>
        <v>836.30380011955526</v>
      </c>
      <c r="O112" s="49">
        <f t="shared" si="10"/>
        <v>836.30380011955526</v>
      </c>
      <c r="P112" s="49">
        <f t="shared" si="10"/>
        <v>836.30380011955526</v>
      </c>
      <c r="Q112" s="49">
        <f t="shared" si="10"/>
        <v>836.30380011955526</v>
      </c>
      <c r="R112" s="49">
        <f t="shared" si="10"/>
        <v>836.30380011955526</v>
      </c>
      <c r="S112" s="49">
        <f t="shared" si="10"/>
        <v>836.30380011955526</v>
      </c>
      <c r="T112" s="49">
        <f t="shared" si="10"/>
        <v>836.30380011955526</v>
      </c>
      <c r="U112" s="49">
        <f>T112</f>
        <v>836.30380011955526</v>
      </c>
      <c r="V112" s="49">
        <f t="shared" si="10"/>
        <v>836.30380011955526</v>
      </c>
      <c r="W112" s="49">
        <f t="shared" si="10"/>
        <v>836.30380011955526</v>
      </c>
      <c r="X112" s="49">
        <f t="shared" si="10"/>
        <v>836.30380011955526</v>
      </c>
      <c r="Y112" s="49">
        <f t="shared" si="10"/>
        <v>836.30380011955526</v>
      </c>
      <c r="Z112" s="49">
        <f t="shared" si="10"/>
        <v>836.30380011955526</v>
      </c>
      <c r="AA112" s="49">
        <f t="shared" si="10"/>
        <v>836.30380011955526</v>
      </c>
      <c r="AB112" s="49">
        <f t="shared" si="10"/>
        <v>836.30380011955526</v>
      </c>
    </row>
    <row r="113" spans="2:28">
      <c r="B113" s="44"/>
      <c r="C113" s="3"/>
      <c r="D113" s="1"/>
      <c r="E113" s="1"/>
      <c r="F113" s="44"/>
      <c r="G113" s="3"/>
      <c r="H113" s="9"/>
      <c r="I113" s="54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</row>
    <row r="114" spans="2:28">
      <c r="B114" s="40">
        <v>4</v>
      </c>
      <c r="C114" s="41" t="s">
        <v>156</v>
      </c>
      <c r="D114" s="42"/>
      <c r="E114" s="42"/>
      <c r="F114" s="40"/>
      <c r="G114" s="41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 spans="2:28">
      <c r="B115" s="43"/>
      <c r="C115" s="1" t="s">
        <v>145</v>
      </c>
      <c r="D115" s="1"/>
      <c r="E115" s="1"/>
      <c r="F115" s="43"/>
      <c r="G115" s="1"/>
      <c r="H115" s="9"/>
      <c r="I115" s="9">
        <f t="shared" ref="I115:W115" si="11">I89+I107</f>
        <v>99543.609637244983</v>
      </c>
      <c r="J115" s="9">
        <f t="shared" si="11"/>
        <v>99759.227137244976</v>
      </c>
      <c r="K115" s="9">
        <f t="shared" si="11"/>
        <v>99980.235074744982</v>
      </c>
      <c r="L115" s="9">
        <f t="shared" si="11"/>
        <v>100206.76821068249</v>
      </c>
      <c r="M115" s="9">
        <f t="shared" si="11"/>
        <v>100438.96467501842</v>
      </c>
      <c r="N115" s="9">
        <f t="shared" si="11"/>
        <v>100676.96605096274</v>
      </c>
      <c r="O115" s="9">
        <f t="shared" si="11"/>
        <v>64920.917461305697</v>
      </c>
      <c r="P115" s="9">
        <f t="shared" si="11"/>
        <v>101170.96765690722</v>
      </c>
      <c r="Q115" s="9">
        <f t="shared" si="11"/>
        <v>101427.26910739877</v>
      </c>
      <c r="R115" s="9">
        <f t="shared" si="11"/>
        <v>101689.97809415261</v>
      </c>
      <c r="S115" s="9">
        <f t="shared" si="11"/>
        <v>101959.2548055753</v>
      </c>
      <c r="T115" s="9">
        <f t="shared" si="11"/>
        <v>102235.26343478356</v>
      </c>
      <c r="U115" s="9">
        <f t="shared" si="11"/>
        <v>102518.17227972203</v>
      </c>
      <c r="V115" s="9">
        <f t="shared" si="11"/>
        <v>60015.466713728296</v>
      </c>
      <c r="W115" s="9">
        <f t="shared" si="11"/>
        <v>103105.38495099742</v>
      </c>
      <c r="X115" s="9">
        <f t="shared" ref="X115:AB115" si="12">X89+X107</f>
        <v>103410.04683384123</v>
      </c>
      <c r="Y115" s="9">
        <f t="shared" si="12"/>
        <v>103722.32526375612</v>
      </c>
      <c r="Z115" s="9">
        <f t="shared" si="12"/>
        <v>104042.41065441891</v>
      </c>
      <c r="AA115" s="9">
        <f t="shared" si="12"/>
        <v>104370.49817984826</v>
      </c>
      <c r="AB115" s="9">
        <f t="shared" si="12"/>
        <v>104706.78789341333</v>
      </c>
    </row>
    <row r="116" spans="2:28">
      <c r="B116" s="2"/>
      <c r="C116" s="3" t="s">
        <v>157</v>
      </c>
      <c r="D116" s="1"/>
      <c r="E116" s="1"/>
      <c r="F116" s="2"/>
      <c r="G116" s="3"/>
      <c r="H116" s="9"/>
      <c r="I116" s="9">
        <f t="shared" ref="I116:AB116" si="13">$H$98/$D$58</f>
        <v>-26952.1875</v>
      </c>
      <c r="J116" s="9">
        <f t="shared" si="13"/>
        <v>-26952.1875</v>
      </c>
      <c r="K116" s="9">
        <f t="shared" si="13"/>
        <v>-26952.1875</v>
      </c>
      <c r="L116" s="9">
        <f t="shared" si="13"/>
        <v>-26952.1875</v>
      </c>
      <c r="M116" s="9">
        <f t="shared" si="13"/>
        <v>-26952.1875</v>
      </c>
      <c r="N116" s="9">
        <f t="shared" si="13"/>
        <v>-26952.1875</v>
      </c>
      <c r="O116" s="9">
        <f t="shared" si="13"/>
        <v>-26952.1875</v>
      </c>
      <c r="P116" s="9">
        <f t="shared" si="13"/>
        <v>-26952.1875</v>
      </c>
      <c r="Q116" s="9">
        <f t="shared" si="13"/>
        <v>-26952.1875</v>
      </c>
      <c r="R116" s="9">
        <f t="shared" si="13"/>
        <v>-26952.1875</v>
      </c>
      <c r="S116" s="9">
        <f t="shared" si="13"/>
        <v>-26952.1875</v>
      </c>
      <c r="T116" s="9">
        <f t="shared" si="13"/>
        <v>-26952.1875</v>
      </c>
      <c r="U116" s="9">
        <f t="shared" si="13"/>
        <v>-26952.1875</v>
      </c>
      <c r="V116" s="9">
        <f t="shared" si="13"/>
        <v>-26952.1875</v>
      </c>
      <c r="W116" s="9">
        <f t="shared" si="13"/>
        <v>-26952.1875</v>
      </c>
      <c r="X116" s="9">
        <f t="shared" si="13"/>
        <v>-26952.1875</v>
      </c>
      <c r="Y116" s="9">
        <f t="shared" si="13"/>
        <v>-26952.1875</v>
      </c>
      <c r="Z116" s="9">
        <f t="shared" si="13"/>
        <v>-26952.1875</v>
      </c>
      <c r="AA116" s="9">
        <f t="shared" si="13"/>
        <v>-26952.1875</v>
      </c>
      <c r="AB116" s="9">
        <f t="shared" si="13"/>
        <v>-26952.1875</v>
      </c>
    </row>
    <row r="117" spans="2:28">
      <c r="B117" s="2"/>
      <c r="C117" s="3" t="s">
        <v>158</v>
      </c>
      <c r="D117" s="1"/>
      <c r="E117" s="1"/>
      <c r="F117" s="2"/>
      <c r="G117" s="3"/>
      <c r="H117" s="9"/>
      <c r="I117" s="9">
        <f t="shared" ref="I117:W117" si="14">SUM(I115:I116)</f>
        <v>72591.422137244983</v>
      </c>
      <c r="J117" s="9">
        <f t="shared" si="14"/>
        <v>72807.039637244976</v>
      </c>
      <c r="K117" s="9">
        <f t="shared" si="14"/>
        <v>73028.047574744982</v>
      </c>
      <c r="L117" s="9">
        <f t="shared" si="14"/>
        <v>73254.580710682494</v>
      </c>
      <c r="M117" s="9">
        <f t="shared" si="14"/>
        <v>73486.777175018418</v>
      </c>
      <c r="N117" s="9">
        <f t="shared" si="14"/>
        <v>73724.778550962743</v>
      </c>
      <c r="O117" s="9">
        <f t="shared" si="14"/>
        <v>37968.729961305697</v>
      </c>
      <c r="P117" s="9">
        <f t="shared" si="14"/>
        <v>74218.780156907218</v>
      </c>
      <c r="Q117" s="9">
        <f t="shared" si="14"/>
        <v>74475.081607398766</v>
      </c>
      <c r="R117" s="9">
        <f t="shared" si="14"/>
        <v>74737.790594152611</v>
      </c>
      <c r="S117" s="9">
        <f t="shared" si="14"/>
        <v>75007.0673055753</v>
      </c>
      <c r="T117" s="9">
        <f t="shared" si="14"/>
        <v>75283.075934783556</v>
      </c>
      <c r="U117" s="9">
        <f t="shared" si="14"/>
        <v>75565.984779722028</v>
      </c>
      <c r="V117" s="9">
        <f t="shared" si="14"/>
        <v>33063.279213728296</v>
      </c>
      <c r="W117" s="9">
        <f t="shared" si="14"/>
        <v>76153.197450997424</v>
      </c>
      <c r="X117" s="9">
        <f t="shared" ref="X117:AB117" si="15">SUM(X115:X116)</f>
        <v>76457.859333841232</v>
      </c>
      <c r="Y117" s="9">
        <f t="shared" si="15"/>
        <v>76770.137763756124</v>
      </c>
      <c r="Z117" s="9">
        <f t="shared" si="15"/>
        <v>77090.223154418913</v>
      </c>
      <c r="AA117" s="9">
        <f t="shared" si="15"/>
        <v>77418.310679848262</v>
      </c>
      <c r="AB117" s="9">
        <f t="shared" si="15"/>
        <v>77754.600393413333</v>
      </c>
    </row>
    <row r="118" spans="2:28">
      <c r="B118" s="2"/>
      <c r="C118" s="3"/>
      <c r="D118" s="1"/>
      <c r="E118" s="1"/>
      <c r="F118" s="2"/>
      <c r="G118" s="3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2:28">
      <c r="B119" s="2"/>
      <c r="C119" s="3" t="s">
        <v>231</v>
      </c>
      <c r="D119" s="1"/>
      <c r="E119" s="1"/>
      <c r="F119" s="2"/>
      <c r="G119" s="3"/>
      <c r="H119" s="9"/>
      <c r="I119" s="9">
        <f>D60</f>
        <v>161713.125</v>
      </c>
      <c r="J119" s="9">
        <f>I123</f>
        <v>157768.46875016516</v>
      </c>
      <c r="K119" s="9">
        <f>J123</f>
        <v>153547.6865628419</v>
      </c>
      <c r="L119" s="9">
        <f t="shared" ref="L119:W119" si="16">K123</f>
        <v>149031.44962240601</v>
      </c>
      <c r="M119" s="9">
        <f t="shared" si="16"/>
        <v>144199.07609613962</v>
      </c>
      <c r="N119" s="9">
        <f t="shared" si="16"/>
        <v>139028.43642303455</v>
      </c>
      <c r="O119" s="9">
        <f t="shared" si="16"/>
        <v>133495.85197281215</v>
      </c>
      <c r="P119" s="9">
        <f t="shared" si="16"/>
        <v>127575.98661107417</v>
      </c>
      <c r="Q119" s="9">
        <f t="shared" si="16"/>
        <v>121241.73067401454</v>
      </c>
      <c r="R119" s="9">
        <f t="shared" si="16"/>
        <v>114464.07682136074</v>
      </c>
      <c r="S119" s="9">
        <f t="shared" si="16"/>
        <v>107211.98719902117</v>
      </c>
      <c r="T119" s="9">
        <f t="shared" si="16"/>
        <v>99452.251303117824</v>
      </c>
      <c r="U119" s="9">
        <f t="shared" si="16"/>
        <v>91149.333894501251</v>
      </c>
      <c r="V119" s="9">
        <f t="shared" si="16"/>
        <v>82265.212267281517</v>
      </c>
      <c r="W119" s="9">
        <f t="shared" si="16"/>
        <v>72759.202126156393</v>
      </c>
      <c r="X119" s="9">
        <f t="shared" ref="X119" si="17">W123</f>
        <v>62587.771275152518</v>
      </c>
      <c r="Y119" s="9">
        <f t="shared" ref="Y119" si="18">X123</f>
        <v>51704.340264578364</v>
      </c>
      <c r="Z119" s="9">
        <f t="shared" ref="Z119" si="19">Y123</f>
        <v>40059.069083264025</v>
      </c>
      <c r="AA119" s="9">
        <f t="shared" ref="AA119" si="20">Z123</f>
        <v>27598.628919257681</v>
      </c>
      <c r="AB119" s="9">
        <f t="shared" ref="AB119" si="21">AA123</f>
        <v>14265.957943770893</v>
      </c>
    </row>
    <row r="120" spans="2:28">
      <c r="B120" s="2"/>
      <c r="C120" s="3" t="s">
        <v>229</v>
      </c>
      <c r="D120" s="1"/>
      <c r="E120" s="1"/>
      <c r="F120" s="2"/>
      <c r="G120" s="3"/>
      <c r="H120" s="9"/>
      <c r="I120" s="9">
        <f>PMT($D$61,20,$D$60)</f>
        <v>-15264.574999834826</v>
      </c>
      <c r="J120" s="9">
        <f t="shared" ref="J120:AB120" si="22">PMT($D$61,20,$D$60)</f>
        <v>-15264.574999834826</v>
      </c>
      <c r="K120" s="9">
        <f t="shared" si="22"/>
        <v>-15264.574999834826</v>
      </c>
      <c r="L120" s="9">
        <f t="shared" si="22"/>
        <v>-15264.574999834826</v>
      </c>
      <c r="M120" s="9">
        <f t="shared" si="22"/>
        <v>-15264.574999834826</v>
      </c>
      <c r="N120" s="9">
        <f t="shared" si="22"/>
        <v>-15264.574999834826</v>
      </c>
      <c r="O120" s="9">
        <f t="shared" si="22"/>
        <v>-15264.574999834826</v>
      </c>
      <c r="P120" s="9">
        <f t="shared" si="22"/>
        <v>-15264.574999834826</v>
      </c>
      <c r="Q120" s="9">
        <f t="shared" si="22"/>
        <v>-15264.574999834826</v>
      </c>
      <c r="R120" s="9">
        <f t="shared" si="22"/>
        <v>-15264.574999834826</v>
      </c>
      <c r="S120" s="9">
        <f t="shared" si="22"/>
        <v>-15264.574999834826</v>
      </c>
      <c r="T120" s="9">
        <f t="shared" si="22"/>
        <v>-15264.574999834826</v>
      </c>
      <c r="U120" s="9">
        <f t="shared" si="22"/>
        <v>-15264.574999834826</v>
      </c>
      <c r="V120" s="9">
        <f t="shared" si="22"/>
        <v>-15264.574999834826</v>
      </c>
      <c r="W120" s="9">
        <f t="shared" si="22"/>
        <v>-15264.574999834826</v>
      </c>
      <c r="X120" s="9">
        <f t="shared" si="22"/>
        <v>-15264.574999834826</v>
      </c>
      <c r="Y120" s="9">
        <f t="shared" si="22"/>
        <v>-15264.574999834826</v>
      </c>
      <c r="Z120" s="9">
        <f t="shared" si="22"/>
        <v>-15264.574999834826</v>
      </c>
      <c r="AA120" s="9">
        <f>PMT($D$61,20,$D$60)</f>
        <v>-15264.574999834826</v>
      </c>
      <c r="AB120" s="9">
        <f t="shared" si="22"/>
        <v>-15264.574999834826</v>
      </c>
    </row>
    <row r="121" spans="2:28">
      <c r="B121" s="2"/>
      <c r="C121" s="45" t="s">
        <v>230</v>
      </c>
      <c r="D121" s="1"/>
      <c r="E121" s="1"/>
      <c r="F121" s="2"/>
      <c r="G121" s="3"/>
      <c r="H121" s="9"/>
      <c r="I121" s="9">
        <f>-I119*$D$61</f>
        <v>-11319.918750000001</v>
      </c>
      <c r="J121" s="9">
        <f>-J119*$D$61</f>
        <v>-11043.792812511563</v>
      </c>
      <c r="K121" s="9">
        <f t="shared" ref="K121:AB121" si="23">-K119*$D$61</f>
        <v>-10748.338059398935</v>
      </c>
      <c r="L121" s="9">
        <f t="shared" si="23"/>
        <v>-10432.201473568422</v>
      </c>
      <c r="M121" s="9">
        <f t="shared" si="23"/>
        <v>-10093.935326729774</v>
      </c>
      <c r="N121" s="9">
        <f t="shared" si="23"/>
        <v>-9731.9905496124193</v>
      </c>
      <c r="O121" s="9">
        <f t="shared" si="23"/>
        <v>-9344.7096380968505</v>
      </c>
      <c r="P121" s="9">
        <f t="shared" si="23"/>
        <v>-8930.3190627751937</v>
      </c>
      <c r="Q121" s="9">
        <f t="shared" si="23"/>
        <v>-8486.9211471810195</v>
      </c>
      <c r="R121" s="9">
        <f t="shared" si="23"/>
        <v>-8012.4853774952526</v>
      </c>
      <c r="S121" s="9">
        <f t="shared" si="23"/>
        <v>-7504.8391039314829</v>
      </c>
      <c r="T121" s="9">
        <f t="shared" si="23"/>
        <v>-6961.6575912182479</v>
      </c>
      <c r="U121" s="9">
        <f t="shared" si="23"/>
        <v>-6380.4533726150885</v>
      </c>
      <c r="V121" s="9">
        <f t="shared" si="23"/>
        <v>-5758.5648587097066</v>
      </c>
      <c r="W121" s="9">
        <f t="shared" si="23"/>
        <v>-5093.1441488309483</v>
      </c>
      <c r="X121" s="9">
        <f t="shared" si="23"/>
        <v>-4381.1439892606768</v>
      </c>
      <c r="Y121" s="9">
        <f t="shared" si="23"/>
        <v>-3619.3038185204859</v>
      </c>
      <c r="Z121" s="9">
        <f t="shared" si="23"/>
        <v>-2804.1348358284822</v>
      </c>
      <c r="AA121" s="9">
        <f t="shared" si="23"/>
        <v>-1931.9040243480379</v>
      </c>
      <c r="AB121" s="9">
        <f t="shared" si="23"/>
        <v>-998.61705606396254</v>
      </c>
    </row>
    <row r="122" spans="2:28">
      <c r="B122" s="2"/>
      <c r="C122" s="3" t="s">
        <v>234</v>
      </c>
      <c r="D122" s="1"/>
      <c r="E122" s="1"/>
      <c r="F122" s="2"/>
      <c r="G122" s="3"/>
      <c r="H122" s="9"/>
      <c r="I122" s="9">
        <f t="shared" ref="I122:W122" si="24">-(I120-I121)</f>
        <v>3944.6562498348248</v>
      </c>
      <c r="J122" s="9">
        <f t="shared" si="24"/>
        <v>4220.7821873232624</v>
      </c>
      <c r="K122" s="9">
        <f t="shared" si="24"/>
        <v>4516.2369404358906</v>
      </c>
      <c r="L122" s="9">
        <f t="shared" si="24"/>
        <v>4832.3735262664031</v>
      </c>
      <c r="M122" s="9">
        <f t="shared" si="24"/>
        <v>5170.6396731050518</v>
      </c>
      <c r="N122" s="9">
        <f t="shared" si="24"/>
        <v>5532.5844502224063</v>
      </c>
      <c r="O122" s="9">
        <f t="shared" si="24"/>
        <v>5919.865361737975</v>
      </c>
      <c r="P122" s="9">
        <f t="shared" si="24"/>
        <v>6334.2559370596318</v>
      </c>
      <c r="Q122" s="9">
        <f t="shared" si="24"/>
        <v>6777.6538526538061</v>
      </c>
      <c r="R122" s="9">
        <f t="shared" si="24"/>
        <v>7252.089622339573</v>
      </c>
      <c r="S122" s="9">
        <f t="shared" si="24"/>
        <v>7759.7358959033427</v>
      </c>
      <c r="T122" s="9">
        <f t="shared" si="24"/>
        <v>8302.9174086165767</v>
      </c>
      <c r="U122" s="9">
        <f t="shared" si="24"/>
        <v>8884.121627219738</v>
      </c>
      <c r="V122" s="9">
        <f t="shared" si="24"/>
        <v>9506.0101411251198</v>
      </c>
      <c r="W122" s="9">
        <f t="shared" si="24"/>
        <v>10171.430851003877</v>
      </c>
      <c r="X122" s="9">
        <f t="shared" ref="X122:AB122" si="25">-(X120-X121)</f>
        <v>10883.43101057415</v>
      </c>
      <c r="Y122" s="9">
        <f t="shared" si="25"/>
        <v>11645.27118131434</v>
      </c>
      <c r="Z122" s="9">
        <f t="shared" si="25"/>
        <v>12460.440164006344</v>
      </c>
      <c r="AA122" s="9">
        <f t="shared" si="25"/>
        <v>13332.670975486788</v>
      </c>
      <c r="AB122" s="9">
        <f t="shared" si="25"/>
        <v>14265.957943770863</v>
      </c>
    </row>
    <row r="123" spans="2:28">
      <c r="B123" s="2"/>
      <c r="C123" s="3" t="s">
        <v>235</v>
      </c>
      <c r="D123" s="1"/>
      <c r="E123" s="1"/>
      <c r="F123" s="2"/>
      <c r="G123" s="3"/>
      <c r="H123" s="9"/>
      <c r="I123" s="9">
        <f t="shared" ref="I123:W123" si="26">I119-I122</f>
        <v>157768.46875016516</v>
      </c>
      <c r="J123" s="9">
        <f t="shared" si="26"/>
        <v>153547.6865628419</v>
      </c>
      <c r="K123" s="9">
        <f t="shared" si="26"/>
        <v>149031.44962240601</v>
      </c>
      <c r="L123" s="9">
        <f t="shared" si="26"/>
        <v>144199.07609613962</v>
      </c>
      <c r="M123" s="9">
        <f t="shared" si="26"/>
        <v>139028.43642303455</v>
      </c>
      <c r="N123" s="9">
        <f t="shared" si="26"/>
        <v>133495.85197281215</v>
      </c>
      <c r="O123" s="9">
        <f t="shared" si="26"/>
        <v>127575.98661107417</v>
      </c>
      <c r="P123" s="9">
        <f t="shared" si="26"/>
        <v>121241.73067401454</v>
      </c>
      <c r="Q123" s="9">
        <f t="shared" si="26"/>
        <v>114464.07682136074</v>
      </c>
      <c r="R123" s="9">
        <f t="shared" si="26"/>
        <v>107211.98719902117</v>
      </c>
      <c r="S123" s="9">
        <f t="shared" si="26"/>
        <v>99452.251303117824</v>
      </c>
      <c r="T123" s="9">
        <f t="shared" si="26"/>
        <v>91149.333894501251</v>
      </c>
      <c r="U123" s="9">
        <f t="shared" si="26"/>
        <v>82265.212267281517</v>
      </c>
      <c r="V123" s="9">
        <f t="shared" si="26"/>
        <v>72759.202126156393</v>
      </c>
      <c r="W123" s="9">
        <f t="shared" si="26"/>
        <v>62587.771275152518</v>
      </c>
      <c r="X123" s="9">
        <f t="shared" ref="X123:AB123" si="27">X119-X122</f>
        <v>51704.340264578364</v>
      </c>
      <c r="Y123" s="9">
        <f t="shared" si="27"/>
        <v>40059.069083264025</v>
      </c>
      <c r="Z123" s="9">
        <f t="shared" si="27"/>
        <v>27598.628919257681</v>
      </c>
      <c r="AA123" s="9">
        <f t="shared" si="27"/>
        <v>14265.957943770893</v>
      </c>
      <c r="AB123" s="9">
        <f t="shared" si="27"/>
        <v>2.9103830456733704E-11</v>
      </c>
    </row>
    <row r="124" spans="2:28">
      <c r="B124" s="2"/>
      <c r="C124" s="3"/>
      <c r="D124" s="1"/>
      <c r="E124" s="1"/>
      <c r="F124" s="2"/>
      <c r="G124" s="3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2:28">
      <c r="B125" s="2"/>
      <c r="C125" s="45" t="s">
        <v>159</v>
      </c>
      <c r="D125" s="1"/>
      <c r="E125" s="1"/>
      <c r="F125" s="2"/>
      <c r="G125" s="3"/>
      <c r="H125" s="9"/>
      <c r="I125" s="9">
        <f>-MAX((I117+I121)*22%,0)</f>
        <v>-13479.730745193898</v>
      </c>
      <c r="J125" s="9">
        <f t="shared" ref="J125:AB125" si="28">-MAX((J117+J121)*22%,0)</f>
        <v>-13587.914301441351</v>
      </c>
      <c r="K125" s="9">
        <f t="shared" si="28"/>
        <v>-13701.536093376131</v>
      </c>
      <c r="L125" s="9">
        <f t="shared" si="28"/>
        <v>-13820.923432165097</v>
      </c>
      <c r="M125" s="9">
        <f t="shared" si="28"/>
        <v>-13946.425206623502</v>
      </c>
      <c r="N125" s="9">
        <f t="shared" si="28"/>
        <v>-14078.413360297071</v>
      </c>
      <c r="O125" s="9">
        <f t="shared" si="28"/>
        <v>-6297.2844711059461</v>
      </c>
      <c r="P125" s="9">
        <f t="shared" si="28"/>
        <v>-14363.461440709047</v>
      </c>
      <c r="Q125" s="9">
        <f t="shared" si="28"/>
        <v>-14517.395301247903</v>
      </c>
      <c r="R125" s="9">
        <f>-MAX((R117+R121)*22%,0)</f>
        <v>-14679.56714766462</v>
      </c>
      <c r="S125" s="9">
        <f t="shared" si="28"/>
        <v>-14850.490204361638</v>
      </c>
      <c r="T125" s="9">
        <f t="shared" si="28"/>
        <v>-15030.712035584369</v>
      </c>
      <c r="U125" s="9">
        <f t="shared" si="28"/>
        <v>-15220.816909563528</v>
      </c>
      <c r="V125" s="9">
        <f t="shared" si="28"/>
        <v>-6007.0371581040899</v>
      </c>
      <c r="W125" s="9">
        <f t="shared" si="28"/>
        <v>-15633.211726476624</v>
      </c>
      <c r="X125" s="9">
        <f t="shared" si="28"/>
        <v>-15856.877375807724</v>
      </c>
      <c r="Y125" s="9">
        <f t="shared" si="28"/>
        <v>-16093.183467951842</v>
      </c>
      <c r="Z125" s="9">
        <f t="shared" si="28"/>
        <v>-16342.939430089893</v>
      </c>
      <c r="AA125" s="9">
        <f t="shared" si="28"/>
        <v>-16607.009464210048</v>
      </c>
      <c r="AB125" s="9">
        <f t="shared" si="28"/>
        <v>-16886.316334216863</v>
      </c>
    </row>
    <row r="126" spans="2:28">
      <c r="B126" s="2"/>
      <c r="C126" s="3"/>
      <c r="D126" s="1"/>
      <c r="E126" s="1"/>
      <c r="F126" s="2"/>
      <c r="G126" s="3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2:28">
      <c r="B127" s="55">
        <v>5</v>
      </c>
      <c r="C127" s="41" t="s">
        <v>160</v>
      </c>
      <c r="D127" s="42"/>
      <c r="E127" s="42"/>
      <c r="F127" s="55"/>
      <c r="G127" s="41"/>
      <c r="H127" s="46">
        <f>H98</f>
        <v>-539043.75</v>
      </c>
      <c r="I127" s="46">
        <f t="shared" ref="I127:W127" si="29">I117+I121+I125</f>
        <v>47791.772642051088</v>
      </c>
      <c r="J127" s="46">
        <f t="shared" si="29"/>
        <v>48175.332523292062</v>
      </c>
      <c r="K127" s="46">
        <f t="shared" si="29"/>
        <v>48578.173421969914</v>
      </c>
      <c r="L127" s="46">
        <f t="shared" si="29"/>
        <v>49001.455804948979</v>
      </c>
      <c r="M127" s="46">
        <f t="shared" si="29"/>
        <v>49446.416641665142</v>
      </c>
      <c r="N127" s="46">
        <f t="shared" si="29"/>
        <v>49914.374641053255</v>
      </c>
      <c r="O127" s="46">
        <f t="shared" si="29"/>
        <v>22326.735852102902</v>
      </c>
      <c r="P127" s="46">
        <f t="shared" si="29"/>
        <v>50924.999653422979</v>
      </c>
      <c r="Q127" s="46">
        <f t="shared" si="29"/>
        <v>51470.765158969836</v>
      </c>
      <c r="R127" s="46">
        <f t="shared" si="29"/>
        <v>52045.738068992738</v>
      </c>
      <c r="S127" s="46">
        <f t="shared" si="29"/>
        <v>52651.737997282173</v>
      </c>
      <c r="T127" s="46">
        <f t="shared" si="29"/>
        <v>53290.706307980945</v>
      </c>
      <c r="U127" s="46">
        <f t="shared" si="29"/>
        <v>53964.71449754342</v>
      </c>
      <c r="V127" s="46">
        <f t="shared" si="29"/>
        <v>21297.677196914501</v>
      </c>
      <c r="W127" s="46">
        <f t="shared" si="29"/>
        <v>55426.841575689847</v>
      </c>
      <c r="X127" s="46">
        <f t="shared" ref="X127:AB127" si="30">X117+X121+X125</f>
        <v>56219.837968772837</v>
      </c>
      <c r="Y127" s="46">
        <f t="shared" si="30"/>
        <v>57057.650477283802</v>
      </c>
      <c r="Z127" s="46">
        <f t="shared" si="30"/>
        <v>57943.148888500531</v>
      </c>
      <c r="AA127" s="46">
        <f t="shared" si="30"/>
        <v>58879.397191290176</v>
      </c>
      <c r="AB127" s="46">
        <f t="shared" si="30"/>
        <v>59869.667003132512</v>
      </c>
    </row>
    <row r="128" spans="2:28">
      <c r="B128" s="44"/>
      <c r="C128" s="45" t="s">
        <v>246</v>
      </c>
      <c r="D128" s="1"/>
      <c r="E128" s="1"/>
      <c r="F128" s="44"/>
      <c r="G128" s="1"/>
      <c r="H128" s="9">
        <f>H127</f>
        <v>-539043.75</v>
      </c>
      <c r="I128" s="9">
        <f t="shared" ref="I128:W128" si="31">I127-I116-I122</f>
        <v>70799.303892216267</v>
      </c>
      <c r="J128" s="9">
        <f t="shared" si="31"/>
        <v>70906.737835968801</v>
      </c>
      <c r="K128" s="9">
        <f t="shared" si="31"/>
        <v>71014.123981534023</v>
      </c>
      <c r="L128" s="9">
        <f t="shared" si="31"/>
        <v>71121.269778682588</v>
      </c>
      <c r="M128" s="9">
        <f t="shared" si="31"/>
        <v>71227.964468560094</v>
      </c>
      <c r="N128" s="9">
        <f t="shared" si="31"/>
        <v>71333.977690830856</v>
      </c>
      <c r="O128" s="9">
        <f t="shared" si="31"/>
        <v>43359.057990364927</v>
      </c>
      <c r="P128" s="9">
        <f t="shared" si="31"/>
        <v>71542.931216363344</v>
      </c>
      <c r="Q128" s="9">
        <f t="shared" si="31"/>
        <v>71645.29880631603</v>
      </c>
      <c r="R128" s="9">
        <f t="shared" si="31"/>
        <v>71745.835946653169</v>
      </c>
      <c r="S128" s="9">
        <f t="shared" si="31"/>
        <v>71844.189601378836</v>
      </c>
      <c r="T128" s="9">
        <f t="shared" si="31"/>
        <v>71939.976399364372</v>
      </c>
      <c r="U128" s="9">
        <f t="shared" si="31"/>
        <v>72032.780370323686</v>
      </c>
      <c r="V128" s="9">
        <f t="shared" si="31"/>
        <v>38743.854555789381</v>
      </c>
      <c r="W128" s="9">
        <f t="shared" si="31"/>
        <v>72207.598224685964</v>
      </c>
      <c r="X128" s="9">
        <f t="shared" ref="X128:AB128" si="32">X127-X116-X122</f>
        <v>72288.594458198684</v>
      </c>
      <c r="Y128" s="9">
        <f t="shared" si="32"/>
        <v>72364.566795969469</v>
      </c>
      <c r="Z128" s="9">
        <f t="shared" si="32"/>
        <v>72434.896224494179</v>
      </c>
      <c r="AA128" s="9">
        <f t="shared" si="32"/>
        <v>72498.913715803385</v>
      </c>
      <c r="AB128" s="9">
        <f t="shared" si="32"/>
        <v>72555.896559361659</v>
      </c>
    </row>
    <row r="129" spans="2:28">
      <c r="B129" s="43"/>
      <c r="C129" s="45" t="s">
        <v>146</v>
      </c>
      <c r="D129" s="1"/>
      <c r="E129" s="1"/>
      <c r="F129" s="43"/>
      <c r="G129" s="1"/>
      <c r="H129" s="9">
        <f>H128</f>
        <v>-539043.75</v>
      </c>
      <c r="I129" s="9">
        <f>H129+I128</f>
        <v>-468244.4461077837</v>
      </c>
      <c r="J129" s="9">
        <f>I129+J128</f>
        <v>-397337.70827181492</v>
      </c>
      <c r="K129" s="9">
        <f t="shared" ref="K129:W129" si="33">J129+K128</f>
        <v>-326323.58429028088</v>
      </c>
      <c r="L129" s="9">
        <f t="shared" si="33"/>
        <v>-255202.31451159829</v>
      </c>
      <c r="M129" s="9">
        <f t="shared" si="33"/>
        <v>-183974.3500430382</v>
      </c>
      <c r="N129" s="9">
        <f t="shared" si="33"/>
        <v>-112640.37235220734</v>
      </c>
      <c r="O129" s="9">
        <f t="shared" si="33"/>
        <v>-69281.314361842407</v>
      </c>
      <c r="P129" s="9">
        <f t="shared" si="33"/>
        <v>2261.6168545209366</v>
      </c>
      <c r="Q129" s="9">
        <f t="shared" si="33"/>
        <v>73906.915660836967</v>
      </c>
      <c r="R129" s="9">
        <f t="shared" si="33"/>
        <v>145652.75160749012</v>
      </c>
      <c r="S129" s="9">
        <f t="shared" si="33"/>
        <v>217496.94120886896</v>
      </c>
      <c r="T129" s="9">
        <f t="shared" si="33"/>
        <v>289436.91760823334</v>
      </c>
      <c r="U129" s="9">
        <f t="shared" si="33"/>
        <v>361469.69797855703</v>
      </c>
      <c r="V129" s="9">
        <f t="shared" si="33"/>
        <v>400213.55253434641</v>
      </c>
      <c r="W129" s="9">
        <f t="shared" si="33"/>
        <v>472421.15075903235</v>
      </c>
      <c r="X129" s="9">
        <f t="shared" ref="X129" si="34">W129+X128</f>
        <v>544709.74521723099</v>
      </c>
      <c r="Y129" s="9">
        <f t="shared" ref="Y129" si="35">X129+Y128</f>
        <v>617074.31201320048</v>
      </c>
      <c r="Z129" s="9">
        <f t="shared" ref="Z129" si="36">Y129+Z128</f>
        <v>689509.20823769469</v>
      </c>
      <c r="AA129" s="9">
        <f t="shared" ref="AA129" si="37">Z129+AA128</f>
        <v>762008.12195349811</v>
      </c>
      <c r="AB129" s="9">
        <f t="shared" ref="AB129" si="38">AA129+AB128</f>
        <v>834564.01851285971</v>
      </c>
    </row>
    <row r="130" spans="2:28">
      <c r="B130" s="8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</row>
    <row r="131" spans="2:28">
      <c r="B131" s="70">
        <v>6</v>
      </c>
      <c r="C131" s="71" t="s">
        <v>245</v>
      </c>
      <c r="D131" s="72">
        <f>IRR(H128:AB128)</f>
        <v>0.11245071780019411</v>
      </c>
      <c r="E131" s="73"/>
      <c r="F131" s="73"/>
      <c r="G131" s="73"/>
      <c r="H131" s="74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</row>
    <row r="132" spans="2:28">
      <c r="B132" s="70">
        <v>7</v>
      </c>
      <c r="C132" s="71" t="s">
        <v>247</v>
      </c>
      <c r="D132" s="75">
        <f>NPV(8%,I128:AB128)+H128</f>
        <v>135377.22310440836</v>
      </c>
      <c r="E132" s="73" t="s">
        <v>250</v>
      </c>
      <c r="F132" s="82" t="s">
        <v>259</v>
      </c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</row>
    <row r="133" spans="2:28" ht="17" thickBot="1">
      <c r="B133" s="76">
        <v>8</v>
      </c>
      <c r="C133" s="77" t="s">
        <v>248</v>
      </c>
      <c r="D133" s="78">
        <f>7+(R127/R129)</f>
        <v>7.3573275306823405</v>
      </c>
      <c r="E133" s="79" t="s">
        <v>249</v>
      </c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</row>
    <row r="134" spans="2:28" ht="17" thickTop="1"/>
    <row r="142" spans="2:28">
      <c r="O142">
        <f>7-O129/P128</f>
        <v>7.9683879760576026</v>
      </c>
    </row>
    <row r="159" spans="3:3">
      <c r="C159" t="s">
        <v>154</v>
      </c>
    </row>
    <row r="160" spans="3:3">
      <c r="C160" t="s">
        <v>461</v>
      </c>
    </row>
    <row r="161" spans="3:3">
      <c r="C161" t="s">
        <v>462</v>
      </c>
    </row>
    <row r="162" spans="3:3">
      <c r="C162" t="s">
        <v>463</v>
      </c>
    </row>
    <row r="163" spans="3:3">
      <c r="C163" t="s">
        <v>464</v>
      </c>
    </row>
    <row r="164" spans="3:3">
      <c r="C164" t="s">
        <v>465</v>
      </c>
    </row>
    <row r="165" spans="3:3">
      <c r="C165" t="s">
        <v>466</v>
      </c>
    </row>
    <row r="166" spans="3:3">
      <c r="C166" t="s">
        <v>467</v>
      </c>
    </row>
    <row r="167" spans="3:3">
      <c r="C167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RHC Company Financial Model</vt:lpstr>
      <vt:lpstr>The FWC Company 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albertrafaelaja</dc:creator>
  <cp:lastModifiedBy>albertrafaelaja</cp:lastModifiedBy>
  <dcterms:created xsi:type="dcterms:W3CDTF">2025-09-18T03:36:37Z</dcterms:created>
  <dcterms:modified xsi:type="dcterms:W3CDTF">2025-10-09T05:54:43Z</dcterms:modified>
</cp:coreProperties>
</file>