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drawings/drawing5.xml" ContentType="application/vnd.openxmlformats-officedocument.drawing+xml"/>
  <Override PartName="/xl/tables/table8.xml" ContentType="application/vnd.openxmlformats-officedocument.spreadsheetml.table+xml"/>
  <Override PartName="/xl/drawings/drawing6.xml" ContentType="application/vnd.openxmlformats-officedocument.drawing+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tables/table1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lber\PycharmProjects\nomina-sena-django\sena\nomina\excel_files\"/>
    </mc:Choice>
  </mc:AlternateContent>
  <xr:revisionPtr revIDLastSave="0" documentId="13_ncr:1_{E410F926-5F66-49DB-AE76-26BCEF13EF5A}" xr6:coauthVersionLast="47" xr6:coauthVersionMax="47" xr10:uidLastSave="{00000000-0000-0000-0000-000000000000}"/>
  <bookViews>
    <workbookView xWindow="-108" yWindow="-108" windowWidth="23256" windowHeight="12456" tabRatio="807" firstSheet="2" activeTab="3" xr2:uid="{CFF015E3-E3F0-4F3C-98B2-B241F251F39A}"/>
  </bookViews>
  <sheets>
    <sheet name="PORTADA" sheetId="8" r:id="rId1"/>
    <sheet name="INSTRUCCIONES" sheetId="12" r:id="rId2"/>
    <sheet name="DATOS" sheetId="7" r:id="rId3"/>
    <sheet name="EMPLEADOS" sheetId="14" r:id="rId4"/>
    <sheet name="NOVEDADES EMPLEADOS" sheetId="1" r:id="rId5"/>
    <sheet name="NÓMINA" sheetId="3" r:id="rId6"/>
    <sheet name="PARAFISCALES" sheetId="4" r:id="rId7"/>
    <sheet name="PROVISIONES" sheetId="5" r:id="rId8"/>
    <sheet name="RECIBO" sheetId="9" r:id="rId9"/>
    <sheet name="LIQUIDACIÓN" sheetId="11" r:id="rId10"/>
    <sheet name="BaseDatos" sheetId="16" state="hidden" r:id="rId11"/>
    <sheet name="Tablas" sheetId="18" state="hidden" r:id="rId12"/>
    <sheet name="Reporte" sheetId="17" r:id="rId13"/>
    <sheet name="RETENCIÓN" sheetId="15" state="hidden" r:id="rId14"/>
  </sheets>
  <externalReferences>
    <externalReference r:id="rId15"/>
  </externalReferences>
  <definedNames>
    <definedName name="ANA">'[1]Base de datos'!$B$20</definedName>
    <definedName name="auxiliotransporte">#REF!</definedName>
    <definedName name="dosminimos">#REF!</definedName>
    <definedName name="fspensional1">#REF!</definedName>
    <definedName name="fspensional12">#REF!</definedName>
    <definedName name="fspensional12mas">#REF!</definedName>
    <definedName name="fspensional14">#REF!</definedName>
    <definedName name="fspensional14mas">#REF!</definedName>
    <definedName name="fspensional16">#REF!</definedName>
    <definedName name="fspensional16mas">#REF!</definedName>
    <definedName name="fspensional18">#REF!</definedName>
    <definedName name="fspensional18mas">#REF!</definedName>
    <definedName name="fspensional1mas">#REF!</definedName>
    <definedName name="fspensional20">#REF!</definedName>
    <definedName name="fspp1">#REF!</definedName>
    <definedName name="fspp12">#REF!</definedName>
    <definedName name="fspp14">#REF!</definedName>
    <definedName name="fspp16">#REF!</definedName>
    <definedName name="fspp18">#REF!</definedName>
    <definedName name="fspp20">#REF!</definedName>
    <definedName name="hed">#REF!</definedName>
    <definedName name="heddf">#REF!</definedName>
    <definedName name="hen">#REF!</definedName>
    <definedName name="hendf">#REF!</definedName>
    <definedName name="rddf">#REF!</definedName>
    <definedName name="rn">#REF!</definedName>
    <definedName name="rndf">#REF!</definedName>
    <definedName name="SegmentaciónDeDatos_CARGO">#N/A</definedName>
    <definedName name="SegmentaciónDeDatos_NOMBRE">#N/A</definedName>
    <definedName name="smlv">#REF!</definedName>
    <definedName name="tablaempleados">#REF!</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 l="1"/>
  <c r="H6" i="1"/>
  <c r="H7" i="1"/>
  <c r="H8" i="1"/>
  <c r="H9" i="1"/>
  <c r="H10" i="1"/>
  <c r="H11" i="1"/>
  <c r="H12" i="1"/>
  <c r="H13" i="1"/>
  <c r="H4" i="1"/>
  <c r="AE7" i="1" l="1"/>
  <c r="C35" i="11"/>
  <c r="C22" i="11"/>
  <c r="C20" i="11"/>
  <c r="C19" i="11"/>
  <c r="C18" i="11"/>
  <c r="C17" i="11"/>
  <c r="C16" i="11"/>
  <c r="C15" i="11"/>
  <c r="C14" i="11"/>
  <c r="C22" i="9" l="1"/>
  <c r="D21" i="9"/>
  <c r="U18" i="3"/>
  <c r="U19" i="3"/>
  <c r="U20" i="3"/>
  <c r="U21" i="3"/>
  <c r="T13" i="16" s="1"/>
  <c r="U22" i="3"/>
  <c r="U23" i="3"/>
  <c r="U24" i="3"/>
  <c r="U25" i="3"/>
  <c r="T17" i="16" s="1"/>
  <c r="U26" i="3"/>
  <c r="U27" i="3"/>
  <c r="U28" i="3"/>
  <c r="U29" i="3"/>
  <c r="T21" i="16" s="1"/>
  <c r="U30" i="3"/>
  <c r="U31" i="3"/>
  <c r="U32" i="3"/>
  <c r="U33" i="3"/>
  <c r="U34" i="3"/>
  <c r="U35" i="3"/>
  <c r="U36" i="3"/>
  <c r="U37" i="3"/>
  <c r="T29" i="16" s="1"/>
  <c r="U38" i="3"/>
  <c r="U39" i="3"/>
  <c r="U40" i="3"/>
  <c r="U41" i="3"/>
  <c r="T33" i="16" s="1"/>
  <c r="U42" i="3"/>
  <c r="U43" i="3"/>
  <c r="U44" i="3"/>
  <c r="U45" i="3"/>
  <c r="T37" i="16" s="1"/>
  <c r="U46" i="3"/>
  <c r="U47" i="3"/>
  <c r="U48" i="3"/>
  <c r="U49" i="3"/>
  <c r="T41" i="16" s="1"/>
  <c r="U50" i="3"/>
  <c r="U51" i="3"/>
  <c r="U52" i="3"/>
  <c r="U53" i="3"/>
  <c r="T45" i="16" s="1"/>
  <c r="U54" i="3"/>
  <c r="U55" i="3"/>
  <c r="U56" i="3"/>
  <c r="U57" i="3"/>
  <c r="U58" i="3"/>
  <c r="U59" i="3"/>
  <c r="U11" i="3"/>
  <c r="U12" i="3"/>
  <c r="T4" i="16" s="1"/>
  <c r="U13" i="3"/>
  <c r="U14" i="3"/>
  <c r="U15" i="3"/>
  <c r="U16" i="3"/>
  <c r="T8" i="16" s="1"/>
  <c r="U17" i="3"/>
  <c r="T11" i="3"/>
  <c r="T12" i="3"/>
  <c r="T13" i="3"/>
  <c r="S5" i="16" s="1"/>
  <c r="T14" i="3"/>
  <c r="T15" i="3"/>
  <c r="T16" i="3"/>
  <c r="T17" i="3"/>
  <c r="S9" i="16" s="1"/>
  <c r="T18" i="3"/>
  <c r="S10" i="16" s="1"/>
  <c r="T19" i="3"/>
  <c r="T20" i="3"/>
  <c r="T21" i="3"/>
  <c r="S13" i="16" s="1"/>
  <c r="T22" i="3"/>
  <c r="T23" i="3"/>
  <c r="T24" i="3"/>
  <c r="T25" i="3"/>
  <c r="T26" i="3"/>
  <c r="S18" i="16" s="1"/>
  <c r="T27" i="3"/>
  <c r="T28" i="3"/>
  <c r="T29" i="3"/>
  <c r="T30" i="3"/>
  <c r="S22" i="16" s="1"/>
  <c r="T31" i="3"/>
  <c r="T32" i="3"/>
  <c r="T33" i="3"/>
  <c r="T34" i="3"/>
  <c r="S26" i="16" s="1"/>
  <c r="T35" i="3"/>
  <c r="T36" i="3"/>
  <c r="T37" i="3"/>
  <c r="T38" i="3"/>
  <c r="T39" i="3"/>
  <c r="T40" i="3"/>
  <c r="T41" i="3"/>
  <c r="T42" i="3"/>
  <c r="S34" i="16" s="1"/>
  <c r="T43" i="3"/>
  <c r="T44" i="3"/>
  <c r="T45" i="3"/>
  <c r="T46" i="3"/>
  <c r="S38" i="16" s="1"/>
  <c r="T47" i="3"/>
  <c r="T48" i="3"/>
  <c r="T49" i="3"/>
  <c r="T50" i="3"/>
  <c r="S42" i="16" s="1"/>
  <c r="T51" i="3"/>
  <c r="T52" i="3"/>
  <c r="T53" i="3"/>
  <c r="T54" i="3"/>
  <c r="T55" i="3"/>
  <c r="T56" i="3"/>
  <c r="T57" i="3"/>
  <c r="T58" i="3"/>
  <c r="S50" i="16" s="1"/>
  <c r="T59" i="3"/>
  <c r="C20" i="9"/>
  <c r="C19" i="9"/>
  <c r="C18" i="9"/>
  <c r="C17" i="9"/>
  <c r="C16" i="9"/>
  <c r="C15" i="9"/>
  <c r="C14" i="9"/>
  <c r="S3" i="16"/>
  <c r="T3" i="16"/>
  <c r="Y3" i="16"/>
  <c r="S4" i="16"/>
  <c r="Y4" i="16"/>
  <c r="T5" i="16"/>
  <c r="Y5" i="16"/>
  <c r="T6" i="16"/>
  <c r="Y6" i="16"/>
  <c r="S7" i="16"/>
  <c r="T7" i="16"/>
  <c r="Y7" i="16"/>
  <c r="S8" i="16"/>
  <c r="Y8" i="16"/>
  <c r="T9" i="16"/>
  <c r="Y9" i="16"/>
  <c r="T10" i="16"/>
  <c r="Y10" i="16"/>
  <c r="S11" i="16"/>
  <c r="T11" i="16"/>
  <c r="Y11" i="16"/>
  <c r="S12" i="16"/>
  <c r="T12" i="16"/>
  <c r="Y12" i="16"/>
  <c r="Y13" i="16"/>
  <c r="S14" i="16"/>
  <c r="T14" i="16"/>
  <c r="Y14" i="16"/>
  <c r="S15" i="16"/>
  <c r="T15" i="16"/>
  <c r="Y15" i="16"/>
  <c r="S16" i="16"/>
  <c r="T16" i="16"/>
  <c r="Y16" i="16"/>
  <c r="S17" i="16"/>
  <c r="Y17" i="16"/>
  <c r="T18" i="16"/>
  <c r="Y18" i="16"/>
  <c r="S19" i="16"/>
  <c r="T19" i="16"/>
  <c r="Y19" i="16"/>
  <c r="S20" i="16"/>
  <c r="T20" i="16"/>
  <c r="Y20" i="16"/>
  <c r="S21" i="16"/>
  <c r="Y21" i="16"/>
  <c r="T22" i="16"/>
  <c r="Y22" i="16"/>
  <c r="S23" i="16"/>
  <c r="T23" i="16"/>
  <c r="Y23" i="16"/>
  <c r="S24" i="16"/>
  <c r="T24" i="16"/>
  <c r="Y24" i="16"/>
  <c r="S25" i="16"/>
  <c r="T25" i="16"/>
  <c r="Y25" i="16"/>
  <c r="T26" i="16"/>
  <c r="Y26" i="16"/>
  <c r="S27" i="16"/>
  <c r="T27" i="16"/>
  <c r="Y27" i="16"/>
  <c r="S28" i="16"/>
  <c r="T28" i="16"/>
  <c r="Y28" i="16"/>
  <c r="S29" i="16"/>
  <c r="Y29" i="16"/>
  <c r="S30" i="16"/>
  <c r="T30" i="16"/>
  <c r="Y30" i="16"/>
  <c r="S31" i="16"/>
  <c r="T31" i="16"/>
  <c r="Y31" i="16"/>
  <c r="S32" i="16"/>
  <c r="T32" i="16"/>
  <c r="Y32" i="16"/>
  <c r="S33" i="16"/>
  <c r="Y33" i="16"/>
  <c r="T34" i="16"/>
  <c r="Y34" i="16"/>
  <c r="S35" i="16"/>
  <c r="T35" i="16"/>
  <c r="Y35" i="16"/>
  <c r="S36" i="16"/>
  <c r="T36" i="16"/>
  <c r="Y36" i="16"/>
  <c r="S37" i="16"/>
  <c r="Y37" i="16"/>
  <c r="T38" i="16"/>
  <c r="Y38" i="16"/>
  <c r="S39" i="16"/>
  <c r="T39" i="16"/>
  <c r="Y39" i="16"/>
  <c r="S40" i="16"/>
  <c r="T40" i="16"/>
  <c r="Y40" i="16"/>
  <c r="S41" i="16"/>
  <c r="Y41" i="16"/>
  <c r="T42" i="16"/>
  <c r="Y42" i="16"/>
  <c r="S43" i="16"/>
  <c r="T43" i="16"/>
  <c r="Y43" i="16"/>
  <c r="S44" i="16"/>
  <c r="T44" i="16"/>
  <c r="Y44" i="16"/>
  <c r="S45" i="16"/>
  <c r="Y45" i="16"/>
  <c r="S46" i="16"/>
  <c r="T46" i="16"/>
  <c r="Y46" i="16"/>
  <c r="S47" i="16"/>
  <c r="T47" i="16"/>
  <c r="Y47" i="16"/>
  <c r="S48" i="16"/>
  <c r="T48" i="16"/>
  <c r="Y48" i="16"/>
  <c r="S49" i="16"/>
  <c r="T49" i="16"/>
  <c r="Y49" i="16"/>
  <c r="T50" i="16"/>
  <c r="Y50" i="16"/>
  <c r="S51" i="16"/>
  <c r="T51" i="16"/>
  <c r="Y51" i="16"/>
  <c r="Y2" i="16"/>
  <c r="C17" i="17"/>
  <c r="S6" i="16" l="1"/>
  <c r="D39" i="15"/>
  <c r="D40" i="15" s="1"/>
  <c r="D38" i="15"/>
  <c r="B18" i="15" l="1"/>
  <c r="B10" i="15"/>
  <c r="B34" i="15" l="1"/>
  <c r="B26" i="15"/>
  <c r="AB7" i="1"/>
  <c r="AC7" i="1"/>
  <c r="AD7" i="1"/>
  <c r="AF7" i="1"/>
  <c r="AB8" i="1"/>
  <c r="AC8" i="1"/>
  <c r="AD8" i="1"/>
  <c r="AE8" i="1"/>
  <c r="AF8" i="1"/>
  <c r="AB9" i="1"/>
  <c r="AC9" i="1"/>
  <c r="AD9" i="1"/>
  <c r="AE9" i="1"/>
  <c r="AF9" i="1"/>
  <c r="AB10" i="1"/>
  <c r="AC10" i="1"/>
  <c r="AD10" i="1"/>
  <c r="AE10" i="1"/>
  <c r="AF10" i="1"/>
  <c r="AB11" i="1"/>
  <c r="AC11" i="1"/>
  <c r="AD11" i="1"/>
  <c r="AE11" i="1"/>
  <c r="AF11" i="1"/>
  <c r="AB12" i="1"/>
  <c r="AC12" i="1"/>
  <c r="AD12" i="1"/>
  <c r="AE12" i="1"/>
  <c r="AF12" i="1"/>
  <c r="AB13" i="1"/>
  <c r="AC13" i="1"/>
  <c r="AD13" i="1"/>
  <c r="AE13" i="1"/>
  <c r="AF13" i="1"/>
  <c r="AB14" i="1"/>
  <c r="AC14" i="1"/>
  <c r="AD14" i="1"/>
  <c r="AE14" i="1"/>
  <c r="AF14" i="1"/>
  <c r="AB15" i="1"/>
  <c r="AC15" i="1"/>
  <c r="AD15" i="1"/>
  <c r="AE15" i="1"/>
  <c r="AF15" i="1"/>
  <c r="AB16" i="1"/>
  <c r="AC16" i="1"/>
  <c r="AD16" i="1"/>
  <c r="AE16" i="1"/>
  <c r="AF16" i="1"/>
  <c r="AB17" i="1"/>
  <c r="AC17" i="1"/>
  <c r="AD17" i="1"/>
  <c r="AE17" i="1"/>
  <c r="AF17" i="1"/>
  <c r="AB18" i="1"/>
  <c r="AC18" i="1"/>
  <c r="AD18" i="1"/>
  <c r="AE18" i="1"/>
  <c r="AF18" i="1"/>
  <c r="AB19" i="1"/>
  <c r="AC19" i="1"/>
  <c r="AD19" i="1"/>
  <c r="AE19" i="1"/>
  <c r="AF19" i="1"/>
  <c r="AB20" i="1"/>
  <c r="AC20" i="1"/>
  <c r="AD20" i="1"/>
  <c r="AE20" i="1"/>
  <c r="AF20" i="1"/>
  <c r="AB21" i="1"/>
  <c r="AC21" i="1"/>
  <c r="AD21" i="1"/>
  <c r="AE21" i="1"/>
  <c r="AF21" i="1"/>
  <c r="AB22" i="1"/>
  <c r="AC22" i="1"/>
  <c r="AD22" i="1"/>
  <c r="AE22" i="1"/>
  <c r="AF22" i="1"/>
  <c r="AB23" i="1"/>
  <c r="AC23" i="1"/>
  <c r="AD23" i="1"/>
  <c r="AE23" i="1"/>
  <c r="AF23" i="1"/>
  <c r="AB24" i="1"/>
  <c r="AC24" i="1"/>
  <c r="AD24" i="1"/>
  <c r="AE24" i="1"/>
  <c r="AF24" i="1"/>
  <c r="AB25" i="1"/>
  <c r="AC25" i="1"/>
  <c r="AD25" i="1"/>
  <c r="AE25" i="1"/>
  <c r="AF25" i="1"/>
  <c r="AB26" i="1"/>
  <c r="AC26" i="1"/>
  <c r="AD26" i="1"/>
  <c r="AE26" i="1"/>
  <c r="AF26" i="1"/>
  <c r="AB27" i="1"/>
  <c r="AC27" i="1"/>
  <c r="AD27" i="1"/>
  <c r="AE27" i="1"/>
  <c r="AF27" i="1"/>
  <c r="AB28" i="1"/>
  <c r="AC28" i="1"/>
  <c r="AD28" i="1"/>
  <c r="AE28" i="1"/>
  <c r="AF28" i="1"/>
  <c r="AB29" i="1"/>
  <c r="AC29" i="1"/>
  <c r="AD29" i="1"/>
  <c r="AE29" i="1"/>
  <c r="AF29" i="1"/>
  <c r="AB30" i="1"/>
  <c r="AC30" i="1"/>
  <c r="AD30" i="1"/>
  <c r="AE30" i="1"/>
  <c r="AF30" i="1"/>
  <c r="AB31" i="1"/>
  <c r="AC31" i="1"/>
  <c r="AD31" i="1"/>
  <c r="AE31" i="1"/>
  <c r="AF31" i="1"/>
  <c r="AB32" i="1"/>
  <c r="AC32" i="1"/>
  <c r="AD32" i="1"/>
  <c r="AE32" i="1"/>
  <c r="AF32" i="1"/>
  <c r="AB33" i="1"/>
  <c r="AC33" i="1"/>
  <c r="AD33" i="1"/>
  <c r="AE33" i="1"/>
  <c r="AF33" i="1"/>
  <c r="AB34" i="1"/>
  <c r="AC34" i="1"/>
  <c r="AD34" i="1"/>
  <c r="AE34" i="1"/>
  <c r="AF34" i="1"/>
  <c r="AB35" i="1"/>
  <c r="AC35" i="1"/>
  <c r="AD35" i="1"/>
  <c r="AE35" i="1"/>
  <c r="AF35" i="1"/>
  <c r="AB36" i="1"/>
  <c r="AC36" i="1"/>
  <c r="AD36" i="1"/>
  <c r="AE36" i="1"/>
  <c r="AF36" i="1"/>
  <c r="AB37" i="1"/>
  <c r="AC37" i="1"/>
  <c r="AD37" i="1"/>
  <c r="AE37" i="1"/>
  <c r="AF37" i="1"/>
  <c r="AB38" i="1"/>
  <c r="AC38" i="1"/>
  <c r="AD38" i="1"/>
  <c r="AE38" i="1"/>
  <c r="AF38" i="1"/>
  <c r="AB39" i="1"/>
  <c r="AC39" i="1"/>
  <c r="AD39" i="1"/>
  <c r="AE39" i="1"/>
  <c r="AF39" i="1"/>
  <c r="AB40" i="1"/>
  <c r="AC40" i="1"/>
  <c r="AD40" i="1"/>
  <c r="AE40" i="1"/>
  <c r="AF40" i="1"/>
  <c r="AB41" i="1"/>
  <c r="AC41" i="1"/>
  <c r="AD41" i="1"/>
  <c r="AE41" i="1"/>
  <c r="AF41" i="1"/>
  <c r="AB42" i="1"/>
  <c r="AC42" i="1"/>
  <c r="AD42" i="1"/>
  <c r="AE42" i="1"/>
  <c r="AF42" i="1"/>
  <c r="AB43" i="1"/>
  <c r="AC43" i="1"/>
  <c r="AD43" i="1"/>
  <c r="AE43" i="1"/>
  <c r="AF43" i="1"/>
  <c r="AB44" i="1"/>
  <c r="AC44" i="1"/>
  <c r="AD44" i="1"/>
  <c r="AE44" i="1"/>
  <c r="AF44" i="1"/>
  <c r="AB45" i="1"/>
  <c r="AC45" i="1"/>
  <c r="AD45" i="1"/>
  <c r="AE45" i="1"/>
  <c r="AF45" i="1"/>
  <c r="AB46" i="1"/>
  <c r="AC46" i="1"/>
  <c r="AD46" i="1"/>
  <c r="AE46" i="1"/>
  <c r="AF46" i="1"/>
  <c r="AB47" i="1"/>
  <c r="AC47" i="1"/>
  <c r="AD47" i="1"/>
  <c r="AE47" i="1"/>
  <c r="AF47" i="1"/>
  <c r="AB48" i="1"/>
  <c r="AC48" i="1"/>
  <c r="AD48" i="1"/>
  <c r="AE48" i="1"/>
  <c r="AF48" i="1"/>
  <c r="AB49" i="1"/>
  <c r="AC49" i="1"/>
  <c r="AD49" i="1"/>
  <c r="AE49" i="1"/>
  <c r="AF49" i="1"/>
  <c r="AB50" i="1"/>
  <c r="AC50" i="1"/>
  <c r="AD50" i="1"/>
  <c r="AE50" i="1"/>
  <c r="AF50" i="1"/>
  <c r="AB51" i="1"/>
  <c r="AC51" i="1"/>
  <c r="AD51" i="1"/>
  <c r="AE51" i="1"/>
  <c r="AF51" i="1"/>
  <c r="AB52" i="1"/>
  <c r="AC52" i="1"/>
  <c r="AD52" i="1"/>
  <c r="AE52" i="1"/>
  <c r="AF52" i="1"/>
  <c r="AB53" i="1"/>
  <c r="AC53" i="1"/>
  <c r="AD53" i="1"/>
  <c r="AE53" i="1"/>
  <c r="AF53" i="1"/>
  <c r="AC6" i="1"/>
  <c r="C36" i="11" s="1"/>
  <c r="C40" i="11" s="1"/>
  <c r="AD6" i="1"/>
  <c r="C37" i="11" s="1"/>
  <c r="AF6" i="1"/>
  <c r="AB6" i="1"/>
  <c r="C34" i="11" s="1"/>
  <c r="AB5" i="1"/>
  <c r="AC5" i="1"/>
  <c r="AD5" i="1"/>
  <c r="AE5" i="1"/>
  <c r="AF5" i="1"/>
  <c r="AF4" i="1"/>
  <c r="AE4" i="1"/>
  <c r="AD4" i="1"/>
  <c r="AC4" i="1"/>
  <c r="AB4"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4"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D4" i="14"/>
  <c r="E5" i="1" s="1"/>
  <c r="D5" i="14"/>
  <c r="E6" i="1" s="1"/>
  <c r="D6" i="14"/>
  <c r="E7" i="1" s="1"/>
  <c r="D7" i="14"/>
  <c r="E8" i="1" s="1"/>
  <c r="D8" i="14"/>
  <c r="E9" i="1" s="1"/>
  <c r="D9" i="14"/>
  <c r="E10" i="1" s="1"/>
  <c r="D10" i="14"/>
  <c r="E11" i="1" s="1"/>
  <c r="D11" i="14"/>
  <c r="E12" i="1" s="1"/>
  <c r="D12" i="14"/>
  <c r="E13" i="1" s="1"/>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3" i="14"/>
  <c r="E4" i="1" s="1"/>
  <c r="B28" i="15" l="1"/>
  <c r="AA4" i="1"/>
  <c r="AA5" i="1"/>
  <c r="AA6" i="1"/>
  <c r="AA7" i="1"/>
  <c r="AA8" i="1"/>
  <c r="B33" i="15" l="1"/>
  <c r="B36" i="15" s="1"/>
  <c r="B39" i="15" s="1"/>
  <c r="B40" i="15" s="1"/>
  <c r="B30" i="15"/>
  <c r="AA9" i="1"/>
  <c r="AA10" i="1"/>
  <c r="AA11" i="1"/>
  <c r="AA12" i="1"/>
  <c r="AA13" i="1"/>
  <c r="AA14" i="1"/>
  <c r="D22" i="11" l="1"/>
  <c r="D21" i="11"/>
  <c r="D13" i="11"/>
  <c r="C13" i="11"/>
  <c r="C12" i="11"/>
  <c r="C11" i="11"/>
  <c r="B2" i="11"/>
  <c r="B1" i="11"/>
  <c r="C39" i="11" l="1"/>
  <c r="C38" i="11"/>
  <c r="C10" i="7"/>
  <c r="D22" i="9"/>
  <c r="C13" i="9"/>
  <c r="C12" i="9"/>
  <c r="C11" i="9"/>
  <c r="F11" i="3"/>
  <c r="E3" i="16" s="1"/>
  <c r="F12" i="3"/>
  <c r="E4" i="16" s="1"/>
  <c r="F13" i="3"/>
  <c r="E5" i="16" s="1"/>
  <c r="F14" i="3"/>
  <c r="E6" i="16" s="1"/>
  <c r="F15" i="3"/>
  <c r="E7" i="16" s="1"/>
  <c r="F16" i="3"/>
  <c r="E8" i="16" s="1"/>
  <c r="F17" i="3"/>
  <c r="E9" i="16" s="1"/>
  <c r="F18" i="3"/>
  <c r="E10" i="16" s="1"/>
  <c r="F19" i="3"/>
  <c r="E11" i="16" s="1"/>
  <c r="F20" i="3"/>
  <c r="E12" i="16" s="1"/>
  <c r="F21" i="3"/>
  <c r="E13" i="16" s="1"/>
  <c r="F22" i="3"/>
  <c r="E14" i="16" s="1"/>
  <c r="F23" i="3"/>
  <c r="E15" i="16" s="1"/>
  <c r="F24" i="3"/>
  <c r="E16" i="16" s="1"/>
  <c r="F25" i="3"/>
  <c r="E17" i="16" s="1"/>
  <c r="F26" i="3"/>
  <c r="E18" i="16" s="1"/>
  <c r="F27" i="3"/>
  <c r="E19" i="16" s="1"/>
  <c r="F28" i="3"/>
  <c r="E20" i="16" s="1"/>
  <c r="F29" i="3"/>
  <c r="E21" i="16" s="1"/>
  <c r="F30" i="3"/>
  <c r="E22" i="16" s="1"/>
  <c r="F31" i="3"/>
  <c r="E23" i="16" s="1"/>
  <c r="F32" i="3"/>
  <c r="E24" i="16" s="1"/>
  <c r="F33" i="3"/>
  <c r="E25" i="16" s="1"/>
  <c r="F34" i="3"/>
  <c r="E26" i="16" s="1"/>
  <c r="F35" i="3"/>
  <c r="E27" i="16" s="1"/>
  <c r="F36" i="3"/>
  <c r="E28" i="16" s="1"/>
  <c r="F37" i="3"/>
  <c r="E29" i="16" s="1"/>
  <c r="F38" i="3"/>
  <c r="E30" i="16" s="1"/>
  <c r="F39" i="3"/>
  <c r="E31" i="16" s="1"/>
  <c r="F40" i="3"/>
  <c r="E32" i="16" s="1"/>
  <c r="F41" i="3"/>
  <c r="E33" i="16" s="1"/>
  <c r="F42" i="3"/>
  <c r="E34" i="16" s="1"/>
  <c r="F43" i="3"/>
  <c r="E35" i="16" s="1"/>
  <c r="F44" i="3"/>
  <c r="E36" i="16" s="1"/>
  <c r="F45" i="3"/>
  <c r="E37" i="16" s="1"/>
  <c r="F46" i="3"/>
  <c r="E38" i="16" s="1"/>
  <c r="F47" i="3"/>
  <c r="E39" i="16" s="1"/>
  <c r="F48" i="3"/>
  <c r="E40" i="16" s="1"/>
  <c r="F49" i="3"/>
  <c r="E41" i="16" s="1"/>
  <c r="F50" i="3"/>
  <c r="E42" i="16" s="1"/>
  <c r="F51" i="3"/>
  <c r="E43" i="16" s="1"/>
  <c r="F52" i="3"/>
  <c r="E44" i="16" s="1"/>
  <c r="F53" i="3"/>
  <c r="E45" i="16" s="1"/>
  <c r="F54" i="3"/>
  <c r="E46" i="16" s="1"/>
  <c r="F55" i="3"/>
  <c r="E47" i="16" s="1"/>
  <c r="F56" i="3"/>
  <c r="E48" i="16" s="1"/>
  <c r="F57" i="3"/>
  <c r="E49" i="16" s="1"/>
  <c r="F58" i="3"/>
  <c r="E50" i="16" s="1"/>
  <c r="F59" i="3"/>
  <c r="E51" i="16" s="1"/>
  <c r="F10" i="3"/>
  <c r="E2" i="16" s="1"/>
  <c r="D13" i="9"/>
  <c r="E4" i="9"/>
  <c r="C4" i="9"/>
  <c r="C5" i="9"/>
  <c r="B2" i="9"/>
  <c r="B1" i="9"/>
  <c r="C12" i="5"/>
  <c r="D12" i="5" s="1"/>
  <c r="C13" i="5"/>
  <c r="D13" i="5" s="1"/>
  <c r="C14" i="5"/>
  <c r="D14" i="5" s="1"/>
  <c r="C15" i="5"/>
  <c r="D15" i="5" s="1"/>
  <c r="C16" i="5"/>
  <c r="D16" i="5" s="1"/>
  <c r="C17" i="5"/>
  <c r="D17" i="5" s="1"/>
  <c r="C18" i="5"/>
  <c r="D18" i="5" s="1"/>
  <c r="C19" i="5"/>
  <c r="D19" i="5" s="1"/>
  <c r="C20" i="5"/>
  <c r="D20" i="5" s="1"/>
  <c r="C21" i="5"/>
  <c r="D21" i="5" s="1"/>
  <c r="E21" i="5"/>
  <c r="AM12" i="16" s="1"/>
  <c r="F21" i="5"/>
  <c r="AN12" i="16" s="1"/>
  <c r="G21" i="5"/>
  <c r="AO12" i="16" s="1"/>
  <c r="H21" i="5"/>
  <c r="AP12" i="16" s="1"/>
  <c r="C22" i="5"/>
  <c r="D22" i="5" s="1"/>
  <c r="E22" i="5"/>
  <c r="AM13" i="16" s="1"/>
  <c r="F22" i="5"/>
  <c r="AN13" i="16" s="1"/>
  <c r="G22" i="5"/>
  <c r="AO13" i="16" s="1"/>
  <c r="H22" i="5"/>
  <c r="AP13" i="16" s="1"/>
  <c r="C23" i="5"/>
  <c r="D23" i="5" s="1"/>
  <c r="E23" i="5"/>
  <c r="AM14" i="16" s="1"/>
  <c r="F23" i="5"/>
  <c r="AN14" i="16" s="1"/>
  <c r="G23" i="5"/>
  <c r="AO14" i="16" s="1"/>
  <c r="H23" i="5"/>
  <c r="AP14" i="16" s="1"/>
  <c r="C24" i="5"/>
  <c r="D24" i="5" s="1"/>
  <c r="E24" i="5"/>
  <c r="AM15" i="16" s="1"/>
  <c r="F24" i="5"/>
  <c r="AN15" i="16" s="1"/>
  <c r="G24" i="5"/>
  <c r="AO15" i="16" s="1"/>
  <c r="H24" i="5"/>
  <c r="AP15" i="16" s="1"/>
  <c r="C25" i="5"/>
  <c r="D25" i="5" s="1"/>
  <c r="E25" i="5"/>
  <c r="AM16" i="16" s="1"/>
  <c r="F25" i="5"/>
  <c r="AN16" i="16" s="1"/>
  <c r="G25" i="5"/>
  <c r="AO16" i="16" s="1"/>
  <c r="H25" i="5"/>
  <c r="AP16" i="16" s="1"/>
  <c r="C26" i="5"/>
  <c r="D26" i="5" s="1"/>
  <c r="E26" i="5"/>
  <c r="AM17" i="16" s="1"/>
  <c r="F26" i="5"/>
  <c r="AN17" i="16" s="1"/>
  <c r="G26" i="5"/>
  <c r="AO17" i="16" s="1"/>
  <c r="H26" i="5"/>
  <c r="AP17" i="16" s="1"/>
  <c r="C27" i="5"/>
  <c r="D27" i="5" s="1"/>
  <c r="E27" i="5"/>
  <c r="AM18" i="16" s="1"/>
  <c r="F27" i="5"/>
  <c r="AN18" i="16" s="1"/>
  <c r="G27" i="5"/>
  <c r="AO18" i="16" s="1"/>
  <c r="H27" i="5"/>
  <c r="AP18" i="16" s="1"/>
  <c r="C28" i="5"/>
  <c r="D28" i="5" s="1"/>
  <c r="E28" i="5"/>
  <c r="AM19" i="16" s="1"/>
  <c r="F28" i="5"/>
  <c r="AN19" i="16" s="1"/>
  <c r="G28" i="5"/>
  <c r="AO19" i="16" s="1"/>
  <c r="H28" i="5"/>
  <c r="AP19" i="16" s="1"/>
  <c r="C29" i="5"/>
  <c r="D29" i="5" s="1"/>
  <c r="E29" i="5"/>
  <c r="AM20" i="16" s="1"/>
  <c r="F29" i="5"/>
  <c r="AN20" i="16" s="1"/>
  <c r="G29" i="5"/>
  <c r="AO20" i="16" s="1"/>
  <c r="H29" i="5"/>
  <c r="AP20" i="16" s="1"/>
  <c r="C30" i="5"/>
  <c r="D30" i="5" s="1"/>
  <c r="E30" i="5"/>
  <c r="AM21" i="16" s="1"/>
  <c r="F30" i="5"/>
  <c r="AN21" i="16" s="1"/>
  <c r="G30" i="5"/>
  <c r="AO21" i="16" s="1"/>
  <c r="H30" i="5"/>
  <c r="AP21" i="16" s="1"/>
  <c r="C31" i="5"/>
  <c r="D31" i="5" s="1"/>
  <c r="E31" i="5"/>
  <c r="AM22" i="16" s="1"/>
  <c r="F31" i="5"/>
  <c r="AN22" i="16" s="1"/>
  <c r="G31" i="5"/>
  <c r="AO22" i="16" s="1"/>
  <c r="H31" i="5"/>
  <c r="AP22" i="16" s="1"/>
  <c r="C32" i="5"/>
  <c r="D32" i="5" s="1"/>
  <c r="E32" i="5"/>
  <c r="AM23" i="16" s="1"/>
  <c r="F32" i="5"/>
  <c r="AN23" i="16" s="1"/>
  <c r="G32" i="5"/>
  <c r="AO23" i="16" s="1"/>
  <c r="H32" i="5"/>
  <c r="AP23" i="16" s="1"/>
  <c r="C33" i="5"/>
  <c r="D33" i="5" s="1"/>
  <c r="E33" i="5"/>
  <c r="AM24" i="16" s="1"/>
  <c r="F33" i="5"/>
  <c r="AN24" i="16" s="1"/>
  <c r="G33" i="5"/>
  <c r="AO24" i="16" s="1"/>
  <c r="H33" i="5"/>
  <c r="AP24" i="16" s="1"/>
  <c r="C34" i="5"/>
  <c r="D34" i="5" s="1"/>
  <c r="E34" i="5"/>
  <c r="AM25" i="16" s="1"/>
  <c r="F34" i="5"/>
  <c r="AN25" i="16" s="1"/>
  <c r="G34" i="5"/>
  <c r="AO25" i="16" s="1"/>
  <c r="H34" i="5"/>
  <c r="AP25" i="16" s="1"/>
  <c r="C35" i="5"/>
  <c r="D35" i="5" s="1"/>
  <c r="E35" i="5"/>
  <c r="AM26" i="16" s="1"/>
  <c r="F35" i="5"/>
  <c r="AN26" i="16" s="1"/>
  <c r="G35" i="5"/>
  <c r="AO26" i="16" s="1"/>
  <c r="H35" i="5"/>
  <c r="AP26" i="16" s="1"/>
  <c r="C36" i="5"/>
  <c r="D36" i="5" s="1"/>
  <c r="E36" i="5"/>
  <c r="AM27" i="16" s="1"/>
  <c r="F36" i="5"/>
  <c r="AN27" i="16" s="1"/>
  <c r="G36" i="5"/>
  <c r="AO27" i="16" s="1"/>
  <c r="H36" i="5"/>
  <c r="AP27" i="16" s="1"/>
  <c r="C37" i="5"/>
  <c r="D37" i="5" s="1"/>
  <c r="E37" i="5"/>
  <c r="AM28" i="16" s="1"/>
  <c r="F37" i="5"/>
  <c r="AN28" i="16" s="1"/>
  <c r="G37" i="5"/>
  <c r="AO28" i="16" s="1"/>
  <c r="H37" i="5"/>
  <c r="AP28" i="16" s="1"/>
  <c r="C38" i="5"/>
  <c r="D38" i="5" s="1"/>
  <c r="E38" i="5"/>
  <c r="AM29" i="16" s="1"/>
  <c r="F38" i="5"/>
  <c r="AN29" i="16" s="1"/>
  <c r="G38" i="5"/>
  <c r="AO29" i="16" s="1"/>
  <c r="H38" i="5"/>
  <c r="AP29" i="16" s="1"/>
  <c r="C39" i="5"/>
  <c r="D39" i="5" s="1"/>
  <c r="E39" i="5"/>
  <c r="AM30" i="16" s="1"/>
  <c r="F39" i="5"/>
  <c r="AN30" i="16" s="1"/>
  <c r="G39" i="5"/>
  <c r="AO30" i="16" s="1"/>
  <c r="H39" i="5"/>
  <c r="AP30" i="16" s="1"/>
  <c r="C40" i="5"/>
  <c r="D40" i="5" s="1"/>
  <c r="E40" i="5"/>
  <c r="AM31" i="16" s="1"/>
  <c r="F40" i="5"/>
  <c r="AN31" i="16" s="1"/>
  <c r="G40" i="5"/>
  <c r="AO31" i="16" s="1"/>
  <c r="H40" i="5"/>
  <c r="AP31" i="16" s="1"/>
  <c r="C41" i="5"/>
  <c r="D41" i="5" s="1"/>
  <c r="E41" i="5"/>
  <c r="AM32" i="16" s="1"/>
  <c r="F41" i="5"/>
  <c r="AN32" i="16" s="1"/>
  <c r="G41" i="5"/>
  <c r="AO32" i="16" s="1"/>
  <c r="H41" i="5"/>
  <c r="AP32" i="16" s="1"/>
  <c r="C42" i="5"/>
  <c r="D42" i="5" s="1"/>
  <c r="E42" i="5"/>
  <c r="AM33" i="16" s="1"/>
  <c r="F42" i="5"/>
  <c r="AN33" i="16" s="1"/>
  <c r="G42" i="5"/>
  <c r="AO33" i="16" s="1"/>
  <c r="H42" i="5"/>
  <c r="AP33" i="16" s="1"/>
  <c r="C43" i="5"/>
  <c r="D43" i="5" s="1"/>
  <c r="E43" i="5"/>
  <c r="AM34" i="16" s="1"/>
  <c r="F43" i="5"/>
  <c r="AN34" i="16" s="1"/>
  <c r="G43" i="5"/>
  <c r="AO34" i="16" s="1"/>
  <c r="H43" i="5"/>
  <c r="AP34" i="16" s="1"/>
  <c r="C44" i="5"/>
  <c r="D44" i="5" s="1"/>
  <c r="E44" i="5"/>
  <c r="AM35" i="16" s="1"/>
  <c r="F44" i="5"/>
  <c r="AN35" i="16" s="1"/>
  <c r="G44" i="5"/>
  <c r="AO35" i="16" s="1"/>
  <c r="H44" i="5"/>
  <c r="AP35" i="16" s="1"/>
  <c r="C45" i="5"/>
  <c r="D45" i="5" s="1"/>
  <c r="E45" i="5"/>
  <c r="AM36" i="16" s="1"/>
  <c r="F45" i="5"/>
  <c r="AN36" i="16" s="1"/>
  <c r="G45" i="5"/>
  <c r="AO36" i="16" s="1"/>
  <c r="H45" i="5"/>
  <c r="AP36" i="16" s="1"/>
  <c r="C46" i="5"/>
  <c r="D46" i="5" s="1"/>
  <c r="E46" i="5"/>
  <c r="AM37" i="16" s="1"/>
  <c r="F46" i="5"/>
  <c r="AN37" i="16" s="1"/>
  <c r="G46" i="5"/>
  <c r="AO37" i="16" s="1"/>
  <c r="H46" i="5"/>
  <c r="AP37" i="16" s="1"/>
  <c r="C47" i="5"/>
  <c r="D47" i="5" s="1"/>
  <c r="E47" i="5"/>
  <c r="AM38" i="16" s="1"/>
  <c r="F47" i="5"/>
  <c r="AN38" i="16" s="1"/>
  <c r="G47" i="5"/>
  <c r="AO38" i="16" s="1"/>
  <c r="H47" i="5"/>
  <c r="AP38" i="16" s="1"/>
  <c r="C48" i="5"/>
  <c r="D48" i="5" s="1"/>
  <c r="E48" i="5"/>
  <c r="AM39" i="16" s="1"/>
  <c r="F48" i="5"/>
  <c r="AN39" i="16" s="1"/>
  <c r="G48" i="5"/>
  <c r="AO39" i="16" s="1"/>
  <c r="H48" i="5"/>
  <c r="AP39" i="16" s="1"/>
  <c r="C49" i="5"/>
  <c r="D49" i="5" s="1"/>
  <c r="E49" i="5"/>
  <c r="AM40" i="16" s="1"/>
  <c r="F49" i="5"/>
  <c r="AN40" i="16" s="1"/>
  <c r="G49" i="5"/>
  <c r="AO40" i="16" s="1"/>
  <c r="H49" i="5"/>
  <c r="AP40" i="16" s="1"/>
  <c r="C50" i="5"/>
  <c r="D50" i="5" s="1"/>
  <c r="E50" i="5"/>
  <c r="AM41" i="16" s="1"/>
  <c r="F50" i="5"/>
  <c r="AN41" i="16" s="1"/>
  <c r="G50" i="5"/>
  <c r="AO41" i="16" s="1"/>
  <c r="H50" i="5"/>
  <c r="AP41" i="16" s="1"/>
  <c r="C51" i="5"/>
  <c r="D51" i="5" s="1"/>
  <c r="E51" i="5"/>
  <c r="AM42" i="16" s="1"/>
  <c r="F51" i="5"/>
  <c r="AN42" i="16" s="1"/>
  <c r="G51" i="5"/>
  <c r="AO42" i="16" s="1"/>
  <c r="H51" i="5"/>
  <c r="AP42" i="16" s="1"/>
  <c r="C52" i="5"/>
  <c r="D52" i="5" s="1"/>
  <c r="E52" i="5"/>
  <c r="AM43" i="16" s="1"/>
  <c r="F52" i="5"/>
  <c r="AN43" i="16" s="1"/>
  <c r="G52" i="5"/>
  <c r="AO43" i="16" s="1"/>
  <c r="H52" i="5"/>
  <c r="AP43" i="16" s="1"/>
  <c r="C53" i="5"/>
  <c r="D53" i="5" s="1"/>
  <c r="E53" i="5"/>
  <c r="AM44" i="16" s="1"/>
  <c r="F53" i="5"/>
  <c r="AN44" i="16" s="1"/>
  <c r="G53" i="5"/>
  <c r="AO44" i="16" s="1"/>
  <c r="H53" i="5"/>
  <c r="AP44" i="16" s="1"/>
  <c r="C54" i="5"/>
  <c r="D54" i="5" s="1"/>
  <c r="E54" i="5"/>
  <c r="AM45" i="16" s="1"/>
  <c r="F54" i="5"/>
  <c r="AN45" i="16" s="1"/>
  <c r="G54" i="5"/>
  <c r="AO45" i="16" s="1"/>
  <c r="H54" i="5"/>
  <c r="AP45" i="16" s="1"/>
  <c r="C55" i="5"/>
  <c r="D55" i="5" s="1"/>
  <c r="E55" i="5"/>
  <c r="AM46" i="16" s="1"/>
  <c r="F55" i="5"/>
  <c r="AN46" i="16" s="1"/>
  <c r="G55" i="5"/>
  <c r="AO46" i="16" s="1"/>
  <c r="H55" i="5"/>
  <c r="AP46" i="16" s="1"/>
  <c r="C56" i="5"/>
  <c r="D56" i="5" s="1"/>
  <c r="E56" i="5"/>
  <c r="AM47" i="16" s="1"/>
  <c r="F56" i="5"/>
  <c r="AN47" i="16" s="1"/>
  <c r="G56" i="5"/>
  <c r="AO47" i="16" s="1"/>
  <c r="H56" i="5"/>
  <c r="AP47" i="16" s="1"/>
  <c r="C57" i="5"/>
  <c r="D57" i="5" s="1"/>
  <c r="E57" i="5"/>
  <c r="AM48" i="16" s="1"/>
  <c r="F57" i="5"/>
  <c r="AN48" i="16" s="1"/>
  <c r="G57" i="5"/>
  <c r="AO48" i="16" s="1"/>
  <c r="H57" i="5"/>
  <c r="AP48" i="16" s="1"/>
  <c r="C58" i="5"/>
  <c r="D58" i="5" s="1"/>
  <c r="E58" i="5"/>
  <c r="AM49" i="16" s="1"/>
  <c r="F58" i="5"/>
  <c r="AN49" i="16" s="1"/>
  <c r="G58" i="5"/>
  <c r="AO49" i="16" s="1"/>
  <c r="H58" i="5"/>
  <c r="AP49" i="16" s="1"/>
  <c r="C59" i="5"/>
  <c r="D59" i="5" s="1"/>
  <c r="E59" i="5"/>
  <c r="AM50" i="16" s="1"/>
  <c r="F59" i="5"/>
  <c r="AN50" i="16" s="1"/>
  <c r="G59" i="5"/>
  <c r="AO50" i="16" s="1"/>
  <c r="H59" i="5"/>
  <c r="AP50" i="16" s="1"/>
  <c r="C60" i="5"/>
  <c r="D60" i="5" s="1"/>
  <c r="E60" i="5"/>
  <c r="AM51" i="16" s="1"/>
  <c r="F60" i="5"/>
  <c r="AN51" i="16" s="1"/>
  <c r="G60" i="5"/>
  <c r="AO51" i="16" s="1"/>
  <c r="H60" i="5"/>
  <c r="AP51" i="16" s="1"/>
  <c r="C11" i="4"/>
  <c r="D11" i="4" s="1"/>
  <c r="C12" i="4"/>
  <c r="D12" i="4" s="1"/>
  <c r="C13" i="4"/>
  <c r="E13" i="4" s="1"/>
  <c r="C14" i="4"/>
  <c r="D14" i="4" s="1"/>
  <c r="C15" i="4"/>
  <c r="D15" i="4" s="1"/>
  <c r="C16" i="4"/>
  <c r="D16" i="4" s="1"/>
  <c r="C17" i="4"/>
  <c r="E17" i="4" s="1"/>
  <c r="C18" i="4"/>
  <c r="D18" i="4" s="1"/>
  <c r="C19" i="4"/>
  <c r="D19" i="4" s="1"/>
  <c r="C20" i="4"/>
  <c r="D20" i="4" s="1"/>
  <c r="C21" i="4"/>
  <c r="E21" i="4" s="1"/>
  <c r="C22" i="4"/>
  <c r="D22" i="4" s="1"/>
  <c r="C23" i="4"/>
  <c r="D23" i="4" s="1"/>
  <c r="C24" i="4"/>
  <c r="E24" i="4" s="1"/>
  <c r="C25" i="4"/>
  <c r="E25" i="4" s="1"/>
  <c r="C26" i="4"/>
  <c r="D26" i="4" s="1"/>
  <c r="C27" i="4"/>
  <c r="D27" i="4" s="1"/>
  <c r="C28" i="4"/>
  <c r="E28" i="4" s="1"/>
  <c r="C29" i="4"/>
  <c r="E29" i="4" s="1"/>
  <c r="C30" i="4"/>
  <c r="D30" i="4" s="1"/>
  <c r="C31" i="4"/>
  <c r="D31" i="4" s="1"/>
  <c r="C32" i="4"/>
  <c r="E32" i="4" s="1"/>
  <c r="C33" i="4"/>
  <c r="E33" i="4" s="1"/>
  <c r="C34" i="4"/>
  <c r="D34" i="4" s="1"/>
  <c r="C35" i="4"/>
  <c r="D35" i="4" s="1"/>
  <c r="C36" i="4"/>
  <c r="D36" i="4" s="1"/>
  <c r="C37" i="4"/>
  <c r="E37" i="4" s="1"/>
  <c r="C38" i="4"/>
  <c r="D38" i="4" s="1"/>
  <c r="C39" i="4"/>
  <c r="D39" i="4" s="1"/>
  <c r="C40" i="4"/>
  <c r="D40" i="4" s="1"/>
  <c r="C41" i="4"/>
  <c r="E41" i="4" s="1"/>
  <c r="C42" i="4"/>
  <c r="D42" i="4" s="1"/>
  <c r="C43" i="4"/>
  <c r="D43" i="4" s="1"/>
  <c r="C44" i="4"/>
  <c r="D44" i="4" s="1"/>
  <c r="C45" i="4"/>
  <c r="E45" i="4" s="1"/>
  <c r="C46" i="4"/>
  <c r="D46" i="4" s="1"/>
  <c r="C47" i="4"/>
  <c r="D47" i="4" s="1"/>
  <c r="C48" i="4"/>
  <c r="D48" i="4" s="1"/>
  <c r="C49" i="4"/>
  <c r="E49" i="4" s="1"/>
  <c r="C50" i="4"/>
  <c r="D50" i="4" s="1"/>
  <c r="C51" i="4"/>
  <c r="D51" i="4" s="1"/>
  <c r="C52" i="4"/>
  <c r="D52" i="4" s="1"/>
  <c r="C53" i="4"/>
  <c r="E53" i="4" s="1"/>
  <c r="C54" i="4"/>
  <c r="D54" i="4" s="1"/>
  <c r="C55" i="4"/>
  <c r="D55" i="4" s="1"/>
  <c r="C56" i="4"/>
  <c r="D56" i="4" s="1"/>
  <c r="C57" i="4"/>
  <c r="E57" i="4" s="1"/>
  <c r="C58" i="4"/>
  <c r="D58" i="4" s="1"/>
  <c r="C59" i="4"/>
  <c r="D59" i="4" s="1"/>
  <c r="Z60" i="3"/>
  <c r="AA11" i="3"/>
  <c r="Z3" i="16" s="1"/>
  <c r="AB11" i="3"/>
  <c r="AA3" i="16" s="1"/>
  <c r="AC11" i="3"/>
  <c r="AB3" i="16" s="1"/>
  <c r="AD11" i="3"/>
  <c r="AC3" i="16" s="1"/>
  <c r="AA12" i="3"/>
  <c r="Z4" i="16" s="1"/>
  <c r="AB12" i="3"/>
  <c r="AA4" i="16" s="1"/>
  <c r="AC12" i="3"/>
  <c r="AB4" i="16" s="1"/>
  <c r="AD12" i="3"/>
  <c r="AC4" i="16" s="1"/>
  <c r="AA13" i="3"/>
  <c r="Z5" i="16" s="1"/>
  <c r="AB13" i="3"/>
  <c r="AA5" i="16" s="1"/>
  <c r="AC13" i="3"/>
  <c r="AB5" i="16" s="1"/>
  <c r="AD13" i="3"/>
  <c r="AC5" i="16" s="1"/>
  <c r="AA14" i="3"/>
  <c r="Z6" i="16" s="1"/>
  <c r="AB14" i="3"/>
  <c r="AA6" i="16" s="1"/>
  <c r="AC14" i="3"/>
  <c r="AB6" i="16" s="1"/>
  <c r="AD14" i="3"/>
  <c r="AC6" i="16" s="1"/>
  <c r="AA15" i="3"/>
  <c r="Z7" i="16" s="1"/>
  <c r="AB15" i="3"/>
  <c r="AA7" i="16" s="1"/>
  <c r="AC15" i="3"/>
  <c r="AB7" i="16" s="1"/>
  <c r="AD15" i="3"/>
  <c r="AC7" i="16" s="1"/>
  <c r="AA16" i="3"/>
  <c r="Z8" i="16" s="1"/>
  <c r="AB16" i="3"/>
  <c r="AA8" i="16" s="1"/>
  <c r="AC16" i="3"/>
  <c r="AB8" i="16" s="1"/>
  <c r="AD16" i="3"/>
  <c r="AC8" i="16" s="1"/>
  <c r="AA17" i="3"/>
  <c r="Z9" i="16" s="1"/>
  <c r="AB17" i="3"/>
  <c r="AA9" i="16" s="1"/>
  <c r="AC17" i="3"/>
  <c r="AB9" i="16" s="1"/>
  <c r="AD17" i="3"/>
  <c r="AC9" i="16" s="1"/>
  <c r="AA18" i="3"/>
  <c r="Z10" i="16" s="1"/>
  <c r="AB18" i="3"/>
  <c r="AA10" i="16" s="1"/>
  <c r="AC18" i="3"/>
  <c r="AB10" i="16" s="1"/>
  <c r="AD18" i="3"/>
  <c r="AC10" i="16" s="1"/>
  <c r="AA19" i="3"/>
  <c r="Z11" i="16" s="1"/>
  <c r="AB19" i="3"/>
  <c r="AA11" i="16" s="1"/>
  <c r="AC19" i="3"/>
  <c r="AB11" i="16" s="1"/>
  <c r="AD19" i="3"/>
  <c r="AC11" i="16" s="1"/>
  <c r="AA20" i="3"/>
  <c r="Z12" i="16" s="1"/>
  <c r="AB20" i="3"/>
  <c r="AA12" i="16" s="1"/>
  <c r="AC20" i="3"/>
  <c r="AB12" i="16" s="1"/>
  <c r="AD20" i="3"/>
  <c r="AC12" i="16" s="1"/>
  <c r="AA21" i="3"/>
  <c r="Z13" i="16" s="1"/>
  <c r="AB21" i="3"/>
  <c r="AA13" i="16" s="1"/>
  <c r="AC21" i="3"/>
  <c r="AB13" i="16" s="1"/>
  <c r="AD21" i="3"/>
  <c r="AC13" i="16" s="1"/>
  <c r="AA22" i="3"/>
  <c r="Z14" i="16" s="1"/>
  <c r="AB22" i="3"/>
  <c r="AA14" i="16" s="1"/>
  <c r="AC22" i="3"/>
  <c r="AB14" i="16" s="1"/>
  <c r="AD22" i="3"/>
  <c r="AC14" i="16" s="1"/>
  <c r="AA23" i="3"/>
  <c r="Z15" i="16" s="1"/>
  <c r="AB23" i="3"/>
  <c r="AA15" i="16" s="1"/>
  <c r="AC23" i="3"/>
  <c r="AB15" i="16" s="1"/>
  <c r="AD23" i="3"/>
  <c r="AC15" i="16" s="1"/>
  <c r="AA24" i="3"/>
  <c r="Z16" i="16" s="1"/>
  <c r="AB24" i="3"/>
  <c r="AA16" i="16" s="1"/>
  <c r="AC24" i="3"/>
  <c r="AB16" i="16" s="1"/>
  <c r="AD24" i="3"/>
  <c r="AC16" i="16" s="1"/>
  <c r="AA25" i="3"/>
  <c r="Z17" i="16" s="1"/>
  <c r="AB25" i="3"/>
  <c r="AA17" i="16" s="1"/>
  <c r="AC25" i="3"/>
  <c r="AB17" i="16" s="1"/>
  <c r="AD25" i="3"/>
  <c r="AC17" i="16" s="1"/>
  <c r="AA26" i="3"/>
  <c r="Z18" i="16" s="1"/>
  <c r="AB26" i="3"/>
  <c r="AA18" i="16" s="1"/>
  <c r="AC26" i="3"/>
  <c r="AB18" i="16" s="1"/>
  <c r="AD26" i="3"/>
  <c r="AC18" i="16" s="1"/>
  <c r="AA27" i="3"/>
  <c r="Z19" i="16" s="1"/>
  <c r="AB27" i="3"/>
  <c r="AA19" i="16" s="1"/>
  <c r="AC27" i="3"/>
  <c r="AB19" i="16" s="1"/>
  <c r="AD27" i="3"/>
  <c r="AC19" i="16" s="1"/>
  <c r="AA28" i="3"/>
  <c r="Z20" i="16" s="1"/>
  <c r="AB28" i="3"/>
  <c r="AA20" i="16" s="1"/>
  <c r="AC28" i="3"/>
  <c r="AB20" i="16" s="1"/>
  <c r="AD28" i="3"/>
  <c r="AC20" i="16" s="1"/>
  <c r="AA29" i="3"/>
  <c r="Z21" i="16" s="1"/>
  <c r="AB29" i="3"/>
  <c r="AA21" i="16" s="1"/>
  <c r="AC29" i="3"/>
  <c r="AB21" i="16" s="1"/>
  <c r="AD29" i="3"/>
  <c r="AC21" i="16" s="1"/>
  <c r="AA30" i="3"/>
  <c r="Z22" i="16" s="1"/>
  <c r="AB30" i="3"/>
  <c r="AA22" i="16" s="1"/>
  <c r="AC30" i="3"/>
  <c r="AB22" i="16" s="1"/>
  <c r="AD30" i="3"/>
  <c r="AC22" i="16" s="1"/>
  <c r="AA31" i="3"/>
  <c r="Z23" i="16" s="1"/>
  <c r="AB31" i="3"/>
  <c r="AA23" i="16" s="1"/>
  <c r="AC31" i="3"/>
  <c r="AB23" i="16" s="1"/>
  <c r="AD31" i="3"/>
  <c r="AC23" i="16" s="1"/>
  <c r="AA32" i="3"/>
  <c r="Z24" i="16" s="1"/>
  <c r="AB32" i="3"/>
  <c r="AA24" i="16" s="1"/>
  <c r="AC32" i="3"/>
  <c r="AB24" i="16" s="1"/>
  <c r="AD32" i="3"/>
  <c r="AC24" i="16" s="1"/>
  <c r="AA33" i="3"/>
  <c r="Z25" i="16" s="1"/>
  <c r="AB33" i="3"/>
  <c r="AA25" i="16" s="1"/>
  <c r="AC33" i="3"/>
  <c r="AB25" i="16" s="1"/>
  <c r="AD33" i="3"/>
  <c r="AC25" i="16" s="1"/>
  <c r="AA34" i="3"/>
  <c r="Z26" i="16" s="1"/>
  <c r="AB34" i="3"/>
  <c r="AA26" i="16" s="1"/>
  <c r="AC34" i="3"/>
  <c r="AB26" i="16" s="1"/>
  <c r="AD34" i="3"/>
  <c r="AC26" i="16" s="1"/>
  <c r="AA35" i="3"/>
  <c r="Z27" i="16" s="1"/>
  <c r="AB35" i="3"/>
  <c r="AA27" i="16" s="1"/>
  <c r="AC35" i="3"/>
  <c r="AB27" i="16" s="1"/>
  <c r="AD35" i="3"/>
  <c r="AC27" i="16" s="1"/>
  <c r="AA36" i="3"/>
  <c r="Z28" i="16" s="1"/>
  <c r="AB36" i="3"/>
  <c r="AA28" i="16" s="1"/>
  <c r="AC36" i="3"/>
  <c r="AB28" i="16" s="1"/>
  <c r="AD36" i="3"/>
  <c r="AC28" i="16" s="1"/>
  <c r="AA37" i="3"/>
  <c r="Z29" i="16" s="1"/>
  <c r="AB37" i="3"/>
  <c r="AA29" i="16" s="1"/>
  <c r="AC37" i="3"/>
  <c r="AB29" i="16" s="1"/>
  <c r="AD37" i="3"/>
  <c r="AC29" i="16" s="1"/>
  <c r="AA38" i="3"/>
  <c r="Z30" i="16" s="1"/>
  <c r="AB38" i="3"/>
  <c r="AA30" i="16" s="1"/>
  <c r="AC38" i="3"/>
  <c r="AB30" i="16" s="1"/>
  <c r="AD38" i="3"/>
  <c r="AC30" i="16" s="1"/>
  <c r="AA39" i="3"/>
  <c r="Z31" i="16" s="1"/>
  <c r="AB39" i="3"/>
  <c r="AA31" i="16" s="1"/>
  <c r="AC39" i="3"/>
  <c r="AB31" i="16" s="1"/>
  <c r="AD39" i="3"/>
  <c r="AC31" i="16" s="1"/>
  <c r="AA40" i="3"/>
  <c r="Z32" i="16" s="1"/>
  <c r="AB40" i="3"/>
  <c r="AA32" i="16" s="1"/>
  <c r="AC40" i="3"/>
  <c r="AB32" i="16" s="1"/>
  <c r="AD40" i="3"/>
  <c r="AC32" i="16" s="1"/>
  <c r="AA41" i="3"/>
  <c r="Z33" i="16" s="1"/>
  <c r="AB41" i="3"/>
  <c r="AA33" i="16" s="1"/>
  <c r="AC41" i="3"/>
  <c r="AB33" i="16" s="1"/>
  <c r="AD41" i="3"/>
  <c r="AC33" i="16" s="1"/>
  <c r="AA42" i="3"/>
  <c r="Z34" i="16" s="1"/>
  <c r="AB42" i="3"/>
  <c r="AA34" i="16" s="1"/>
  <c r="AC42" i="3"/>
  <c r="AB34" i="16" s="1"/>
  <c r="AD42" i="3"/>
  <c r="AC34" i="16" s="1"/>
  <c r="AA43" i="3"/>
  <c r="Z35" i="16" s="1"/>
  <c r="AB43" i="3"/>
  <c r="AA35" i="16" s="1"/>
  <c r="AC43" i="3"/>
  <c r="AB35" i="16" s="1"/>
  <c r="AD43" i="3"/>
  <c r="AC35" i="16" s="1"/>
  <c r="AA44" i="3"/>
  <c r="Z36" i="16" s="1"/>
  <c r="AB44" i="3"/>
  <c r="AA36" i="16" s="1"/>
  <c r="AC44" i="3"/>
  <c r="AB36" i="16" s="1"/>
  <c r="AD44" i="3"/>
  <c r="AC36" i="16" s="1"/>
  <c r="AA45" i="3"/>
  <c r="Z37" i="16" s="1"/>
  <c r="AB45" i="3"/>
  <c r="AA37" i="16" s="1"/>
  <c r="AC45" i="3"/>
  <c r="AB37" i="16" s="1"/>
  <c r="AD45" i="3"/>
  <c r="AC37" i="16" s="1"/>
  <c r="AA46" i="3"/>
  <c r="Z38" i="16" s="1"/>
  <c r="AB46" i="3"/>
  <c r="AA38" i="16" s="1"/>
  <c r="AC46" i="3"/>
  <c r="AB38" i="16" s="1"/>
  <c r="AD46" i="3"/>
  <c r="AC38" i="16" s="1"/>
  <c r="AA47" i="3"/>
  <c r="Z39" i="16" s="1"/>
  <c r="AB47" i="3"/>
  <c r="AA39" i="16" s="1"/>
  <c r="AC47" i="3"/>
  <c r="AB39" i="16" s="1"/>
  <c r="AD47" i="3"/>
  <c r="AC39" i="16" s="1"/>
  <c r="AA48" i="3"/>
  <c r="Z40" i="16" s="1"/>
  <c r="AB48" i="3"/>
  <c r="AA40" i="16" s="1"/>
  <c r="AC48" i="3"/>
  <c r="AB40" i="16" s="1"/>
  <c r="AD48" i="3"/>
  <c r="AC40" i="16" s="1"/>
  <c r="AA49" i="3"/>
  <c r="Z41" i="16" s="1"/>
  <c r="AB49" i="3"/>
  <c r="AA41" i="16" s="1"/>
  <c r="AC49" i="3"/>
  <c r="AB41" i="16" s="1"/>
  <c r="AD49" i="3"/>
  <c r="AC41" i="16" s="1"/>
  <c r="AA50" i="3"/>
  <c r="Z42" i="16" s="1"/>
  <c r="AB50" i="3"/>
  <c r="AA42" i="16" s="1"/>
  <c r="AC50" i="3"/>
  <c r="AB42" i="16" s="1"/>
  <c r="AD50" i="3"/>
  <c r="AC42" i="16" s="1"/>
  <c r="AA51" i="3"/>
  <c r="Z43" i="16" s="1"/>
  <c r="AB51" i="3"/>
  <c r="AA43" i="16" s="1"/>
  <c r="AC51" i="3"/>
  <c r="AB43" i="16" s="1"/>
  <c r="AD51" i="3"/>
  <c r="AC43" i="16" s="1"/>
  <c r="AA52" i="3"/>
  <c r="Z44" i="16" s="1"/>
  <c r="AB52" i="3"/>
  <c r="AA44" i="16" s="1"/>
  <c r="AC52" i="3"/>
  <c r="AB44" i="16" s="1"/>
  <c r="AD52" i="3"/>
  <c r="AC44" i="16" s="1"/>
  <c r="AA53" i="3"/>
  <c r="Z45" i="16" s="1"/>
  <c r="AB53" i="3"/>
  <c r="AA45" i="16" s="1"/>
  <c r="AC53" i="3"/>
  <c r="AB45" i="16" s="1"/>
  <c r="AD53" i="3"/>
  <c r="AC45" i="16" s="1"/>
  <c r="AA54" i="3"/>
  <c r="Z46" i="16" s="1"/>
  <c r="AB54" i="3"/>
  <c r="AA46" i="16" s="1"/>
  <c r="AC54" i="3"/>
  <c r="AB46" i="16" s="1"/>
  <c r="AD54" i="3"/>
  <c r="AC46" i="16" s="1"/>
  <c r="AA55" i="3"/>
  <c r="Z47" i="16" s="1"/>
  <c r="AB55" i="3"/>
  <c r="AA47" i="16" s="1"/>
  <c r="AC55" i="3"/>
  <c r="AB47" i="16" s="1"/>
  <c r="AD55" i="3"/>
  <c r="AC47" i="16" s="1"/>
  <c r="AA56" i="3"/>
  <c r="Z48" i="16" s="1"/>
  <c r="AB56" i="3"/>
  <c r="AA48" i="16" s="1"/>
  <c r="AC56" i="3"/>
  <c r="AB48" i="16" s="1"/>
  <c r="AD56" i="3"/>
  <c r="AC48" i="16" s="1"/>
  <c r="AA57" i="3"/>
  <c r="Z49" i="16" s="1"/>
  <c r="AB57" i="3"/>
  <c r="AA49" i="16" s="1"/>
  <c r="AC57" i="3"/>
  <c r="AB49" i="16" s="1"/>
  <c r="AD57" i="3"/>
  <c r="AC49" i="16" s="1"/>
  <c r="AA58" i="3"/>
  <c r="Z50" i="16" s="1"/>
  <c r="AB58" i="3"/>
  <c r="AA50" i="16" s="1"/>
  <c r="AC58" i="3"/>
  <c r="AB50" i="16" s="1"/>
  <c r="AD58" i="3"/>
  <c r="AC50" i="16" s="1"/>
  <c r="AA59" i="3"/>
  <c r="Z51" i="16" s="1"/>
  <c r="AB59" i="3"/>
  <c r="AA51" i="16" s="1"/>
  <c r="AC59" i="3"/>
  <c r="AB51" i="16" s="1"/>
  <c r="AD59" i="3"/>
  <c r="AC51" i="16" s="1"/>
  <c r="G11" i="3"/>
  <c r="F3" i="16" s="1"/>
  <c r="G12" i="3"/>
  <c r="F4" i="16" s="1"/>
  <c r="G13" i="3"/>
  <c r="F5" i="16" s="1"/>
  <c r="G14" i="3"/>
  <c r="F6" i="16" s="1"/>
  <c r="G15" i="3"/>
  <c r="F7" i="16" s="1"/>
  <c r="G16" i="3"/>
  <c r="F8" i="16" s="1"/>
  <c r="G17" i="3"/>
  <c r="F9" i="16" s="1"/>
  <c r="G18" i="3"/>
  <c r="F10" i="16" s="1"/>
  <c r="G19" i="3"/>
  <c r="F11" i="16" s="1"/>
  <c r="G20" i="3"/>
  <c r="F12" i="16" s="1"/>
  <c r="G21" i="3"/>
  <c r="F13" i="16" s="1"/>
  <c r="G22" i="3"/>
  <c r="F14" i="16" s="1"/>
  <c r="G23" i="3"/>
  <c r="F15" i="16" s="1"/>
  <c r="G24" i="3"/>
  <c r="F16" i="16" s="1"/>
  <c r="G25" i="3"/>
  <c r="F17" i="16" s="1"/>
  <c r="G26" i="3"/>
  <c r="F18" i="16" s="1"/>
  <c r="G27" i="3"/>
  <c r="F19" i="16" s="1"/>
  <c r="G28" i="3"/>
  <c r="F20" i="16" s="1"/>
  <c r="G29" i="3"/>
  <c r="F21" i="16" s="1"/>
  <c r="G30" i="3"/>
  <c r="F22" i="16" s="1"/>
  <c r="G31" i="3"/>
  <c r="F23" i="16" s="1"/>
  <c r="G32" i="3"/>
  <c r="F24" i="16" s="1"/>
  <c r="G33" i="3"/>
  <c r="F25" i="16" s="1"/>
  <c r="G34" i="3"/>
  <c r="F26" i="16" s="1"/>
  <c r="G35" i="3"/>
  <c r="F27" i="16" s="1"/>
  <c r="G36" i="3"/>
  <c r="F28" i="16" s="1"/>
  <c r="G37" i="3"/>
  <c r="F29" i="16" s="1"/>
  <c r="G38" i="3"/>
  <c r="F30" i="16" s="1"/>
  <c r="G39" i="3"/>
  <c r="F31" i="16" s="1"/>
  <c r="G40" i="3"/>
  <c r="F32" i="16" s="1"/>
  <c r="G41" i="3"/>
  <c r="F33" i="16" s="1"/>
  <c r="G42" i="3"/>
  <c r="F34" i="16" s="1"/>
  <c r="G43" i="3"/>
  <c r="F35" i="16" s="1"/>
  <c r="G44" i="3"/>
  <c r="F36" i="16" s="1"/>
  <c r="G45" i="3"/>
  <c r="F37" i="16" s="1"/>
  <c r="G46" i="3"/>
  <c r="F38" i="16" s="1"/>
  <c r="G47" i="3"/>
  <c r="F39" i="16" s="1"/>
  <c r="G48" i="3"/>
  <c r="F40" i="16" s="1"/>
  <c r="G49" i="3"/>
  <c r="F41" i="16" s="1"/>
  <c r="G50" i="3"/>
  <c r="F42" i="16" s="1"/>
  <c r="G51" i="3"/>
  <c r="F43" i="16" s="1"/>
  <c r="G52" i="3"/>
  <c r="F44" i="16" s="1"/>
  <c r="G53" i="3"/>
  <c r="F45" i="16" s="1"/>
  <c r="G54" i="3"/>
  <c r="F46" i="16" s="1"/>
  <c r="G55" i="3"/>
  <c r="F47" i="16" s="1"/>
  <c r="G56" i="3"/>
  <c r="F48" i="16" s="1"/>
  <c r="G57" i="3"/>
  <c r="F49" i="16" s="1"/>
  <c r="G58" i="3"/>
  <c r="F50" i="16" s="1"/>
  <c r="G59" i="3"/>
  <c r="F51" i="16" s="1"/>
  <c r="C11" i="3"/>
  <c r="B3" i="16" s="1"/>
  <c r="C12" i="3"/>
  <c r="B4" i="16" s="1"/>
  <c r="C13" i="3"/>
  <c r="B5" i="16" s="1"/>
  <c r="C14" i="3"/>
  <c r="B6" i="16" s="1"/>
  <c r="C15" i="3"/>
  <c r="B7" i="16" s="1"/>
  <c r="C16" i="3"/>
  <c r="B8" i="16" s="1"/>
  <c r="C17" i="3"/>
  <c r="B9" i="16" s="1"/>
  <c r="C18" i="3"/>
  <c r="B10" i="16" s="1"/>
  <c r="C19" i="3"/>
  <c r="B11" i="16" s="1"/>
  <c r="C20" i="3"/>
  <c r="B12" i="16" s="1"/>
  <c r="C21" i="3"/>
  <c r="B13" i="16" s="1"/>
  <c r="C22" i="3"/>
  <c r="B14" i="16" s="1"/>
  <c r="C23" i="3"/>
  <c r="B15" i="16" s="1"/>
  <c r="C24" i="3"/>
  <c r="B16" i="16" s="1"/>
  <c r="C25" i="3"/>
  <c r="B17" i="16" s="1"/>
  <c r="C26" i="3"/>
  <c r="B18" i="16" s="1"/>
  <c r="C27" i="3"/>
  <c r="B19" i="16" s="1"/>
  <c r="C28" i="3"/>
  <c r="B20" i="16" s="1"/>
  <c r="C29" i="3"/>
  <c r="B21" i="16" s="1"/>
  <c r="C30" i="3"/>
  <c r="B22" i="16" s="1"/>
  <c r="C31" i="3"/>
  <c r="B23" i="16" s="1"/>
  <c r="C32" i="3"/>
  <c r="B24" i="16" s="1"/>
  <c r="C33" i="3"/>
  <c r="B25" i="16" s="1"/>
  <c r="C34" i="3"/>
  <c r="B26" i="16" s="1"/>
  <c r="C35" i="3"/>
  <c r="B27" i="16" s="1"/>
  <c r="C36" i="3"/>
  <c r="B28" i="16" s="1"/>
  <c r="C37" i="3"/>
  <c r="B29" i="16" s="1"/>
  <c r="C38" i="3"/>
  <c r="B30" i="16" s="1"/>
  <c r="C39" i="3"/>
  <c r="B31" i="16" s="1"/>
  <c r="C40" i="3"/>
  <c r="B32" i="16" s="1"/>
  <c r="C41" i="3"/>
  <c r="B33" i="16" s="1"/>
  <c r="C42" i="3"/>
  <c r="B34" i="16" s="1"/>
  <c r="C43" i="3"/>
  <c r="B35" i="16" s="1"/>
  <c r="C44" i="3"/>
  <c r="B36" i="16" s="1"/>
  <c r="C45" i="3"/>
  <c r="B37" i="16" s="1"/>
  <c r="C46" i="3"/>
  <c r="B38" i="16" s="1"/>
  <c r="C47" i="3"/>
  <c r="B39" i="16" s="1"/>
  <c r="C48" i="3"/>
  <c r="B40" i="16" s="1"/>
  <c r="C49" i="3"/>
  <c r="B41" i="16" s="1"/>
  <c r="C50" i="3"/>
  <c r="B42" i="16" s="1"/>
  <c r="C51" i="3"/>
  <c r="B43" i="16" s="1"/>
  <c r="C52" i="3"/>
  <c r="B44" i="16" s="1"/>
  <c r="C53" i="3"/>
  <c r="B45" i="16" s="1"/>
  <c r="C54" i="3"/>
  <c r="B46" i="16" s="1"/>
  <c r="C55" i="3"/>
  <c r="B47" i="16" s="1"/>
  <c r="C56" i="3"/>
  <c r="B48" i="16" s="1"/>
  <c r="C57" i="3"/>
  <c r="B49" i="16" s="1"/>
  <c r="C58" i="3"/>
  <c r="B50" i="16" s="1"/>
  <c r="C59" i="3"/>
  <c r="B51" i="16" s="1"/>
  <c r="B11" i="3"/>
  <c r="A3" i="16" s="1"/>
  <c r="B12" i="3"/>
  <c r="A4" i="16" s="1"/>
  <c r="B13" i="3"/>
  <c r="A5" i="16" s="1"/>
  <c r="B14" i="3"/>
  <c r="A6" i="16" s="1"/>
  <c r="B15" i="3"/>
  <c r="A7" i="16" s="1"/>
  <c r="B16" i="3"/>
  <c r="A8" i="16" s="1"/>
  <c r="B17" i="3"/>
  <c r="A9" i="16" s="1"/>
  <c r="B18" i="3"/>
  <c r="A10" i="16" s="1"/>
  <c r="B19" i="3"/>
  <c r="A11" i="16" s="1"/>
  <c r="B20" i="3"/>
  <c r="A12" i="16" s="1"/>
  <c r="B21" i="3"/>
  <c r="A13" i="16" s="1"/>
  <c r="B22" i="3"/>
  <c r="A14" i="16" s="1"/>
  <c r="B23" i="3"/>
  <c r="A15" i="16" s="1"/>
  <c r="B24" i="3"/>
  <c r="A16" i="16" s="1"/>
  <c r="B25" i="3"/>
  <c r="A17" i="16" s="1"/>
  <c r="B26" i="3"/>
  <c r="A18" i="16" s="1"/>
  <c r="B27" i="3"/>
  <c r="A19" i="16" s="1"/>
  <c r="B28" i="3"/>
  <c r="A20" i="16" s="1"/>
  <c r="B29" i="3"/>
  <c r="A21" i="16" s="1"/>
  <c r="B30" i="3"/>
  <c r="A22" i="16" s="1"/>
  <c r="B31" i="3"/>
  <c r="A23" i="16" s="1"/>
  <c r="B32" i="3"/>
  <c r="A24" i="16" s="1"/>
  <c r="B33" i="3"/>
  <c r="A25" i="16" s="1"/>
  <c r="B34" i="3"/>
  <c r="A26" i="16" s="1"/>
  <c r="B35" i="3"/>
  <c r="A27" i="16" s="1"/>
  <c r="B36" i="3"/>
  <c r="A28" i="16" s="1"/>
  <c r="B37" i="3"/>
  <c r="A29" i="16" s="1"/>
  <c r="B38" i="3"/>
  <c r="A30" i="16" s="1"/>
  <c r="B39" i="3"/>
  <c r="A31" i="16" s="1"/>
  <c r="B40" i="3"/>
  <c r="A32" i="16" s="1"/>
  <c r="B41" i="3"/>
  <c r="A33" i="16" s="1"/>
  <c r="B42" i="3"/>
  <c r="A34" i="16" s="1"/>
  <c r="B43" i="3"/>
  <c r="A35" i="16" s="1"/>
  <c r="B44" i="3"/>
  <c r="A36" i="16" s="1"/>
  <c r="B45" i="3"/>
  <c r="A37" i="16" s="1"/>
  <c r="B46" i="3"/>
  <c r="A38" i="16" s="1"/>
  <c r="B47" i="3"/>
  <c r="A39" i="16" s="1"/>
  <c r="B48" i="3"/>
  <c r="A40" i="16" s="1"/>
  <c r="B49" i="3"/>
  <c r="A41" i="16" s="1"/>
  <c r="B50" i="3"/>
  <c r="A42" i="16" s="1"/>
  <c r="B51" i="3"/>
  <c r="A43" i="16" s="1"/>
  <c r="B52" i="3"/>
  <c r="A44" i="16" s="1"/>
  <c r="B53" i="3"/>
  <c r="A45" i="16" s="1"/>
  <c r="B54" i="3"/>
  <c r="A46" i="16" s="1"/>
  <c r="B55" i="3"/>
  <c r="A47" i="16" s="1"/>
  <c r="B56" i="3"/>
  <c r="A48" i="16" s="1"/>
  <c r="B57" i="3"/>
  <c r="B58" i="3"/>
  <c r="B59" i="3"/>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B24" i="7"/>
  <c r="E58" i="3" l="1"/>
  <c r="A50" i="16"/>
  <c r="E57" i="3"/>
  <c r="A49" i="16"/>
  <c r="E59" i="3"/>
  <c r="A51" i="16"/>
  <c r="AQ32" i="16"/>
  <c r="AQ16" i="16"/>
  <c r="AQ48" i="16"/>
  <c r="AQ40" i="16"/>
  <c r="AQ24" i="16"/>
  <c r="AQ28" i="16"/>
  <c r="AQ44" i="16"/>
  <c r="AQ36" i="16"/>
  <c r="AQ12" i="16"/>
  <c r="AQ20" i="16"/>
  <c r="AQ51" i="16"/>
  <c r="AQ47" i="16"/>
  <c r="AQ43" i="16"/>
  <c r="AQ39" i="16"/>
  <c r="AQ35" i="16"/>
  <c r="AQ31" i="16"/>
  <c r="AQ27" i="16"/>
  <c r="AQ23" i="16"/>
  <c r="AQ19" i="16"/>
  <c r="AQ15" i="16"/>
  <c r="AQ50" i="16"/>
  <c r="AQ46" i="16"/>
  <c r="AQ42" i="16"/>
  <c r="AQ38" i="16"/>
  <c r="AQ34" i="16"/>
  <c r="AQ30" i="16"/>
  <c r="AQ26" i="16"/>
  <c r="AQ22" i="16"/>
  <c r="AQ18" i="16"/>
  <c r="AQ14" i="16"/>
  <c r="AQ49" i="16"/>
  <c r="AQ45" i="16"/>
  <c r="AQ41" i="16"/>
  <c r="AQ37" i="16"/>
  <c r="AQ33" i="16"/>
  <c r="AQ29" i="16"/>
  <c r="AQ25" i="16"/>
  <c r="AQ21" i="16"/>
  <c r="AQ17" i="16"/>
  <c r="AQ13" i="16"/>
  <c r="E24" i="3"/>
  <c r="D24" i="3"/>
  <c r="C16" i="16" s="1"/>
  <c r="E31" i="3"/>
  <c r="D31" i="3"/>
  <c r="C23" i="16" s="1"/>
  <c r="E49" i="3"/>
  <c r="D49" i="3"/>
  <c r="C41" i="16" s="1"/>
  <c r="E41" i="3"/>
  <c r="D41" i="3"/>
  <c r="C33" i="16" s="1"/>
  <c r="E33" i="3"/>
  <c r="D33" i="3"/>
  <c r="C25" i="16" s="1"/>
  <c r="E25" i="3"/>
  <c r="D25" i="3"/>
  <c r="C17" i="16" s="1"/>
  <c r="E56" i="3"/>
  <c r="D56" i="3"/>
  <c r="C48" i="16" s="1"/>
  <c r="E40" i="3"/>
  <c r="D40" i="3"/>
  <c r="C32" i="16" s="1"/>
  <c r="E47" i="3"/>
  <c r="D47" i="3"/>
  <c r="C39" i="16" s="1"/>
  <c r="E54" i="3"/>
  <c r="D54" i="3"/>
  <c r="C46" i="16" s="1"/>
  <c r="E46" i="3"/>
  <c r="D46" i="3"/>
  <c r="C38" i="16" s="1"/>
  <c r="E38" i="3"/>
  <c r="D38" i="3"/>
  <c r="C30" i="16" s="1"/>
  <c r="E30" i="3"/>
  <c r="D30" i="3"/>
  <c r="C22" i="16" s="1"/>
  <c r="E22" i="3"/>
  <c r="D22" i="3"/>
  <c r="C14" i="16" s="1"/>
  <c r="E39" i="3"/>
  <c r="D39" i="3"/>
  <c r="C31" i="16" s="1"/>
  <c r="E53" i="3"/>
  <c r="D53" i="3"/>
  <c r="C45" i="16" s="1"/>
  <c r="E45" i="3"/>
  <c r="D45" i="3"/>
  <c r="C37" i="16" s="1"/>
  <c r="E37" i="3"/>
  <c r="D37" i="3"/>
  <c r="C29" i="16" s="1"/>
  <c r="E29" i="3"/>
  <c r="D29" i="3"/>
  <c r="C21" i="16" s="1"/>
  <c r="E21" i="3"/>
  <c r="D21" i="3"/>
  <c r="C13" i="16" s="1"/>
  <c r="E48" i="3"/>
  <c r="D48" i="3"/>
  <c r="C40" i="16" s="1"/>
  <c r="E23" i="3"/>
  <c r="D23" i="3"/>
  <c r="C15" i="16" s="1"/>
  <c r="E52" i="3"/>
  <c r="D52" i="3"/>
  <c r="C44" i="16" s="1"/>
  <c r="E44" i="3"/>
  <c r="D44" i="3"/>
  <c r="C36" i="16" s="1"/>
  <c r="E36" i="3"/>
  <c r="D36" i="3"/>
  <c r="C28" i="16" s="1"/>
  <c r="E28" i="3"/>
  <c r="D28" i="3"/>
  <c r="C20" i="16" s="1"/>
  <c r="E20" i="3"/>
  <c r="D20" i="3"/>
  <c r="C12" i="16" s="1"/>
  <c r="E55" i="3"/>
  <c r="D55" i="3"/>
  <c r="C47" i="16" s="1"/>
  <c r="E51" i="3"/>
  <c r="D51" i="3"/>
  <c r="C43" i="16" s="1"/>
  <c r="E43" i="3"/>
  <c r="D43" i="3"/>
  <c r="C35" i="16" s="1"/>
  <c r="E35" i="3"/>
  <c r="D35" i="3"/>
  <c r="C27" i="16" s="1"/>
  <c r="E27" i="3"/>
  <c r="D27" i="3"/>
  <c r="C19" i="16" s="1"/>
  <c r="E32" i="3"/>
  <c r="D32" i="3"/>
  <c r="C24" i="16" s="1"/>
  <c r="E50" i="3"/>
  <c r="D50" i="3"/>
  <c r="C42" i="16" s="1"/>
  <c r="E42" i="3"/>
  <c r="D42" i="3"/>
  <c r="C34" i="16" s="1"/>
  <c r="E34" i="3"/>
  <c r="D34" i="3"/>
  <c r="C26" i="16" s="1"/>
  <c r="E26" i="3"/>
  <c r="D26" i="3"/>
  <c r="C18" i="16" s="1"/>
  <c r="C45" i="11"/>
  <c r="E17" i="3"/>
  <c r="D53" i="4"/>
  <c r="J59" i="3"/>
  <c r="D37" i="4"/>
  <c r="D41" i="4"/>
  <c r="E19" i="4"/>
  <c r="E16" i="4"/>
  <c r="D45" i="4"/>
  <c r="E20" i="4"/>
  <c r="D33" i="4"/>
  <c r="D57" i="4"/>
  <c r="D24" i="4"/>
  <c r="I59" i="3"/>
  <c r="H51" i="16" s="1"/>
  <c r="D49" i="4"/>
  <c r="E23" i="4"/>
  <c r="I58" i="3"/>
  <c r="H50" i="16" s="1"/>
  <c r="E59" i="4"/>
  <c r="E55" i="4"/>
  <c r="E51" i="4"/>
  <c r="E47" i="4"/>
  <c r="E43" i="4"/>
  <c r="E39" i="4"/>
  <c r="E35" i="4"/>
  <c r="D21" i="4"/>
  <c r="E56" i="4"/>
  <c r="E52" i="4"/>
  <c r="E48" i="4"/>
  <c r="E44" i="4"/>
  <c r="E40" i="4"/>
  <c r="E36" i="4"/>
  <c r="E31" i="4"/>
  <c r="D28" i="4"/>
  <c r="E12" i="4"/>
  <c r="E18" i="3"/>
  <c r="E19" i="3"/>
  <c r="E15" i="3"/>
  <c r="E11" i="3"/>
  <c r="E14" i="3"/>
  <c r="E13" i="3"/>
  <c r="E15" i="4"/>
  <c r="D32" i="4"/>
  <c r="D25" i="4"/>
  <c r="D29" i="4"/>
  <c r="E27" i="4"/>
  <c r="E16" i="3"/>
  <c r="E12" i="3"/>
  <c r="D17" i="4"/>
  <c r="D13" i="4"/>
  <c r="J57" i="3"/>
  <c r="J58" i="3"/>
  <c r="E11" i="4"/>
  <c r="E58" i="4"/>
  <c r="E54" i="4"/>
  <c r="E50" i="4"/>
  <c r="E46" i="4"/>
  <c r="E42" i="4"/>
  <c r="E38" i="4"/>
  <c r="E34" i="4"/>
  <c r="E30" i="4"/>
  <c r="E26" i="4"/>
  <c r="E22" i="4"/>
  <c r="E18" i="4"/>
  <c r="E14" i="4"/>
  <c r="Q16" i="3" l="1"/>
  <c r="P8" i="16" s="1"/>
  <c r="O16" i="3"/>
  <c r="N8" i="16" s="1"/>
  <c r="M16" i="3"/>
  <c r="L8" i="16" s="1"/>
  <c r="P16" i="3"/>
  <c r="O8" i="16" s="1"/>
  <c r="R16" i="3"/>
  <c r="Q8" i="16" s="1"/>
  <c r="N16" i="3"/>
  <c r="M8" i="16" s="1"/>
  <c r="L16" i="3"/>
  <c r="D8" i="16"/>
  <c r="Q11" i="3"/>
  <c r="P3" i="16" s="1"/>
  <c r="O11" i="3"/>
  <c r="N3" i="16" s="1"/>
  <c r="M11" i="3"/>
  <c r="R11" i="3"/>
  <c r="Q3" i="16" s="1"/>
  <c r="N11" i="3"/>
  <c r="M3" i="16" s="1"/>
  <c r="P11" i="3"/>
  <c r="O3" i="16" s="1"/>
  <c r="L11" i="3"/>
  <c r="D3" i="16"/>
  <c r="R26" i="3"/>
  <c r="Q18" i="16" s="1"/>
  <c r="P26" i="3"/>
  <c r="O18" i="16" s="1"/>
  <c r="N26" i="3"/>
  <c r="M18" i="16" s="1"/>
  <c r="L26" i="3"/>
  <c r="Q26" i="3"/>
  <c r="P18" i="16" s="1"/>
  <c r="M26" i="3"/>
  <c r="L18" i="16" s="1"/>
  <c r="O26" i="3"/>
  <c r="N18" i="16" s="1"/>
  <c r="D18" i="16"/>
  <c r="Q32" i="3"/>
  <c r="P24" i="16" s="1"/>
  <c r="O32" i="3"/>
  <c r="N24" i="16" s="1"/>
  <c r="M32" i="3"/>
  <c r="L24" i="16" s="1"/>
  <c r="P32" i="3"/>
  <c r="O24" i="16" s="1"/>
  <c r="R32" i="3"/>
  <c r="Q24" i="16" s="1"/>
  <c r="N32" i="3"/>
  <c r="M24" i="16" s="1"/>
  <c r="L32" i="3"/>
  <c r="D24" i="16"/>
  <c r="I51" i="3"/>
  <c r="H43" i="16" s="1"/>
  <c r="Q51" i="3"/>
  <c r="P43" i="16" s="1"/>
  <c r="O51" i="3"/>
  <c r="N43" i="16" s="1"/>
  <c r="M51" i="3"/>
  <c r="L43" i="16" s="1"/>
  <c r="R51" i="3"/>
  <c r="Q43" i="16" s="1"/>
  <c r="N51" i="3"/>
  <c r="M43" i="16" s="1"/>
  <c r="P51" i="3"/>
  <c r="O43" i="16" s="1"/>
  <c r="L51" i="3"/>
  <c r="D43" i="16"/>
  <c r="Q36" i="3"/>
  <c r="P28" i="16" s="1"/>
  <c r="O36" i="3"/>
  <c r="N28" i="16" s="1"/>
  <c r="M36" i="3"/>
  <c r="L28" i="16" s="1"/>
  <c r="R36" i="3"/>
  <c r="Q28" i="16" s="1"/>
  <c r="P36" i="3"/>
  <c r="O28" i="16" s="1"/>
  <c r="L36" i="3"/>
  <c r="N36" i="3"/>
  <c r="M28" i="16" s="1"/>
  <c r="D28" i="16"/>
  <c r="Q48" i="3"/>
  <c r="P40" i="16" s="1"/>
  <c r="O48" i="3"/>
  <c r="N40" i="16" s="1"/>
  <c r="M48" i="3"/>
  <c r="L40" i="16" s="1"/>
  <c r="L48" i="3"/>
  <c r="R48" i="3"/>
  <c r="Q40" i="16" s="1"/>
  <c r="N48" i="3"/>
  <c r="M40" i="16" s="1"/>
  <c r="P48" i="3"/>
  <c r="O40" i="16" s="1"/>
  <c r="D40" i="16"/>
  <c r="J45" i="3"/>
  <c r="R45" i="3"/>
  <c r="Q37" i="16" s="1"/>
  <c r="P45" i="3"/>
  <c r="O37" i="16" s="1"/>
  <c r="N45" i="3"/>
  <c r="M37" i="16" s="1"/>
  <c r="L45" i="3"/>
  <c r="O45" i="3"/>
  <c r="N37" i="16" s="1"/>
  <c r="Q45" i="3"/>
  <c r="P37" i="16" s="1"/>
  <c r="M45" i="3"/>
  <c r="L37" i="16" s="1"/>
  <c r="D37" i="16"/>
  <c r="R30" i="3"/>
  <c r="Q22" i="16" s="1"/>
  <c r="P30" i="3"/>
  <c r="O22" i="16" s="1"/>
  <c r="N30" i="3"/>
  <c r="M22" i="16" s="1"/>
  <c r="L30" i="3"/>
  <c r="Q30" i="3"/>
  <c r="P22" i="16" s="1"/>
  <c r="M30" i="3"/>
  <c r="L22" i="16" s="1"/>
  <c r="O30" i="3"/>
  <c r="N22" i="16" s="1"/>
  <c r="D22" i="16"/>
  <c r="Q47" i="3"/>
  <c r="P39" i="16" s="1"/>
  <c r="O47" i="3"/>
  <c r="N39" i="16" s="1"/>
  <c r="M47" i="3"/>
  <c r="L39" i="16" s="1"/>
  <c r="P47" i="3"/>
  <c r="O39" i="16" s="1"/>
  <c r="L47" i="3"/>
  <c r="R47" i="3"/>
  <c r="Q39" i="16" s="1"/>
  <c r="N47" i="3"/>
  <c r="M39" i="16" s="1"/>
  <c r="D39" i="16"/>
  <c r="R49" i="3"/>
  <c r="Q41" i="16" s="1"/>
  <c r="P49" i="3"/>
  <c r="O41" i="16" s="1"/>
  <c r="N49" i="3"/>
  <c r="M41" i="16" s="1"/>
  <c r="L49" i="3"/>
  <c r="Q49" i="3"/>
  <c r="P41" i="16" s="1"/>
  <c r="M49" i="3"/>
  <c r="L41" i="16" s="1"/>
  <c r="O49" i="3"/>
  <c r="N41" i="16" s="1"/>
  <c r="D41" i="16"/>
  <c r="I42" i="3"/>
  <c r="H34" i="16" s="1"/>
  <c r="R42" i="3"/>
  <c r="Q34" i="16" s="1"/>
  <c r="P42" i="3"/>
  <c r="O34" i="16" s="1"/>
  <c r="N42" i="3"/>
  <c r="M34" i="16" s="1"/>
  <c r="L42" i="3"/>
  <c r="Q42" i="3"/>
  <c r="P34" i="16" s="1"/>
  <c r="O42" i="3"/>
  <c r="N34" i="16" s="1"/>
  <c r="M42" i="3"/>
  <c r="L34" i="16" s="1"/>
  <c r="D34" i="16"/>
  <c r="I35" i="3"/>
  <c r="H27" i="16" s="1"/>
  <c r="Q35" i="3"/>
  <c r="P27" i="16" s="1"/>
  <c r="O35" i="3"/>
  <c r="N27" i="16" s="1"/>
  <c r="M35" i="3"/>
  <c r="L27" i="16" s="1"/>
  <c r="R35" i="3"/>
  <c r="Q27" i="16" s="1"/>
  <c r="N35" i="3"/>
  <c r="M27" i="16" s="1"/>
  <c r="P35" i="3"/>
  <c r="O27" i="16" s="1"/>
  <c r="L35" i="3"/>
  <c r="D27" i="16"/>
  <c r="Q20" i="3"/>
  <c r="P12" i="16" s="1"/>
  <c r="O20" i="3"/>
  <c r="N12" i="16" s="1"/>
  <c r="M20" i="3"/>
  <c r="L12" i="16" s="1"/>
  <c r="R20" i="3"/>
  <c r="Q12" i="16" s="1"/>
  <c r="P20" i="3"/>
  <c r="O12" i="16" s="1"/>
  <c r="L20" i="3"/>
  <c r="N20" i="3"/>
  <c r="M12" i="16" s="1"/>
  <c r="D12" i="16"/>
  <c r="Q52" i="3"/>
  <c r="P44" i="16" s="1"/>
  <c r="O52" i="3"/>
  <c r="N44" i="16" s="1"/>
  <c r="M52" i="3"/>
  <c r="L44" i="16" s="1"/>
  <c r="R52" i="3"/>
  <c r="Q44" i="16" s="1"/>
  <c r="N52" i="3"/>
  <c r="M44" i="16" s="1"/>
  <c r="P52" i="3"/>
  <c r="O44" i="16" s="1"/>
  <c r="L52" i="3"/>
  <c r="D44" i="16"/>
  <c r="R29" i="3"/>
  <c r="Q21" i="16" s="1"/>
  <c r="P29" i="3"/>
  <c r="O21" i="16" s="1"/>
  <c r="N29" i="3"/>
  <c r="M21" i="16" s="1"/>
  <c r="L29" i="3"/>
  <c r="O29" i="3"/>
  <c r="N21" i="16" s="1"/>
  <c r="Q29" i="3"/>
  <c r="P21" i="16" s="1"/>
  <c r="M29" i="3"/>
  <c r="L21" i="16" s="1"/>
  <c r="D21" i="16"/>
  <c r="Q39" i="3"/>
  <c r="P31" i="16" s="1"/>
  <c r="O39" i="3"/>
  <c r="N31" i="16" s="1"/>
  <c r="M39" i="3"/>
  <c r="L31" i="16" s="1"/>
  <c r="P39" i="3"/>
  <c r="O31" i="16" s="1"/>
  <c r="L39" i="3"/>
  <c r="R39" i="3"/>
  <c r="Q31" i="16" s="1"/>
  <c r="N39" i="3"/>
  <c r="M31" i="16" s="1"/>
  <c r="D31" i="16"/>
  <c r="R46" i="3"/>
  <c r="Q38" i="16" s="1"/>
  <c r="P46" i="3"/>
  <c r="O38" i="16" s="1"/>
  <c r="N46" i="3"/>
  <c r="M38" i="16" s="1"/>
  <c r="L46" i="3"/>
  <c r="Q46" i="3"/>
  <c r="P38" i="16" s="1"/>
  <c r="M46" i="3"/>
  <c r="L38" i="16" s="1"/>
  <c r="O46" i="3"/>
  <c r="N38" i="16" s="1"/>
  <c r="D38" i="16"/>
  <c r="Q56" i="3"/>
  <c r="P48" i="16" s="1"/>
  <c r="O56" i="3"/>
  <c r="N48" i="16" s="1"/>
  <c r="M56" i="3"/>
  <c r="L48" i="16" s="1"/>
  <c r="P56" i="3"/>
  <c r="O48" i="16" s="1"/>
  <c r="R56" i="3"/>
  <c r="Q48" i="16" s="1"/>
  <c r="N56" i="3"/>
  <c r="M48" i="16" s="1"/>
  <c r="L56" i="3"/>
  <c r="D48" i="16"/>
  <c r="R33" i="3"/>
  <c r="Q25" i="16" s="1"/>
  <c r="P33" i="3"/>
  <c r="O25" i="16" s="1"/>
  <c r="N33" i="3"/>
  <c r="M25" i="16" s="1"/>
  <c r="L33" i="3"/>
  <c r="Q33" i="3"/>
  <c r="P25" i="16" s="1"/>
  <c r="M33" i="3"/>
  <c r="L25" i="16" s="1"/>
  <c r="O33" i="3"/>
  <c r="N25" i="16" s="1"/>
  <c r="D25" i="16"/>
  <c r="I24" i="3"/>
  <c r="H16" i="16" s="1"/>
  <c r="Q24" i="3"/>
  <c r="P16" i="16" s="1"/>
  <c r="O24" i="3"/>
  <c r="N16" i="16" s="1"/>
  <c r="M24" i="3"/>
  <c r="L16" i="16" s="1"/>
  <c r="P24" i="3"/>
  <c r="O16" i="16" s="1"/>
  <c r="L24" i="3"/>
  <c r="R24" i="3"/>
  <c r="Q16" i="16" s="1"/>
  <c r="N24" i="3"/>
  <c r="M16" i="16" s="1"/>
  <c r="D16" i="16"/>
  <c r="R57" i="3"/>
  <c r="Q49" i="16" s="1"/>
  <c r="P57" i="3"/>
  <c r="O49" i="16" s="1"/>
  <c r="N57" i="3"/>
  <c r="M49" i="16" s="1"/>
  <c r="Q57" i="3"/>
  <c r="P49" i="16" s="1"/>
  <c r="M57" i="3"/>
  <c r="L49" i="16" s="1"/>
  <c r="L57" i="3"/>
  <c r="O57" i="3"/>
  <c r="N49" i="16" s="1"/>
  <c r="D49" i="16"/>
  <c r="Q15" i="3"/>
  <c r="P7" i="16" s="1"/>
  <c r="O15" i="3"/>
  <c r="N7" i="16" s="1"/>
  <c r="M15" i="3"/>
  <c r="L7" i="16" s="1"/>
  <c r="P15" i="3"/>
  <c r="O7" i="16" s="1"/>
  <c r="L15" i="3"/>
  <c r="R15" i="3"/>
  <c r="Q7" i="16" s="1"/>
  <c r="N15" i="3"/>
  <c r="M7" i="16" s="1"/>
  <c r="D7" i="16"/>
  <c r="I57" i="3"/>
  <c r="H49" i="16" s="1"/>
  <c r="R17" i="3"/>
  <c r="Q9" i="16" s="1"/>
  <c r="P17" i="3"/>
  <c r="O9" i="16" s="1"/>
  <c r="N17" i="3"/>
  <c r="M9" i="16" s="1"/>
  <c r="L17" i="3"/>
  <c r="Q17" i="3"/>
  <c r="P9" i="16" s="1"/>
  <c r="M17" i="3"/>
  <c r="L9" i="16" s="1"/>
  <c r="O17" i="3"/>
  <c r="N9" i="16" s="1"/>
  <c r="D9" i="16"/>
  <c r="Q19" i="3"/>
  <c r="P11" i="16" s="1"/>
  <c r="O19" i="3"/>
  <c r="N11" i="16" s="1"/>
  <c r="M19" i="3"/>
  <c r="L11" i="16" s="1"/>
  <c r="R19" i="3"/>
  <c r="Q11" i="16" s="1"/>
  <c r="N19" i="3"/>
  <c r="M11" i="16" s="1"/>
  <c r="P19" i="3"/>
  <c r="O11" i="16" s="1"/>
  <c r="L19" i="3"/>
  <c r="D11" i="16"/>
  <c r="R34" i="3"/>
  <c r="Q26" i="16" s="1"/>
  <c r="P34" i="3"/>
  <c r="O26" i="16" s="1"/>
  <c r="N34" i="3"/>
  <c r="M26" i="16" s="1"/>
  <c r="L34" i="3"/>
  <c r="Q34" i="3"/>
  <c r="P26" i="16" s="1"/>
  <c r="O34" i="3"/>
  <c r="N26" i="16" s="1"/>
  <c r="M34" i="3"/>
  <c r="L26" i="16" s="1"/>
  <c r="D26" i="16"/>
  <c r="R50" i="3"/>
  <c r="Q42" i="16" s="1"/>
  <c r="P50" i="3"/>
  <c r="O42" i="16" s="1"/>
  <c r="N50" i="3"/>
  <c r="M42" i="16" s="1"/>
  <c r="L50" i="3"/>
  <c r="Q50" i="3"/>
  <c r="P42" i="16" s="1"/>
  <c r="M50" i="3"/>
  <c r="L42" i="16" s="1"/>
  <c r="O50" i="3"/>
  <c r="N42" i="16" s="1"/>
  <c r="D42" i="16"/>
  <c r="I27" i="3"/>
  <c r="H19" i="16" s="1"/>
  <c r="Q27" i="3"/>
  <c r="P19" i="16" s="1"/>
  <c r="O27" i="3"/>
  <c r="N19" i="16" s="1"/>
  <c r="M27" i="3"/>
  <c r="L19" i="16" s="1"/>
  <c r="R27" i="3"/>
  <c r="Q19" i="16" s="1"/>
  <c r="N27" i="3"/>
  <c r="M19" i="16" s="1"/>
  <c r="P27" i="3"/>
  <c r="O19" i="16" s="1"/>
  <c r="L27" i="3"/>
  <c r="D19" i="16"/>
  <c r="Q43" i="3"/>
  <c r="P35" i="16" s="1"/>
  <c r="O43" i="3"/>
  <c r="N35" i="16" s="1"/>
  <c r="M43" i="3"/>
  <c r="L35" i="16" s="1"/>
  <c r="R43" i="3"/>
  <c r="Q35" i="16" s="1"/>
  <c r="N43" i="3"/>
  <c r="M35" i="16" s="1"/>
  <c r="P43" i="3"/>
  <c r="O35" i="16" s="1"/>
  <c r="L43" i="3"/>
  <c r="D35" i="16"/>
  <c r="Q55" i="3"/>
  <c r="P47" i="16" s="1"/>
  <c r="O55" i="3"/>
  <c r="N47" i="16" s="1"/>
  <c r="M55" i="3"/>
  <c r="L47" i="16" s="1"/>
  <c r="P55" i="3"/>
  <c r="O47" i="16" s="1"/>
  <c r="R55" i="3"/>
  <c r="Q47" i="16" s="1"/>
  <c r="N55" i="3"/>
  <c r="M47" i="16" s="1"/>
  <c r="L55" i="3"/>
  <c r="D47" i="16"/>
  <c r="Q28" i="3"/>
  <c r="P20" i="16" s="1"/>
  <c r="O28" i="3"/>
  <c r="N20" i="16" s="1"/>
  <c r="M28" i="3"/>
  <c r="L20" i="16" s="1"/>
  <c r="N28" i="3"/>
  <c r="M20" i="16" s="1"/>
  <c r="R28" i="3"/>
  <c r="Q20" i="16" s="1"/>
  <c r="P28" i="3"/>
  <c r="O20" i="16" s="1"/>
  <c r="L28" i="3"/>
  <c r="D20" i="16"/>
  <c r="Q44" i="3"/>
  <c r="P36" i="16" s="1"/>
  <c r="O44" i="3"/>
  <c r="N36" i="16" s="1"/>
  <c r="M44" i="3"/>
  <c r="L36" i="16" s="1"/>
  <c r="R44" i="3"/>
  <c r="Q36" i="16" s="1"/>
  <c r="P44" i="3"/>
  <c r="O36" i="16" s="1"/>
  <c r="L44" i="3"/>
  <c r="N44" i="3"/>
  <c r="M36" i="16" s="1"/>
  <c r="D36" i="16"/>
  <c r="Q23" i="3"/>
  <c r="P15" i="16" s="1"/>
  <c r="O23" i="3"/>
  <c r="N15" i="16" s="1"/>
  <c r="M23" i="3"/>
  <c r="L15" i="16" s="1"/>
  <c r="P23" i="3"/>
  <c r="O15" i="16" s="1"/>
  <c r="L23" i="3"/>
  <c r="R23" i="3"/>
  <c r="Q15" i="16" s="1"/>
  <c r="N23" i="3"/>
  <c r="M15" i="16" s="1"/>
  <c r="D15" i="16"/>
  <c r="R21" i="3"/>
  <c r="Q13" i="16" s="1"/>
  <c r="P21" i="3"/>
  <c r="O13" i="16" s="1"/>
  <c r="N21" i="3"/>
  <c r="M13" i="16" s="1"/>
  <c r="L21" i="3"/>
  <c r="O21" i="3"/>
  <c r="N13" i="16" s="1"/>
  <c r="Q21" i="3"/>
  <c r="P13" i="16" s="1"/>
  <c r="M21" i="3"/>
  <c r="L13" i="16" s="1"/>
  <c r="D13" i="16"/>
  <c r="R37" i="3"/>
  <c r="Q29" i="16" s="1"/>
  <c r="P37" i="3"/>
  <c r="O29" i="16" s="1"/>
  <c r="N37" i="3"/>
  <c r="M29" i="16" s="1"/>
  <c r="L37" i="3"/>
  <c r="O37" i="3"/>
  <c r="N29" i="16" s="1"/>
  <c r="Q37" i="3"/>
  <c r="P29" i="16" s="1"/>
  <c r="M37" i="3"/>
  <c r="L29" i="16" s="1"/>
  <c r="D29" i="16"/>
  <c r="R53" i="3"/>
  <c r="Q45" i="16" s="1"/>
  <c r="P53" i="3"/>
  <c r="O45" i="16" s="1"/>
  <c r="N53" i="3"/>
  <c r="M45" i="16" s="1"/>
  <c r="O53" i="3"/>
  <c r="N45" i="16" s="1"/>
  <c r="L53" i="3"/>
  <c r="Q53" i="3"/>
  <c r="P45" i="16" s="1"/>
  <c r="M53" i="3"/>
  <c r="L45" i="16" s="1"/>
  <c r="D45" i="16"/>
  <c r="R22" i="3"/>
  <c r="Q14" i="16" s="1"/>
  <c r="P22" i="3"/>
  <c r="O14" i="16" s="1"/>
  <c r="N22" i="3"/>
  <c r="M14" i="16" s="1"/>
  <c r="L22" i="3"/>
  <c r="O22" i="3"/>
  <c r="N14" i="16" s="1"/>
  <c r="Q22" i="3"/>
  <c r="P14" i="16" s="1"/>
  <c r="M22" i="3"/>
  <c r="L14" i="16" s="1"/>
  <c r="D14" i="16"/>
  <c r="R38" i="3"/>
  <c r="Q30" i="16" s="1"/>
  <c r="P38" i="3"/>
  <c r="O30" i="16" s="1"/>
  <c r="N38" i="3"/>
  <c r="M30" i="16" s="1"/>
  <c r="L38" i="3"/>
  <c r="O38" i="3"/>
  <c r="N30" i="16" s="1"/>
  <c r="Q38" i="3"/>
  <c r="P30" i="16" s="1"/>
  <c r="M38" i="3"/>
  <c r="L30" i="16" s="1"/>
  <c r="D30" i="16"/>
  <c r="R54" i="3"/>
  <c r="Q46" i="16" s="1"/>
  <c r="P54" i="3"/>
  <c r="O46" i="16" s="1"/>
  <c r="N54" i="3"/>
  <c r="M46" i="16" s="1"/>
  <c r="Q54" i="3"/>
  <c r="P46" i="16" s="1"/>
  <c r="M54" i="3"/>
  <c r="L46" i="16" s="1"/>
  <c r="O54" i="3"/>
  <c r="N46" i="16" s="1"/>
  <c r="L54" i="3"/>
  <c r="D46" i="16"/>
  <c r="Q40" i="3"/>
  <c r="P32" i="16" s="1"/>
  <c r="O40" i="3"/>
  <c r="N32" i="16" s="1"/>
  <c r="M40" i="3"/>
  <c r="L32" i="16" s="1"/>
  <c r="P40" i="3"/>
  <c r="O32" i="16" s="1"/>
  <c r="R40" i="3"/>
  <c r="Q32" i="16" s="1"/>
  <c r="N40" i="3"/>
  <c r="M32" i="16" s="1"/>
  <c r="L40" i="3"/>
  <c r="D32" i="16"/>
  <c r="R25" i="3"/>
  <c r="Q17" i="16" s="1"/>
  <c r="P25" i="3"/>
  <c r="O17" i="16" s="1"/>
  <c r="N25" i="3"/>
  <c r="M17" i="16" s="1"/>
  <c r="L25" i="3"/>
  <c r="Q25" i="3"/>
  <c r="P17" i="16" s="1"/>
  <c r="M25" i="3"/>
  <c r="L17" i="16" s="1"/>
  <c r="O25" i="3"/>
  <c r="N17" i="16" s="1"/>
  <c r="D17" i="16"/>
  <c r="R41" i="3"/>
  <c r="Q33" i="16" s="1"/>
  <c r="P41" i="3"/>
  <c r="O33" i="16" s="1"/>
  <c r="N41" i="3"/>
  <c r="M33" i="16" s="1"/>
  <c r="L41" i="3"/>
  <c r="Q41" i="3"/>
  <c r="P33" i="16" s="1"/>
  <c r="M41" i="3"/>
  <c r="L33" i="16" s="1"/>
  <c r="O41" i="3"/>
  <c r="N33" i="16" s="1"/>
  <c r="D33" i="16"/>
  <c r="Q31" i="3"/>
  <c r="P23" i="16" s="1"/>
  <c r="O31" i="3"/>
  <c r="N23" i="16" s="1"/>
  <c r="M31" i="3"/>
  <c r="L23" i="16" s="1"/>
  <c r="P31" i="3"/>
  <c r="O23" i="16" s="1"/>
  <c r="L31" i="3"/>
  <c r="R31" i="3"/>
  <c r="Q23" i="16" s="1"/>
  <c r="N31" i="3"/>
  <c r="M23" i="16" s="1"/>
  <c r="D23" i="16"/>
  <c r="Q59" i="3"/>
  <c r="P51" i="16" s="1"/>
  <c r="O59" i="3"/>
  <c r="N51" i="16" s="1"/>
  <c r="M59" i="3"/>
  <c r="L51" i="16" s="1"/>
  <c r="R59" i="3"/>
  <c r="Q51" i="16" s="1"/>
  <c r="N59" i="3"/>
  <c r="M51" i="16" s="1"/>
  <c r="P59" i="3"/>
  <c r="O51" i="16" s="1"/>
  <c r="L59" i="3"/>
  <c r="D51" i="16"/>
  <c r="R13" i="3"/>
  <c r="Q5" i="16" s="1"/>
  <c r="P13" i="3"/>
  <c r="O5" i="16" s="1"/>
  <c r="N13" i="3"/>
  <c r="M5" i="16" s="1"/>
  <c r="L13" i="3"/>
  <c r="O13" i="3"/>
  <c r="N5" i="16" s="1"/>
  <c r="Q13" i="3"/>
  <c r="P5" i="16" s="1"/>
  <c r="M13" i="3"/>
  <c r="L5" i="16" s="1"/>
  <c r="D5" i="16"/>
  <c r="Q12" i="3"/>
  <c r="P4" i="16" s="1"/>
  <c r="O12" i="3"/>
  <c r="N4" i="16" s="1"/>
  <c r="M12" i="3"/>
  <c r="L4" i="16" s="1"/>
  <c r="N12" i="3"/>
  <c r="M4" i="16" s="1"/>
  <c r="R12" i="3"/>
  <c r="Q4" i="16" s="1"/>
  <c r="P12" i="3"/>
  <c r="O4" i="16" s="1"/>
  <c r="L12" i="3"/>
  <c r="D4" i="16"/>
  <c r="I14" i="3"/>
  <c r="H6" i="16" s="1"/>
  <c r="R14" i="3"/>
  <c r="P14" i="3"/>
  <c r="O6" i="16" s="1"/>
  <c r="N14" i="3"/>
  <c r="L14" i="3"/>
  <c r="O14" i="3"/>
  <c r="Q14" i="3"/>
  <c r="M14" i="3"/>
  <c r="L6" i="16" s="1"/>
  <c r="D6" i="16"/>
  <c r="R18" i="3"/>
  <c r="Q10" i="16" s="1"/>
  <c r="P18" i="3"/>
  <c r="O10" i="16" s="1"/>
  <c r="N18" i="3"/>
  <c r="L18" i="3"/>
  <c r="Q18" i="3"/>
  <c r="P10" i="16" s="1"/>
  <c r="O18" i="3"/>
  <c r="N10" i="16" s="1"/>
  <c r="M18" i="3"/>
  <c r="L10" i="16" s="1"/>
  <c r="D10" i="16"/>
  <c r="R58" i="3"/>
  <c r="Q50" i="16" s="1"/>
  <c r="P58" i="3"/>
  <c r="O50" i="16" s="1"/>
  <c r="N58" i="3"/>
  <c r="M50" i="16" s="1"/>
  <c r="Q58" i="3"/>
  <c r="P50" i="16" s="1"/>
  <c r="O58" i="3"/>
  <c r="N50" i="16" s="1"/>
  <c r="M58" i="3"/>
  <c r="L50" i="16" s="1"/>
  <c r="L58" i="3"/>
  <c r="D50" i="16"/>
  <c r="I37" i="16"/>
  <c r="I50" i="16"/>
  <c r="I51" i="16"/>
  <c r="I49" i="16"/>
  <c r="I21" i="3"/>
  <c r="H13" i="16" s="1"/>
  <c r="I56" i="3"/>
  <c r="H48" i="16" s="1"/>
  <c r="I26" i="3"/>
  <c r="H18" i="16" s="1"/>
  <c r="J21" i="3"/>
  <c r="J29" i="3"/>
  <c r="J35" i="3"/>
  <c r="J56" i="3"/>
  <c r="J42" i="3"/>
  <c r="J46" i="3"/>
  <c r="J33" i="3"/>
  <c r="J32" i="3"/>
  <c r="I46" i="3"/>
  <c r="H38" i="16" s="1"/>
  <c r="I20" i="3"/>
  <c r="H12" i="16" s="1"/>
  <c r="J49" i="3"/>
  <c r="I52" i="3"/>
  <c r="H44" i="16" s="1"/>
  <c r="J48" i="3"/>
  <c r="J23" i="3"/>
  <c r="I22" i="3"/>
  <c r="H14" i="16" s="1"/>
  <c r="J31" i="3"/>
  <c r="J54" i="3"/>
  <c r="I50" i="3"/>
  <c r="H42" i="16" s="1"/>
  <c r="I40" i="3"/>
  <c r="H32" i="16" s="1"/>
  <c r="I28" i="3"/>
  <c r="H20" i="16" s="1"/>
  <c r="I23" i="3"/>
  <c r="H15" i="16" s="1"/>
  <c r="J43" i="3"/>
  <c r="J28" i="3"/>
  <c r="J55" i="3"/>
  <c r="J22" i="3"/>
  <c r="I54" i="3"/>
  <c r="H46" i="16" s="1"/>
  <c r="J52" i="3"/>
  <c r="I31" i="3"/>
  <c r="H23" i="16" s="1"/>
  <c r="J25" i="3"/>
  <c r="J37" i="3"/>
  <c r="J39" i="3"/>
  <c r="I25" i="3"/>
  <c r="H17" i="16" s="1"/>
  <c r="I43" i="3"/>
  <c r="H35" i="16" s="1"/>
  <c r="I29" i="3"/>
  <c r="H21" i="16" s="1"/>
  <c r="I39" i="3"/>
  <c r="H31" i="16" s="1"/>
  <c r="J20" i="3"/>
  <c r="J50" i="3"/>
  <c r="I49" i="3"/>
  <c r="H41" i="16" s="1"/>
  <c r="I37" i="3"/>
  <c r="H29" i="16" s="1"/>
  <c r="I32" i="3"/>
  <c r="H24" i="16" s="1"/>
  <c r="J36" i="3"/>
  <c r="J38" i="3"/>
  <c r="I44" i="3"/>
  <c r="H36" i="16" s="1"/>
  <c r="I53" i="3"/>
  <c r="H45" i="16" s="1"/>
  <c r="J51" i="3"/>
  <c r="J47" i="3"/>
  <c r="I45" i="3"/>
  <c r="H37" i="16" s="1"/>
  <c r="I48" i="3"/>
  <c r="H40" i="16" s="1"/>
  <c r="J40" i="3"/>
  <c r="J41" i="3"/>
  <c r="I33" i="3"/>
  <c r="H25" i="16" s="1"/>
  <c r="I36" i="3"/>
  <c r="H28" i="16" s="1"/>
  <c r="J26" i="3"/>
  <c r="J30" i="3"/>
  <c r="J44" i="3"/>
  <c r="J53" i="3"/>
  <c r="I41" i="3"/>
  <c r="H33" i="16" s="1"/>
  <c r="I30" i="3"/>
  <c r="H22" i="16" s="1"/>
  <c r="I47" i="3"/>
  <c r="H39" i="16" s="1"/>
  <c r="J27" i="3"/>
  <c r="J34" i="3"/>
  <c r="I38" i="3"/>
  <c r="H30" i="16" s="1"/>
  <c r="I55" i="3"/>
  <c r="H47" i="16" s="1"/>
  <c r="J24" i="3"/>
  <c r="I34" i="3"/>
  <c r="H26" i="16" s="1"/>
  <c r="J17" i="3"/>
  <c r="I17" i="3"/>
  <c r="H9" i="16" s="1"/>
  <c r="J11" i="3"/>
  <c r="J15" i="3"/>
  <c r="I11" i="3"/>
  <c r="H3" i="16" s="1"/>
  <c r="I19" i="3"/>
  <c r="H11" i="16" s="1"/>
  <c r="I13" i="3"/>
  <c r="H5" i="16" s="1"/>
  <c r="I12" i="3"/>
  <c r="H4" i="16" s="1"/>
  <c r="I18" i="3"/>
  <c r="H10" i="16" s="1"/>
  <c r="I16" i="3"/>
  <c r="H8" i="16" s="1"/>
  <c r="J16" i="3"/>
  <c r="L3" i="16"/>
  <c r="I15" i="3"/>
  <c r="H7" i="16" s="1"/>
  <c r="M10" i="16"/>
  <c r="J18" i="3"/>
  <c r="J13" i="3"/>
  <c r="J19" i="3"/>
  <c r="Q6" i="16"/>
  <c r="P6" i="16"/>
  <c r="N6" i="16"/>
  <c r="M6" i="16"/>
  <c r="J12" i="3"/>
  <c r="J14" i="3"/>
  <c r="G10" i="3"/>
  <c r="C9" i="7"/>
  <c r="C11" i="5"/>
  <c r="D11" i="5" s="1"/>
  <c r="E7" i="5"/>
  <c r="E6" i="5"/>
  <c r="E3" i="5"/>
  <c r="C2" i="5"/>
  <c r="C10" i="4"/>
  <c r="D10" i="4" s="1"/>
  <c r="F7" i="4"/>
  <c r="F6" i="4"/>
  <c r="F3" i="4"/>
  <c r="C2" i="4"/>
  <c r="U10" i="3"/>
  <c r="T2" i="16" s="1"/>
  <c r="T10" i="3"/>
  <c r="S2" i="16" s="1"/>
  <c r="D3" i="3"/>
  <c r="B2" i="3"/>
  <c r="S14" i="3" l="1"/>
  <c r="R6" i="16" s="1"/>
  <c r="K6" i="16"/>
  <c r="K15" i="16"/>
  <c r="S23" i="3"/>
  <c r="R15" i="16" s="1"/>
  <c r="S51" i="3"/>
  <c r="R43" i="16" s="1"/>
  <c r="K43" i="16"/>
  <c r="S26" i="3"/>
  <c r="R18" i="16" s="1"/>
  <c r="K18" i="16"/>
  <c r="S58" i="3"/>
  <c r="R50" i="16" s="1"/>
  <c r="K50" i="16"/>
  <c r="K5" i="16"/>
  <c r="S13" i="3"/>
  <c r="R5" i="16" s="1"/>
  <c r="K33" i="16"/>
  <c r="S41" i="3"/>
  <c r="R33" i="16" s="1"/>
  <c r="K17" i="16"/>
  <c r="S25" i="3"/>
  <c r="R17" i="16" s="1"/>
  <c r="S38" i="3"/>
  <c r="R30" i="16" s="1"/>
  <c r="K30" i="16"/>
  <c r="S22" i="3"/>
  <c r="R14" i="16" s="1"/>
  <c r="K14" i="16"/>
  <c r="S37" i="3"/>
  <c r="R29" i="16" s="1"/>
  <c r="K29" i="16"/>
  <c r="K13" i="16"/>
  <c r="S21" i="3"/>
  <c r="R13" i="16" s="1"/>
  <c r="K49" i="16"/>
  <c r="S57" i="3"/>
  <c r="R49" i="16" s="1"/>
  <c r="S56" i="3"/>
  <c r="R48" i="16" s="1"/>
  <c r="K48" i="16"/>
  <c r="S52" i="3"/>
  <c r="R44" i="16" s="1"/>
  <c r="K44" i="16"/>
  <c r="S35" i="3"/>
  <c r="R27" i="16" s="1"/>
  <c r="K27" i="16"/>
  <c r="S42" i="3"/>
  <c r="R34" i="16" s="1"/>
  <c r="K34" i="16"/>
  <c r="S47" i="3"/>
  <c r="R39" i="16" s="1"/>
  <c r="K39" i="16"/>
  <c r="S36" i="3"/>
  <c r="R28" i="16" s="1"/>
  <c r="K28" i="16"/>
  <c r="S32" i="3"/>
  <c r="R24" i="16" s="1"/>
  <c r="K24" i="16"/>
  <c r="S16" i="3"/>
  <c r="R8" i="16" s="1"/>
  <c r="K8" i="16"/>
  <c r="S18" i="3"/>
  <c r="K10" i="16"/>
  <c r="S33" i="3"/>
  <c r="R25" i="16" s="1"/>
  <c r="K25" i="16"/>
  <c r="S46" i="3"/>
  <c r="R38" i="16" s="1"/>
  <c r="K38" i="16"/>
  <c r="S29" i="3"/>
  <c r="R21" i="16" s="1"/>
  <c r="K21" i="16"/>
  <c r="S12" i="3"/>
  <c r="R4" i="16" s="1"/>
  <c r="K4" i="16"/>
  <c r="S59" i="3"/>
  <c r="R51" i="16" s="1"/>
  <c r="K51" i="16"/>
  <c r="S40" i="3"/>
  <c r="R32" i="16" s="1"/>
  <c r="K32" i="16"/>
  <c r="S54" i="3"/>
  <c r="R46" i="16" s="1"/>
  <c r="K46" i="16"/>
  <c r="S28" i="3"/>
  <c r="R20" i="16" s="1"/>
  <c r="K20" i="16"/>
  <c r="S55" i="3"/>
  <c r="R47" i="16" s="1"/>
  <c r="K47" i="16"/>
  <c r="S43" i="3"/>
  <c r="R35" i="16" s="1"/>
  <c r="K35" i="16"/>
  <c r="S27" i="3"/>
  <c r="R19" i="16" s="1"/>
  <c r="K19" i="16"/>
  <c r="S50" i="3"/>
  <c r="R42" i="16" s="1"/>
  <c r="K42" i="16"/>
  <c r="S34" i="3"/>
  <c r="R26" i="16" s="1"/>
  <c r="K26" i="16"/>
  <c r="K9" i="16"/>
  <c r="S17" i="3"/>
  <c r="R9" i="16" s="1"/>
  <c r="S15" i="3"/>
  <c r="R7" i="16" s="1"/>
  <c r="K7" i="16"/>
  <c r="K16" i="16"/>
  <c r="S24" i="3"/>
  <c r="R16" i="16" s="1"/>
  <c r="K12" i="16"/>
  <c r="S20" i="3"/>
  <c r="R12" i="16" s="1"/>
  <c r="S49" i="3"/>
  <c r="R41" i="16" s="1"/>
  <c r="K41" i="16"/>
  <c r="S30" i="3"/>
  <c r="R22" i="16" s="1"/>
  <c r="K22" i="16"/>
  <c r="S45" i="3"/>
  <c r="R37" i="16" s="1"/>
  <c r="K37" i="16"/>
  <c r="S31" i="3"/>
  <c r="R23" i="16" s="1"/>
  <c r="K23" i="16"/>
  <c r="S53" i="3"/>
  <c r="R45" i="16" s="1"/>
  <c r="K45" i="16"/>
  <c r="S44" i="3"/>
  <c r="R36" i="16" s="1"/>
  <c r="K36" i="16"/>
  <c r="K11" i="16"/>
  <c r="S19" i="3"/>
  <c r="R11" i="16" s="1"/>
  <c r="S39" i="3"/>
  <c r="R31" i="16" s="1"/>
  <c r="K31" i="16"/>
  <c r="S48" i="3"/>
  <c r="R40" i="16" s="1"/>
  <c r="K40" i="16"/>
  <c r="S11" i="3"/>
  <c r="R3" i="16" s="1"/>
  <c r="K3" i="16"/>
  <c r="I33" i="16"/>
  <c r="I19" i="16"/>
  <c r="I44" i="16"/>
  <c r="I35" i="16"/>
  <c r="I23" i="16"/>
  <c r="I25" i="16"/>
  <c r="I27" i="16"/>
  <c r="I42" i="16"/>
  <c r="I14" i="16"/>
  <c r="I24" i="16"/>
  <c r="I38" i="16"/>
  <c r="I34" i="16"/>
  <c r="I18" i="16"/>
  <c r="I32" i="16"/>
  <c r="I40" i="16"/>
  <c r="I16" i="16"/>
  <c r="I43" i="16"/>
  <c r="I46" i="16"/>
  <c r="I48" i="16"/>
  <c r="I45" i="16"/>
  <c r="I31" i="16"/>
  <c r="I47" i="16"/>
  <c r="I15" i="16"/>
  <c r="I26" i="16"/>
  <c r="I29" i="16"/>
  <c r="I41" i="16"/>
  <c r="I21" i="16"/>
  <c r="I12" i="16"/>
  <c r="I36" i="16"/>
  <c r="I39" i="16"/>
  <c r="I30" i="16"/>
  <c r="I28" i="16"/>
  <c r="I17" i="16"/>
  <c r="I13" i="16"/>
  <c r="I22" i="16"/>
  <c r="I20" i="16"/>
  <c r="H14" i="3"/>
  <c r="G6" i="16" s="1"/>
  <c r="I6" i="16"/>
  <c r="I11" i="16"/>
  <c r="I5" i="16"/>
  <c r="I3" i="16"/>
  <c r="I4" i="16"/>
  <c r="I7" i="16"/>
  <c r="I9" i="16"/>
  <c r="I10" i="16"/>
  <c r="I8" i="16"/>
  <c r="G60" i="3"/>
  <c r="F2" i="16"/>
  <c r="H19" i="5"/>
  <c r="AP10" i="16" s="1"/>
  <c r="H15" i="5"/>
  <c r="AP6" i="16" s="1"/>
  <c r="H20" i="5"/>
  <c r="AP11" i="16" s="1"/>
  <c r="H13" i="5"/>
  <c r="AP4" i="16" s="1"/>
  <c r="H16" i="5"/>
  <c r="AP7" i="16" s="1"/>
  <c r="H17" i="5"/>
  <c r="AP8" i="16" s="1"/>
  <c r="H14" i="5"/>
  <c r="AP5" i="16" s="1"/>
  <c r="H12" i="5"/>
  <c r="AP3" i="16" s="1"/>
  <c r="H18" i="5"/>
  <c r="AP9" i="16" s="1"/>
  <c r="T60" i="3"/>
  <c r="U60" i="3"/>
  <c r="E10" i="4"/>
  <c r="AD10" i="3"/>
  <c r="AC10" i="3"/>
  <c r="AB10" i="3"/>
  <c r="AA10" i="3"/>
  <c r="H19" i="3" l="1"/>
  <c r="X19" i="3" s="1"/>
  <c r="W11" i="16" s="1"/>
  <c r="AB60" i="3"/>
  <c r="AA2" i="16"/>
  <c r="AC60" i="3"/>
  <c r="AB2" i="16"/>
  <c r="AD60" i="3"/>
  <c r="AC2" i="16"/>
  <c r="AA60" i="3"/>
  <c r="Z2" i="16"/>
  <c r="I14" i="4"/>
  <c r="AI6" i="16" s="1"/>
  <c r="X14" i="3"/>
  <c r="W6" i="16" s="1"/>
  <c r="G14" i="4"/>
  <c r="AG6" i="16" s="1"/>
  <c r="W14" i="3"/>
  <c r="E15" i="5"/>
  <c r="AM6" i="16" s="1"/>
  <c r="K14" i="4"/>
  <c r="AL6" i="16" s="1"/>
  <c r="H14" i="4"/>
  <c r="AH6" i="16" s="1"/>
  <c r="G15" i="5"/>
  <c r="AO6" i="16" s="1"/>
  <c r="F15" i="5"/>
  <c r="AN6" i="16" s="1"/>
  <c r="J14" i="4"/>
  <c r="AJ6" i="16" s="1"/>
  <c r="B28" i="7"/>
  <c r="B29" i="7"/>
  <c r="B30" i="7"/>
  <c r="B31" i="7"/>
  <c r="B32" i="7"/>
  <c r="B26" i="7"/>
  <c r="B25" i="7"/>
  <c r="B27" i="7"/>
  <c r="C8" i="7"/>
  <c r="C10" i="3"/>
  <c r="B2" i="16" s="1"/>
  <c r="D12" i="3"/>
  <c r="C4" i="16" s="1"/>
  <c r="D14" i="3"/>
  <c r="C6" i="16" s="1"/>
  <c r="D57" i="3"/>
  <c r="C49" i="16" s="1"/>
  <c r="D58" i="3"/>
  <c r="C50" i="16" s="1"/>
  <c r="B10" i="3"/>
  <c r="H19" i="4" l="1"/>
  <c r="AH11" i="16" s="1"/>
  <c r="E20" i="5"/>
  <c r="AM11" i="16" s="1"/>
  <c r="G20" i="5"/>
  <c r="AO11" i="16" s="1"/>
  <c r="W19" i="3"/>
  <c r="V11" i="16" s="1"/>
  <c r="K19" i="4"/>
  <c r="AL11" i="16" s="1"/>
  <c r="F20" i="5"/>
  <c r="AN11" i="16" s="1"/>
  <c r="G11" i="16"/>
  <c r="G19" i="4"/>
  <c r="AG11" i="16" s="1"/>
  <c r="J19" i="4"/>
  <c r="AJ11" i="16" s="1"/>
  <c r="I19" i="4"/>
  <c r="AI11" i="16" s="1"/>
  <c r="C21" i="11"/>
  <c r="C21" i="9"/>
  <c r="A2" i="16"/>
  <c r="K45" i="3"/>
  <c r="K59" i="3"/>
  <c r="K58" i="3"/>
  <c r="J50" i="16" s="1"/>
  <c r="K57" i="3"/>
  <c r="J49" i="16" s="1"/>
  <c r="K14" i="3"/>
  <c r="J6" i="16" s="1"/>
  <c r="K13" i="3"/>
  <c r="K12" i="3"/>
  <c r="J4" i="16" s="1"/>
  <c r="K17" i="3"/>
  <c r="K16" i="3"/>
  <c r="J8" i="16" s="1"/>
  <c r="K38" i="3"/>
  <c r="K27" i="3"/>
  <c r="J19" i="16" s="1"/>
  <c r="K43" i="3"/>
  <c r="J35" i="16" s="1"/>
  <c r="K33" i="3"/>
  <c r="K50" i="3"/>
  <c r="K32" i="3"/>
  <c r="J24" i="16" s="1"/>
  <c r="K42" i="3"/>
  <c r="J34" i="16" s="1"/>
  <c r="K40" i="3"/>
  <c r="J32" i="16" s="1"/>
  <c r="K24" i="3"/>
  <c r="K54" i="3"/>
  <c r="J46" i="16" s="1"/>
  <c r="K53" i="3"/>
  <c r="J45" i="16" s="1"/>
  <c r="K55" i="3"/>
  <c r="J47" i="16" s="1"/>
  <c r="K34" i="3"/>
  <c r="K49" i="3"/>
  <c r="J41" i="16" s="1"/>
  <c r="K20" i="3"/>
  <c r="J12" i="16" s="1"/>
  <c r="K47" i="3"/>
  <c r="J39" i="16" s="1"/>
  <c r="K36" i="3"/>
  <c r="K21" i="3"/>
  <c r="J13" i="16" s="1"/>
  <c r="K28" i="3"/>
  <c r="J20" i="16" s="1"/>
  <c r="K41" i="3"/>
  <c r="K52" i="3"/>
  <c r="K35" i="3"/>
  <c r="J27" i="16" s="1"/>
  <c r="K46" i="3"/>
  <c r="K48" i="3"/>
  <c r="J40" i="16" s="1"/>
  <c r="K56" i="3"/>
  <c r="K23" i="3"/>
  <c r="J15" i="16" s="1"/>
  <c r="K29" i="3"/>
  <c r="K25" i="3"/>
  <c r="J17" i="16" s="1"/>
  <c r="K19" i="3"/>
  <c r="K11" i="3"/>
  <c r="J3" i="16" s="1"/>
  <c r="K15" i="3"/>
  <c r="J7" i="16" s="1"/>
  <c r="K18" i="3"/>
  <c r="J10" i="16" s="1"/>
  <c r="K31" i="3"/>
  <c r="K22" i="3"/>
  <c r="J14" i="16" s="1"/>
  <c r="K26" i="3"/>
  <c r="K51" i="3"/>
  <c r="K39" i="3"/>
  <c r="K37" i="3"/>
  <c r="J29" i="16" s="1"/>
  <c r="K44" i="3"/>
  <c r="J36" i="16" s="1"/>
  <c r="K30" i="3"/>
  <c r="J22" i="16" s="1"/>
  <c r="V6" i="16"/>
  <c r="AQ6" i="16"/>
  <c r="Y16" i="3"/>
  <c r="X8" i="16" s="1"/>
  <c r="Y11" i="3"/>
  <c r="X3" i="16" s="1"/>
  <c r="B7" i="11"/>
  <c r="F30" i="11"/>
  <c r="F29" i="11"/>
  <c r="F28" i="11"/>
  <c r="F27" i="11"/>
  <c r="F26" i="11"/>
  <c r="E22" i="11"/>
  <c r="E21" i="11"/>
  <c r="J51" i="16"/>
  <c r="J43" i="16"/>
  <c r="J21" i="16"/>
  <c r="J37" i="16"/>
  <c r="J26" i="16"/>
  <c r="J48" i="16"/>
  <c r="J44" i="16"/>
  <c r="J28" i="16"/>
  <c r="J18" i="16"/>
  <c r="J31" i="16"/>
  <c r="J38" i="16"/>
  <c r="J23" i="16"/>
  <c r="J30" i="16"/>
  <c r="J25" i="16"/>
  <c r="J9" i="16"/>
  <c r="J16" i="16"/>
  <c r="J33" i="16"/>
  <c r="J42" i="16"/>
  <c r="J5" i="16"/>
  <c r="J11" i="16"/>
  <c r="Y29" i="3"/>
  <c r="X21" i="16" s="1"/>
  <c r="Y57" i="3"/>
  <c r="X49" i="16" s="1"/>
  <c r="Y54" i="3"/>
  <c r="X46" i="16" s="1"/>
  <c r="Y22" i="3"/>
  <c r="X14" i="16" s="1"/>
  <c r="Y51" i="3"/>
  <c r="X43" i="16" s="1"/>
  <c r="Y40" i="3"/>
  <c r="X32" i="16" s="1"/>
  <c r="Y47" i="3"/>
  <c r="X39" i="16" s="1"/>
  <c r="Y31" i="3"/>
  <c r="X23" i="16" s="1"/>
  <c r="Y24" i="3"/>
  <c r="X16" i="16" s="1"/>
  <c r="Y37" i="3"/>
  <c r="X29" i="16" s="1"/>
  <c r="Y20" i="3"/>
  <c r="X12" i="16" s="1"/>
  <c r="Y48" i="3"/>
  <c r="X40" i="16" s="1"/>
  <c r="Y41" i="3"/>
  <c r="X33" i="16" s="1"/>
  <c r="Y50" i="3"/>
  <c r="X42" i="16" s="1"/>
  <c r="Y43" i="3"/>
  <c r="X35" i="16" s="1"/>
  <c r="Y36" i="3"/>
  <c r="X28" i="16" s="1"/>
  <c r="Y56" i="3"/>
  <c r="X48" i="16" s="1"/>
  <c r="Y34" i="3"/>
  <c r="X26" i="16" s="1"/>
  <c r="Y27" i="3"/>
  <c r="X19" i="16" s="1"/>
  <c r="Y23" i="3"/>
  <c r="X15" i="16" s="1"/>
  <c r="Y58" i="3"/>
  <c r="X50" i="16" s="1"/>
  <c r="Y55" i="3"/>
  <c r="X47" i="16" s="1"/>
  <c r="Y21" i="3"/>
  <c r="X13" i="16" s="1"/>
  <c r="Y45" i="3"/>
  <c r="X37" i="16" s="1"/>
  <c r="Y25" i="3"/>
  <c r="X17" i="16" s="1"/>
  <c r="Y46" i="3"/>
  <c r="X38" i="16" s="1"/>
  <c r="Y39" i="3"/>
  <c r="X31" i="16" s="1"/>
  <c r="Y32" i="3"/>
  <c r="X24" i="16" s="1"/>
  <c r="Y38" i="3"/>
  <c r="X30" i="16" s="1"/>
  <c r="Y49" i="3"/>
  <c r="X41" i="16" s="1"/>
  <c r="Y33" i="3"/>
  <c r="X25" i="16" s="1"/>
  <c r="Y30" i="3"/>
  <c r="X22" i="16" s="1"/>
  <c r="Y59" i="3"/>
  <c r="X51" i="16" s="1"/>
  <c r="Y26" i="3"/>
  <c r="X18" i="16" s="1"/>
  <c r="Y53" i="3"/>
  <c r="X45" i="16" s="1"/>
  <c r="Y42" i="3"/>
  <c r="X34" i="16" s="1"/>
  <c r="Y35" i="3"/>
  <c r="X27" i="16" s="1"/>
  <c r="Y28" i="3"/>
  <c r="X20" i="16" s="1"/>
  <c r="Y52" i="3"/>
  <c r="X44" i="16" s="1"/>
  <c r="Y44" i="3"/>
  <c r="X36" i="16" s="1"/>
  <c r="F30" i="9"/>
  <c r="F29" i="9"/>
  <c r="F28" i="9"/>
  <c r="F27" i="9"/>
  <c r="F26" i="9"/>
  <c r="E22" i="9"/>
  <c r="E21" i="9"/>
  <c r="E10" i="3"/>
  <c r="B7" i="9"/>
  <c r="D10" i="3"/>
  <c r="D18" i="3"/>
  <c r="C10" i="16" s="1"/>
  <c r="D19" i="3"/>
  <c r="C11" i="16" s="1"/>
  <c r="D16" i="3"/>
  <c r="C8" i="16" s="1"/>
  <c r="D59" i="3"/>
  <c r="C51" i="16" s="1"/>
  <c r="D17" i="3"/>
  <c r="C9" i="16" s="1"/>
  <c r="D13" i="3"/>
  <c r="C5" i="16" s="1"/>
  <c r="D15" i="3"/>
  <c r="C7" i="16" s="1"/>
  <c r="D11" i="3"/>
  <c r="C3" i="16" s="1"/>
  <c r="AQ11" i="16" l="1"/>
  <c r="C8" i="9"/>
  <c r="D15" i="9" s="1"/>
  <c r="E15" i="9" s="1"/>
  <c r="Q10" i="3"/>
  <c r="O10" i="3"/>
  <c r="M10" i="3"/>
  <c r="R10" i="3"/>
  <c r="P10" i="3"/>
  <c r="L10" i="3"/>
  <c r="K2" i="16" s="1"/>
  <c r="N10" i="3"/>
  <c r="D2" i="16"/>
  <c r="J10" i="3"/>
  <c r="K10" i="3" s="1"/>
  <c r="E13" i="9" s="1"/>
  <c r="E8" i="11"/>
  <c r="C2" i="16"/>
  <c r="V19" i="3"/>
  <c r="U11" i="16" s="1"/>
  <c r="V14" i="3"/>
  <c r="U6" i="16" s="1"/>
  <c r="I10" i="3"/>
  <c r="C8" i="11"/>
  <c r="E8" i="9"/>
  <c r="E60" i="3"/>
  <c r="I2" i="16" l="1"/>
  <c r="D20" i="9"/>
  <c r="E20" i="9" s="1"/>
  <c r="D14" i="9"/>
  <c r="E14" i="9" s="1"/>
  <c r="D11" i="9"/>
  <c r="E11" i="9" s="1"/>
  <c r="D17" i="9"/>
  <c r="E17" i="9" s="1"/>
  <c r="D18" i="9"/>
  <c r="E18" i="9" s="1"/>
  <c r="D19" i="9"/>
  <c r="E19" i="9" s="1"/>
  <c r="D16" i="9"/>
  <c r="E16" i="9" s="1"/>
  <c r="H2" i="16"/>
  <c r="E12" i="9"/>
  <c r="D12" i="9" s="1"/>
  <c r="N60" i="3"/>
  <c r="M2" i="16"/>
  <c r="R60" i="3"/>
  <c r="Q2" i="16"/>
  <c r="Q60" i="3"/>
  <c r="P2" i="16"/>
  <c r="P60" i="3"/>
  <c r="O2" i="16"/>
  <c r="O60" i="3"/>
  <c r="N2" i="16"/>
  <c r="M60" i="3"/>
  <c r="L2" i="16"/>
  <c r="S10" i="3"/>
  <c r="Y19" i="3"/>
  <c r="F19" i="4"/>
  <c r="AF11" i="16" s="1"/>
  <c r="AK11" i="16" s="1"/>
  <c r="Y14" i="3"/>
  <c r="F14" i="4"/>
  <c r="AF6" i="16" s="1"/>
  <c r="AK6" i="16" s="1"/>
  <c r="H11" i="5"/>
  <c r="AP2" i="16" s="1"/>
  <c r="D18" i="11"/>
  <c r="E18" i="11" s="1"/>
  <c r="D16" i="11"/>
  <c r="E16" i="11" s="1"/>
  <c r="D11" i="11"/>
  <c r="E11" i="11" s="1"/>
  <c r="D17" i="11"/>
  <c r="E17" i="11" s="1"/>
  <c r="D20" i="11"/>
  <c r="E20" i="11" s="1"/>
  <c r="D15" i="11"/>
  <c r="E15" i="11" s="1"/>
  <c r="D19" i="11"/>
  <c r="E19" i="11" s="1"/>
  <c r="D14" i="11"/>
  <c r="E14" i="11" s="1"/>
  <c r="C33" i="11"/>
  <c r="C46" i="11" s="1"/>
  <c r="I60" i="3"/>
  <c r="E12" i="11"/>
  <c r="D12" i="11" s="1"/>
  <c r="J60" i="3"/>
  <c r="H16" i="3"/>
  <c r="G8" i="16" s="1"/>
  <c r="H12" i="3"/>
  <c r="G4" i="16" s="1"/>
  <c r="L60" i="3"/>
  <c r="H13" i="3"/>
  <c r="G5" i="16" s="1"/>
  <c r="H15" i="3"/>
  <c r="G7" i="16" s="1"/>
  <c r="J2" i="16"/>
  <c r="H11" i="3"/>
  <c r="G3" i="16" s="1"/>
  <c r="H17" i="3"/>
  <c r="G9" i="16" s="1"/>
  <c r="AE19" i="3" l="1"/>
  <c r="X11" i="16"/>
  <c r="AE14" i="3"/>
  <c r="X6" i="16"/>
  <c r="H18" i="3"/>
  <c r="G10" i="16" s="1"/>
  <c r="R10" i="16"/>
  <c r="H10" i="3"/>
  <c r="R2" i="16"/>
  <c r="H53" i="3"/>
  <c r="H50" i="3"/>
  <c r="H47" i="3"/>
  <c r="G47" i="4" s="1"/>
  <c r="AG39" i="16" s="1"/>
  <c r="H42" i="3"/>
  <c r="H25" i="3"/>
  <c r="F25" i="4" s="1"/>
  <c r="AF17" i="16" s="1"/>
  <c r="H32" i="3"/>
  <c r="H48" i="3"/>
  <c r="H38" i="3"/>
  <c r="G30" i="16" s="1"/>
  <c r="H22" i="3"/>
  <c r="H26" i="3"/>
  <c r="H31" i="3"/>
  <c r="H36" i="3"/>
  <c r="H44" i="3"/>
  <c r="H46" i="3"/>
  <c r="H59" i="3"/>
  <c r="H56" i="3"/>
  <c r="G48" i="16" s="1"/>
  <c r="H57" i="3"/>
  <c r="H41" i="3"/>
  <c r="H51" i="3"/>
  <c r="G51" i="4" s="1"/>
  <c r="AG43" i="16" s="1"/>
  <c r="H58" i="3"/>
  <c r="H49" i="3"/>
  <c r="W49" i="3" s="1"/>
  <c r="V41" i="16" s="1"/>
  <c r="H21" i="3"/>
  <c r="H20" i="3"/>
  <c r="H20" i="4" s="1"/>
  <c r="AH12" i="16" s="1"/>
  <c r="H28" i="3"/>
  <c r="H40" i="3"/>
  <c r="H39" i="3"/>
  <c r="H27" i="3"/>
  <c r="H29" i="3"/>
  <c r="H35" i="3"/>
  <c r="H45" i="3"/>
  <c r="H37" i="3"/>
  <c r="G37" i="4" s="1"/>
  <c r="AG29" i="16" s="1"/>
  <c r="H24" i="3"/>
  <c r="G16" i="16" s="1"/>
  <c r="H34" i="3"/>
  <c r="H55" i="3"/>
  <c r="H33" i="3"/>
  <c r="I33" i="4" s="1"/>
  <c r="AI25" i="16" s="1"/>
  <c r="H43" i="3"/>
  <c r="H52" i="3"/>
  <c r="I52" i="4" s="1"/>
  <c r="AI44" i="16" s="1"/>
  <c r="H54" i="3"/>
  <c r="H30" i="3"/>
  <c r="H23" i="3"/>
  <c r="V11" i="3"/>
  <c r="U3" i="16" s="1"/>
  <c r="W11" i="3"/>
  <c r="V3" i="16" s="1"/>
  <c r="G11" i="4"/>
  <c r="AG3" i="16" s="1"/>
  <c r="X11" i="3"/>
  <c r="W3" i="16" s="1"/>
  <c r="F11" i="4"/>
  <c r="AF3" i="16" s="1"/>
  <c r="G16" i="4"/>
  <c r="AG8" i="16" s="1"/>
  <c r="V16" i="3"/>
  <c r="U8" i="16" s="1"/>
  <c r="X16" i="3"/>
  <c r="W8" i="16" s="1"/>
  <c r="W16" i="3"/>
  <c r="V8" i="16" s="1"/>
  <c r="F16" i="4"/>
  <c r="AF8" i="16" s="1"/>
  <c r="V13" i="3"/>
  <c r="G13" i="4"/>
  <c r="AG5" i="16" s="1"/>
  <c r="W13" i="3"/>
  <c r="V5" i="16" s="1"/>
  <c r="X13" i="3"/>
  <c r="W5" i="16" s="1"/>
  <c r="F13" i="4"/>
  <c r="AF5" i="16" s="1"/>
  <c r="W17" i="3"/>
  <c r="V9" i="16" s="1"/>
  <c r="G17" i="4"/>
  <c r="AG9" i="16" s="1"/>
  <c r="V17" i="3"/>
  <c r="X17" i="3"/>
  <c r="W9" i="16" s="1"/>
  <c r="F17" i="4"/>
  <c r="AF9" i="16" s="1"/>
  <c r="W18" i="3"/>
  <c r="V10" i="16" s="1"/>
  <c r="X15" i="3"/>
  <c r="W7" i="16" s="1"/>
  <c r="G15" i="4"/>
  <c r="AG7" i="16" s="1"/>
  <c r="V15" i="3"/>
  <c r="W15" i="3"/>
  <c r="V7" i="16" s="1"/>
  <c r="F15" i="4"/>
  <c r="AF7" i="16" s="1"/>
  <c r="W12" i="3"/>
  <c r="V4" i="16" s="1"/>
  <c r="G12" i="4"/>
  <c r="AG4" i="16" s="1"/>
  <c r="V12" i="3"/>
  <c r="X12" i="3"/>
  <c r="W4" i="16" s="1"/>
  <c r="W57" i="3"/>
  <c r="V49" i="16" s="1"/>
  <c r="X57" i="3"/>
  <c r="W49" i="16" s="1"/>
  <c r="X53" i="3"/>
  <c r="W45" i="16" s="1"/>
  <c r="W53" i="3"/>
  <c r="V45" i="16" s="1"/>
  <c r="X22" i="3"/>
  <c r="W14" i="16" s="1"/>
  <c r="K60" i="3"/>
  <c r="E13" i="11"/>
  <c r="E31" i="11" s="1"/>
  <c r="C42" i="11"/>
  <c r="C44" i="11"/>
  <c r="J11" i="4"/>
  <c r="AJ3" i="16" s="1"/>
  <c r="H57" i="4"/>
  <c r="AH49" i="16" s="1"/>
  <c r="K57" i="4"/>
  <c r="AL49" i="16" s="1"/>
  <c r="E18" i="5"/>
  <c r="AM9" i="16" s="1"/>
  <c r="I17" i="4"/>
  <c r="AI9" i="16" s="1"/>
  <c r="F18" i="5"/>
  <c r="AN9" i="16" s="1"/>
  <c r="J17" i="4"/>
  <c r="AJ9" i="16" s="1"/>
  <c r="G18" i="5"/>
  <c r="AO9" i="16" s="1"/>
  <c r="K17" i="4"/>
  <c r="AL9" i="16" s="1"/>
  <c r="H17" i="4"/>
  <c r="AH9" i="16" s="1"/>
  <c r="J15" i="4"/>
  <c r="AJ7" i="16" s="1"/>
  <c r="E16" i="5"/>
  <c r="AM7" i="16" s="1"/>
  <c r="K15" i="4"/>
  <c r="AL7" i="16" s="1"/>
  <c r="F16" i="5"/>
  <c r="AN7" i="16" s="1"/>
  <c r="H15" i="4"/>
  <c r="AH7" i="16" s="1"/>
  <c r="G16" i="5"/>
  <c r="AO7" i="16" s="1"/>
  <c r="I15" i="4"/>
  <c r="AI7" i="16" s="1"/>
  <c r="H53" i="4"/>
  <c r="AH45" i="16" s="1"/>
  <c r="I53" i="4"/>
  <c r="AI45" i="16" s="1"/>
  <c r="F53" i="4"/>
  <c r="AF45" i="16" s="1"/>
  <c r="J53" i="4"/>
  <c r="AJ45" i="16" s="1"/>
  <c r="G53" i="4"/>
  <c r="AG45" i="16" s="1"/>
  <c r="K53" i="4"/>
  <c r="AL45" i="16" s="1"/>
  <c r="J22" i="4"/>
  <c r="AJ14" i="16" s="1"/>
  <c r="G22" i="4"/>
  <c r="AG14" i="16" s="1"/>
  <c r="K22" i="4"/>
  <c r="AL14" i="16" s="1"/>
  <c r="H22" i="4"/>
  <c r="AH14" i="16" s="1"/>
  <c r="I22" i="4"/>
  <c r="AI14" i="16" s="1"/>
  <c r="G19" i="5"/>
  <c r="AO10" i="16" s="1"/>
  <c r="G14" i="5"/>
  <c r="AO5" i="16" s="1"/>
  <c r="I13" i="4"/>
  <c r="AI5" i="16" s="1"/>
  <c r="J13" i="4"/>
  <c r="AJ5" i="16" s="1"/>
  <c r="E14" i="5"/>
  <c r="AM5" i="16" s="1"/>
  <c r="K13" i="4"/>
  <c r="AL5" i="16" s="1"/>
  <c r="F14" i="5"/>
  <c r="AN5" i="16" s="1"/>
  <c r="H13" i="4"/>
  <c r="AH5" i="16" s="1"/>
  <c r="S60" i="3"/>
  <c r="I12" i="4"/>
  <c r="AI4" i="16" s="1"/>
  <c r="E13" i="5"/>
  <c r="AM4" i="16" s="1"/>
  <c r="J12" i="4"/>
  <c r="AJ4" i="16" s="1"/>
  <c r="F13" i="5"/>
  <c r="AN4" i="16" s="1"/>
  <c r="K12" i="4"/>
  <c r="AL4" i="16" s="1"/>
  <c r="H12" i="4"/>
  <c r="AH4" i="16" s="1"/>
  <c r="G13" i="5"/>
  <c r="AO4" i="16" s="1"/>
  <c r="G10" i="4" l="1"/>
  <c r="AG2" i="16" s="1"/>
  <c r="I18" i="4"/>
  <c r="AI10" i="16" s="1"/>
  <c r="E11" i="5"/>
  <c r="AM2" i="16" s="1"/>
  <c r="H18" i="4"/>
  <c r="AH10" i="16" s="1"/>
  <c r="F19" i="5"/>
  <c r="AN10" i="16" s="1"/>
  <c r="E19" i="5"/>
  <c r="AM10" i="16" s="1"/>
  <c r="K18" i="4"/>
  <c r="AL10" i="16" s="1"/>
  <c r="V18" i="3"/>
  <c r="U10" i="16" s="1"/>
  <c r="G18" i="4"/>
  <c r="AG10" i="16" s="1"/>
  <c r="X18" i="3"/>
  <c r="W10" i="16" s="1"/>
  <c r="J18" i="4"/>
  <c r="AJ10" i="16" s="1"/>
  <c r="F18" i="4"/>
  <c r="AF10" i="16" s="1"/>
  <c r="F11" i="5"/>
  <c r="AN2" i="16" s="1"/>
  <c r="K10" i="4"/>
  <c r="AL2" i="16" s="1"/>
  <c r="AK45" i="16"/>
  <c r="V30" i="3"/>
  <c r="U22" i="16" s="1"/>
  <c r="G22" i="16"/>
  <c r="V33" i="3"/>
  <c r="U25" i="16" s="1"/>
  <c r="G25" i="16"/>
  <c r="V37" i="3"/>
  <c r="U29" i="16" s="1"/>
  <c r="G29" i="16"/>
  <c r="V27" i="3"/>
  <c r="U19" i="16" s="1"/>
  <c r="G19" i="16"/>
  <c r="V20" i="3"/>
  <c r="U12" i="16" s="1"/>
  <c r="G12" i="16"/>
  <c r="V51" i="3"/>
  <c r="U43" i="16" s="1"/>
  <c r="G43" i="16"/>
  <c r="V59" i="3"/>
  <c r="U51" i="16" s="1"/>
  <c r="G51" i="16"/>
  <c r="V31" i="3"/>
  <c r="U23" i="16" s="1"/>
  <c r="G23" i="16"/>
  <c r="V48" i="3"/>
  <c r="U40" i="16" s="1"/>
  <c r="G40" i="16"/>
  <c r="V47" i="3"/>
  <c r="U39" i="16" s="1"/>
  <c r="G39" i="16"/>
  <c r="J20" i="4"/>
  <c r="AJ12" i="16" s="1"/>
  <c r="W37" i="3"/>
  <c r="V29" i="16" s="1"/>
  <c r="V54" i="3"/>
  <c r="U46" i="16" s="1"/>
  <c r="G46" i="16"/>
  <c r="J55" i="4"/>
  <c r="AJ47" i="16" s="1"/>
  <c r="G47" i="16"/>
  <c r="K45" i="4"/>
  <c r="AL37" i="16" s="1"/>
  <c r="G37" i="16"/>
  <c r="K39" i="4"/>
  <c r="AL31" i="16" s="1"/>
  <c r="G31" i="16"/>
  <c r="F21" i="4"/>
  <c r="AF13" i="16" s="1"/>
  <c r="G13" i="16"/>
  <c r="H41" i="4"/>
  <c r="AH33" i="16" s="1"/>
  <c r="G33" i="16"/>
  <c r="W46" i="3"/>
  <c r="V38" i="16" s="1"/>
  <c r="G38" i="16"/>
  <c r="J26" i="4"/>
  <c r="AJ18" i="16" s="1"/>
  <c r="G18" i="16"/>
  <c r="F32" i="4"/>
  <c r="AF24" i="16" s="1"/>
  <c r="G24" i="16"/>
  <c r="F50" i="4"/>
  <c r="AF42" i="16" s="1"/>
  <c r="G42" i="16"/>
  <c r="V52" i="3"/>
  <c r="U44" i="16" s="1"/>
  <c r="G44" i="16"/>
  <c r="V34" i="3"/>
  <c r="U26" i="16" s="1"/>
  <c r="G26" i="16"/>
  <c r="V35" i="3"/>
  <c r="U27" i="16" s="1"/>
  <c r="G27" i="16"/>
  <c r="V40" i="3"/>
  <c r="U32" i="16" s="1"/>
  <c r="G32" i="16"/>
  <c r="V49" i="3"/>
  <c r="U41" i="16" s="1"/>
  <c r="G41" i="16"/>
  <c r="V57" i="3"/>
  <c r="U49" i="16" s="1"/>
  <c r="G49" i="16"/>
  <c r="V44" i="3"/>
  <c r="U36" i="16" s="1"/>
  <c r="G36" i="16"/>
  <c r="V22" i="3"/>
  <c r="U14" i="16" s="1"/>
  <c r="G14" i="16"/>
  <c r="V25" i="3"/>
  <c r="U17" i="16" s="1"/>
  <c r="G17" i="16"/>
  <c r="V53" i="3"/>
  <c r="U45" i="16" s="1"/>
  <c r="G45" i="16"/>
  <c r="X59" i="3"/>
  <c r="W51" i="16" s="1"/>
  <c r="H33" i="4"/>
  <c r="AH25" i="16" s="1"/>
  <c r="K37" i="4"/>
  <c r="AL29" i="16" s="1"/>
  <c r="X49" i="3"/>
  <c r="W41" i="16" s="1"/>
  <c r="V23" i="3"/>
  <c r="U15" i="16" s="1"/>
  <c r="G15" i="16"/>
  <c r="W43" i="3"/>
  <c r="V35" i="16" s="1"/>
  <c r="G35" i="16"/>
  <c r="K29" i="4"/>
  <c r="AL21" i="16" s="1"/>
  <c r="G21" i="16"/>
  <c r="X28" i="3"/>
  <c r="W20" i="16" s="1"/>
  <c r="G20" i="16"/>
  <c r="H58" i="4"/>
  <c r="AH50" i="16" s="1"/>
  <c r="G50" i="16"/>
  <c r="J36" i="4"/>
  <c r="AJ28" i="16" s="1"/>
  <c r="G28" i="16"/>
  <c r="J42" i="4"/>
  <c r="AJ34" i="16" s="1"/>
  <c r="G34" i="16"/>
  <c r="AF19" i="3"/>
  <c r="AE11" i="16" s="1"/>
  <c r="AD11" i="16"/>
  <c r="AQ4" i="16"/>
  <c r="Y12" i="3"/>
  <c r="X4" i="16" s="1"/>
  <c r="U4" i="16"/>
  <c r="Y15" i="3"/>
  <c r="X7" i="16" s="1"/>
  <c r="U7" i="16"/>
  <c r="AK9" i="16"/>
  <c r="AQ5" i="16"/>
  <c r="AQ7" i="16"/>
  <c r="AQ9" i="16"/>
  <c r="AK5" i="16"/>
  <c r="Y13" i="3"/>
  <c r="X5" i="16" s="1"/>
  <c r="U5" i="16"/>
  <c r="AK7" i="16"/>
  <c r="Y17" i="3"/>
  <c r="X9" i="16" s="1"/>
  <c r="U9" i="16"/>
  <c r="AF14" i="3"/>
  <c r="AE6" i="16" s="1"/>
  <c r="AD6" i="16"/>
  <c r="Y18" i="3"/>
  <c r="X10" i="16" s="1"/>
  <c r="G2" i="16"/>
  <c r="V10" i="3"/>
  <c r="Y10" i="3" s="1"/>
  <c r="J49" i="4"/>
  <c r="AJ41" i="16" s="1"/>
  <c r="F49" i="4"/>
  <c r="AF41" i="16" s="1"/>
  <c r="H52" i="4"/>
  <c r="AH44" i="16" s="1"/>
  <c r="J34" i="4"/>
  <c r="AJ26" i="16" s="1"/>
  <c r="G49" i="4"/>
  <c r="AG41" i="16" s="1"/>
  <c r="I49" i="4"/>
  <c r="AI41" i="16" s="1"/>
  <c r="G57" i="4"/>
  <c r="AG49" i="16" s="1"/>
  <c r="K49" i="4"/>
  <c r="AL41" i="16" s="1"/>
  <c r="H49" i="4"/>
  <c r="AH41" i="16" s="1"/>
  <c r="K52" i="4"/>
  <c r="AL44" i="16" s="1"/>
  <c r="G34" i="4"/>
  <c r="AG26" i="16" s="1"/>
  <c r="G52" i="4"/>
  <c r="AG44" i="16" s="1"/>
  <c r="J52" i="4"/>
  <c r="AJ44" i="16" s="1"/>
  <c r="I34" i="4"/>
  <c r="AI26" i="16" s="1"/>
  <c r="X40" i="3"/>
  <c r="W32" i="16" s="1"/>
  <c r="K54" i="4"/>
  <c r="AL46" i="16" s="1"/>
  <c r="F52" i="4"/>
  <c r="AF44" i="16" s="1"/>
  <c r="K34" i="4"/>
  <c r="AL26" i="16" s="1"/>
  <c r="W40" i="3"/>
  <c r="V32" i="16" s="1"/>
  <c r="G41" i="4"/>
  <c r="AG33" i="16" s="1"/>
  <c r="I50" i="4"/>
  <c r="AI42" i="16" s="1"/>
  <c r="X26" i="3"/>
  <c r="W18" i="16" s="1"/>
  <c r="W26" i="3"/>
  <c r="V18" i="16" s="1"/>
  <c r="F55" i="4"/>
  <c r="AF47" i="16" s="1"/>
  <c r="K50" i="4"/>
  <c r="AL42" i="16" s="1"/>
  <c r="F54" i="4"/>
  <c r="AF46" i="16" s="1"/>
  <c r="F41" i="4"/>
  <c r="AF33" i="16" s="1"/>
  <c r="H50" i="4"/>
  <c r="AH42" i="16" s="1"/>
  <c r="F44" i="4"/>
  <c r="AF36" i="16" s="1"/>
  <c r="W20" i="3"/>
  <c r="V12" i="16" s="1"/>
  <c r="J44" i="4"/>
  <c r="AJ36" i="16" s="1"/>
  <c r="F22" i="4"/>
  <c r="AF14" i="16" s="1"/>
  <c r="AK14" i="16" s="1"/>
  <c r="W25" i="3"/>
  <c r="V17" i="16" s="1"/>
  <c r="K25" i="4"/>
  <c r="AL17" i="16" s="1"/>
  <c r="G25" i="4"/>
  <c r="AG17" i="16" s="1"/>
  <c r="F20" i="4"/>
  <c r="AF12" i="16" s="1"/>
  <c r="H25" i="4"/>
  <c r="AH17" i="16" s="1"/>
  <c r="X25" i="3"/>
  <c r="W17" i="16" s="1"/>
  <c r="H21" i="4"/>
  <c r="AH13" i="16" s="1"/>
  <c r="J21" i="4"/>
  <c r="AJ13" i="16" s="1"/>
  <c r="X51" i="3"/>
  <c r="W43" i="16" s="1"/>
  <c r="J25" i="4"/>
  <c r="AJ17" i="16" s="1"/>
  <c r="I57" i="4"/>
  <c r="AI49" i="16" s="1"/>
  <c r="X34" i="3"/>
  <c r="W26" i="16" s="1"/>
  <c r="I35" i="4"/>
  <c r="AI27" i="16" s="1"/>
  <c r="K46" i="4"/>
  <c r="AL38" i="16" s="1"/>
  <c r="H35" i="4"/>
  <c r="AH27" i="16" s="1"/>
  <c r="W22" i="3"/>
  <c r="X44" i="3"/>
  <c r="W36" i="16" s="1"/>
  <c r="I31" i="4"/>
  <c r="AI23" i="16" s="1"/>
  <c r="X48" i="3"/>
  <c r="W40" i="16" s="1"/>
  <c r="J39" i="4"/>
  <c r="AJ31" i="16" s="1"/>
  <c r="H46" i="4"/>
  <c r="AH38" i="16" s="1"/>
  <c r="J35" i="4"/>
  <c r="AJ27" i="16" s="1"/>
  <c r="J48" i="4"/>
  <c r="AJ40" i="16" s="1"/>
  <c r="X45" i="3"/>
  <c r="W37" i="16" s="1"/>
  <c r="W45" i="3"/>
  <c r="V37" i="16" s="1"/>
  <c r="W27" i="3"/>
  <c r="V19" i="16" s="1"/>
  <c r="G30" i="4"/>
  <c r="AG22" i="16" s="1"/>
  <c r="F39" i="4"/>
  <c r="AF31" i="16" s="1"/>
  <c r="I48" i="4"/>
  <c r="AI40" i="16" s="1"/>
  <c r="J33" i="4"/>
  <c r="AJ25" i="16" s="1"/>
  <c r="F35" i="4"/>
  <c r="AF27" i="16" s="1"/>
  <c r="W44" i="3"/>
  <c r="V36" i="16" s="1"/>
  <c r="K35" i="4"/>
  <c r="AL27" i="16" s="1"/>
  <c r="G31" i="4"/>
  <c r="AG23" i="16" s="1"/>
  <c r="I26" i="4"/>
  <c r="AI18" i="16" s="1"/>
  <c r="G40" i="4"/>
  <c r="AG32" i="16" s="1"/>
  <c r="G44" i="4"/>
  <c r="AG36" i="16" s="1"/>
  <c r="I46" i="4"/>
  <c r="AI38" i="16" s="1"/>
  <c r="G35" i="4"/>
  <c r="AG27" i="16" s="1"/>
  <c r="F31" i="4"/>
  <c r="AF23" i="16" s="1"/>
  <c r="G26" i="4"/>
  <c r="AG18" i="16" s="1"/>
  <c r="K40" i="4"/>
  <c r="AL32" i="16" s="1"/>
  <c r="I25" i="4"/>
  <c r="AI17" i="16" s="1"/>
  <c r="K30" i="4"/>
  <c r="AL22" i="16" s="1"/>
  <c r="W30" i="3"/>
  <c r="V22" i="16" s="1"/>
  <c r="I32" i="4"/>
  <c r="AI24" i="16" s="1"/>
  <c r="I40" i="4"/>
  <c r="AI32" i="16" s="1"/>
  <c r="G45" i="4"/>
  <c r="AG37" i="16" s="1"/>
  <c r="X52" i="3"/>
  <c r="W44" i="16" s="1"/>
  <c r="H32" i="4"/>
  <c r="AH24" i="16" s="1"/>
  <c r="J47" i="4"/>
  <c r="AJ39" i="16" s="1"/>
  <c r="F33" i="4"/>
  <c r="AF25" i="16" s="1"/>
  <c r="K44" i="4"/>
  <c r="AL36" i="16" s="1"/>
  <c r="H40" i="4"/>
  <c r="AH32" i="16" s="1"/>
  <c r="X46" i="3"/>
  <c r="J32" i="4"/>
  <c r="AJ24" i="16" s="1"/>
  <c r="I47" i="4"/>
  <c r="AI39" i="16" s="1"/>
  <c r="H55" i="4"/>
  <c r="AH47" i="16" s="1"/>
  <c r="I44" i="4"/>
  <c r="AI36" i="16" s="1"/>
  <c r="J40" i="4"/>
  <c r="AJ32" i="16" s="1"/>
  <c r="F34" i="4"/>
  <c r="AF26" i="16" s="1"/>
  <c r="J57" i="4"/>
  <c r="AJ49" i="16" s="1"/>
  <c r="K47" i="4"/>
  <c r="AL39" i="16" s="1"/>
  <c r="H44" i="4"/>
  <c r="AH36" i="16" s="1"/>
  <c r="F40" i="4"/>
  <c r="AF32" i="16" s="1"/>
  <c r="H34" i="4"/>
  <c r="AH26" i="16" s="1"/>
  <c r="F57" i="4"/>
  <c r="AF49" i="16" s="1"/>
  <c r="W31" i="3"/>
  <c r="V23" i="16" s="1"/>
  <c r="W35" i="3"/>
  <c r="V27" i="16" s="1"/>
  <c r="G48" i="4"/>
  <c r="AG40" i="16" s="1"/>
  <c r="H48" i="4"/>
  <c r="AH40" i="16" s="1"/>
  <c r="H31" i="4"/>
  <c r="AH23" i="16" s="1"/>
  <c r="H47" i="4"/>
  <c r="AH39" i="16" s="1"/>
  <c r="K33" i="4"/>
  <c r="AL25" i="16" s="1"/>
  <c r="K20" i="4"/>
  <c r="AL12" i="16" s="1"/>
  <c r="I20" i="4"/>
  <c r="AI12" i="16" s="1"/>
  <c r="I37" i="4"/>
  <c r="AI29" i="16" s="1"/>
  <c r="J37" i="4"/>
  <c r="AJ29" i="16" s="1"/>
  <c r="X27" i="3"/>
  <c r="W19" i="16" s="1"/>
  <c r="X33" i="3"/>
  <c r="W25" i="16" s="1"/>
  <c r="W59" i="3"/>
  <c r="V51" i="16" s="1"/>
  <c r="X47" i="3"/>
  <c r="W39" i="16" s="1"/>
  <c r="X23" i="3"/>
  <c r="W15" i="16" s="1"/>
  <c r="K48" i="4"/>
  <c r="AL40" i="16" s="1"/>
  <c r="F48" i="4"/>
  <c r="AF40" i="16" s="1"/>
  <c r="J31" i="4"/>
  <c r="AJ23" i="16" s="1"/>
  <c r="K31" i="4"/>
  <c r="AL23" i="16" s="1"/>
  <c r="F47" i="4"/>
  <c r="AF39" i="16" s="1"/>
  <c r="K43" i="4"/>
  <c r="AL35" i="16" s="1"/>
  <c r="G33" i="4"/>
  <c r="AG25" i="16" s="1"/>
  <c r="G20" i="4"/>
  <c r="AG12" i="16" s="1"/>
  <c r="H37" i="4"/>
  <c r="AH29" i="16" s="1"/>
  <c r="F37" i="4"/>
  <c r="AF29" i="16" s="1"/>
  <c r="H59" i="4"/>
  <c r="AH51" i="16" s="1"/>
  <c r="W48" i="3"/>
  <c r="X30" i="3"/>
  <c r="W22" i="16" s="1"/>
  <c r="W33" i="3"/>
  <c r="V25" i="16" s="1"/>
  <c r="X31" i="3"/>
  <c r="W23" i="16" s="1"/>
  <c r="X20" i="3"/>
  <c r="W12" i="16" s="1"/>
  <c r="W51" i="3"/>
  <c r="V43" i="16" s="1"/>
  <c r="W47" i="3"/>
  <c r="V39" i="16" s="1"/>
  <c r="W23" i="3"/>
  <c r="V15" i="16" s="1"/>
  <c r="I24" i="4"/>
  <c r="AI16" i="16" s="1"/>
  <c r="K24" i="4"/>
  <c r="AL16" i="16" s="1"/>
  <c r="H24" i="4"/>
  <c r="AH16" i="16" s="1"/>
  <c r="F24" i="4"/>
  <c r="AF16" i="16" s="1"/>
  <c r="V24" i="3"/>
  <c r="U16" i="16" s="1"/>
  <c r="J58" i="4"/>
  <c r="AJ50" i="16" s="1"/>
  <c r="G58" i="4"/>
  <c r="AG50" i="16" s="1"/>
  <c r="V58" i="3"/>
  <c r="U50" i="16" s="1"/>
  <c r="W36" i="3"/>
  <c r="V28" i="16" s="1"/>
  <c r="G36" i="4"/>
  <c r="AG28" i="16" s="1"/>
  <c r="H36" i="4"/>
  <c r="AH28" i="16" s="1"/>
  <c r="V36" i="3"/>
  <c r="U28" i="16" s="1"/>
  <c r="X36" i="3"/>
  <c r="W28" i="16" s="1"/>
  <c r="W38" i="3"/>
  <c r="V30" i="16" s="1"/>
  <c r="H38" i="4"/>
  <c r="AH30" i="16" s="1"/>
  <c r="X38" i="3"/>
  <c r="W30" i="16" s="1"/>
  <c r="V38" i="3"/>
  <c r="U30" i="16" s="1"/>
  <c r="F36" i="4"/>
  <c r="AF28" i="16" s="1"/>
  <c r="K58" i="4"/>
  <c r="AL50" i="16" s="1"/>
  <c r="X24" i="3"/>
  <c r="W16" i="16" s="1"/>
  <c r="K36" i="4"/>
  <c r="AL28" i="16" s="1"/>
  <c r="G24" i="4"/>
  <c r="AG16" i="16" s="1"/>
  <c r="F58" i="4"/>
  <c r="AF50" i="16" s="1"/>
  <c r="W58" i="3"/>
  <c r="V50" i="16" s="1"/>
  <c r="W24" i="3"/>
  <c r="V16" i="16" s="1"/>
  <c r="W55" i="3"/>
  <c r="V47" i="16" s="1"/>
  <c r="G55" i="4"/>
  <c r="AG47" i="16" s="1"/>
  <c r="I55" i="4"/>
  <c r="AI47" i="16" s="1"/>
  <c r="K55" i="4"/>
  <c r="AL47" i="16" s="1"/>
  <c r="V55" i="3"/>
  <c r="U47" i="16" s="1"/>
  <c r="X55" i="3"/>
  <c r="W47" i="16" s="1"/>
  <c r="F45" i="4"/>
  <c r="AF37" i="16" s="1"/>
  <c r="H45" i="4"/>
  <c r="AH37" i="16" s="1"/>
  <c r="I45" i="4"/>
  <c r="AI37" i="16" s="1"/>
  <c r="V45" i="3"/>
  <c r="U37" i="16" s="1"/>
  <c r="J45" i="4"/>
  <c r="AJ37" i="16" s="1"/>
  <c r="W39" i="3"/>
  <c r="V31" i="16" s="1"/>
  <c r="H39" i="4"/>
  <c r="AH31" i="16" s="1"/>
  <c r="G39" i="4"/>
  <c r="AG31" i="16" s="1"/>
  <c r="V39" i="3"/>
  <c r="U31" i="16" s="1"/>
  <c r="X39" i="3"/>
  <c r="W31" i="16" s="1"/>
  <c r="I39" i="4"/>
  <c r="AI31" i="16" s="1"/>
  <c r="X21" i="3"/>
  <c r="W13" i="16" s="1"/>
  <c r="G21" i="4"/>
  <c r="AG13" i="16" s="1"/>
  <c r="K21" i="4"/>
  <c r="AL13" i="16" s="1"/>
  <c r="V21" i="3"/>
  <c r="U13" i="16" s="1"/>
  <c r="W21" i="3"/>
  <c r="I21" i="4"/>
  <c r="AI13" i="16" s="1"/>
  <c r="X41" i="3"/>
  <c r="W33" i="16" s="1"/>
  <c r="J41" i="4"/>
  <c r="AJ33" i="16" s="1"/>
  <c r="I41" i="4"/>
  <c r="AI33" i="16" s="1"/>
  <c r="V41" i="3"/>
  <c r="U33" i="16" s="1"/>
  <c r="W41" i="3"/>
  <c r="V33" i="16" s="1"/>
  <c r="K41" i="4"/>
  <c r="AL33" i="16" s="1"/>
  <c r="J46" i="4"/>
  <c r="AJ38" i="16" s="1"/>
  <c r="G46" i="4"/>
  <c r="AG38" i="16" s="1"/>
  <c r="F46" i="4"/>
  <c r="AF38" i="16" s="1"/>
  <c r="V46" i="3"/>
  <c r="U38" i="16" s="1"/>
  <c r="K26" i="4"/>
  <c r="AL18" i="16" s="1"/>
  <c r="F26" i="4"/>
  <c r="AF18" i="16" s="1"/>
  <c r="H26" i="4"/>
  <c r="AH18" i="16" s="1"/>
  <c r="V26" i="3"/>
  <c r="U18" i="16" s="1"/>
  <c r="W32" i="3"/>
  <c r="V24" i="16" s="1"/>
  <c r="G32" i="4"/>
  <c r="AG24" i="16" s="1"/>
  <c r="X32" i="3"/>
  <c r="W24" i="16" s="1"/>
  <c r="K32" i="4"/>
  <c r="AL24" i="16" s="1"/>
  <c r="V32" i="3"/>
  <c r="U24" i="16" s="1"/>
  <c r="X50" i="3"/>
  <c r="W42" i="16" s="1"/>
  <c r="J50" i="4"/>
  <c r="AJ42" i="16" s="1"/>
  <c r="V50" i="3"/>
  <c r="U42" i="16" s="1"/>
  <c r="W50" i="3"/>
  <c r="V42" i="16" s="1"/>
  <c r="G50" i="4"/>
  <c r="AG42" i="16" s="1"/>
  <c r="H43" i="4"/>
  <c r="AH35" i="16" s="1"/>
  <c r="G43" i="4"/>
  <c r="AG35" i="16" s="1"/>
  <c r="I43" i="4"/>
  <c r="AI35" i="16" s="1"/>
  <c r="V43" i="3"/>
  <c r="U35" i="16" s="1"/>
  <c r="X29" i="3"/>
  <c r="W21" i="16" s="1"/>
  <c r="F29" i="4"/>
  <c r="AF21" i="16" s="1"/>
  <c r="H29" i="4"/>
  <c r="AH21" i="16" s="1"/>
  <c r="I29" i="4"/>
  <c r="AI21" i="16" s="1"/>
  <c r="W29" i="3"/>
  <c r="J29" i="4"/>
  <c r="AJ21" i="16" s="1"/>
  <c r="V29" i="3"/>
  <c r="U21" i="16" s="1"/>
  <c r="F28" i="4"/>
  <c r="AF20" i="16" s="1"/>
  <c r="H28" i="4"/>
  <c r="AH20" i="16" s="1"/>
  <c r="I28" i="4"/>
  <c r="AI20" i="16" s="1"/>
  <c r="J28" i="4"/>
  <c r="AJ20" i="16" s="1"/>
  <c r="V28" i="3"/>
  <c r="U20" i="16" s="1"/>
  <c r="W56" i="3"/>
  <c r="V48" i="16" s="1"/>
  <c r="X56" i="3"/>
  <c r="W48" i="16" s="1"/>
  <c r="J56" i="4"/>
  <c r="AJ48" i="16" s="1"/>
  <c r="V56" i="3"/>
  <c r="U48" i="16" s="1"/>
  <c r="W42" i="3"/>
  <c r="V34" i="16" s="1"/>
  <c r="G42" i="4"/>
  <c r="AG34" i="16" s="1"/>
  <c r="F42" i="4"/>
  <c r="AF34" i="16" s="1"/>
  <c r="H42" i="4"/>
  <c r="AH34" i="16" s="1"/>
  <c r="X42" i="3"/>
  <c r="K42" i="4"/>
  <c r="AL34" i="16" s="1"/>
  <c r="V42" i="3"/>
  <c r="U34" i="16" s="1"/>
  <c r="K28" i="4"/>
  <c r="AL20" i="16" s="1"/>
  <c r="I42" i="4"/>
  <c r="AI34" i="16" s="1"/>
  <c r="G29" i="4"/>
  <c r="AG21" i="16" s="1"/>
  <c r="W54" i="3"/>
  <c r="V46" i="16" s="1"/>
  <c r="J54" i="4"/>
  <c r="AJ46" i="16" s="1"/>
  <c r="G54" i="4"/>
  <c r="AG46" i="16" s="1"/>
  <c r="X54" i="3"/>
  <c r="W46" i="16" s="1"/>
  <c r="I54" i="4"/>
  <c r="AI46" i="16" s="1"/>
  <c r="G28" i="4"/>
  <c r="AG20" i="16" s="1"/>
  <c r="J43" i="4"/>
  <c r="AJ35" i="16" s="1"/>
  <c r="H54" i="4"/>
  <c r="AH46" i="16" s="1"/>
  <c r="F43" i="4"/>
  <c r="AF35" i="16" s="1"/>
  <c r="I36" i="4"/>
  <c r="AI28" i="16" s="1"/>
  <c r="J24" i="4"/>
  <c r="AJ16" i="16" s="1"/>
  <c r="I58" i="4"/>
  <c r="AI50" i="16" s="1"/>
  <c r="X58" i="3"/>
  <c r="W50" i="16" s="1"/>
  <c r="W28" i="3"/>
  <c r="V20" i="16" s="1"/>
  <c r="X43" i="3"/>
  <c r="W52" i="3"/>
  <c r="V44" i="16" s="1"/>
  <c r="X37" i="3"/>
  <c r="W34" i="3"/>
  <c r="V26" i="16" s="1"/>
  <c r="X35" i="3"/>
  <c r="W27" i="16" s="1"/>
  <c r="F12" i="4"/>
  <c r="AF4" i="16" s="1"/>
  <c r="AK4" i="16" s="1"/>
  <c r="AE57" i="3"/>
  <c r="AE53" i="3"/>
  <c r="F30" i="4"/>
  <c r="AF22" i="16" s="1"/>
  <c r="H30" i="4"/>
  <c r="AH22" i="16" s="1"/>
  <c r="J30" i="4"/>
  <c r="AJ22" i="16" s="1"/>
  <c r="H51" i="4"/>
  <c r="AH43" i="16" s="1"/>
  <c r="I30" i="4"/>
  <c r="AI22" i="16" s="1"/>
  <c r="C43" i="11"/>
  <c r="C47" i="11" s="1"/>
  <c r="K51" i="4"/>
  <c r="AL43" i="16" s="1"/>
  <c r="J51" i="4"/>
  <c r="AJ43" i="16" s="1"/>
  <c r="H56" i="4"/>
  <c r="AH48" i="16" s="1"/>
  <c r="G56" i="4"/>
  <c r="AG48" i="16" s="1"/>
  <c r="K16" i="4"/>
  <c r="AL8" i="16" s="1"/>
  <c r="K56" i="4"/>
  <c r="AL48" i="16" s="1"/>
  <c r="I51" i="4"/>
  <c r="AI43" i="16" s="1"/>
  <c r="F51" i="4"/>
  <c r="AF43" i="16" s="1"/>
  <c r="J16" i="4"/>
  <c r="AJ8" i="16" s="1"/>
  <c r="I27" i="4"/>
  <c r="AI19" i="16" s="1"/>
  <c r="G59" i="4"/>
  <c r="AG51" i="16" s="1"/>
  <c r="G17" i="5"/>
  <c r="AO8" i="16" s="1"/>
  <c r="E17" i="5"/>
  <c r="AM8" i="16" s="1"/>
  <c r="F17" i="5"/>
  <c r="AN8" i="16" s="1"/>
  <c r="J59" i="4"/>
  <c r="AJ51" i="16" s="1"/>
  <c r="F27" i="4"/>
  <c r="AF19" i="16" s="1"/>
  <c r="H27" i="4"/>
  <c r="AH19" i="16" s="1"/>
  <c r="J38" i="4"/>
  <c r="AJ30" i="16" s="1"/>
  <c r="F56" i="4"/>
  <c r="AF48" i="16" s="1"/>
  <c r="H16" i="4"/>
  <c r="AH8" i="16" s="1"/>
  <c r="I16" i="4"/>
  <c r="AI8" i="16" s="1"/>
  <c r="G23" i="4"/>
  <c r="AG15" i="16" s="1"/>
  <c r="F23" i="4"/>
  <c r="AF15" i="16" s="1"/>
  <c r="J27" i="4"/>
  <c r="AJ19" i="16" s="1"/>
  <c r="J23" i="4"/>
  <c r="AJ15" i="16" s="1"/>
  <c r="G27" i="4"/>
  <c r="AG19" i="16" s="1"/>
  <c r="H23" i="4"/>
  <c r="AH15" i="16" s="1"/>
  <c r="F59" i="4"/>
  <c r="AF51" i="16" s="1"/>
  <c r="I38" i="4"/>
  <c r="AI30" i="16" s="1"/>
  <c r="K59" i="4"/>
  <c r="AL51" i="16" s="1"/>
  <c r="G38" i="4"/>
  <c r="AG30" i="16" s="1"/>
  <c r="I59" i="4"/>
  <c r="AI51" i="16" s="1"/>
  <c r="I23" i="4"/>
  <c r="AI15" i="16" s="1"/>
  <c r="K23" i="4"/>
  <c r="AL15" i="16" s="1"/>
  <c r="K38" i="4"/>
  <c r="AL30" i="16" s="1"/>
  <c r="F38" i="4"/>
  <c r="AF30" i="16" s="1"/>
  <c r="I56" i="4"/>
  <c r="AI48" i="16" s="1"/>
  <c r="K27" i="4"/>
  <c r="AL19" i="16" s="1"/>
  <c r="E12" i="5"/>
  <c r="AM3" i="16" s="1"/>
  <c r="K11" i="4"/>
  <c r="AL3" i="16" s="1"/>
  <c r="I11" i="4"/>
  <c r="AI3" i="16" s="1"/>
  <c r="F12" i="5"/>
  <c r="AN3" i="16" s="1"/>
  <c r="H11" i="4"/>
  <c r="AH3" i="16" s="1"/>
  <c r="G12" i="5"/>
  <c r="AO3" i="16" s="1"/>
  <c r="G11" i="5"/>
  <c r="AO2" i="16" s="1"/>
  <c r="X10" i="3"/>
  <c r="I10" i="4"/>
  <c r="AI2" i="16" s="1"/>
  <c r="W10" i="3"/>
  <c r="F23" i="9" s="1"/>
  <c r="J10" i="4"/>
  <c r="AJ2" i="16" s="1"/>
  <c r="H60" i="3"/>
  <c r="H10" i="4"/>
  <c r="AH2" i="16" s="1"/>
  <c r="AE40" i="3" l="1"/>
  <c r="AE13" i="3"/>
  <c r="AE28" i="3"/>
  <c r="AD20" i="16" s="1"/>
  <c r="AE49" i="3"/>
  <c r="AF49" i="3" s="1"/>
  <c r="AE41" i="16" s="1"/>
  <c r="AQ2" i="16"/>
  <c r="AQ10" i="16"/>
  <c r="AK18" i="16"/>
  <c r="AK16" i="16"/>
  <c r="AK10" i="16"/>
  <c r="AE12" i="3"/>
  <c r="AF12" i="3" s="1"/>
  <c r="AE4" i="16" s="1"/>
  <c r="AE17" i="3"/>
  <c r="AF17" i="3" s="1"/>
  <c r="AE9" i="16" s="1"/>
  <c r="AE15" i="3"/>
  <c r="AD7" i="16" s="1"/>
  <c r="AE18" i="3"/>
  <c r="AF18" i="3" s="1"/>
  <c r="AE10" i="16" s="1"/>
  <c r="AK3" i="16"/>
  <c r="AK37" i="16"/>
  <c r="AK48" i="16"/>
  <c r="AK17" i="16"/>
  <c r="AK20" i="16"/>
  <c r="AK41" i="16"/>
  <c r="AF57" i="3"/>
  <c r="AE49" i="16" s="1"/>
  <c r="AD49" i="16"/>
  <c r="AE37" i="3"/>
  <c r="W29" i="16"/>
  <c r="AK35" i="16"/>
  <c r="AK34" i="16"/>
  <c r="AE21" i="3"/>
  <c r="AD13" i="16" s="1"/>
  <c r="V13" i="16"/>
  <c r="AK50" i="16"/>
  <c r="AK29" i="16"/>
  <c r="AK40" i="16"/>
  <c r="AK32" i="16"/>
  <c r="AK26" i="16"/>
  <c r="AK36" i="16"/>
  <c r="AK44" i="16"/>
  <c r="AK24" i="16"/>
  <c r="AK13" i="16"/>
  <c r="AK30" i="16"/>
  <c r="AK51" i="16"/>
  <c r="AK8" i="16"/>
  <c r="AK19" i="16"/>
  <c r="AK43" i="16"/>
  <c r="AK21" i="16"/>
  <c r="AK28" i="16"/>
  <c r="AK39" i="16"/>
  <c r="AK25" i="16"/>
  <c r="AK23" i="16"/>
  <c r="AK31" i="16"/>
  <c r="AE22" i="3"/>
  <c r="V14" i="16"/>
  <c r="AK12" i="16"/>
  <c r="AK47" i="16"/>
  <c r="AF53" i="3"/>
  <c r="AE45" i="16" s="1"/>
  <c r="AD45" i="16"/>
  <c r="AK46" i="16"/>
  <c r="AD41" i="16"/>
  <c r="AF40" i="3"/>
  <c r="AE32" i="16" s="1"/>
  <c r="AD32" i="16"/>
  <c r="AK15" i="16"/>
  <c r="AK22" i="16"/>
  <c r="AE43" i="3"/>
  <c r="AD35" i="16" s="1"/>
  <c r="W35" i="16"/>
  <c r="AE42" i="3"/>
  <c r="AD34" i="16" s="1"/>
  <c r="W34" i="16"/>
  <c r="AE29" i="3"/>
  <c r="AD21" i="16" s="1"/>
  <c r="V21" i="16"/>
  <c r="AK38" i="16"/>
  <c r="AE48" i="3"/>
  <c r="V40" i="16"/>
  <c r="AK49" i="16"/>
  <c r="AE46" i="3"/>
  <c r="AD38" i="16" s="1"/>
  <c r="W38" i="16"/>
  <c r="AK27" i="16"/>
  <c r="AK33" i="16"/>
  <c r="AK42" i="16"/>
  <c r="AF15" i="3"/>
  <c r="AE7" i="16" s="1"/>
  <c r="AQ3" i="16"/>
  <c r="AF13" i="3"/>
  <c r="AE5" i="16" s="1"/>
  <c r="AD5" i="16"/>
  <c r="AQ8" i="16"/>
  <c r="U2" i="16"/>
  <c r="F10" i="4"/>
  <c r="AF2" i="16" s="1"/>
  <c r="AK2" i="16" s="1"/>
  <c r="F25" i="11"/>
  <c r="X2" i="16"/>
  <c r="F24" i="11"/>
  <c r="W2" i="16"/>
  <c r="V2" i="16"/>
  <c r="AE10" i="3"/>
  <c r="AD2" i="16" s="1"/>
  <c r="AF28" i="3"/>
  <c r="AE20" i="16" s="1"/>
  <c r="AE26" i="3"/>
  <c r="AE52" i="3"/>
  <c r="AE44" i="3"/>
  <c r="AE25" i="3"/>
  <c r="AE36" i="3"/>
  <c r="AE31" i="3"/>
  <c r="AE55" i="3"/>
  <c r="AE45" i="3"/>
  <c r="AD37" i="16" s="1"/>
  <c r="AE41" i="3"/>
  <c r="AE23" i="3"/>
  <c r="AE47" i="3"/>
  <c r="AE20" i="3"/>
  <c r="AE39" i="3"/>
  <c r="AE35" i="3"/>
  <c r="AE32" i="3"/>
  <c r="AE34" i="3"/>
  <c r="AE33" i="3"/>
  <c r="AE54" i="3"/>
  <c r="AE50" i="3"/>
  <c r="AE56" i="3"/>
  <c r="AE58" i="3"/>
  <c r="AE24" i="3"/>
  <c r="AE30" i="3"/>
  <c r="AE51" i="3"/>
  <c r="AE59" i="3"/>
  <c r="F23" i="11"/>
  <c r="F24" i="9"/>
  <c r="AE11" i="3"/>
  <c r="AE16" i="3"/>
  <c r="V60" i="3"/>
  <c r="H60" i="4"/>
  <c r="AE27" i="3"/>
  <c r="AE38" i="3"/>
  <c r="J60" i="4"/>
  <c r="E61" i="5"/>
  <c r="G60" i="4"/>
  <c r="Y60" i="3"/>
  <c r="F25" i="9"/>
  <c r="G61" i="5"/>
  <c r="W60" i="3"/>
  <c r="K60" i="4"/>
  <c r="I60" i="4"/>
  <c r="H61" i="5"/>
  <c r="X60" i="3"/>
  <c r="F61" i="5"/>
  <c r="E31" i="9"/>
  <c r="AD4" i="16" l="1"/>
  <c r="AD9" i="16"/>
  <c r="AD10" i="16"/>
  <c r="AF42" i="3"/>
  <c r="AE34" i="16" s="1"/>
  <c r="AF46" i="3"/>
  <c r="AE38" i="16" s="1"/>
  <c r="F60" i="4"/>
  <c r="AF45" i="3"/>
  <c r="AE37" i="16" s="1"/>
  <c r="AF21" i="3"/>
  <c r="AE13" i="16" s="1"/>
  <c r="AF24" i="3"/>
  <c r="AE16" i="16" s="1"/>
  <c r="AD16" i="16"/>
  <c r="AF47" i="3"/>
  <c r="AE39" i="16" s="1"/>
  <c r="AD39" i="16"/>
  <c r="AF26" i="3"/>
  <c r="AE18" i="16" s="1"/>
  <c r="AD18" i="16"/>
  <c r="AF38" i="3"/>
  <c r="AE30" i="16" s="1"/>
  <c r="AD30" i="16"/>
  <c r="AF43" i="3"/>
  <c r="AE35" i="16" s="1"/>
  <c r="AF58" i="3"/>
  <c r="AE50" i="16" s="1"/>
  <c r="AD50" i="16"/>
  <c r="AF54" i="3"/>
  <c r="AE46" i="16" s="1"/>
  <c r="AD46" i="16"/>
  <c r="AF35" i="3"/>
  <c r="AE27" i="16" s="1"/>
  <c r="AD27" i="16"/>
  <c r="AF23" i="3"/>
  <c r="AE15" i="16" s="1"/>
  <c r="AD15" i="16"/>
  <c r="AF25" i="3"/>
  <c r="AE17" i="16" s="1"/>
  <c r="AD17" i="16"/>
  <c r="AF48" i="3"/>
  <c r="AE40" i="16" s="1"/>
  <c r="AD40" i="16"/>
  <c r="AF22" i="3"/>
  <c r="AE14" i="16" s="1"/>
  <c r="AD14" i="16"/>
  <c r="AF50" i="3"/>
  <c r="AE42" i="16" s="1"/>
  <c r="AD42" i="16"/>
  <c r="AF55" i="3"/>
  <c r="AE47" i="16" s="1"/>
  <c r="AD47" i="16"/>
  <c r="AF27" i="3"/>
  <c r="AE19" i="16" s="1"/>
  <c r="AD19" i="16"/>
  <c r="AF59" i="3"/>
  <c r="AE51" i="16" s="1"/>
  <c r="AD51" i="16"/>
  <c r="AF29" i="3"/>
  <c r="AE21" i="16" s="1"/>
  <c r="AF33" i="3"/>
  <c r="AE25" i="16" s="1"/>
  <c r="AD25" i="16"/>
  <c r="AF39" i="3"/>
  <c r="AE31" i="16" s="1"/>
  <c r="AD31" i="16"/>
  <c r="AF41" i="3"/>
  <c r="AE33" i="16" s="1"/>
  <c r="AD33" i="16"/>
  <c r="AF31" i="3"/>
  <c r="AE23" i="16" s="1"/>
  <c r="AD23" i="16"/>
  <c r="AF44" i="3"/>
  <c r="AE36" i="16" s="1"/>
  <c r="AD36" i="16"/>
  <c r="AF30" i="3"/>
  <c r="AE22" i="16" s="1"/>
  <c r="AD22" i="16"/>
  <c r="AF32" i="3"/>
  <c r="AE24" i="16" s="1"/>
  <c r="AD24" i="16"/>
  <c r="AF36" i="3"/>
  <c r="AE28" i="16" s="1"/>
  <c r="AD28" i="16"/>
  <c r="AF51" i="3"/>
  <c r="AE43" i="16" s="1"/>
  <c r="AD43" i="16"/>
  <c r="AF56" i="3"/>
  <c r="AE48" i="16" s="1"/>
  <c r="AD48" i="16"/>
  <c r="AF34" i="3"/>
  <c r="AE26" i="16" s="1"/>
  <c r="AD26" i="16"/>
  <c r="AF20" i="3"/>
  <c r="AE12" i="16" s="1"/>
  <c r="AD12" i="16"/>
  <c r="AF52" i="3"/>
  <c r="AE44" i="16" s="1"/>
  <c r="AD44" i="16"/>
  <c r="AF37" i="3"/>
  <c r="AE29" i="16" s="1"/>
  <c r="AD29" i="16"/>
  <c r="AF11" i="3"/>
  <c r="AE3" i="16" s="1"/>
  <c r="AD3" i="16"/>
  <c r="AF16" i="3"/>
  <c r="AE8" i="16" s="1"/>
  <c r="AD8" i="16"/>
  <c r="F31" i="11"/>
  <c r="E32" i="11" s="1"/>
  <c r="C48" i="11" s="1"/>
  <c r="F31" i="9"/>
  <c r="E32" i="9" s="1"/>
  <c r="AE60" i="3"/>
  <c r="AF10" i="3"/>
  <c r="AF60" i="3" l="1"/>
  <c r="AE2"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RUTH</author>
    <author>Ambiente107</author>
  </authors>
  <commentList>
    <comment ref="B2" authorId="0" shapeId="0" xr:uid="{6B864C9B-57E7-496B-8613-EEF753AE0108}">
      <text>
        <r>
          <rPr>
            <b/>
            <sz val="9"/>
            <color indexed="81"/>
            <rFont val="Tahoma"/>
            <family val="2"/>
          </rPr>
          <t>Ana:</t>
        </r>
        <r>
          <rPr>
            <sz val="9"/>
            <color indexed="81"/>
            <rFont val="Tahoma"/>
            <family val="2"/>
          </rPr>
          <t xml:space="preserve">
Introduzca el nombre de su empresa.</t>
        </r>
      </text>
    </comment>
    <comment ref="E2" authorId="0" shapeId="0" xr:uid="{6D83AFDF-B6FA-483E-BBF2-006C82871AB1}">
      <text>
        <r>
          <rPr>
            <b/>
            <sz val="9"/>
            <color indexed="81"/>
            <rFont val="Tahoma"/>
            <family val="2"/>
          </rPr>
          <t>Ana:</t>
        </r>
        <r>
          <rPr>
            <sz val="9"/>
            <color indexed="81"/>
            <rFont val="Tahoma"/>
            <family val="2"/>
          </rPr>
          <t xml:space="preserve">
Ingresar las fechas correspondientes a la nómina a liquidar</t>
        </r>
      </text>
    </comment>
    <comment ref="B3" authorId="0" shapeId="0" xr:uid="{A1AEA213-6140-4E0B-97B2-F732A696AEDC}">
      <text>
        <r>
          <rPr>
            <b/>
            <sz val="9"/>
            <color indexed="81"/>
            <rFont val="Tahoma"/>
            <family val="2"/>
          </rPr>
          <t>Ana:</t>
        </r>
        <r>
          <rPr>
            <sz val="9"/>
            <color indexed="81"/>
            <rFont val="Tahoma"/>
            <family val="2"/>
          </rPr>
          <t xml:space="preserve">
Introduzca el NIT de su empresa</t>
        </r>
      </text>
    </comment>
    <comment ref="B8" authorId="0" shapeId="0" xr:uid="{23D31DF0-8BD0-407F-829B-4C7D32276149}">
      <text>
        <r>
          <rPr>
            <b/>
            <sz val="9"/>
            <color indexed="81"/>
            <rFont val="Tahoma"/>
            <family val="2"/>
          </rPr>
          <t xml:space="preserve">Ana:
</t>
        </r>
        <r>
          <rPr>
            <sz val="9"/>
            <color indexed="81"/>
            <rFont val="Tahoma"/>
            <family val="2"/>
          </rPr>
          <t xml:space="preserve">Los colaboradores que tengan un salario superior a este valor NO tienen derecho al auxilio de transporte
</t>
        </r>
      </text>
    </comment>
    <comment ref="E11" authorId="1" shapeId="0" xr:uid="{9FED62F4-8DF0-4BFC-B99D-D2ACC8B2DA63}">
      <text>
        <r>
          <rPr>
            <b/>
            <sz val="9"/>
            <color indexed="81"/>
            <rFont val="Tahoma"/>
            <family val="2"/>
          </rPr>
          <t>Ambiente107:</t>
        </r>
        <r>
          <rPr>
            <sz val="9"/>
            <color indexed="81"/>
            <rFont val="Tahoma"/>
            <family val="2"/>
          </rPr>
          <t xml:space="preserve">
Sólo se aporta si devenga más de 10 salarios mínimos.</t>
        </r>
      </text>
    </comment>
    <comment ref="E14" authorId="1" shapeId="0" xr:uid="{609E2A87-E4B8-49DC-90F2-2233D0D383BD}">
      <text>
        <r>
          <rPr>
            <b/>
            <sz val="9"/>
            <color indexed="81"/>
            <rFont val="Tahoma"/>
            <family val="2"/>
          </rPr>
          <t>Ambiente107:</t>
        </r>
        <r>
          <rPr>
            <sz val="9"/>
            <color indexed="81"/>
            <rFont val="Tahoma"/>
            <family val="2"/>
          </rPr>
          <t xml:space="preserve">
Se paga siempre a todos los trabajadores</t>
        </r>
      </text>
    </comment>
    <comment ref="E17" authorId="0" shapeId="0" xr:uid="{E1E80852-A5F3-4D92-98DA-773CAA6E067F}">
      <text>
        <r>
          <rPr>
            <b/>
            <sz val="9"/>
            <color indexed="81"/>
            <rFont val="Tahoma"/>
            <family val="2"/>
          </rPr>
          <t>Ana:</t>
        </r>
        <r>
          <rPr>
            <sz val="9"/>
            <color indexed="81"/>
            <rFont val="Tahoma"/>
            <family val="2"/>
          </rPr>
          <t xml:space="preserve">
Deben consignarse a más tardar el 14 de febrero. Ley 50 de 1990</t>
        </r>
      </text>
    </comment>
    <comment ref="I17" authorId="0" shapeId="0" xr:uid="{C731C288-C954-4ADF-ADC8-C39E4140B1F2}">
      <text>
        <r>
          <rPr>
            <b/>
            <sz val="9"/>
            <color indexed="81"/>
            <rFont val="Tahoma"/>
            <family val="2"/>
          </rPr>
          <t>Ana:</t>
        </r>
        <r>
          <rPr>
            <sz val="9"/>
            <color indexed="81"/>
            <rFont val="Tahoma"/>
            <family val="2"/>
          </rPr>
          <t xml:space="preserve">
Se toma como base, último salario devengado, siempre que no haya variado en los últimos tres meses. (Se incluye auxilio de transporte) si gana menos de 2 SMLV</t>
        </r>
      </text>
    </comment>
    <comment ref="J17" authorId="0" shapeId="0" xr:uid="{E9A81BDB-2D9E-47D4-8C73-8F9C8129CFCE}">
      <text>
        <r>
          <rPr>
            <b/>
            <sz val="9"/>
            <color indexed="81"/>
            <rFont val="Tahoma"/>
            <family val="2"/>
          </rPr>
          <t>Ana:</t>
        </r>
        <r>
          <rPr>
            <sz val="9"/>
            <color indexed="81"/>
            <rFont val="Tahoma"/>
            <family val="2"/>
          </rPr>
          <t xml:space="preserve">
Se toma como base, el promedio del devengado del último año o proporcional según el tiempo de servicio, siempre que haya variado en los últimos tres meses. (Se incluye auxilio de transporte) Si gana menos de 2 SMLV</t>
        </r>
      </text>
    </comment>
    <comment ref="F18" authorId="0" shapeId="0" xr:uid="{63F8B01B-AB4A-4B05-9FAD-D6E78DCC2CFA}">
      <text>
        <r>
          <rPr>
            <b/>
            <sz val="9"/>
            <color indexed="81"/>
            <rFont val="Tahoma"/>
            <family val="2"/>
          </rPr>
          <t>Ana:</t>
        </r>
        <r>
          <rPr>
            <sz val="9"/>
            <color indexed="81"/>
            <rFont val="Tahoma"/>
            <family val="2"/>
          </rPr>
          <t xml:space="preserve">
Intereses a las Cesantías corresponde al 1% mensual, 12% anual</t>
        </r>
      </text>
    </comment>
    <comment ref="F20" authorId="0" shapeId="0" xr:uid="{5DB20F8D-9D44-40DC-87B0-E40D4E0883B9}">
      <text>
        <r>
          <rPr>
            <b/>
            <sz val="9"/>
            <color indexed="81"/>
            <rFont val="Tahoma"/>
            <family val="2"/>
          </rPr>
          <t>Ana:</t>
        </r>
        <r>
          <rPr>
            <sz val="9"/>
            <color indexed="81"/>
            <rFont val="Tahoma"/>
            <family val="2"/>
          </rPr>
          <t xml:space="preserve">
Artículo 186 CST</t>
        </r>
      </text>
    </comment>
    <comment ref="I20" authorId="0" shapeId="0" xr:uid="{B2A8C530-508E-4EC0-A6FA-BAE78EBC55C7}">
      <text>
        <r>
          <rPr>
            <b/>
            <sz val="9"/>
            <color indexed="81"/>
            <rFont val="Tahoma"/>
            <family val="2"/>
          </rPr>
          <t>Ana:</t>
        </r>
        <r>
          <rPr>
            <sz val="9"/>
            <color indexed="81"/>
            <rFont val="Tahoma"/>
            <family val="2"/>
          </rPr>
          <t xml:space="preserve">
No incluye auxilio de transporte, horas extras ni recargos.</t>
        </r>
      </text>
    </comment>
    <comment ref="J20" authorId="0" shapeId="0" xr:uid="{01CD369C-95D9-4CCA-A97C-D5B8D18DE67B}">
      <text>
        <r>
          <rPr>
            <b/>
            <sz val="9"/>
            <color indexed="81"/>
            <rFont val="Tahoma"/>
            <family val="2"/>
          </rPr>
          <t xml:space="preserve">Ana:
</t>
        </r>
        <r>
          <rPr>
            <sz val="9"/>
            <color indexed="81"/>
            <rFont val="Tahoma"/>
            <family val="2"/>
          </rPr>
          <t>No incluye auxilio de transporte, horas extras ni recargos.</t>
        </r>
      </text>
    </comment>
    <comment ref="E21" authorId="0" shapeId="0" xr:uid="{0D728478-6EA8-4200-8432-65FADCD2CDF7}">
      <text>
        <r>
          <rPr>
            <b/>
            <sz val="9"/>
            <color indexed="81"/>
            <rFont val="Tahoma"/>
            <family val="2"/>
          </rPr>
          <t>Ana:</t>
        </r>
        <r>
          <rPr>
            <sz val="9"/>
            <color indexed="81"/>
            <rFont val="Tahoma"/>
            <family val="2"/>
          </rPr>
          <t xml:space="preserve">
% a pagar por concepto de ARL según el riesgo al que está expuesto el colaborador.</t>
        </r>
      </text>
    </comment>
    <comment ref="B34" authorId="0" shapeId="0" xr:uid="{9E863D9F-69C1-4FB4-997C-20FCB5492317}">
      <text>
        <r>
          <rPr>
            <b/>
            <sz val="9"/>
            <color indexed="81"/>
            <rFont val="Tahoma"/>
            <family val="2"/>
          </rPr>
          <t>Ana:</t>
        </r>
        <r>
          <rPr>
            <sz val="9"/>
            <color indexed="81"/>
            <rFont val="Tahoma"/>
            <family val="2"/>
          </rPr>
          <t xml:space="preserve">
Si requiere un cargo que no existe en la lista puede modificar uno de los existentes o insertar una fila y agregar el nuevo cargo.</t>
        </r>
      </text>
    </comment>
    <comment ref="C34" authorId="0" shapeId="0" xr:uid="{5C2C7C7A-E187-4C35-AEBA-F42CF1FA744D}">
      <text>
        <r>
          <rPr>
            <b/>
            <sz val="9"/>
            <color indexed="81"/>
            <rFont val="Tahoma"/>
            <family val="2"/>
          </rPr>
          <t xml:space="preserve">Ana:
</t>
        </r>
        <r>
          <rPr>
            <sz val="9"/>
            <color indexed="81"/>
            <rFont val="Tahoma"/>
            <family val="2"/>
          </rPr>
          <t>Modifique los valores de los salarios según corresponda en su empresa.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Aula 105</author>
  </authors>
  <commentList>
    <comment ref="C2" authorId="0" shapeId="0" xr:uid="{66687371-F730-4947-BD50-0B08027A3B62}">
      <text>
        <r>
          <rPr>
            <b/>
            <sz val="9"/>
            <color indexed="81"/>
            <rFont val="Tahoma"/>
            <family val="2"/>
          </rPr>
          <t>Aula 105:</t>
        </r>
        <r>
          <rPr>
            <sz val="9"/>
            <color indexed="81"/>
            <rFont val="Tahoma"/>
            <family val="2"/>
          </rPr>
          <t xml:space="preserve">
En base al IBC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E7" authorId="0" shapeId="0" xr:uid="{FF8FAD6C-88F2-4EBB-A297-957F1328DB89}">
      <text>
        <r>
          <rPr>
            <sz val="9"/>
            <color indexed="81"/>
            <rFont val="Tahoma"/>
            <family val="2"/>
          </rPr>
          <t xml:space="preserve">Ana
Ingrese la cédula del colaborador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3" authorId="0" shapeId="0" xr:uid="{25DE9B39-3C79-44FA-8A86-BF5DEAA96116}">
      <text>
        <r>
          <rPr>
            <b/>
            <sz val="9"/>
            <color indexed="81"/>
            <rFont val="Tahoma"/>
            <family val="2"/>
          </rPr>
          <t>Ana:</t>
        </r>
        <r>
          <rPr>
            <sz val="9"/>
            <color indexed="81"/>
            <rFont val="Tahoma"/>
            <family val="2"/>
          </rPr>
          <t xml:space="preserve">
último salario si es fijo y no ha variado en los últimos 3 meses, promedio del último año o proporcional si ha variado en los últimos tres meses
</t>
        </r>
      </text>
    </comment>
    <comment ref="B38" authorId="0" shapeId="0" xr:uid="{07ECB106-5D0C-4526-95DD-027726E0F22F}">
      <text>
        <r>
          <rPr>
            <b/>
            <sz val="9"/>
            <color indexed="81"/>
            <rFont val="Tahoma"/>
            <family val="2"/>
          </rPr>
          <t xml:space="preserve">Ana:
</t>
        </r>
        <r>
          <rPr>
            <sz val="9"/>
            <color indexed="81"/>
            <rFont val="Tahoma"/>
            <family val="2"/>
          </rPr>
          <t>Ingrese los días a liquidar del último año</t>
        </r>
      </text>
    </comment>
    <comment ref="B39" authorId="0" shapeId="0" xr:uid="{92618A33-E3D5-43C5-90F0-32D48D0FC08F}">
      <text>
        <r>
          <rPr>
            <b/>
            <sz val="9"/>
            <color indexed="81"/>
            <rFont val="Tahoma"/>
            <family val="2"/>
          </rPr>
          <t xml:space="preserve">Ana:
</t>
        </r>
        <r>
          <rPr>
            <sz val="9"/>
            <color indexed="81"/>
            <rFont val="Tahoma"/>
            <family val="2"/>
          </rPr>
          <t>Ingrese los días a liquidar del último semestre</t>
        </r>
      </text>
    </comment>
    <comment ref="B40" authorId="0" shapeId="0" xr:uid="{222494F8-513F-4DE0-8FB1-923B174D83A3}">
      <text>
        <r>
          <rPr>
            <b/>
            <sz val="9"/>
            <color indexed="81"/>
            <rFont val="Tahoma"/>
            <family val="2"/>
          </rPr>
          <t>Ana:
I</t>
        </r>
        <r>
          <rPr>
            <sz val="9"/>
            <color indexed="81"/>
            <rFont val="Tahoma"/>
            <family val="2"/>
          </rPr>
          <t xml:space="preserve">ngrese los días a liquidar con base en la tabla de indemnización según el tipo de contrato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 authorId="0" shapeId="0" xr:uid="{863D1270-E2A5-45D1-BDAF-1C7576515818}">
      <text>
        <r>
          <rPr>
            <b/>
            <sz val="9"/>
            <color indexed="81"/>
            <rFont val="Tahoma"/>
            <family val="2"/>
          </rPr>
          <t>ANA:</t>
        </r>
        <r>
          <rPr>
            <sz val="9"/>
            <color indexed="81"/>
            <rFont val="Tahoma"/>
            <family val="2"/>
          </rPr>
          <t xml:space="preserve">
I</t>
        </r>
        <r>
          <rPr>
            <sz val="12"/>
            <color indexed="81"/>
            <rFont val="Tahoma"/>
            <family val="2"/>
          </rPr>
          <t>ngrese el devengado del colaborador</t>
        </r>
      </text>
    </comment>
    <comment ref="B6" authorId="0" shapeId="0" xr:uid="{B631071A-3A02-448E-B125-C5534EDD1473}">
      <text>
        <r>
          <rPr>
            <b/>
            <sz val="9"/>
            <color indexed="81"/>
            <rFont val="Tahoma"/>
            <family val="2"/>
          </rPr>
          <t>ANA:</t>
        </r>
        <r>
          <rPr>
            <sz val="9"/>
            <color indexed="81"/>
            <rFont val="Tahoma"/>
            <family val="2"/>
          </rPr>
          <t xml:space="preserve">
I</t>
        </r>
        <r>
          <rPr>
            <sz val="14"/>
            <color indexed="81"/>
            <rFont val="Tahoma"/>
            <family val="2"/>
          </rPr>
          <t>ngrese el valor deducido en la nómina del colaborador por concepto de EPS</t>
        </r>
      </text>
    </comment>
    <comment ref="B7" authorId="0" shapeId="0" xr:uid="{4736EADC-50BF-4524-ADD5-6CB267CAFE2D}">
      <text>
        <r>
          <rPr>
            <sz val="12"/>
            <color indexed="81"/>
            <rFont val="Tahoma"/>
            <family val="2"/>
          </rPr>
          <t>Ingrese el valor deducido en la nómina del colaborador por concepto de AFP</t>
        </r>
      </text>
    </comment>
    <comment ref="B8" authorId="0" shapeId="0" xr:uid="{5A3BE9AD-2326-4652-B4AE-E240D2D5C383}">
      <text>
        <r>
          <rPr>
            <b/>
            <sz val="12"/>
            <color indexed="81"/>
            <rFont val="Tahoma"/>
            <family val="2"/>
          </rPr>
          <t>ANA:</t>
        </r>
        <r>
          <rPr>
            <sz val="12"/>
            <color indexed="81"/>
            <rFont val="Tahoma"/>
            <family val="2"/>
          </rPr>
          <t xml:space="preserve">
Ingrese el valor deducido en la nómina del colaborador por concepto de Aportes al Fondo de solidariada pensional</t>
        </r>
      </text>
    </comment>
    <comment ref="B9" authorId="0" shapeId="0" xr:uid="{891BA6C0-9750-4661-8896-86F8F9B7A864}">
      <text>
        <r>
          <rPr>
            <b/>
            <sz val="12"/>
            <color indexed="81"/>
            <rFont val="Tahoma"/>
            <family val="2"/>
          </rPr>
          <t>ANA:</t>
        </r>
        <r>
          <rPr>
            <sz val="12"/>
            <color indexed="81"/>
            <rFont val="Tahoma"/>
            <family val="2"/>
          </rPr>
          <t xml:space="preserve">
Ingrese el valor que el colaborador aporte de forma independiente a fondo de pensiones</t>
        </r>
      </text>
    </comment>
    <comment ref="B14" authorId="0" shapeId="0" xr:uid="{D298D727-534E-4C19-9B90-2816AF26777B}">
      <text>
        <r>
          <rPr>
            <b/>
            <sz val="12"/>
            <color indexed="81"/>
            <rFont val="Tahoma"/>
            <family val="2"/>
          </rPr>
          <t>ANA:</t>
        </r>
        <r>
          <rPr>
            <sz val="9"/>
            <color indexed="81"/>
            <rFont val="Tahoma"/>
            <family val="2"/>
          </rPr>
          <t xml:space="preserve">
</t>
        </r>
        <r>
          <rPr>
            <sz val="12"/>
            <color indexed="81"/>
            <rFont val="Tahoma"/>
            <family val="2"/>
          </rPr>
          <t>Ingrese el valor que pagó mensualmente en promedio por intereses por compra de vivienda.  Entiendase que debe pedirle al colaborador el certificado del año anterior y este valor dividirlo en 12, el resultado será el valor a descontar cada mes en el año actual.</t>
        </r>
      </text>
    </comment>
    <comment ref="B16" authorId="0" shapeId="0" xr:uid="{5055D931-5815-4649-B188-A7C6AA36E397}">
      <text>
        <r>
          <rPr>
            <b/>
            <sz val="12"/>
            <color indexed="81"/>
            <rFont val="Tahoma"/>
            <family val="2"/>
          </rPr>
          <t xml:space="preserve">ANA:
</t>
        </r>
        <r>
          <rPr>
            <sz val="12"/>
            <color indexed="81"/>
            <rFont val="Tahoma"/>
            <family val="2"/>
          </rPr>
          <t>Ingrese el valor que pagó mensualmente en promedio por concepto de medicina prepagada.  Entiendase que debe pedirle al colaborador el certificado del año anterior y este valor dividirlo en 12, el resultado será el valor a descontar cada mes en el año actual.</t>
        </r>
      </text>
    </comment>
    <comment ref="B18" authorId="0" shapeId="0" xr:uid="{20E0CA51-41B7-4F02-97D7-63725F30059C}">
      <text>
        <r>
          <rPr>
            <b/>
            <sz val="12"/>
            <color indexed="81"/>
            <rFont val="Tahoma"/>
            <family val="2"/>
          </rPr>
          <t>ANA:</t>
        </r>
        <r>
          <rPr>
            <sz val="12"/>
            <color indexed="81"/>
            <rFont val="Tahoma"/>
            <family val="2"/>
          </rPr>
          <t xml:space="preserve">
Los dependientes son:
- Hijos hasta los 18 años.
-Hjos entre 18 a 23 años con financiación para su educación. 
- Hijos mayores a 23 años que por factores físicos o psicológicos mantengan un grado de dependencia. 
- Cónyuge o compañero permanente que por tener ingresos menores a 260 UVT (9.440.080 pesos) anuales o factores físicos o psicológicos se considere en situación de dependencia. 
- Hermanos que se consideren en situación de dependencia por ingresos menores a 260 UVT (9.440.080 pesos) anuales o factores físicos o psicológicos.</t>
        </r>
      </text>
    </comment>
    <comment ref="B33" authorId="0" shapeId="0" xr:uid="{73B838F2-968F-435D-A3C9-1EF830FD5270}">
      <text>
        <r>
          <rPr>
            <b/>
            <sz val="12"/>
            <color indexed="81"/>
            <rFont val="Tahoma"/>
            <family val="2"/>
          </rPr>
          <t>ANA:</t>
        </r>
        <r>
          <rPr>
            <sz val="12"/>
            <color indexed="81"/>
            <rFont val="Tahoma"/>
            <family val="2"/>
          </rPr>
          <t xml:space="preserve">
Este valor corresponde a la sumatoria de las deducciones y rentas excentas</t>
        </r>
      </text>
    </comment>
  </commentList>
</comments>
</file>

<file path=xl/sharedStrings.xml><?xml version="1.0" encoding="utf-8"?>
<sst xmlns="http://schemas.openxmlformats.org/spreadsheetml/2006/main" count="501" uniqueCount="321">
  <si>
    <t>Datos de la Empresa</t>
  </si>
  <si>
    <t>Fecha Liquidacion de la Nomina</t>
  </si>
  <si>
    <t>Razon Social</t>
  </si>
  <si>
    <t>Del:</t>
  </si>
  <si>
    <t>NIT</t>
  </si>
  <si>
    <t>Hasta:</t>
  </si>
  <si>
    <t>Básicos</t>
  </si>
  <si>
    <t>Valor</t>
  </si>
  <si>
    <t>Salario mínimo integral</t>
  </si>
  <si>
    <t>Aporte Seguridad Social</t>
  </si>
  <si>
    <t>Salario Minimo</t>
  </si>
  <si>
    <t>Salud Empleado</t>
  </si>
  <si>
    <t>Auxilio de Transporte</t>
  </si>
  <si>
    <t>Salud Empleador</t>
  </si>
  <si>
    <t>2 Salario Minimo</t>
  </si>
  <si>
    <t>Pension Empleado</t>
  </si>
  <si>
    <t>10 SalariosMínimo</t>
  </si>
  <si>
    <t>Pension Empleador</t>
  </si>
  <si>
    <t>Salario mínimo diario</t>
  </si>
  <si>
    <t>Factores Horas Extras y Recargos</t>
  </si>
  <si>
    <t>Aporte Parafiscales</t>
  </si>
  <si>
    <t>Hora Extra Diurna</t>
  </si>
  <si>
    <t>SENA</t>
  </si>
  <si>
    <t>Hora Extra Diurna Dom/Fest</t>
  </si>
  <si>
    <t>ICBF</t>
  </si>
  <si>
    <t>Hora Extra Nocturna</t>
  </si>
  <si>
    <t>Caja de Compensacion</t>
  </si>
  <si>
    <t>Hora Extra Nocturna Dom/Fest</t>
  </si>
  <si>
    <t>Recargo Nocturno = 35% (1.35)</t>
  </si>
  <si>
    <t>Prestaciones Sociales</t>
  </si>
  <si>
    <t>%</t>
  </si>
  <si>
    <t>DIAS DE PRESTACIÓN ANUAL</t>
  </si>
  <si>
    <t>DIAS LABORADOS</t>
  </si>
  <si>
    <t>Salario fijo</t>
  </si>
  <si>
    <t>Salario Variable</t>
  </si>
  <si>
    <t>FÓRMULA</t>
  </si>
  <si>
    <t>Recargo Nocturno Dom/Fest = 110% (2.10)</t>
  </si>
  <si>
    <t>Cesantias</t>
  </si>
  <si>
    <t>Leer comentario</t>
  </si>
  <si>
    <t>(salario mes * días laborados)/360</t>
  </si>
  <si>
    <t>Recargo Diurno Dom/Fest =75% (1.75)</t>
  </si>
  <si>
    <t>Intereses sobre Cesantias</t>
  </si>
  <si>
    <t>(Cesantías * días laborados * 0,12)/360</t>
  </si>
  <si>
    <t>Primas de Servicios</t>
  </si>
  <si>
    <t>(salario mes * días laborados en semestre)/360</t>
  </si>
  <si>
    <t>Vacaciones</t>
  </si>
  <si>
    <t>(salario básico * días laborados)/720</t>
  </si>
  <si>
    <t>Tabla Fondo de Solidaridad</t>
  </si>
  <si>
    <t>APORTE RIESGOS LABORALES CLASE DE RIESGO</t>
  </si>
  <si>
    <t>% SEGÚN CLASE DE RIESGO</t>
  </si>
  <si>
    <t>Riesgo I</t>
  </si>
  <si>
    <t>Riesgo II</t>
  </si>
  <si>
    <t>Riesgo III</t>
  </si>
  <si>
    <t>Riesgo IV</t>
  </si>
  <si>
    <t>Riesgo V</t>
  </si>
  <si>
    <t>TIPOS DE CONTRATO</t>
  </si>
  <si>
    <t>MOTIVOS DE RETIRO</t>
  </si>
  <si>
    <t>Termino fijo inferior a 1 año</t>
  </si>
  <si>
    <t>Renuncia</t>
  </si>
  <si>
    <t>Termino fijo superior a un año</t>
  </si>
  <si>
    <t>Despido injustificado</t>
  </si>
  <si>
    <t>Contrato por obra y labor</t>
  </si>
  <si>
    <t>Despido justificado</t>
  </si>
  <si>
    <t>Contrato indefinido</t>
  </si>
  <si>
    <t>Terminación de contrato</t>
  </si>
  <si>
    <t>CARGOS</t>
  </si>
  <si>
    <t>Otro</t>
  </si>
  <si>
    <t>CARGO</t>
  </si>
  <si>
    <t>SALARIO</t>
  </si>
  <si>
    <t>Auditor</t>
  </si>
  <si>
    <t>Auxiliar de bodega</t>
  </si>
  <si>
    <t>Auxiliar de calidad</t>
  </si>
  <si>
    <t>Diseñadora</t>
  </si>
  <si>
    <t>Jefe de compras</t>
  </si>
  <si>
    <t>Mecánico</t>
  </si>
  <si>
    <t>Operario de máquinas especiales</t>
  </si>
  <si>
    <t>Patinador</t>
  </si>
  <si>
    <t>Patronista</t>
  </si>
  <si>
    <t>Recepcionista</t>
  </si>
  <si>
    <t>Revisora</t>
  </si>
  <si>
    <t>Secretaria</t>
  </si>
  <si>
    <t>Supervisor</t>
  </si>
  <si>
    <t>Vigilante</t>
  </si>
  <si>
    <t>NOVEDADES DE NÓMINA</t>
  </si>
  <si>
    <t>CEDULA</t>
  </si>
  <si>
    <t>NOMBRE</t>
  </si>
  <si>
    <t>Salario</t>
  </si>
  <si>
    <t>Clase de salario</t>
  </si>
  <si>
    <t>Incapacidad</t>
  </si>
  <si>
    <t>Dias trabajados</t>
  </si>
  <si>
    <t>H.E. Diurna</t>
  </si>
  <si>
    <t>H.E. Diur. Dom/Fest</t>
  </si>
  <si>
    <t>H.E. Noct.</t>
  </si>
  <si>
    <t>H.E. Noct. Dom/Fest</t>
  </si>
  <si>
    <t>Recargo Noct.</t>
  </si>
  <si>
    <t>Recargo Noct. Dom/Fest</t>
  </si>
  <si>
    <t>Recargo Diurno Dom/Fest</t>
  </si>
  <si>
    <t>Comisiones (Valor de la venta)</t>
  </si>
  <si>
    <t>Comisiones (Porcentaje de la Comision)</t>
  </si>
  <si>
    <t>Bonificaciones</t>
  </si>
  <si>
    <t>Embargos Judiciales</t>
  </si>
  <si>
    <t>Libranzas</t>
  </si>
  <si>
    <t>Cooperativas</t>
  </si>
  <si>
    <t>Otros</t>
  </si>
  <si>
    <t>CLASE DE RIESGO</t>
  </si>
  <si>
    <t>Clase de Riesgo ARL (%)</t>
  </si>
  <si>
    <t>FECHA DE INGRESO</t>
  </si>
  <si>
    <t>FECHA FIN DE CONTRATO</t>
  </si>
  <si>
    <t>TIPO DE CONTRATO</t>
  </si>
  <si>
    <t>FECHA DE RETIRO</t>
  </si>
  <si>
    <t>MOTIVO DE RETIRO</t>
  </si>
  <si>
    <t>NIT:</t>
  </si>
  <si>
    <t>NÓMINA #</t>
  </si>
  <si>
    <t>INFORMACIÓN DEL COLABORADOR</t>
  </si>
  <si>
    <t>DEVENGADOS</t>
  </si>
  <si>
    <t>DEDUCCIONES</t>
  </si>
  <si>
    <t>Salario Basico</t>
  </si>
  <si>
    <t>Dias</t>
  </si>
  <si>
    <t>IBC</t>
  </si>
  <si>
    <t>Incapacidad2</t>
  </si>
  <si>
    <t>Sueldo</t>
  </si>
  <si>
    <t>H.E.Diurna</t>
  </si>
  <si>
    <t>Total HE y Recargos</t>
  </si>
  <si>
    <t>Comisiones</t>
  </si>
  <si>
    <t>Total Devengado</t>
  </si>
  <si>
    <t>Salud</t>
  </si>
  <si>
    <t>Pension</t>
  </si>
  <si>
    <t>F.S.P.</t>
  </si>
  <si>
    <t>Retefuente</t>
  </si>
  <si>
    <t>Total Deducciones</t>
  </si>
  <si>
    <t>NETO A PAGAR</t>
  </si>
  <si>
    <t>TOTALES</t>
  </si>
  <si>
    <t>.</t>
  </si>
  <si>
    <t>del</t>
  </si>
  <si>
    <t xml:space="preserve">al </t>
  </si>
  <si>
    <t>Nómina #</t>
  </si>
  <si>
    <t>CÉDULA</t>
  </si>
  <si>
    <t>SALARIO BASE</t>
  </si>
  <si>
    <t>CONCEPTO</t>
  </si>
  <si>
    <t>CANTIDAD</t>
  </si>
  <si>
    <t>VALOR UNITARIO</t>
  </si>
  <si>
    <t>DEVENGADO</t>
  </si>
  <si>
    <t>DEDUCIDO</t>
  </si>
  <si>
    <t>Auxilio de transporte</t>
  </si>
  <si>
    <t>H.E DIURNA</t>
  </si>
  <si>
    <t>HE DIURNA DOMINICAL O FESTIVA</t>
  </si>
  <si>
    <t>HE NOCTURNA</t>
  </si>
  <si>
    <t>HE NOCTURNA DOMINICAL O FESTIVA</t>
  </si>
  <si>
    <t>RECARGO NOCTURNO</t>
  </si>
  <si>
    <t>RECARGO NOCTURNO DOMINICAL O FESTIVO</t>
  </si>
  <si>
    <t>RECARGO DOMINICAL O FESTIVO</t>
  </si>
  <si>
    <t>COMISIONES</t>
  </si>
  <si>
    <t>BONIFICACIONES</t>
  </si>
  <si>
    <t>APORTES SALUD TRABAJADOR</t>
  </si>
  <si>
    <t>APORTES PENSIÓN TRABAJADOR</t>
  </si>
  <si>
    <t>FONDO SOLIDARIDAD PENSIONAL</t>
  </si>
  <si>
    <t>RETEFUENTE</t>
  </si>
  <si>
    <t>EMBARGOS JUDICIALES</t>
  </si>
  <si>
    <t xml:space="preserve">LIBRANZAS </t>
  </si>
  <si>
    <t>COOPERATIVAS</t>
  </si>
  <si>
    <t xml:space="preserve">OTROS </t>
  </si>
  <si>
    <t>TOTAL</t>
  </si>
  <si>
    <t>NETO PAGADO</t>
  </si>
  <si>
    <t>FIRMA DEL EMPLEADO</t>
  </si>
  <si>
    <t>Planilla de Liquidacion Aportes Parafiscales</t>
  </si>
  <si>
    <t>ARL</t>
  </si>
  <si>
    <t>Caja de Compenscion</t>
  </si>
  <si>
    <t>Planilla de Provision Prestaciones Sociales</t>
  </si>
  <si>
    <t>TOTAL NÓMINA</t>
  </si>
  <si>
    <t>SALARIO PARA LIQUIDACIÓN</t>
  </si>
  <si>
    <t>Fecha de ingreso</t>
  </si>
  <si>
    <t>Fecha de retiro</t>
  </si>
  <si>
    <t>Fecha terminación contrato</t>
  </si>
  <si>
    <t>Tipo de contrato</t>
  </si>
  <si>
    <t>Días a liquidar (cesantias, intereses, vacaciones)</t>
  </si>
  <si>
    <t>Días a liquidar Prima de servicios</t>
  </si>
  <si>
    <t>Dias a liquidar indemnización</t>
  </si>
  <si>
    <t>Intereses a las cesantías</t>
  </si>
  <si>
    <t>Prima de Servicios</t>
  </si>
  <si>
    <t>Indemnización</t>
  </si>
  <si>
    <t>TOTAL LIQUIDACIÓN</t>
  </si>
  <si>
    <t>Operario de máquinas</t>
  </si>
  <si>
    <t>Operarios manuales</t>
  </si>
  <si>
    <t>Jefe de Calidad</t>
  </si>
  <si>
    <t>Coordinador de producción</t>
  </si>
  <si>
    <t>Jefe de producción</t>
  </si>
  <si>
    <t>Jefe de Ingeniería</t>
  </si>
  <si>
    <t>Analista de Ingeniería</t>
  </si>
  <si>
    <t>Muestrera</t>
  </si>
  <si>
    <t>Extendedor</t>
  </si>
  <si>
    <t>Cortador</t>
  </si>
  <si>
    <t>Tiqueteador</t>
  </si>
  <si>
    <t>Revisor de tela</t>
  </si>
  <si>
    <t>Auxiliar de mecánico</t>
  </si>
  <si>
    <t>Auxiliar de producción</t>
  </si>
  <si>
    <t>Jefe de Bodega</t>
  </si>
  <si>
    <t>Intregrador de insumos</t>
  </si>
  <si>
    <t>Estampador</t>
  </si>
  <si>
    <t>Entrenador</t>
  </si>
  <si>
    <t>Conductor</t>
  </si>
  <si>
    <t>Servicios Generales</t>
  </si>
  <si>
    <t>Lijador</t>
  </si>
  <si>
    <t>Pistolero</t>
  </si>
  <si>
    <t>Arrugador</t>
  </si>
  <si>
    <t>Planchador</t>
  </si>
  <si>
    <t>Psicológo</t>
  </si>
  <si>
    <t>Pie de máquina</t>
  </si>
  <si>
    <t>Basico</t>
  </si>
  <si>
    <t>NOMISENA</t>
  </si>
  <si>
    <t>FECHA FIN CONTRATO</t>
  </si>
  <si>
    <t>TIPO CONTRATO</t>
  </si>
  <si>
    <t>FECHA RETIRO</t>
  </si>
  <si>
    <t>MOTIVO RETIRO</t>
  </si>
  <si>
    <t>PERMISO REMUNERADO</t>
  </si>
  <si>
    <t>PERMISO NO REMUNERADO</t>
  </si>
  <si>
    <t>SIN JUSTA CAUSA</t>
  </si>
  <si>
    <t>Recargo Nocturno Dom/Fest2</t>
  </si>
  <si>
    <t>INGRESOS</t>
  </si>
  <si>
    <t>Ingresos Gravados (Constitutivos de Renta)</t>
  </si>
  <si>
    <t>límites</t>
  </si>
  <si>
    <t>Pago del mes (todos los pagos, sean o no constitutivos de salario). Además, cuando se cancelen cesantías o intereses de cesantías, o cuando las cesantías sean consignadas en los fondos de cesantías, dichos valores sí le constituirán ingreso fiscal al asalariado al final del año, pero los empleadores nunca deben someter dichos valores a retención en la fuente .</t>
  </si>
  <si>
    <r>
      <t xml:space="preserve">Pago o abono en cuenta por rentas de trabajo no laborales (honorarios, comisiones, servicios, emolumentos, etc.), si los pagos o abonos en cuenta se someterán a retención con la tabla del artículo 383 del ET, en ese caso se deberán sumar todas las facturas o cuentas de cobro que sean del mismo mes. Pero cuando </t>
    </r>
    <r>
      <rPr>
        <sz val="12"/>
        <color indexed="10"/>
        <rFont val="Calibri Light"/>
        <family val="2"/>
        <scheme val="major"/>
      </rPr>
      <t>no</t>
    </r>
    <r>
      <rPr>
        <sz val="12"/>
        <rFont val="Calibri Light"/>
        <family val="2"/>
        <scheme val="major"/>
      </rPr>
      <t xml:space="preserve"> se tenga que aplicar la tabla del artículo 383 del ET, sino las tarifas tradicionales de los artículos 392 o 401 del ET, entonces se podrá mirar cada factura o cuenta de cobro del mismo mes en forma independiente.</t>
    </r>
  </si>
  <si>
    <t>Ingresos  No Gravados (No Constitutivos de Renta ni ganancia ocasional)</t>
  </si>
  <si>
    <t xml:space="preserve">Aporte obligatorio a salud calculado sobre los ingresos del mismo mes. En el caso de quienes cobran rentas de trabajo sin vínculo laboral, solo se restará el aporte que corresponda al contrato que esté pagando o abonando en cuenta el respectivo agente de retención, y dicho aporte se demostrará con copia de la Pila que deberá adjuntarse a la respectiva factura o cuenta de cobro (ver artículos 1.2.4.1.7 y 1.2.4.1.16 del DUT 1625 de 2016).
Téngase presente que la Ley 1955 de mayo 25 de 2019 derogó el artículo 135 de la Ley 1753 de junio de 2015 y, por tanto, ya no existe obligación de practicar retención a título de aportes a seguridad social a los trabajadores independientes (ver también el artículo 244 de la misma Ley 1955 de mayo de 2019, modificado con el artículo 139 de la Ley 2010 de diciembre 27 de 2019 y reglamentado con el Decreto 1377 de octubre 21 de 2020). </t>
  </si>
  <si>
    <t>Sín límite</t>
  </si>
  <si>
    <t>Aportes obligatorios a los fondos de pensiones obligatorias realizados sobre los ingresos del mismo mes (ver el artículo 55 del ET, modificado con el artículo 31 de la Ley 2010 de diciembre 27 de 2019).</t>
  </si>
  <si>
    <t>Fondo de solidaridad pensional</t>
  </si>
  <si>
    <t>Aportes voluntarios a los fondos de pensiones obligatorios del régimen de ahorro individual (ver artículo 55 del ET, luego de ser modificado con el artículo 31 de la Ley 2010 de diciembre 27 de 2019; este valor no puede exceder el 25 % del ingreso bruto del mes y, adicionalmente, en valores absolutos, no debe exceder las 2.500 UVT anuales; al respecto, téngase presente que el DUT 1625 de 2016 no fija un límite mensual especial  en UVT para este concepto y, por tanto, el agente de retención lo único que tiene que vigilar es que durrante un mismo año fiscal no se lleguen a restar más de 2.500 UVT).</t>
  </si>
  <si>
    <t>25% del ingreso laboral y hasta 2500 UVT (Al año)</t>
  </si>
  <si>
    <t>Subtotal 1 ("Ingreso neto" del mes) Ingreso gravado - Ingreso No gravado</t>
  </si>
  <si>
    <t>Deducciones del artículo 387</t>
  </si>
  <si>
    <r>
      <t xml:space="preserve">      1) Intereses en préstamos para adquisición de vivienda del trabajador (o el costo financiero en un contrato de</t>
    </r>
    <r>
      <rPr>
        <i/>
        <sz val="12"/>
        <rFont val="Calibri Light"/>
        <family val="2"/>
        <scheme val="major"/>
      </rPr>
      <t xml:space="preserve"> leasing</t>
    </r>
    <r>
      <rPr>
        <sz val="12"/>
        <rFont val="Calibri Light"/>
        <family val="2"/>
        <scheme val="major"/>
      </rPr>
      <t xml:space="preserve"> para adquirir vivienda del trabajador) pagados en el año anterior </t>
    </r>
    <r>
      <rPr>
        <b/>
        <sz val="12"/>
        <color rgb="FFC00000"/>
        <rFont val="Calibri Light"/>
        <family val="2"/>
        <scheme val="major"/>
      </rPr>
      <t>(2023)</t>
    </r>
    <r>
      <rPr>
        <sz val="12"/>
        <rFont val="Calibri Light"/>
        <family val="2"/>
        <scheme val="major"/>
      </rPr>
      <t xml:space="preserve"> y  divididos por los meses a que correspondieron (este valor no puede exceder mensualmente las 100 UVT, o sea,  100 x $47.065 = $4.706.500; ver artículos 1.2.4.1.6, 1.2.4.1.23 y 1.2.1.4.1.24 del DUT 1625 de 2016).</t>
    </r>
  </si>
  <si>
    <r>
      <t xml:space="preserve">       2) Pagos durante el año anterior </t>
    </r>
    <r>
      <rPr>
        <b/>
        <sz val="12"/>
        <color rgb="FFC00000"/>
        <rFont val="Calibri Light"/>
        <family val="2"/>
        <scheme val="major"/>
      </rPr>
      <t>(2023)</t>
    </r>
    <r>
      <rPr>
        <sz val="12"/>
        <rFont val="Calibri Light"/>
        <family val="2"/>
        <scheme val="major"/>
      </rPr>
      <t xml:space="preserve"> a medicina prepagada del trabajador, el cónyuge, y sus hijos y dependientes, y  divididos por los meses correspondientes (este valor no pude exceder las 16 UVT, o sea, 16 x $47.065 = $753.040). </t>
    </r>
  </si>
  <si>
    <t>16 UVT</t>
  </si>
  <si>
    <t xml:space="preserve">       3) Deducción por concepto de dependientes o personas a cargo, pero solamente si esos dependientes son del tipo de personas expresamente mencionadas en el parágrafo del artículo 387 del ET y en los artículos 1.2.1.4.1.6 y 1.2.4.1.18 del DUT 1625 de 2016   (se resta el 10 % de los ingresos brutos, sin exceder las 32 UVT; o sea, sin exceder las 32 x $42.412 = $1.357.000). En la reforma tributaria se habla de 4 diferentes dependientes equivalente a 72 UVT anuales, esta deducción sólo se usará al final del año cuando se elabore la declaración de renta.</t>
  </si>
  <si>
    <t>10% DE LOS INGRESOS BRUTOS LABORALES Y HASTA 32 UVT</t>
  </si>
  <si>
    <t>RENTAS EXCENTAS</t>
  </si>
  <si>
    <t xml:space="preserve">           1) Aportes  voluntarios a los fondos de pensiones y a las cuentas AFC y cuentas AVC (ver artículos 126-1 y 126-4 del ET y los artículos 1.2.1.22.41 hasta 1.2.1.22.43 del DUT 1625 de 2016. La suma de estos dos valores no puede exceder el 30 % del valor bruto devengado en el mes (ver los artículos 126-1 y 126-4 del ET). Además, a lo largo del año cada empleador o contratante debe controlar que, en total, al mismo asalariado o prestador de servicios no se le reste por estos conceptos combinados un valor superior a 3.800 UVT (en el 2023 sería: 3.800 x $42.412 = $161.166.000; ver también los artículos 1.2.1.22.41 y 1.2.1.22.43 del DUT 1625 de 2016).</t>
  </si>
  <si>
    <t>30% DEL INGRESO LABORAL O INGRESO TRIBUTARIO DEL AÑO, HASTA 3800 UVT POR AÑO</t>
  </si>
  <si>
    <t>límite general de rentas excentas 40% del ingreso salarial y hasta 1340 UVT (Anual)</t>
  </si>
  <si>
    <t xml:space="preserve">     2) Los valores de los numerales 1 al 3 del artículo 206 del ET (ejemplo: el valor de los dineros para gastos de entierro del trabajador, o las indemnizaciones que impliquen protección a la maternidad).</t>
  </si>
  <si>
    <t xml:space="preserve">     3) Los valores de los numerales 6 al 9 del artículo 206 del ET (ejemplo: el valor de los gastos de representación de los rectores y profesores de universidades públicas los cuales no podrán exceder el 50 % de su salario; o el valor de los gastos de representación de los magistrados y fiscales, los cuales no podrán exceder el 50 % de su salario).</t>
  </si>
  <si>
    <t>4) Los valores del artículo 206-1 del ET (prima especial y prima costo de vida de que trata el Decreto 3357 de 2009, recibida por servidores públicos diplomáticos; estas partidas se restan como renta exenta sin someterse luego al límite del 40 %)</t>
  </si>
  <si>
    <t>Subtotal 2 (Subotal 1- deducciones - Rentas excentas)</t>
  </si>
  <si>
    <r>
      <rPr>
        <b/>
        <sz val="12"/>
        <rFont val="Calibri Light"/>
        <family val="2"/>
        <scheme val="major"/>
      </rPr>
      <t>Menos:</t>
    </r>
    <r>
      <rPr>
        <sz val="12"/>
        <rFont val="Calibri Light"/>
        <family val="2"/>
        <scheme val="major"/>
      </rPr>
      <t xml:space="preserve"> el 25 % del subtotal 2, sin que anualmente exceda las </t>
    </r>
    <r>
      <rPr>
        <b/>
        <sz val="12"/>
        <color rgb="FFC00000"/>
        <rFont val="Calibri Light"/>
        <family val="2"/>
        <scheme val="major"/>
      </rPr>
      <t>790 UVT (es decir, 790 x $47.065 = $37.181.350)</t>
    </r>
    <r>
      <rPr>
        <b/>
        <sz val="12"/>
        <rFont val="Calibri Light"/>
        <family val="2"/>
        <scheme val="major"/>
      </rPr>
      <t xml:space="preserve"> </t>
    </r>
    <r>
      <rPr>
        <sz val="12"/>
        <rFont val="Calibri Light"/>
        <family val="2"/>
        <scheme val="major"/>
      </rPr>
      <t xml:space="preserve">La reforma no da el dato mensual.
</t>
    </r>
  </si>
  <si>
    <t>790 UVT ANUAL</t>
  </si>
  <si>
    <t>Subtotal 3</t>
  </si>
  <si>
    <t>Las deducciones y rentas exentas que se pretenden restar (sin incluir las rentas exentas que correspondan a los numerales 6, 7, 8 y 9 del artículo 206 del ET, o las que correspondan al artículo 206-1 del ET, las cuales no se deben someter a ningún límite y, por tanto, se pueden restar 100 %) están sumando hasta el momento un valor de:</t>
  </si>
  <si>
    <t>Dicho valor no debe exceder el resultado de tomar el subtotal 1 y multiplicarlo por el 40 %. Además, en valores absolutos, ese 40 % no puede exceder las 1.340 UVT anuales,  (en pesos serían: 1.340 UVT x 42.412= $56.832.000); La reforma tributaria no mencionó nada de valores mensuales.</t>
  </si>
  <si>
    <t>Valor que no se puede restar como deducciones y rentas exentas y que, por ende, se debe sumar al subtotal 3</t>
  </si>
  <si>
    <t>Subtotal 4</t>
  </si>
  <si>
    <t xml:space="preserve">  Valor de la UVT durante el 2023</t>
  </si>
  <si>
    <t xml:space="preserve">  Valor del salario, o el servicio, gravable del mes en términos de UVT</t>
  </si>
  <si>
    <t xml:space="preserve">  Valor de la retención en pesos</t>
  </si>
  <si>
    <t>Rangos en UVT</t>
  </si>
  <si>
    <t>Tarifa marginal</t>
  </si>
  <si>
    <t>IMPUESTO</t>
  </si>
  <si>
    <t>&gt;0</t>
  </si>
  <si>
    <t>&gt;95</t>
  </si>
  <si>
    <t>(Ingreso laboral gravado expresado en UVT menos 95 UVT) *19%</t>
  </si>
  <si>
    <t>&gt;150</t>
  </si>
  <si>
    <t>(Ingreso laboral gravado expresado en UVT menos 150 UVT) *28% más 10 UVT</t>
  </si>
  <si>
    <t>&gt;360</t>
  </si>
  <si>
    <t>(Ingreso laboral gravado expresado en UVT menos 360 UVT) *33% más 69 UVT</t>
  </si>
  <si>
    <t>&gt;640</t>
  </si>
  <si>
    <t>(Ingreso laboral gravado expresado en UVT menos 640 UVT) *35% más 162 UVT</t>
  </si>
  <si>
    <t>&gt;945</t>
  </si>
  <si>
    <t>(Ingreso laboral gravado expresado en UVT menos 945 UVT) *37% más 268 UVT</t>
  </si>
  <si>
    <t>&gt;2300</t>
  </si>
  <si>
    <t>En adelante</t>
  </si>
  <si>
    <t>(Ingreso laboral gravado expresado en UVT menos 2300 UVT) *39% más 770 UVT</t>
  </si>
  <si>
    <t>100 UVT PROMEDIO MES, 1200 UVT ANUAL</t>
  </si>
  <si>
    <t>1340 UVT ANUALES, 111 UVT MES</t>
  </si>
  <si>
    <t>1. PARAMETRIZAR</t>
  </si>
  <si>
    <t>£</t>
  </si>
  <si>
    <r>
      <t xml:space="preserve">En la herramienta </t>
    </r>
    <r>
      <rPr>
        <b/>
        <u/>
        <sz val="12"/>
        <color theme="1"/>
        <rFont val="Calibri (Cuerpo)"/>
      </rPr>
      <t>NOMISENA</t>
    </r>
    <r>
      <rPr>
        <sz val="12"/>
        <color theme="1"/>
        <rFont val="Calibri"/>
        <family val="2"/>
        <scheme val="minor"/>
      </rPr>
      <t xml:space="preserve"> se debe parametrizar la hoja </t>
    </r>
    <r>
      <rPr>
        <b/>
        <i/>
        <sz val="12"/>
        <color theme="1"/>
        <rFont val="Calibri"/>
        <family val="2"/>
        <scheme val="minor"/>
      </rPr>
      <t>DATOS</t>
    </r>
    <r>
      <rPr>
        <sz val="12"/>
        <color theme="1"/>
        <rFont val="Calibri"/>
        <family val="2"/>
        <scheme val="minor"/>
      </rPr>
      <t xml:space="preserve"> con los valores establecidos en cada período, es decir, para el año 2025 actualizar los valores de salario mínimo, auxilio de transporte y todos los que cambien según actualizaciones.  Para el año 2024 la herramienta ya está parametrizada. Cada usuario debe parametrizar los cargos y sus salarios segùn los tenga establecidos en su unidad productiva, la plantilla permite registrar 50 cargos y salarios, puede agregarle filas en caso de ser necesario.</t>
    </r>
  </si>
  <si>
    <t>Parametrizar la hoja EMPLEADOS, En esta hoja el usuario debe ingresar, cèdula, nombre, cargo, fecha de ingreso, fecha de fin de contrato, fecha de retiro, tipo de contrato de cada uno de los colaboradores que tenga en la unidad productiva</t>
  </si>
  <si>
    <t>2. AGREGAR NOVEDADES</t>
  </si>
  <si>
    <t>3. GENERAR RECIBO</t>
  </si>
  <si>
    <t>En el campo o celda cèdula digitar la cèdula del colaborador y dar enter.</t>
  </si>
  <si>
    <t>RIGOBERTO URAN PEÑA</t>
  </si>
  <si>
    <t>RENÉ HIGUITA SUAZA</t>
  </si>
  <si>
    <t>Parafiscales Salud</t>
  </si>
  <si>
    <t>Parafiscales Pension</t>
  </si>
  <si>
    <t>Parafiscales ARL</t>
  </si>
  <si>
    <t>ParafiscalesSENA</t>
  </si>
  <si>
    <t>Parafiscales ICBF</t>
  </si>
  <si>
    <t>Parafiscales Caja de Compenscion</t>
  </si>
  <si>
    <t>Provisiones Cesantias</t>
  </si>
  <si>
    <t>Provisiones Intereses sobre Cesantias</t>
  </si>
  <si>
    <t>Provisiones Primas de Servicios</t>
  </si>
  <si>
    <t>Provisiones Vacaciones</t>
  </si>
  <si>
    <t>Etiquetas de fila</t>
  </si>
  <si>
    <t>Total general</t>
  </si>
  <si>
    <t>Suma de Incapacidad</t>
  </si>
  <si>
    <t>Suma de Total Devengado</t>
  </si>
  <si>
    <t>TOTAL PARAFISCALES</t>
  </si>
  <si>
    <t>TOTAL SUMA PROVISIONES</t>
  </si>
  <si>
    <t>REPORTE NÓMINA</t>
  </si>
  <si>
    <t xml:space="preserve"> H.E. Diur. Dom/Fest</t>
  </si>
  <si>
    <t>H.E. Noct</t>
  </si>
  <si>
    <t>H.E. Noct. Dom/Fest.</t>
  </si>
  <si>
    <t>Recargo Noctu</t>
  </si>
  <si>
    <t>Recargo Noct. Dom/Fest.</t>
  </si>
  <si>
    <t>Recargo Diurno Dom/Fest.</t>
  </si>
  <si>
    <t>VALOR NÓMINA</t>
  </si>
  <si>
    <t>TOTAL PARAFISCALES_</t>
  </si>
  <si>
    <t>TOTAL PROVISIONES_</t>
  </si>
  <si>
    <t>RECARGO DIURNO DOMINICAL O FESTIVO</t>
  </si>
  <si>
    <t>RECARGO NOCTURNO  DOMINICAL O FESTIVO</t>
  </si>
  <si>
    <t>LIQUIDACIÓN DEFINITIVA CONTRATO TÉRMINO FIJO</t>
  </si>
  <si>
    <t xml:space="preserve">En esta hoja debe ingrearse el número de cedula del colaborador y llenar cada uno de los campos o columnas segùn la indicaciòn del tìtulo de la tabla, considerar que la formulación está descontando sólo un dominical, asumiendo que las faltas sin justa causa o los persmisos no remunerados se presentan en una sola semana. </t>
  </si>
  <si>
    <t>EDICAR</t>
  </si>
  <si>
    <t>YILIMAR</t>
  </si>
  <si>
    <t>SANDRA</t>
  </si>
  <si>
    <t>DUVAN</t>
  </si>
  <si>
    <t>NEICER</t>
  </si>
  <si>
    <t>BRAYAN</t>
  </si>
  <si>
    <t>YASMÍN</t>
  </si>
  <si>
    <t>JOSE</t>
  </si>
  <si>
    <t>DISNERIS AVEMARIA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</si>
</sst>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1" formatCode="_-* #,##0_-;\-* #,##0_-;_-* &quot;-&quot;_-;_-@_-"/>
    <numFmt numFmtId="44" formatCode="_-&quot;$&quot;\ * #,##0.00_-;\-&quot;$&quot;\ * #,##0.00_-;_-&quot;$&quot;\ * &quot;-&quot;??_-;_-@_-"/>
    <numFmt numFmtId="164" formatCode="&quot;$&quot;#,##0;[Red]\-&quot;$&quot;#,##0"/>
    <numFmt numFmtId="165" formatCode="_(&quot;$&quot;\ * #,##0_);_(&quot;$&quot;\ * \(#,##0\);_(&quot;$&quot;\ * &quot;-&quot;??_);_(@_)"/>
    <numFmt numFmtId="166" formatCode="0.000%"/>
    <numFmt numFmtId="167" formatCode="&quot;$&quot;\ #,##0"/>
    <numFmt numFmtId="168" formatCode="0.0%"/>
    <numFmt numFmtId="169" formatCode="_(* #,##0_);_(* \(#,##0\);_(* &quot;-&quot;??_);_(@_)"/>
    <numFmt numFmtId="170" formatCode="_-&quot;$&quot;\ * #,##0_-;\-&quot;$&quot;\ * #,##0_-;_-&quot;$&quot;\ * &quot;-&quot;??_-;_-@_-"/>
    <numFmt numFmtId="171" formatCode="_(&quot;$&quot;\ * #,##0.00_);_(&quot;$&quot;\ * \(#,##0.00\);_(&quot;$&quot;\ * &quot;-&quot;??_);_(@_)"/>
    <numFmt numFmtId="172" formatCode="dd/mm/yyyy;@"/>
    <numFmt numFmtId="173" formatCode="[$-F800]dddd\,\ mmmm\ dd\,\ yyyy"/>
    <numFmt numFmtId="174" formatCode="[$-240A]d&quot; de &quot;mmmm&quot; de &quot;yyyy;@"/>
    <numFmt numFmtId="175" formatCode="#,##0;[Red]\(#,##0\)"/>
    <numFmt numFmtId="176" formatCode="_ &quot;$&quot;\ * #,##0_ ;_ &quot;$&quot;\ * \-#,##0_ ;_ &quot;$&quot;\ * &quot;-&quot;??_ ;_ @_ "/>
  </numFmts>
  <fonts count="63">
    <font>
      <sz val="11"/>
      <color theme="1"/>
      <name val="Calibri"/>
      <family val="2"/>
      <scheme val="minor"/>
    </font>
    <font>
      <sz val="12"/>
      <color theme="1"/>
      <name val="Calibri"/>
      <family val="2"/>
      <scheme val="minor"/>
    </font>
    <font>
      <sz val="11"/>
      <color theme="1"/>
      <name val="Calibri"/>
      <family val="2"/>
      <scheme val="minor"/>
    </font>
    <font>
      <sz val="9"/>
      <color theme="1"/>
      <name val="Arial"/>
      <family val="2"/>
    </font>
    <font>
      <b/>
      <sz val="9"/>
      <color theme="1"/>
      <name val="Arial"/>
      <family val="2"/>
    </font>
    <font>
      <b/>
      <sz val="8"/>
      <color theme="1"/>
      <name val="Arial"/>
      <family val="2"/>
    </font>
    <font>
      <sz val="9"/>
      <name val="Arial"/>
      <family val="2"/>
    </font>
    <font>
      <b/>
      <sz val="16"/>
      <name val="Arial Black"/>
      <family val="2"/>
    </font>
    <font>
      <b/>
      <sz val="9"/>
      <name val="Arial"/>
      <family val="2"/>
    </font>
    <font>
      <sz val="16"/>
      <name val="Arial Black"/>
      <family val="2"/>
    </font>
    <font>
      <sz val="36"/>
      <color theme="1"/>
      <name val="Arial"/>
      <family val="2"/>
    </font>
    <font>
      <b/>
      <sz val="22"/>
      <color theme="9" tint="-0.499984740745262"/>
      <name val="Calibri"/>
      <family val="2"/>
      <scheme val="minor"/>
    </font>
    <font>
      <b/>
      <sz val="11"/>
      <color theme="9" tint="-0.499984740745262"/>
      <name val="Calibri"/>
      <family val="2"/>
      <scheme val="minor"/>
    </font>
    <font>
      <b/>
      <sz val="24"/>
      <color theme="9" tint="-0.499984740745262"/>
      <name val="Calibri"/>
      <family val="2"/>
      <scheme val="minor"/>
    </font>
    <font>
      <sz val="11"/>
      <color theme="9" tint="-0.499984740745262"/>
      <name val="Calibri"/>
      <family val="2"/>
      <scheme val="minor"/>
    </font>
    <font>
      <sz val="9"/>
      <color indexed="81"/>
      <name val="Tahoma"/>
      <family val="2"/>
    </font>
    <font>
      <b/>
      <sz val="9"/>
      <color indexed="81"/>
      <name val="Tahoma"/>
      <family val="2"/>
    </font>
    <font>
      <b/>
      <sz val="11"/>
      <color theme="1"/>
      <name val="Calibri"/>
      <family val="2"/>
      <scheme val="minor"/>
    </font>
    <font>
      <b/>
      <sz val="9"/>
      <color theme="0"/>
      <name val="Arial"/>
      <family val="2"/>
    </font>
    <font>
      <b/>
      <sz val="14"/>
      <color theme="1"/>
      <name val="Arial"/>
      <family val="2"/>
    </font>
    <font>
      <b/>
      <sz val="14"/>
      <color theme="1"/>
      <name val="Calibri"/>
      <family val="2"/>
      <scheme val="minor"/>
    </font>
    <font>
      <b/>
      <sz val="14"/>
      <color theme="0"/>
      <name val="Calibri"/>
      <family val="2"/>
      <scheme val="minor"/>
    </font>
    <font>
      <b/>
      <sz val="8"/>
      <name val="Arial"/>
      <family val="2"/>
    </font>
    <font>
      <sz val="11"/>
      <color theme="0"/>
      <name val="Calibri"/>
      <family val="2"/>
      <scheme val="minor"/>
    </font>
    <font>
      <b/>
      <sz val="8"/>
      <color theme="0"/>
      <name val="Arial"/>
      <family val="2"/>
    </font>
    <font>
      <b/>
      <sz val="16"/>
      <color theme="1"/>
      <name val="Calibri"/>
      <family val="2"/>
      <scheme val="minor"/>
    </font>
    <font>
      <sz val="10"/>
      <color theme="1"/>
      <name val="Calibri"/>
      <family val="2"/>
      <scheme val="minor"/>
    </font>
    <font>
      <b/>
      <sz val="20"/>
      <color theme="0"/>
      <name val="Calibri"/>
      <family val="2"/>
      <scheme val="minor"/>
    </font>
    <font>
      <b/>
      <sz val="72"/>
      <color theme="0"/>
      <name val="Calibri"/>
      <family val="2"/>
      <scheme val="minor"/>
    </font>
    <font>
      <b/>
      <sz val="18"/>
      <color rgb="FF00CC00"/>
      <name val="Calibri"/>
      <family val="2"/>
      <scheme val="minor"/>
    </font>
    <font>
      <b/>
      <sz val="14"/>
      <color rgb="FF00CC00"/>
      <name val="Calibri"/>
      <family val="2"/>
      <scheme val="minor"/>
    </font>
    <font>
      <sz val="12"/>
      <name val="Calibri Light"/>
      <family val="2"/>
      <scheme val="major"/>
    </font>
    <font>
      <b/>
      <sz val="22"/>
      <name val="Calibri Light"/>
      <family val="2"/>
      <scheme val="major"/>
    </font>
    <font>
      <sz val="12"/>
      <color indexed="10"/>
      <name val="Calibri Light"/>
      <family val="2"/>
      <scheme val="major"/>
    </font>
    <font>
      <sz val="18"/>
      <name val="Calibri Light"/>
      <family val="2"/>
      <scheme val="major"/>
    </font>
    <font>
      <b/>
      <sz val="16"/>
      <color theme="0"/>
      <name val="Calibri Light"/>
      <family val="2"/>
      <scheme val="major"/>
    </font>
    <font>
      <b/>
      <sz val="18"/>
      <color theme="0"/>
      <name val="Calibri Light"/>
      <family val="2"/>
      <scheme val="major"/>
    </font>
    <font>
      <b/>
      <sz val="12"/>
      <name val="Calibri Light"/>
      <family val="2"/>
      <scheme val="major"/>
    </font>
    <font>
      <i/>
      <sz val="12"/>
      <name val="Calibri Light"/>
      <family val="2"/>
      <scheme val="major"/>
    </font>
    <font>
      <b/>
      <sz val="12"/>
      <color rgb="FFC00000"/>
      <name val="Calibri Light"/>
      <family val="2"/>
      <scheme val="major"/>
    </font>
    <font>
      <sz val="16"/>
      <name val="Calibri Light"/>
      <family val="2"/>
      <scheme val="major"/>
    </font>
    <font>
      <b/>
      <sz val="20"/>
      <name val="Calibri Light"/>
      <family val="2"/>
      <scheme val="major"/>
    </font>
    <font>
      <sz val="20"/>
      <name val="Calibri Light"/>
      <family val="2"/>
      <scheme val="major"/>
    </font>
    <font>
      <sz val="12"/>
      <color theme="1"/>
      <name val="Calibri Light"/>
      <family val="2"/>
      <scheme val="major"/>
    </font>
    <font>
      <sz val="16"/>
      <color theme="1"/>
      <name val="Calibri Light"/>
      <family val="2"/>
      <scheme val="major"/>
    </font>
    <font>
      <b/>
      <sz val="14"/>
      <color theme="0"/>
      <name val="Calibri Light"/>
      <family val="2"/>
      <scheme val="major"/>
    </font>
    <font>
      <i/>
      <sz val="18"/>
      <name val="Calibri Light"/>
      <family val="2"/>
      <scheme val="major"/>
    </font>
    <font>
      <sz val="12"/>
      <color rgb="FF000000"/>
      <name val="Arial"/>
      <family val="2"/>
    </font>
    <font>
      <b/>
      <sz val="22"/>
      <color theme="1"/>
      <name val="Calibri Light"/>
      <family val="2"/>
      <scheme val="major"/>
    </font>
    <font>
      <sz val="22"/>
      <color theme="1"/>
      <name val="Calibri Light"/>
      <family val="2"/>
      <scheme val="major"/>
    </font>
    <font>
      <sz val="16"/>
      <color theme="1"/>
      <name val="Calibri"/>
      <family val="2"/>
      <scheme val="minor"/>
    </font>
    <font>
      <b/>
      <sz val="16"/>
      <name val="Calibri Light"/>
      <family val="2"/>
      <scheme val="major"/>
    </font>
    <font>
      <i/>
      <sz val="16"/>
      <name val="Calibri Light"/>
      <family val="2"/>
      <scheme val="major"/>
    </font>
    <font>
      <b/>
      <sz val="16"/>
      <color theme="1"/>
      <name val="Calibri Light"/>
      <family val="2"/>
      <scheme val="major"/>
    </font>
    <font>
      <sz val="14"/>
      <color indexed="81"/>
      <name val="Tahoma"/>
      <family val="2"/>
    </font>
    <font>
      <sz val="12"/>
      <color indexed="81"/>
      <name val="Tahoma"/>
      <family val="2"/>
    </font>
    <font>
      <b/>
      <sz val="12"/>
      <color indexed="81"/>
      <name val="Tahoma"/>
      <family val="2"/>
    </font>
    <font>
      <b/>
      <sz val="12"/>
      <color theme="1"/>
      <name val="Calibri"/>
      <family val="2"/>
      <scheme val="minor"/>
    </font>
    <font>
      <b/>
      <u/>
      <sz val="12"/>
      <color theme="1"/>
      <name val="Calibri (Cuerpo)"/>
    </font>
    <font>
      <b/>
      <i/>
      <sz val="12"/>
      <color theme="1"/>
      <name val="Calibri"/>
      <family val="2"/>
      <scheme val="minor"/>
    </font>
    <font>
      <b/>
      <sz val="36"/>
      <color theme="0"/>
      <name val="Calibri"/>
      <family val="2"/>
      <scheme val="minor"/>
    </font>
    <font>
      <b/>
      <sz val="12"/>
      <color theme="0"/>
      <name val="Calibri"/>
      <family val="2"/>
      <scheme val="minor"/>
    </font>
    <font>
      <sz val="12"/>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42CD11"/>
        <bgColor indexed="64"/>
      </patternFill>
    </fill>
    <fill>
      <patternFill patternType="solid">
        <fgColor rgb="FF75F04A"/>
        <bgColor indexed="64"/>
      </patternFill>
    </fill>
    <fill>
      <patternFill patternType="solid">
        <fgColor theme="4" tint="-0.499984740745262"/>
        <bgColor indexed="64"/>
      </patternFill>
    </fill>
    <fill>
      <patternFill patternType="solid">
        <fgColor rgb="FF002060"/>
        <bgColor indexed="64"/>
      </patternFill>
    </fill>
    <fill>
      <patternFill patternType="solid">
        <fgColor theme="2" tint="-0.89999084444715716"/>
        <bgColor indexed="64"/>
      </patternFill>
    </fill>
    <fill>
      <patternFill patternType="solid">
        <fgColor rgb="FF39A900"/>
        <bgColor indexed="64"/>
      </patternFill>
    </fill>
    <fill>
      <patternFill patternType="solid">
        <fgColor rgb="FF00CC00"/>
        <bgColor indexed="64"/>
      </patternFill>
    </fill>
    <fill>
      <patternFill patternType="solid">
        <fgColor rgb="FFFFFFFF"/>
        <bgColor indexed="64"/>
      </patternFill>
    </fill>
    <fill>
      <patternFill patternType="solid">
        <fgColor rgb="FF00304D"/>
        <bgColor indexed="64"/>
      </patternFill>
    </fill>
    <fill>
      <patternFill patternType="solid">
        <fgColor rgb="FFFDC3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theme="0" tint="-0.499984740745262"/>
      </top>
      <bottom style="thin">
        <color theme="0" tint="-0.499984740745262"/>
      </bottom>
      <diagonal/>
    </border>
    <border>
      <left style="medium">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style="medium">
        <color indexed="64"/>
      </right>
      <top/>
      <bottom/>
      <diagonal/>
    </border>
    <border>
      <left/>
      <right/>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bottom style="thick">
        <color rgb="FF00CC00"/>
      </bottom>
      <diagonal/>
    </border>
    <border>
      <left style="thick">
        <color rgb="FF00CC00"/>
      </left>
      <right/>
      <top style="thick">
        <color rgb="FF00CC00"/>
      </top>
      <bottom style="thick">
        <color rgb="FF00CC00"/>
      </bottom>
      <diagonal/>
    </border>
    <border>
      <left style="thick">
        <color rgb="FF00CC00"/>
      </left>
      <right/>
      <top/>
      <bottom/>
      <diagonal/>
    </border>
    <border>
      <left style="thick">
        <color rgb="FF00CC00"/>
      </left>
      <right style="thick">
        <color rgb="FF00CC00"/>
      </right>
      <top style="thick">
        <color rgb="FF00CC00"/>
      </top>
      <bottom style="thick">
        <color rgb="FF00CC00"/>
      </bottom>
      <diagonal/>
    </border>
    <border>
      <left style="thick">
        <color rgb="FF00CC00"/>
      </left>
      <right style="thick">
        <color rgb="FF00CC00"/>
      </right>
      <top style="thick">
        <color rgb="FF00CC00"/>
      </top>
      <bottom/>
      <diagonal/>
    </border>
    <border>
      <left/>
      <right/>
      <top style="thick">
        <color rgb="FF00CC00"/>
      </top>
      <bottom style="thick">
        <color rgb="FF00CC00"/>
      </bottom>
      <diagonal/>
    </border>
    <border>
      <left style="thick">
        <color theme="5"/>
      </left>
      <right/>
      <top/>
      <bottom/>
      <diagonal/>
    </border>
    <border>
      <left/>
      <right/>
      <top style="thick">
        <color rgb="FF00CC00"/>
      </top>
      <bottom/>
      <diagonal/>
    </border>
    <border>
      <left style="thick">
        <color rgb="FF00CC00"/>
      </left>
      <right/>
      <top style="thick">
        <color rgb="FF00CC00"/>
      </top>
      <bottom/>
      <diagonal/>
    </border>
    <border>
      <left style="thick">
        <color rgb="FF00CC00"/>
      </left>
      <right/>
      <top/>
      <bottom style="thick">
        <color rgb="FF00CC00"/>
      </bottom>
      <diagonal/>
    </border>
    <border>
      <left style="thick">
        <color theme="5"/>
      </left>
      <right/>
      <top style="thick">
        <color rgb="FF00CC00"/>
      </top>
      <bottom/>
      <diagonal/>
    </border>
    <border>
      <left style="thick">
        <color theme="0"/>
      </left>
      <right style="thick">
        <color theme="0"/>
      </right>
      <top style="thick">
        <color rgb="FF00CC00"/>
      </top>
      <bottom style="thick">
        <color theme="0"/>
      </bottom>
      <diagonal/>
    </border>
    <border>
      <left style="thick">
        <color theme="0"/>
      </left>
      <right style="thick">
        <color theme="0"/>
      </right>
      <top/>
      <bottom style="thick">
        <color theme="0"/>
      </bottom>
      <diagonal/>
    </border>
    <border>
      <left style="thick">
        <color rgb="FF00CC00"/>
      </left>
      <right style="thick">
        <color theme="0"/>
      </right>
      <top style="thick">
        <color rgb="FF00CC00"/>
      </top>
      <bottom/>
      <diagonal/>
    </border>
    <border>
      <left style="thick">
        <color theme="0"/>
      </left>
      <right/>
      <top style="thick">
        <color rgb="FF00CC00"/>
      </top>
      <bottom/>
      <diagonal/>
    </border>
    <border>
      <left/>
      <right style="medium">
        <color rgb="FF000000"/>
      </right>
      <top/>
      <bottom style="medium">
        <color rgb="FF000000"/>
      </bottom>
      <diagonal/>
    </border>
    <border>
      <left style="thin">
        <color indexed="64"/>
      </left>
      <right style="thin">
        <color indexed="64"/>
      </right>
      <top style="thin">
        <color theme="4" tint="0.39997558519241921"/>
      </top>
      <bottom/>
      <diagonal/>
    </border>
    <border>
      <left/>
      <right/>
      <top style="thin">
        <color theme="4" tint="0.39997558519241921"/>
      </top>
      <bottom/>
      <diagonal/>
    </border>
    <border>
      <left style="medium">
        <color indexed="64"/>
      </left>
      <right style="medium">
        <color indexed="64"/>
      </right>
      <top style="thin">
        <color theme="4" tint="0.39997558519241921"/>
      </top>
      <bottom/>
      <diagonal/>
    </border>
    <border>
      <left style="thin">
        <color indexed="64"/>
      </left>
      <right style="thin">
        <color indexed="64"/>
      </right>
      <top/>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41" fontId="2" fillId="0" borderId="0" applyFont="0" applyFill="0" applyBorder="0" applyAlignment="0" applyProtection="0"/>
  </cellStyleXfs>
  <cellXfs count="338">
    <xf numFmtId="0" fontId="0" fillId="0" borderId="0" xfId="0"/>
    <xf numFmtId="0" fontId="3" fillId="0" borderId="0" xfId="0" applyFont="1"/>
    <xf numFmtId="0" fontId="3" fillId="0" borderId="0" xfId="0" applyFont="1" applyAlignment="1">
      <alignment wrapText="1"/>
    </xf>
    <xf numFmtId="0" fontId="3" fillId="0" borderId="1" xfId="0" applyFont="1" applyBorder="1"/>
    <xf numFmtId="0" fontId="3" fillId="0" borderId="0" xfId="0" applyFont="1" applyProtection="1">
      <protection hidden="1"/>
    </xf>
    <xf numFmtId="165" fontId="3" fillId="0" borderId="0" xfId="0" applyNumberFormat="1" applyFont="1" applyProtection="1">
      <protection hidden="1"/>
    </xf>
    <xf numFmtId="14" fontId="3" fillId="2" borderId="1" xfId="0" applyNumberFormat="1" applyFont="1" applyFill="1" applyBorder="1" applyProtection="1">
      <protection hidden="1"/>
    </xf>
    <xf numFmtId="165" fontId="3" fillId="0" borderId="0" xfId="0" applyNumberFormat="1" applyFont="1" applyAlignment="1" applyProtection="1">
      <alignment horizontal="left"/>
      <protection hidden="1"/>
    </xf>
    <xf numFmtId="14" fontId="3" fillId="0" borderId="1" xfId="0" applyNumberFormat="1" applyFont="1" applyBorder="1" applyProtection="1">
      <protection hidden="1"/>
    </xf>
    <xf numFmtId="0" fontId="4" fillId="0" borderId="1" xfId="0" applyFont="1" applyBorder="1"/>
    <xf numFmtId="167" fontId="3" fillId="0" borderId="1" xfId="0" applyNumberFormat="1" applyFont="1" applyBorder="1"/>
    <xf numFmtId="0" fontId="3" fillId="0" borderId="1" xfId="0" applyFont="1" applyBorder="1" applyAlignment="1">
      <alignment horizontal="left"/>
    </xf>
    <xf numFmtId="168" fontId="3" fillId="0" borderId="1" xfId="0" applyNumberFormat="1" applyFont="1" applyBorder="1"/>
    <xf numFmtId="0" fontId="3" fillId="0" borderId="1" xfId="0" applyFont="1" applyBorder="1" applyAlignment="1">
      <alignment horizontal="right"/>
    </xf>
    <xf numFmtId="3" fontId="3" fillId="0" borderId="1" xfId="0" applyNumberFormat="1" applyFont="1" applyBorder="1" applyAlignment="1">
      <alignment horizontal="right"/>
    </xf>
    <xf numFmtId="3" fontId="3" fillId="2" borderId="3" xfId="0" applyNumberFormat="1" applyFont="1" applyFill="1" applyBorder="1" applyAlignment="1" applyProtection="1">
      <alignment horizontal="left" vertical="center"/>
      <protection hidden="1"/>
    </xf>
    <xf numFmtId="165" fontId="8" fillId="3" borderId="1" xfId="0" applyNumberFormat="1" applyFont="1" applyFill="1" applyBorder="1" applyAlignment="1" applyProtection="1">
      <alignment vertical="center" wrapText="1"/>
      <protection hidden="1"/>
    </xf>
    <xf numFmtId="0" fontId="8" fillId="3" borderId="5" xfId="0" applyFont="1" applyFill="1" applyBorder="1" applyAlignment="1" applyProtection="1">
      <alignment horizontal="center" vertical="center" wrapText="1"/>
      <protection hidden="1"/>
    </xf>
    <xf numFmtId="165" fontId="8" fillId="3" borderId="5" xfId="0" applyNumberFormat="1" applyFont="1" applyFill="1" applyBorder="1" applyAlignment="1" applyProtection="1">
      <alignment horizontal="center" vertical="center" wrapText="1"/>
      <protection hidden="1"/>
    </xf>
    <xf numFmtId="0" fontId="8" fillId="3" borderId="7" xfId="0" applyFont="1" applyFill="1" applyBorder="1" applyAlignment="1" applyProtection="1">
      <alignment horizontal="center" vertical="center" wrapText="1"/>
      <protection hidden="1"/>
    </xf>
    <xf numFmtId="165" fontId="8" fillId="3" borderId="10" xfId="0" applyNumberFormat="1" applyFont="1" applyFill="1" applyBorder="1" applyAlignment="1" applyProtection="1">
      <alignment horizontal="center" vertical="center" wrapText="1"/>
      <protection hidden="1"/>
    </xf>
    <xf numFmtId="165" fontId="8" fillId="3" borderId="3" xfId="0" applyNumberFormat="1" applyFont="1" applyFill="1" applyBorder="1" applyAlignment="1" applyProtection="1">
      <alignment horizontal="center" vertical="center" wrapText="1"/>
      <protection hidden="1"/>
    </xf>
    <xf numFmtId="165" fontId="8" fillId="3" borderId="1" xfId="0" applyNumberFormat="1" applyFont="1" applyFill="1" applyBorder="1" applyAlignment="1" applyProtection="1">
      <alignment horizontal="center" vertical="center" wrapText="1"/>
      <protection hidden="1"/>
    </xf>
    <xf numFmtId="165" fontId="4" fillId="3" borderId="1" xfId="0" applyNumberFormat="1" applyFont="1" applyFill="1" applyBorder="1" applyProtection="1">
      <protection hidden="1"/>
    </xf>
    <xf numFmtId="0" fontId="4" fillId="3" borderId="1" xfId="0" applyFont="1" applyFill="1" applyBorder="1" applyAlignment="1" applyProtection="1">
      <alignment horizontal="center" vertical="center"/>
      <protection hidden="1"/>
    </xf>
    <xf numFmtId="171" fontId="3" fillId="0" borderId="0" xfId="0" applyNumberFormat="1" applyFont="1" applyProtection="1">
      <protection hidden="1"/>
    </xf>
    <xf numFmtId="0" fontId="4" fillId="3" borderId="6" xfId="0" applyFont="1" applyFill="1" applyBorder="1" applyAlignment="1">
      <alignment horizontal="center" vertical="center"/>
    </xf>
    <xf numFmtId="0" fontId="0" fillId="0" borderId="16" xfId="0" applyBorder="1"/>
    <xf numFmtId="0" fontId="0" fillId="0" borderId="6" xfId="0" applyBorder="1"/>
    <xf numFmtId="0" fontId="0" fillId="0" borderId="13" xfId="0" applyBorder="1"/>
    <xf numFmtId="0" fontId="6" fillId="2" borderId="3" xfId="0" applyFont="1" applyFill="1" applyBorder="1" applyProtection="1">
      <protection locked="0"/>
    </xf>
    <xf numFmtId="0" fontId="6" fillId="2" borderId="14" xfId="0" applyFont="1" applyFill="1" applyBorder="1" applyProtection="1">
      <protection locked="0"/>
    </xf>
    <xf numFmtId="170" fontId="0" fillId="2" borderId="15" xfId="1" applyNumberFormat="1" applyFont="1" applyFill="1" applyBorder="1" applyAlignment="1">
      <alignment shrinkToFit="1"/>
    </xf>
    <xf numFmtId="0" fontId="5" fillId="3" borderId="6" xfId="0" applyFont="1" applyFill="1" applyBorder="1" applyAlignment="1">
      <alignment horizontal="center" vertical="center"/>
    </xf>
    <xf numFmtId="0" fontId="5" fillId="3" borderId="13" xfId="0" applyFont="1" applyFill="1" applyBorder="1" applyAlignment="1">
      <alignment horizontal="center" vertical="center" wrapText="1"/>
    </xf>
    <xf numFmtId="0" fontId="3" fillId="2" borderId="3" xfId="0" applyFont="1" applyFill="1" applyBorder="1"/>
    <xf numFmtId="166" fontId="3" fillId="2" borderId="2" xfId="0" applyNumberFormat="1" applyFont="1" applyFill="1" applyBorder="1"/>
    <xf numFmtId="0" fontId="3" fillId="2" borderId="14" xfId="0" applyFont="1" applyFill="1" applyBorder="1"/>
    <xf numFmtId="166" fontId="3" fillId="2" borderId="15" xfId="0" applyNumberFormat="1" applyFont="1" applyFill="1" applyBorder="1"/>
    <xf numFmtId="165" fontId="4" fillId="0" borderId="0" xfId="0" applyNumberFormat="1" applyFont="1" applyProtection="1">
      <protection hidden="1"/>
    </xf>
    <xf numFmtId="165" fontId="4" fillId="4" borderId="11" xfId="0" applyNumberFormat="1" applyFont="1" applyFill="1" applyBorder="1" applyAlignment="1" applyProtection="1">
      <alignment horizontal="center"/>
      <protection hidden="1"/>
    </xf>
    <xf numFmtId="0" fontId="4" fillId="3" borderId="13" xfId="0" applyFont="1" applyFill="1" applyBorder="1" applyAlignment="1">
      <alignment vertical="center"/>
    </xf>
    <xf numFmtId="0" fontId="3" fillId="2" borderId="2" xfId="0" applyFont="1" applyFill="1" applyBorder="1"/>
    <xf numFmtId="0" fontId="3" fillId="2" borderId="15" xfId="0" applyFont="1" applyFill="1" applyBorder="1"/>
    <xf numFmtId="0" fontId="4" fillId="3" borderId="13" xfId="0" applyFont="1" applyFill="1" applyBorder="1" applyAlignment="1">
      <alignment horizontal="center" vertical="center"/>
    </xf>
    <xf numFmtId="9" fontId="3" fillId="2" borderId="2" xfId="0" applyNumberFormat="1" applyFont="1" applyFill="1" applyBorder="1"/>
    <xf numFmtId="9" fontId="3" fillId="2" borderId="15" xfId="0" applyNumberFormat="1" applyFont="1" applyFill="1" applyBorder="1"/>
    <xf numFmtId="10" fontId="3" fillId="2" borderId="2" xfId="0" applyNumberFormat="1" applyFont="1" applyFill="1" applyBorder="1"/>
    <xf numFmtId="10" fontId="3" fillId="2" borderId="15" xfId="0" applyNumberFormat="1" applyFont="1" applyFill="1" applyBorder="1"/>
    <xf numFmtId="165" fontId="3" fillId="4" borderId="1" xfId="0" applyNumberFormat="1" applyFont="1" applyFill="1" applyBorder="1" applyProtection="1">
      <protection hidden="1"/>
    </xf>
    <xf numFmtId="0" fontId="18" fillId="3" borderId="1" xfId="0" applyFont="1" applyFill="1" applyBorder="1" applyAlignment="1">
      <alignment horizontal="center" vertical="center"/>
    </xf>
    <xf numFmtId="0" fontId="18" fillId="3" borderId="1" xfId="0" applyFont="1" applyFill="1" applyBorder="1" applyAlignment="1">
      <alignment vertical="center"/>
    </xf>
    <xf numFmtId="0" fontId="8" fillId="3" borderId="13" xfId="0" applyFont="1" applyFill="1" applyBorder="1" applyAlignment="1" applyProtection="1">
      <alignment horizontal="center" vertical="center" wrapText="1"/>
      <protection hidden="1"/>
    </xf>
    <xf numFmtId="165" fontId="8" fillId="3" borderId="2" xfId="0" applyNumberFormat="1" applyFont="1" applyFill="1" applyBorder="1" applyAlignment="1" applyProtection="1">
      <alignment horizontal="center" vertical="center" wrapText="1"/>
      <protection hidden="1"/>
    </xf>
    <xf numFmtId="165" fontId="18" fillId="5" borderId="2" xfId="0" applyNumberFormat="1" applyFont="1" applyFill="1" applyBorder="1" applyProtection="1">
      <protection hidden="1"/>
    </xf>
    <xf numFmtId="169" fontId="3" fillId="2" borderId="3" xfId="0" applyNumberFormat="1" applyFont="1" applyFill="1" applyBorder="1" applyAlignment="1" applyProtection="1">
      <alignment horizontal="left" vertical="center"/>
      <protection hidden="1"/>
    </xf>
    <xf numFmtId="169" fontId="3" fillId="2" borderId="1" xfId="0" applyNumberFormat="1" applyFont="1" applyFill="1" applyBorder="1" applyAlignment="1" applyProtection="1">
      <alignment horizontal="left" vertical="center"/>
      <protection hidden="1"/>
    </xf>
    <xf numFmtId="0" fontId="3" fillId="2" borderId="1" xfId="0" applyFont="1" applyFill="1" applyBorder="1" applyAlignment="1" applyProtection="1">
      <alignment horizontal="right"/>
      <protection hidden="1"/>
    </xf>
    <xf numFmtId="165" fontId="3" fillId="2" borderId="1" xfId="0" applyNumberFormat="1" applyFont="1" applyFill="1" applyBorder="1" applyAlignment="1" applyProtection="1">
      <alignment horizontal="center"/>
      <protection hidden="1"/>
    </xf>
    <xf numFmtId="0" fontId="3" fillId="2" borderId="2" xfId="0" applyFont="1" applyFill="1" applyBorder="1" applyAlignment="1" applyProtection="1">
      <alignment horizontal="center"/>
      <protection hidden="1"/>
    </xf>
    <xf numFmtId="165" fontId="3" fillId="2" borderId="3" xfId="0" applyNumberFormat="1" applyFont="1" applyFill="1" applyBorder="1" applyProtection="1">
      <protection hidden="1"/>
    </xf>
    <xf numFmtId="165" fontId="3" fillId="2" borderId="1" xfId="0" applyNumberFormat="1" applyFont="1" applyFill="1" applyBorder="1" applyProtection="1">
      <protection hidden="1"/>
    </xf>
    <xf numFmtId="0" fontId="19" fillId="0" borderId="1" xfId="0" applyFont="1" applyBorder="1" applyAlignment="1" applyProtection="1">
      <alignment horizontal="center"/>
      <protection hidden="1"/>
    </xf>
    <xf numFmtId="0" fontId="0" fillId="0" borderId="0" xfId="0" applyAlignment="1">
      <alignment horizontal="center"/>
    </xf>
    <xf numFmtId="0" fontId="0" fillId="0" borderId="7" xfId="0" applyBorder="1"/>
    <xf numFmtId="0" fontId="0" fillId="0" borderId="19" xfId="0" applyBorder="1"/>
    <xf numFmtId="172" fontId="0" fillId="4" borderId="0" xfId="0" applyNumberFormat="1" applyFill="1" applyAlignment="1">
      <alignment horizontal="left"/>
    </xf>
    <xf numFmtId="14" fontId="0" fillId="4" borderId="0" xfId="0" applyNumberFormat="1" applyFill="1"/>
    <xf numFmtId="0" fontId="0" fillId="4" borderId="0" xfId="0" applyFill="1" applyAlignment="1">
      <alignment horizontal="right"/>
    </xf>
    <xf numFmtId="0" fontId="0" fillId="4" borderId="0" xfId="0" applyFill="1"/>
    <xf numFmtId="0" fontId="0" fillId="4" borderId="0" xfId="0" applyFill="1" applyAlignment="1">
      <alignment horizontal="center"/>
    </xf>
    <xf numFmtId="0" fontId="0" fillId="0" borderId="20" xfId="0" applyBorder="1"/>
    <xf numFmtId="170" fontId="0" fillId="0" borderId="20" xfId="1" applyNumberFormat="1" applyFont="1" applyBorder="1"/>
    <xf numFmtId="0" fontId="17" fillId="3" borderId="20" xfId="0" applyFont="1" applyFill="1" applyBorder="1"/>
    <xf numFmtId="170" fontId="0" fillId="0" borderId="0" xfId="0" applyNumberFormat="1"/>
    <xf numFmtId="0" fontId="8" fillId="3" borderId="13" xfId="0" applyFont="1" applyFill="1" applyBorder="1" applyAlignment="1">
      <alignment horizontal="center" vertical="center"/>
    </xf>
    <xf numFmtId="0" fontId="8" fillId="3" borderId="5" xfId="0" applyFont="1" applyFill="1" applyBorder="1" applyAlignment="1">
      <alignment horizontal="center" vertical="center"/>
    </xf>
    <xf numFmtId="0" fontId="8" fillId="3" borderId="5" xfId="0" applyFont="1" applyFill="1" applyBorder="1" applyAlignment="1">
      <alignment horizontal="center" vertical="center" wrapText="1"/>
    </xf>
    <xf numFmtId="0" fontId="22" fillId="3" borderId="5" xfId="0" applyFont="1" applyFill="1" applyBorder="1" applyAlignment="1">
      <alignment horizontal="center" vertical="center" textRotation="90" wrapText="1"/>
    </xf>
    <xf numFmtId="0" fontId="8" fillId="3" borderId="6" xfId="0" applyFont="1" applyFill="1" applyBorder="1" applyAlignment="1">
      <alignment horizontal="center" vertical="center" wrapText="1"/>
    </xf>
    <xf numFmtId="0" fontId="6" fillId="2" borderId="1" xfId="0" applyFont="1" applyFill="1" applyBorder="1" applyProtection="1">
      <protection locked="0"/>
    </xf>
    <xf numFmtId="0" fontId="3" fillId="2" borderId="1" xfId="0" applyFont="1" applyFill="1" applyBorder="1"/>
    <xf numFmtId="165" fontId="3" fillId="2" borderId="1" xfId="0" applyNumberFormat="1" applyFont="1" applyFill="1" applyBorder="1"/>
    <xf numFmtId="0" fontId="3" fillId="2" borderId="1" xfId="0" applyFont="1" applyFill="1" applyBorder="1" applyAlignment="1">
      <alignment horizontal="center"/>
    </xf>
    <xf numFmtId="0" fontId="3" fillId="2" borderId="1" xfId="0" applyFont="1" applyFill="1" applyBorder="1" applyAlignment="1">
      <alignment horizontal="center" vertical="center" wrapText="1"/>
    </xf>
    <xf numFmtId="9" fontId="3" fillId="2" borderId="1" xfId="0" applyNumberFormat="1" applyFont="1" applyFill="1" applyBorder="1"/>
    <xf numFmtId="0" fontId="3" fillId="2" borderId="0" xfId="0" applyFont="1" applyFill="1"/>
    <xf numFmtId="1" fontId="3" fillId="2" borderId="3" xfId="0" applyNumberFormat="1" applyFont="1" applyFill="1" applyBorder="1"/>
    <xf numFmtId="0" fontId="3" fillId="2" borderId="4" xfId="0" applyFont="1" applyFill="1" applyBorder="1"/>
    <xf numFmtId="165" fontId="3" fillId="2" borderId="4" xfId="0" applyNumberFormat="1" applyFont="1" applyFill="1" applyBorder="1"/>
    <xf numFmtId="0" fontId="3" fillId="2" borderId="4" xfId="0" applyFont="1" applyFill="1" applyBorder="1" applyAlignment="1">
      <alignment horizontal="center" vertical="center" wrapText="1"/>
    </xf>
    <xf numFmtId="9" fontId="3" fillId="2" borderId="4" xfId="0" applyNumberFormat="1" applyFont="1" applyFill="1" applyBorder="1"/>
    <xf numFmtId="170" fontId="0" fillId="0" borderId="0" xfId="1" applyNumberFormat="1" applyFont="1" applyBorder="1"/>
    <xf numFmtId="170" fontId="0" fillId="0" borderId="17" xfId="1" applyNumberFormat="1" applyFont="1" applyBorder="1"/>
    <xf numFmtId="170" fontId="0" fillId="0" borderId="7" xfId="0" applyNumberFormat="1" applyBorder="1"/>
    <xf numFmtId="0" fontId="17" fillId="0" borderId="15" xfId="0" applyFont="1" applyBorder="1"/>
    <xf numFmtId="0" fontId="17" fillId="0" borderId="8" xfId="0" applyFont="1" applyBorder="1"/>
    <xf numFmtId="0" fontId="18" fillId="6" borderId="12" xfId="0" applyFont="1" applyFill="1" applyBorder="1" applyAlignment="1" applyProtection="1">
      <alignment vertical="center" wrapText="1"/>
      <protection hidden="1"/>
    </xf>
    <xf numFmtId="0" fontId="18" fillId="6" borderId="9" xfId="0" applyFont="1" applyFill="1" applyBorder="1" applyAlignment="1" applyProtection="1">
      <alignment vertical="center" wrapText="1"/>
      <protection hidden="1"/>
    </xf>
    <xf numFmtId="0" fontId="18" fillId="6" borderId="3" xfId="0" applyFont="1" applyFill="1" applyBorder="1" applyAlignment="1" applyProtection="1">
      <alignment vertical="center" wrapText="1"/>
      <protection hidden="1"/>
    </xf>
    <xf numFmtId="44" fontId="0" fillId="0" borderId="17" xfId="1" applyFont="1" applyBorder="1"/>
    <xf numFmtId="9" fontId="0" fillId="0" borderId="0" xfId="2" applyFont="1" applyBorder="1"/>
    <xf numFmtId="0" fontId="6" fillId="2" borderId="1" xfId="0" applyFont="1" applyFill="1" applyBorder="1" applyAlignment="1" applyProtection="1">
      <alignment horizontal="center"/>
      <protection locked="0"/>
    </xf>
    <xf numFmtId="0" fontId="3" fillId="2"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wrapText="1"/>
    </xf>
    <xf numFmtId="0" fontId="18" fillId="7" borderId="16" xfId="0" applyFont="1" applyFill="1" applyBorder="1" applyAlignment="1" applyProtection="1">
      <alignment vertical="center" wrapText="1"/>
      <protection hidden="1"/>
    </xf>
    <xf numFmtId="0" fontId="8" fillId="7" borderId="0" xfId="0" applyFont="1" applyFill="1" applyAlignment="1" applyProtection="1">
      <alignment vertical="center" wrapText="1"/>
      <protection hidden="1"/>
    </xf>
    <xf numFmtId="0" fontId="8" fillId="7" borderId="18" xfId="0" applyFont="1" applyFill="1" applyBorder="1" applyAlignment="1" applyProtection="1">
      <alignment vertical="center" wrapText="1"/>
      <protection hidden="1"/>
    </xf>
    <xf numFmtId="165" fontId="8" fillId="3" borderId="7" xfId="0" applyNumberFormat="1" applyFont="1" applyFill="1" applyBorder="1" applyAlignment="1" applyProtection="1">
      <alignment horizontal="center" vertical="center" wrapText="1"/>
      <protection hidden="1"/>
    </xf>
    <xf numFmtId="0" fontId="0" fillId="0" borderId="0" xfId="1" applyNumberFormat="1" applyFont="1" applyBorder="1"/>
    <xf numFmtId="0" fontId="17" fillId="0" borderId="8" xfId="0" applyFont="1" applyBorder="1" applyAlignment="1">
      <alignment horizontal="center"/>
    </xf>
    <xf numFmtId="0" fontId="17" fillId="0" borderId="14" xfId="0" applyFont="1" applyBorder="1" applyAlignment="1">
      <alignment horizontal="center"/>
    </xf>
    <xf numFmtId="0" fontId="3" fillId="6" borderId="0" xfId="0" applyFont="1" applyFill="1"/>
    <xf numFmtId="0" fontId="5" fillId="3" borderId="5" xfId="0" applyFont="1" applyFill="1" applyBorder="1" applyAlignment="1">
      <alignment horizontal="center" vertical="center" wrapText="1" shrinkToFit="1"/>
    </xf>
    <xf numFmtId="0" fontId="3" fillId="2" borderId="1" xfId="0" applyFont="1" applyFill="1" applyBorder="1" applyAlignment="1">
      <alignment horizontal="center" wrapText="1"/>
    </xf>
    <xf numFmtId="0" fontId="4" fillId="3" borderId="5" xfId="0" applyFont="1" applyFill="1" applyBorder="1" applyAlignment="1">
      <alignment horizontal="center" vertical="center" wrapText="1"/>
    </xf>
    <xf numFmtId="0" fontId="3" fillId="2" borderId="1" xfId="0" applyFont="1" applyFill="1" applyBorder="1" applyAlignment="1">
      <alignment vertical="center" shrinkToFit="1"/>
    </xf>
    <xf numFmtId="0" fontId="3" fillId="2" borderId="1" xfId="0" applyFont="1" applyFill="1" applyBorder="1" applyAlignment="1">
      <alignment shrinkToFit="1"/>
    </xf>
    <xf numFmtId="173" fontId="3" fillId="2" borderId="5" xfId="0" applyNumberFormat="1" applyFont="1" applyFill="1" applyBorder="1"/>
    <xf numFmtId="0" fontId="0" fillId="4" borderId="7" xfId="0" applyFill="1" applyBorder="1"/>
    <xf numFmtId="0" fontId="0" fillId="4" borderId="13" xfId="0" applyFill="1" applyBorder="1"/>
    <xf numFmtId="0" fontId="17" fillId="4" borderId="6" xfId="0" applyFont="1" applyFill="1" applyBorder="1"/>
    <xf numFmtId="170" fontId="17" fillId="4" borderId="26" xfId="0" applyNumberFormat="1" applyFont="1" applyFill="1" applyBorder="1"/>
    <xf numFmtId="0" fontId="24" fillId="3" borderId="23" xfId="0" applyFont="1" applyFill="1" applyBorder="1" applyAlignment="1">
      <alignment horizontal="center" vertical="center" wrapText="1"/>
    </xf>
    <xf numFmtId="0" fontId="3" fillId="2" borderId="24" xfId="0" applyFont="1" applyFill="1" applyBorder="1"/>
    <xf numFmtId="0" fontId="3" fillId="2" borderId="25" xfId="0" applyFont="1" applyFill="1" applyBorder="1"/>
    <xf numFmtId="0" fontId="27" fillId="6" borderId="6" xfId="0" applyFont="1" applyFill="1" applyBorder="1"/>
    <xf numFmtId="0" fontId="23" fillId="2" borderId="0" xfId="0" applyFont="1" applyFill="1"/>
    <xf numFmtId="0" fontId="0" fillId="2" borderId="0" xfId="0" applyFill="1"/>
    <xf numFmtId="0" fontId="27" fillId="2" borderId="0" xfId="0" applyFont="1" applyFill="1"/>
    <xf numFmtId="170" fontId="17" fillId="4" borderId="27" xfId="0" applyNumberFormat="1" applyFont="1" applyFill="1" applyBorder="1"/>
    <xf numFmtId="170" fontId="27" fillId="6" borderId="23" xfId="0" applyNumberFormat="1" applyFont="1" applyFill="1" applyBorder="1"/>
    <xf numFmtId="0" fontId="0" fillId="2" borderId="19" xfId="0" applyFill="1" applyBorder="1"/>
    <xf numFmtId="0" fontId="0" fillId="2" borderId="0" xfId="0" applyFill="1" applyAlignment="1">
      <alignment horizontal="center"/>
    </xf>
    <xf numFmtId="0" fontId="17" fillId="2" borderId="15" xfId="0" applyFont="1" applyFill="1" applyBorder="1"/>
    <xf numFmtId="0" fontId="17" fillId="2" borderId="8" xfId="0" applyFont="1" applyFill="1" applyBorder="1"/>
    <xf numFmtId="0" fontId="0" fillId="2" borderId="16" xfId="0" applyFill="1" applyBorder="1"/>
    <xf numFmtId="0" fontId="0" fillId="2" borderId="0" xfId="1" applyNumberFormat="1" applyFont="1" applyFill="1" applyBorder="1" applyAlignment="1">
      <alignment horizontal="center"/>
    </xf>
    <xf numFmtId="170" fontId="0" fillId="2" borderId="0" xfId="1" applyNumberFormat="1" applyFont="1" applyFill="1" applyBorder="1"/>
    <xf numFmtId="170" fontId="0" fillId="2" borderId="17" xfId="1" applyNumberFormat="1" applyFont="1" applyFill="1" applyBorder="1"/>
    <xf numFmtId="9" fontId="0" fillId="2" borderId="0" xfId="2" applyFont="1" applyFill="1" applyBorder="1"/>
    <xf numFmtId="44" fontId="0" fillId="2" borderId="17" xfId="1" applyFont="1" applyFill="1" applyBorder="1"/>
    <xf numFmtId="0" fontId="0" fillId="2" borderId="15" xfId="0" applyFill="1" applyBorder="1"/>
    <xf numFmtId="170" fontId="0" fillId="2" borderId="14" xfId="0" applyNumberFormat="1" applyFill="1" applyBorder="1"/>
    <xf numFmtId="173" fontId="26" fillId="2" borderId="17" xfId="0" applyNumberFormat="1" applyFont="1" applyFill="1" applyBorder="1" applyAlignment="1">
      <alignment shrinkToFit="1"/>
    </xf>
    <xf numFmtId="174" fontId="26" fillId="2" borderId="17" xfId="0" applyNumberFormat="1" applyFont="1" applyFill="1" applyBorder="1" applyAlignment="1">
      <alignment shrinkToFit="1"/>
    </xf>
    <xf numFmtId="174" fontId="26" fillId="2" borderId="17" xfId="0" applyNumberFormat="1" applyFont="1" applyFill="1" applyBorder="1" applyAlignment="1">
      <alignment horizontal="right" shrinkToFit="1"/>
    </xf>
    <xf numFmtId="0" fontId="0" fillId="2" borderId="17" xfId="0" applyFill="1" applyBorder="1" applyAlignment="1">
      <alignment horizontal="center"/>
    </xf>
    <xf numFmtId="0" fontId="0" fillId="2" borderId="17" xfId="0" applyFill="1" applyBorder="1"/>
    <xf numFmtId="170" fontId="0" fillId="2" borderId="17" xfId="0" applyNumberFormat="1" applyFill="1" applyBorder="1"/>
    <xf numFmtId="170" fontId="0" fillId="2" borderId="0" xfId="0" applyNumberFormat="1" applyFill="1"/>
    <xf numFmtId="0" fontId="17" fillId="2" borderId="8" xfId="0" applyFont="1" applyFill="1" applyBorder="1" applyAlignment="1">
      <alignment horizontal="right"/>
    </xf>
    <xf numFmtId="0" fontId="17" fillId="2" borderId="14" xfId="0" applyFont="1" applyFill="1" applyBorder="1" applyAlignment="1">
      <alignment horizontal="right"/>
    </xf>
    <xf numFmtId="0" fontId="0" fillId="8" borderId="0" xfId="0" applyFill="1"/>
    <xf numFmtId="0" fontId="11" fillId="8" borderId="0" xfId="0" applyFont="1" applyFill="1"/>
    <xf numFmtId="0" fontId="12" fillId="8" borderId="0" xfId="0" applyFont="1" applyFill="1"/>
    <xf numFmtId="0" fontId="13" fillId="8" borderId="0" xfId="0" applyFont="1" applyFill="1"/>
    <xf numFmtId="0" fontId="14" fillId="8" borderId="0" xfId="0" applyFont="1" applyFill="1"/>
    <xf numFmtId="0" fontId="6" fillId="2" borderId="8" xfId="0" applyFont="1" applyFill="1" applyBorder="1"/>
    <xf numFmtId="170" fontId="3" fillId="2" borderId="15" xfId="1" applyNumberFormat="1" applyFont="1" applyFill="1" applyBorder="1" applyAlignment="1">
      <alignment shrinkToFit="1"/>
    </xf>
    <xf numFmtId="170" fontId="6" fillId="2" borderId="15" xfId="1" applyNumberFormat="1" applyFont="1" applyFill="1" applyBorder="1" applyAlignment="1">
      <alignment horizontal="center" vertical="center"/>
    </xf>
    <xf numFmtId="0" fontId="18" fillId="3" borderId="0" xfId="0" applyFont="1" applyFill="1"/>
    <xf numFmtId="0" fontId="18" fillId="3" borderId="16" xfId="0" applyFont="1" applyFill="1" applyBorder="1" applyAlignment="1">
      <alignment horizontal="center" vertical="center"/>
    </xf>
    <xf numFmtId="170" fontId="0" fillId="0" borderId="0" xfId="1" applyNumberFormat="1" applyFont="1"/>
    <xf numFmtId="170" fontId="0" fillId="0" borderId="0" xfId="1" applyNumberFormat="1" applyFont="1" applyAlignment="1">
      <alignment horizontal="center"/>
    </xf>
    <xf numFmtId="174" fontId="0" fillId="0" borderId="0" xfId="0" applyNumberFormat="1"/>
    <xf numFmtId="174" fontId="0" fillId="0" borderId="0" xfId="0" applyNumberFormat="1" applyAlignment="1">
      <alignment horizontal="center"/>
    </xf>
    <xf numFmtId="170" fontId="8" fillId="3" borderId="5" xfId="1" applyNumberFormat="1" applyFont="1" applyFill="1" applyBorder="1" applyAlignment="1">
      <alignment horizontal="center" vertical="center"/>
    </xf>
    <xf numFmtId="170" fontId="6" fillId="2" borderId="1" xfId="1" applyNumberFormat="1" applyFont="1" applyFill="1" applyBorder="1" applyProtection="1">
      <protection locked="0"/>
    </xf>
    <xf numFmtId="170" fontId="3" fillId="2" borderId="0" xfId="1" applyNumberFormat="1" applyFont="1" applyFill="1"/>
    <xf numFmtId="170" fontId="3" fillId="0" borderId="0" xfId="1" applyNumberFormat="1" applyFont="1"/>
    <xf numFmtId="170" fontId="3" fillId="0" borderId="0" xfId="1" applyNumberFormat="1" applyFont="1" applyAlignment="1">
      <alignment wrapText="1"/>
    </xf>
    <xf numFmtId="0" fontId="30" fillId="0" borderId="29" xfId="0" applyFont="1" applyBorder="1"/>
    <xf numFmtId="0" fontId="0" fillId="0" borderId="30" xfId="0" applyBorder="1"/>
    <xf numFmtId="0" fontId="31" fillId="0" borderId="31" xfId="0" applyFont="1" applyBorder="1" applyAlignment="1">
      <alignment horizontal="justify" vertical="top"/>
    </xf>
    <xf numFmtId="41" fontId="32" fillId="0" borderId="29" xfId="3" applyFont="1" applyBorder="1" applyAlignment="1">
      <alignment horizontal="right" vertical="center"/>
    </xf>
    <xf numFmtId="0" fontId="31" fillId="0" borderId="32" xfId="0" applyFont="1" applyBorder="1" applyAlignment="1">
      <alignment horizontal="justify" vertical="top"/>
    </xf>
    <xf numFmtId="41" fontId="32" fillId="0" borderId="31" xfId="3" applyFont="1" applyBorder="1" applyAlignment="1">
      <alignment horizontal="right" vertical="center"/>
    </xf>
    <xf numFmtId="0" fontId="31" fillId="0" borderId="32" xfId="0" applyFont="1" applyBorder="1" applyAlignment="1">
      <alignment horizontal="justify" vertical="top" wrapText="1"/>
    </xf>
    <xf numFmtId="175" fontId="34" fillId="0" borderId="32" xfId="3" applyNumberFormat="1" applyFont="1" applyBorder="1" applyAlignment="1">
      <alignment horizontal="left" vertical="center"/>
    </xf>
    <xf numFmtId="175" fontId="34" fillId="0" borderId="29" xfId="3" applyNumberFormat="1" applyFont="1" applyBorder="1" applyAlignment="1">
      <alignment vertical="center"/>
    </xf>
    <xf numFmtId="175" fontId="34" fillId="0" borderId="31" xfId="3" applyNumberFormat="1" applyFont="1" applyBorder="1" applyAlignment="1">
      <alignment vertical="center"/>
    </xf>
    <xf numFmtId="175" fontId="34" fillId="0" borderId="31" xfId="3" applyNumberFormat="1" applyFont="1" applyBorder="1" applyAlignment="1">
      <alignment vertical="center" wrapText="1"/>
    </xf>
    <xf numFmtId="0" fontId="35" fillId="9" borderId="34" xfId="0" applyFont="1" applyFill="1" applyBorder="1" applyAlignment="1">
      <alignment horizontal="center" vertical="top" wrapText="1"/>
    </xf>
    <xf numFmtId="175" fontId="36" fillId="2" borderId="30" xfId="3" applyNumberFormat="1" applyFont="1" applyFill="1" applyBorder="1" applyAlignment="1">
      <alignment vertical="center"/>
    </xf>
    <xf numFmtId="0" fontId="31" fillId="0" borderId="0" xfId="0" applyFont="1" applyAlignment="1">
      <alignment horizontal="justify" vertical="top"/>
    </xf>
    <xf numFmtId="175" fontId="31" fillId="0" borderId="0" xfId="3" applyNumberFormat="1" applyFont="1" applyBorder="1" applyAlignment="1">
      <alignment vertical="center"/>
    </xf>
    <xf numFmtId="0" fontId="37" fillId="0" borderId="28" xfId="0" applyFont="1" applyBorder="1" applyAlignment="1">
      <alignment horizontal="justify" vertical="top"/>
    </xf>
    <xf numFmtId="175" fontId="31" fillId="0" borderId="0" xfId="3" applyNumberFormat="1" applyFont="1" applyBorder="1" applyAlignment="1">
      <alignment horizontal="right" vertical="center"/>
    </xf>
    <xf numFmtId="175" fontId="34" fillId="0" borderId="31" xfId="3" applyNumberFormat="1" applyFont="1" applyBorder="1" applyAlignment="1">
      <alignment horizontal="left" vertical="center"/>
    </xf>
    <xf numFmtId="0" fontId="31" fillId="0" borderId="29" xfId="0" applyFont="1" applyBorder="1" applyAlignment="1">
      <alignment horizontal="justify" vertical="top"/>
    </xf>
    <xf numFmtId="175" fontId="34" fillId="0" borderId="29" xfId="3" applyNumberFormat="1" applyFont="1" applyBorder="1" applyAlignment="1">
      <alignment horizontal="right" vertical="center"/>
    </xf>
    <xf numFmtId="0" fontId="31" fillId="0" borderId="34" xfId="0" applyFont="1" applyBorder="1" applyAlignment="1">
      <alignment horizontal="justify" vertical="top"/>
    </xf>
    <xf numFmtId="175" fontId="31" fillId="0" borderId="31" xfId="3" applyNumberFormat="1" applyFont="1" applyBorder="1" applyAlignment="1">
      <alignment horizontal="right" vertical="center"/>
    </xf>
    <xf numFmtId="44" fontId="40" fillId="0" borderId="31" xfId="1" applyFont="1" applyBorder="1" applyAlignment="1">
      <alignment horizontal="right" vertical="center"/>
    </xf>
    <xf numFmtId="175" fontId="40" fillId="0" borderId="31" xfId="3" applyNumberFormat="1" applyFont="1" applyBorder="1" applyAlignment="1">
      <alignment horizontal="left" vertical="center" wrapText="1"/>
    </xf>
    <xf numFmtId="0" fontId="31" fillId="0" borderId="35" xfId="0" applyFont="1" applyBorder="1" applyAlignment="1">
      <alignment horizontal="justify" vertical="top"/>
    </xf>
    <xf numFmtId="175" fontId="34" fillId="0" borderId="32" xfId="3" applyNumberFormat="1" applyFont="1" applyBorder="1" applyAlignment="1">
      <alignment vertical="center"/>
    </xf>
    <xf numFmtId="175" fontId="34" fillId="0" borderId="32" xfId="3" applyNumberFormat="1" applyFont="1" applyBorder="1" applyAlignment="1">
      <alignment horizontal="left" vertical="center" wrapText="1"/>
    </xf>
    <xf numFmtId="0" fontId="0" fillId="0" borderId="0" xfId="0" applyAlignment="1">
      <alignment vertical="center" wrapText="1"/>
    </xf>
    <xf numFmtId="0" fontId="35" fillId="9" borderId="31" xfId="0" applyFont="1" applyFill="1" applyBorder="1" applyAlignment="1">
      <alignment horizontal="center" vertical="top" wrapText="1"/>
    </xf>
    <xf numFmtId="175" fontId="35" fillId="9" borderId="29" xfId="0" applyNumberFormat="1" applyFont="1" applyFill="1" applyBorder="1" applyAlignment="1">
      <alignment vertical="center"/>
    </xf>
    <xf numFmtId="175" fontId="35" fillId="2" borderId="33" xfId="0" applyNumberFormat="1" applyFont="1" applyFill="1" applyBorder="1" applyAlignment="1">
      <alignment vertical="center"/>
    </xf>
    <xf numFmtId="0" fontId="37" fillId="0" borderId="29" xfId="0" applyFont="1" applyBorder="1" applyAlignment="1">
      <alignment horizontal="justify" vertical="top"/>
    </xf>
    <xf numFmtId="175" fontId="37" fillId="0" borderId="31" xfId="0" applyNumberFormat="1" applyFont="1" applyBorder="1" applyAlignment="1">
      <alignment vertical="center"/>
    </xf>
    <xf numFmtId="175" fontId="40" fillId="0" borderId="32" xfId="3" applyNumberFormat="1" applyFont="1" applyBorder="1" applyAlignment="1">
      <alignment vertical="center"/>
    </xf>
    <xf numFmtId="44" fontId="0" fillId="0" borderId="0" xfId="1" applyFont="1"/>
    <xf numFmtId="0" fontId="37" fillId="0" borderId="36" xfId="0" applyFont="1" applyBorder="1" applyAlignment="1">
      <alignment horizontal="justify" vertical="top"/>
    </xf>
    <xf numFmtId="0" fontId="35" fillId="9" borderId="29" xfId="0" applyFont="1" applyFill="1" applyBorder="1" applyAlignment="1">
      <alignment horizontal="center" vertical="top"/>
    </xf>
    <xf numFmtId="175" fontId="35" fillId="9" borderId="36" xfId="0" applyNumberFormat="1" applyFont="1" applyFill="1" applyBorder="1" applyAlignment="1">
      <alignment vertical="center"/>
    </xf>
    <xf numFmtId="175" fontId="35" fillId="2" borderId="0" xfId="0" applyNumberFormat="1" applyFont="1" applyFill="1" applyAlignment="1">
      <alignment vertical="center"/>
    </xf>
    <xf numFmtId="0" fontId="37" fillId="0" borderId="37" xfId="0" applyFont="1" applyBorder="1" applyAlignment="1">
      <alignment horizontal="right" vertical="top"/>
    </xf>
    <xf numFmtId="0" fontId="0" fillId="0" borderId="33" xfId="0" applyBorder="1"/>
    <xf numFmtId="175" fontId="41" fillId="2" borderId="31" xfId="0" applyNumberFormat="1" applyFont="1" applyFill="1" applyBorder="1" applyAlignment="1">
      <alignment vertical="center"/>
    </xf>
    <xf numFmtId="0" fontId="31" fillId="0" borderId="36" xfId="0" applyFont="1" applyBorder="1" applyAlignment="1">
      <alignment horizontal="justify" vertical="top"/>
    </xf>
    <xf numFmtId="175" fontId="42" fillId="0" borderId="29" xfId="0" applyNumberFormat="1" applyFont="1" applyBorder="1" applyAlignment="1">
      <alignment vertical="center"/>
    </xf>
    <xf numFmtId="175" fontId="42" fillId="0" borderId="30" xfId="0" applyNumberFormat="1" applyFont="1" applyBorder="1" applyAlignment="1">
      <alignment vertical="center"/>
    </xf>
    <xf numFmtId="0" fontId="35" fillId="9" borderId="38" xfId="0" applyFont="1" applyFill="1" applyBorder="1" applyAlignment="1">
      <alignment horizontal="center" vertical="top"/>
    </xf>
    <xf numFmtId="175" fontId="35" fillId="9" borderId="31" xfId="0" applyNumberFormat="1" applyFont="1" applyFill="1" applyBorder="1" applyAlignment="1">
      <alignment horizontal="right" vertical="center"/>
    </xf>
    <xf numFmtId="175" fontId="35" fillId="2" borderId="36" xfId="0" applyNumberFormat="1" applyFont="1" applyFill="1" applyBorder="1" applyAlignment="1">
      <alignment vertical="center"/>
    </xf>
    <xf numFmtId="0" fontId="31" fillId="0" borderId="39" xfId="0" applyFont="1" applyBorder="1" applyAlignment="1">
      <alignment horizontal="justify" vertical="top"/>
    </xf>
    <xf numFmtId="175" fontId="37" fillId="0" borderId="40" xfId="0" applyNumberFormat="1" applyFont="1" applyBorder="1" applyAlignment="1">
      <alignment vertical="center"/>
    </xf>
    <xf numFmtId="0" fontId="43" fillId="0" borderId="29" xfId="0" applyFont="1" applyBorder="1" applyAlignment="1">
      <alignment horizontal="left" vertical="center" wrapText="1"/>
    </xf>
    <xf numFmtId="176" fontId="44" fillId="0" borderId="31" xfId="1" applyNumberFormat="1" applyFont="1" applyFill="1" applyBorder="1" applyAlignment="1">
      <alignment vertical="center"/>
    </xf>
    <xf numFmtId="176" fontId="44" fillId="0" borderId="0" xfId="1" applyNumberFormat="1" applyFont="1" applyFill="1" applyBorder="1" applyAlignment="1">
      <alignment vertical="center"/>
    </xf>
    <xf numFmtId="2" fontId="44" fillId="0" borderId="31" xfId="0" applyNumberFormat="1" applyFont="1" applyBorder="1" applyAlignment="1">
      <alignment vertical="center"/>
    </xf>
    <xf numFmtId="2" fontId="44" fillId="0" borderId="0" xfId="0" applyNumberFormat="1" applyFont="1" applyAlignment="1">
      <alignment vertical="center"/>
    </xf>
    <xf numFmtId="0" fontId="43" fillId="0" borderId="31" xfId="0" applyFont="1" applyBorder="1" applyAlignment="1">
      <alignment horizontal="left" vertical="center" wrapText="1"/>
    </xf>
    <xf numFmtId="44" fontId="44" fillId="0" borderId="31" xfId="1" applyFont="1" applyBorder="1" applyAlignment="1">
      <alignment vertical="center"/>
    </xf>
    <xf numFmtId="41" fontId="44" fillId="0" borderId="0" xfId="3" applyFont="1" applyFill="1" applyBorder="1" applyAlignment="1">
      <alignment vertical="center"/>
    </xf>
    <xf numFmtId="0" fontId="43" fillId="0" borderId="35" xfId="0" applyFont="1" applyBorder="1"/>
    <xf numFmtId="0" fontId="43" fillId="0" borderId="0" xfId="0" applyFont="1"/>
    <xf numFmtId="0" fontId="45" fillId="9" borderId="31" xfId="0" applyFont="1" applyFill="1" applyBorder="1" applyAlignment="1">
      <alignment horizontal="center" vertical="center" wrapText="1"/>
    </xf>
    <xf numFmtId="0" fontId="46" fillId="0" borderId="31" xfId="0" applyFont="1" applyBorder="1" applyAlignment="1">
      <alignment horizontal="center" vertical="center" wrapText="1"/>
    </xf>
    <xf numFmtId="9" fontId="46" fillId="0" borderId="31" xfId="2" applyFont="1" applyBorder="1" applyAlignment="1">
      <alignment horizontal="center" vertical="center" wrapText="1"/>
    </xf>
    <xf numFmtId="0" fontId="47" fillId="10" borderId="43" xfId="0" applyFont="1" applyFill="1" applyBorder="1" applyAlignment="1">
      <alignment vertical="center" wrapText="1"/>
    </xf>
    <xf numFmtId="0" fontId="0" fillId="0" borderId="35" xfId="0" applyBorder="1"/>
    <xf numFmtId="0" fontId="48" fillId="0" borderId="0" xfId="0" applyFont="1"/>
    <xf numFmtId="0" fontId="49" fillId="0" borderId="0" xfId="0" applyFont="1"/>
    <xf numFmtId="44" fontId="51" fillId="0" borderId="29" xfId="1" applyFont="1" applyBorder="1" applyAlignment="1">
      <alignment horizontal="right" vertical="center"/>
    </xf>
    <xf numFmtId="44" fontId="51" fillId="0" borderId="32" xfId="1" applyFont="1" applyBorder="1" applyAlignment="1">
      <alignment horizontal="right" vertical="center"/>
    </xf>
    <xf numFmtId="44" fontId="40" fillId="0" borderId="32" xfId="1" applyFont="1" applyBorder="1" applyAlignment="1">
      <alignment horizontal="right" vertical="center"/>
    </xf>
    <xf numFmtId="44" fontId="40" fillId="0" borderId="29" xfId="1" applyFont="1" applyBorder="1" applyAlignment="1">
      <alignment vertical="center"/>
    </xf>
    <xf numFmtId="175" fontId="40" fillId="0" borderId="31" xfId="3" applyNumberFormat="1" applyFont="1" applyBorder="1" applyAlignment="1">
      <alignment vertical="center"/>
    </xf>
    <xf numFmtId="44" fontId="40" fillId="0" borderId="31" xfId="1" applyFont="1" applyBorder="1" applyAlignment="1">
      <alignment vertical="center"/>
    </xf>
    <xf numFmtId="44" fontId="35" fillId="9" borderId="30" xfId="1" applyFont="1" applyFill="1" applyBorder="1" applyAlignment="1">
      <alignment vertical="center"/>
    </xf>
    <xf numFmtId="175" fontId="40" fillId="0" borderId="0" xfId="3" applyNumberFormat="1" applyFont="1" applyBorder="1" applyAlignment="1">
      <alignment vertical="center"/>
    </xf>
    <xf numFmtId="175" fontId="40" fillId="0" borderId="0" xfId="3" applyNumberFormat="1" applyFont="1" applyBorder="1" applyAlignment="1">
      <alignment horizontal="right" vertical="center"/>
    </xf>
    <xf numFmtId="175" fontId="40" fillId="0" borderId="29" xfId="3" applyNumberFormat="1" applyFont="1" applyBorder="1" applyAlignment="1">
      <alignment horizontal="right" vertical="center"/>
    </xf>
    <xf numFmtId="175" fontId="40" fillId="0" borderId="31" xfId="3" applyNumberFormat="1" applyFont="1" applyBorder="1" applyAlignment="1">
      <alignment horizontal="right" vertical="center"/>
    </xf>
    <xf numFmtId="175" fontId="51" fillId="0" borderId="29" xfId="0" applyNumberFormat="1" applyFont="1" applyBorder="1" applyAlignment="1">
      <alignment vertical="center"/>
    </xf>
    <xf numFmtId="175" fontId="51" fillId="0" borderId="31" xfId="0" applyNumberFormat="1" applyFont="1" applyBorder="1" applyAlignment="1">
      <alignment vertical="center"/>
    </xf>
    <xf numFmtId="0" fontId="50" fillId="0" borderId="33" xfId="0" applyFont="1" applyBorder="1"/>
    <xf numFmtId="175" fontId="51" fillId="2" borderId="31" xfId="0" applyNumberFormat="1" applyFont="1" applyFill="1" applyBorder="1" applyAlignment="1">
      <alignment vertical="center"/>
    </xf>
    <xf numFmtId="175" fontId="40" fillId="0" borderId="30" xfId="0" applyNumberFormat="1" applyFont="1" applyBorder="1" applyAlignment="1">
      <alignment vertical="center"/>
    </xf>
    <xf numFmtId="175" fontId="51" fillId="0" borderId="40" xfId="0" applyNumberFormat="1" applyFont="1" applyBorder="1" applyAlignment="1">
      <alignment vertical="center"/>
    </xf>
    <xf numFmtId="0" fontId="44" fillId="0" borderId="35" xfId="0" applyFont="1" applyBorder="1"/>
    <xf numFmtId="0" fontId="44" fillId="0" borderId="0" xfId="0" applyFont="1"/>
    <xf numFmtId="0" fontId="52" fillId="0" borderId="31" xfId="0" applyFont="1" applyBorder="1" applyAlignment="1">
      <alignment horizontal="center" vertical="center" wrapText="1"/>
    </xf>
    <xf numFmtId="0" fontId="53" fillId="0" borderId="0" xfId="0" applyFont="1"/>
    <xf numFmtId="176" fontId="0" fillId="0" borderId="30" xfId="0" applyNumberFormat="1" applyBorder="1"/>
    <xf numFmtId="41" fontId="43" fillId="0" borderId="0" xfId="0" applyNumberFormat="1" applyFont="1"/>
    <xf numFmtId="176" fontId="0" fillId="0" borderId="0" xfId="0" applyNumberFormat="1"/>
    <xf numFmtId="0" fontId="1" fillId="2" borderId="0" xfId="0" applyFont="1" applyFill="1"/>
    <xf numFmtId="0" fontId="57" fillId="2" borderId="0" xfId="0" applyFont="1" applyFill="1"/>
    <xf numFmtId="164" fontId="0" fillId="0" borderId="0" xfId="0" applyNumberFormat="1"/>
    <xf numFmtId="0" fontId="1" fillId="2" borderId="0" xfId="0" applyFont="1" applyFill="1" applyAlignment="1">
      <alignment vertical="top" wrapText="1"/>
    </xf>
    <xf numFmtId="0" fontId="4" fillId="3" borderId="13" xfId="0" applyFont="1" applyFill="1" applyBorder="1" applyAlignment="1" applyProtection="1">
      <alignment horizontal="center" vertical="center"/>
      <protection hidden="1"/>
    </xf>
    <xf numFmtId="0" fontId="4" fillId="3" borderId="5" xfId="0" applyFont="1" applyFill="1" applyBorder="1" applyAlignment="1" applyProtection="1">
      <alignment horizontal="center" vertical="center"/>
      <protection hidden="1"/>
    </xf>
    <xf numFmtId="0" fontId="4" fillId="3" borderId="6" xfId="0" applyFont="1" applyFill="1" applyBorder="1" applyAlignment="1" applyProtection="1">
      <alignment horizontal="center" vertical="center"/>
      <protection hidden="1"/>
    </xf>
    <xf numFmtId="165" fontId="3" fillId="2" borderId="2" xfId="0" applyNumberFormat="1" applyFont="1" applyFill="1" applyBorder="1" applyProtection="1">
      <protection hidden="1"/>
    </xf>
    <xf numFmtId="169" fontId="3" fillId="2" borderId="14" xfId="0" applyNumberFormat="1" applyFont="1" applyFill="1" applyBorder="1" applyAlignment="1" applyProtection="1">
      <alignment horizontal="left" vertical="center"/>
      <protection hidden="1"/>
    </xf>
    <xf numFmtId="169" fontId="3" fillId="2" borderId="4" xfId="0" applyNumberFormat="1" applyFont="1" applyFill="1" applyBorder="1" applyAlignment="1" applyProtection="1">
      <alignment horizontal="left" vertical="center"/>
      <protection hidden="1"/>
    </xf>
    <xf numFmtId="165" fontId="3" fillId="2" borderId="4" xfId="0" applyNumberFormat="1" applyFont="1" applyFill="1" applyBorder="1" applyProtection="1">
      <protection hidden="1"/>
    </xf>
    <xf numFmtId="165" fontId="3" fillId="2" borderId="15" xfId="0" applyNumberFormat="1" applyFont="1" applyFill="1" applyBorder="1" applyProtection="1">
      <protection hidden="1"/>
    </xf>
    <xf numFmtId="0" fontId="8" fillId="3" borderId="44" xfId="0" applyFont="1" applyFill="1" applyBorder="1" applyAlignment="1">
      <alignment horizontal="center" vertical="center" wrapText="1"/>
    </xf>
    <xf numFmtId="165" fontId="8" fillId="3" borderId="44" xfId="0" applyNumberFormat="1" applyFont="1" applyFill="1" applyBorder="1" applyAlignment="1">
      <alignment horizontal="center" vertical="center" wrapText="1"/>
    </xf>
    <xf numFmtId="165" fontId="8" fillId="3" borderId="45" xfId="0" applyNumberFormat="1" applyFont="1" applyFill="1" applyBorder="1" applyAlignment="1">
      <alignment horizontal="center" vertical="center" wrapText="1"/>
    </xf>
    <xf numFmtId="0" fontId="8" fillId="3" borderId="45" xfId="0" applyFont="1" applyFill="1" applyBorder="1" applyAlignment="1">
      <alignment horizontal="center" vertical="center" wrapText="1"/>
    </xf>
    <xf numFmtId="165" fontId="8" fillId="3" borderId="46" xfId="0" applyNumberFormat="1" applyFont="1" applyFill="1" applyBorder="1" applyAlignment="1">
      <alignment horizontal="center" vertical="center" wrapText="1"/>
    </xf>
    <xf numFmtId="165" fontId="8" fillId="3" borderId="14" xfId="0" applyNumberFormat="1" applyFont="1" applyFill="1" applyBorder="1" applyAlignment="1">
      <alignment horizontal="center" vertical="center" wrapText="1"/>
    </xf>
    <xf numFmtId="165" fontId="8" fillId="3" borderId="4" xfId="0" applyNumberFormat="1" applyFont="1" applyFill="1" applyBorder="1" applyAlignment="1">
      <alignment horizontal="center" vertical="center" wrapText="1"/>
    </xf>
    <xf numFmtId="0" fontId="18" fillId="3" borderId="4" xfId="0" applyFont="1" applyFill="1" applyBorder="1" applyAlignment="1">
      <alignment horizontal="center" vertical="center" wrapText="1"/>
    </xf>
    <xf numFmtId="0" fontId="0" fillId="2" borderId="1" xfId="0" applyFill="1" applyBorder="1" applyAlignment="1">
      <alignment horizontal="center"/>
    </xf>
    <xf numFmtId="0" fontId="0" fillId="2" borderId="1" xfId="0" applyFill="1" applyBorder="1"/>
    <xf numFmtId="44" fontId="0" fillId="2" borderId="1" xfId="1" applyFont="1" applyFill="1" applyBorder="1"/>
    <xf numFmtId="170" fontId="0" fillId="2" borderId="1" xfId="1" applyNumberFormat="1" applyFont="1" applyFill="1" applyBorder="1"/>
    <xf numFmtId="0" fontId="0" fillId="0" borderId="0" xfId="0" pivotButton="1"/>
    <xf numFmtId="0" fontId="0" fillId="0" borderId="0" xfId="0" applyAlignment="1">
      <alignment horizontal="left"/>
    </xf>
    <xf numFmtId="170" fontId="0" fillId="2" borderId="5" xfId="1" applyNumberFormat="1" applyFont="1" applyFill="1" applyBorder="1"/>
    <xf numFmtId="0" fontId="18" fillId="3" borderId="47" xfId="0" applyFont="1" applyFill="1" applyBorder="1" applyAlignment="1">
      <alignment horizontal="center" vertical="center" wrapText="1"/>
    </xf>
    <xf numFmtId="0" fontId="0" fillId="11" borderId="0" xfId="0" applyFill="1"/>
    <xf numFmtId="170" fontId="61" fillId="11" borderId="0" xfId="0" applyNumberFormat="1" applyFont="1" applyFill="1"/>
    <xf numFmtId="0" fontId="61" fillId="3" borderId="0" xfId="0" applyFont="1" applyFill="1"/>
    <xf numFmtId="0" fontId="62" fillId="3" borderId="0" xfId="0" applyFont="1" applyFill="1"/>
    <xf numFmtId="170" fontId="25" fillId="12" borderId="0" xfId="1" applyNumberFormat="1" applyFont="1" applyFill="1"/>
    <xf numFmtId="170" fontId="0" fillId="2" borderId="0" xfId="1" applyNumberFormat="1" applyFont="1" applyFill="1" applyBorder="1" applyAlignment="1">
      <alignment horizontal="center"/>
    </xf>
    <xf numFmtId="0" fontId="28" fillId="8" borderId="0" xfId="0" applyFont="1" applyFill="1" applyAlignment="1">
      <alignment horizontal="center"/>
    </xf>
    <xf numFmtId="0" fontId="1" fillId="2" borderId="0" xfId="0" applyFont="1" applyFill="1" applyAlignment="1">
      <alignment horizontal="left" vertical="top" wrapText="1"/>
    </xf>
    <xf numFmtId="0" fontId="1" fillId="2" borderId="0" xfId="0" applyFont="1" applyFill="1" applyAlignment="1">
      <alignment horizontal="left" wrapText="1"/>
    </xf>
    <xf numFmtId="0" fontId="18" fillId="3" borderId="1" xfId="0" applyFont="1" applyFill="1" applyBorder="1" applyAlignment="1">
      <alignment horizontal="center"/>
    </xf>
    <xf numFmtId="0" fontId="18" fillId="3" borderId="1" xfId="0" applyFont="1" applyFill="1" applyBorder="1" applyAlignment="1">
      <alignment horizontal="center" vertical="center"/>
    </xf>
    <xf numFmtId="167" fontId="18" fillId="6" borderId="8" xfId="0" applyNumberFormat="1" applyFont="1" applyFill="1" applyBorder="1" applyAlignment="1">
      <alignment horizontal="center"/>
    </xf>
    <xf numFmtId="0" fontId="10" fillId="0" borderId="0" xfId="0" applyFont="1" applyAlignment="1">
      <alignment horizontal="left"/>
    </xf>
    <xf numFmtId="0" fontId="10" fillId="0" borderId="7" xfId="0" applyFont="1" applyBorder="1" applyAlignment="1">
      <alignment horizontal="left"/>
    </xf>
    <xf numFmtId="0" fontId="7" fillId="3" borderId="1" xfId="0" applyFont="1" applyFill="1" applyBorder="1" applyAlignment="1" applyProtection="1">
      <alignment horizontal="center"/>
      <protection hidden="1"/>
    </xf>
    <xf numFmtId="0" fontId="18" fillId="7" borderId="1" xfId="0" applyFont="1" applyFill="1" applyBorder="1" applyAlignment="1" applyProtection="1">
      <alignment horizontal="center" wrapText="1"/>
      <protection hidden="1"/>
    </xf>
    <xf numFmtId="0" fontId="8" fillId="7" borderId="1" xfId="0" applyFont="1" applyFill="1" applyBorder="1" applyAlignment="1" applyProtection="1">
      <alignment horizontal="center" wrapText="1"/>
      <protection hidden="1"/>
    </xf>
    <xf numFmtId="0" fontId="4" fillId="3" borderId="6" xfId="0" applyFont="1" applyFill="1" applyBorder="1" applyAlignment="1" applyProtection="1">
      <alignment horizontal="center"/>
      <protection hidden="1"/>
    </xf>
    <xf numFmtId="0" fontId="4" fillId="3" borderId="7" xfId="0" applyFont="1" applyFill="1" applyBorder="1" applyAlignment="1" applyProtection="1">
      <alignment horizontal="center"/>
      <protection hidden="1"/>
    </xf>
    <xf numFmtId="0" fontId="4" fillId="2" borderId="2" xfId="0" applyFont="1" applyFill="1" applyBorder="1" applyAlignment="1" applyProtection="1">
      <alignment horizontal="left"/>
      <protection hidden="1"/>
    </xf>
    <xf numFmtId="0" fontId="4" fillId="2" borderId="3" xfId="0" applyFont="1" applyFill="1" applyBorder="1" applyAlignment="1" applyProtection="1">
      <alignment horizontal="left"/>
      <protection hidden="1"/>
    </xf>
    <xf numFmtId="0" fontId="4" fillId="2" borderId="2" xfId="0" applyFont="1" applyFill="1" applyBorder="1" applyAlignment="1" applyProtection="1">
      <alignment horizontal="left" vertical="center"/>
      <protection hidden="1"/>
    </xf>
    <xf numFmtId="0" fontId="4" fillId="2" borderId="9" xfId="0" applyFont="1" applyFill="1" applyBorder="1" applyAlignment="1" applyProtection="1">
      <alignment horizontal="left" vertical="center"/>
      <protection hidden="1"/>
    </xf>
    <xf numFmtId="0" fontId="9" fillId="3" borderId="1" xfId="0" applyFont="1" applyFill="1" applyBorder="1" applyAlignment="1" applyProtection="1">
      <alignment horizontal="center"/>
      <protection hidden="1"/>
    </xf>
    <xf numFmtId="0" fontId="4" fillId="3" borderId="1" xfId="0" applyFont="1" applyFill="1" applyBorder="1" applyAlignment="1" applyProtection="1">
      <alignment horizontal="center"/>
      <protection hidden="1"/>
    </xf>
    <xf numFmtId="0" fontId="4" fillId="0" borderId="2" xfId="0" applyFont="1" applyBorder="1" applyAlignment="1" applyProtection="1">
      <alignment horizontal="right"/>
      <protection hidden="1"/>
    </xf>
    <xf numFmtId="0" fontId="4" fillId="0" borderId="9" xfId="0" applyFont="1" applyBorder="1" applyAlignment="1" applyProtection="1">
      <alignment horizontal="right"/>
      <protection hidden="1"/>
    </xf>
    <xf numFmtId="0" fontId="4" fillId="0" borderId="3" xfId="0" applyFont="1" applyBorder="1" applyAlignment="1" applyProtection="1">
      <alignment horizontal="right"/>
      <protection hidden="1"/>
    </xf>
    <xf numFmtId="0" fontId="4" fillId="2" borderId="2" xfId="0" applyFont="1" applyFill="1" applyBorder="1" applyAlignment="1" applyProtection="1">
      <alignment horizontal="right" vertical="center"/>
      <protection hidden="1"/>
    </xf>
    <xf numFmtId="0" fontId="4" fillId="2" borderId="9" xfId="0" applyFont="1" applyFill="1" applyBorder="1" applyAlignment="1" applyProtection="1">
      <alignment horizontal="right" vertical="center"/>
      <protection hidden="1"/>
    </xf>
    <xf numFmtId="0" fontId="4" fillId="2" borderId="2" xfId="0" applyFont="1" applyFill="1" applyBorder="1" applyAlignment="1" applyProtection="1">
      <alignment horizontal="center" vertical="center"/>
      <protection hidden="1"/>
    </xf>
    <xf numFmtId="0" fontId="4" fillId="2" borderId="9" xfId="0" applyFont="1" applyFill="1" applyBorder="1" applyAlignment="1" applyProtection="1">
      <alignment horizontal="center" vertical="center"/>
      <protection hidden="1"/>
    </xf>
    <xf numFmtId="0" fontId="0" fillId="0" borderId="21" xfId="0" applyBorder="1" applyAlignment="1">
      <alignment horizontal="center"/>
    </xf>
    <xf numFmtId="0" fontId="0" fillId="0" borderId="22" xfId="0" applyBorder="1" applyAlignment="1">
      <alignment horizontal="center"/>
    </xf>
    <xf numFmtId="0" fontId="20" fillId="3" borderId="0" xfId="0" applyFont="1" applyFill="1" applyAlignment="1">
      <alignment horizontal="center"/>
    </xf>
    <xf numFmtId="0" fontId="21" fillId="6" borderId="20" xfId="0" applyFont="1" applyFill="1" applyBorder="1" applyAlignment="1">
      <alignment horizontal="center"/>
    </xf>
    <xf numFmtId="0" fontId="20" fillId="0" borderId="20" xfId="0" applyFont="1" applyBorder="1" applyAlignment="1">
      <alignment horizontal="center"/>
    </xf>
    <xf numFmtId="14" fontId="0" fillId="4" borderId="0" xfId="0" applyNumberFormat="1" applyFill="1" applyAlignment="1">
      <alignment horizontal="right"/>
    </xf>
    <xf numFmtId="172" fontId="25" fillId="4" borderId="0" xfId="0" applyNumberFormat="1" applyFont="1" applyFill="1" applyAlignment="1">
      <alignment horizontal="center" vertical="center"/>
    </xf>
    <xf numFmtId="0" fontId="60" fillId="11" borderId="0" xfId="0" applyFont="1" applyFill="1" applyAlignment="1">
      <alignment horizontal="center"/>
    </xf>
    <xf numFmtId="0" fontId="45" fillId="9" borderId="41" xfId="0" applyFont="1" applyFill="1" applyBorder="1" applyAlignment="1">
      <alignment horizontal="center" vertical="center" wrapText="1"/>
    </xf>
    <xf numFmtId="0" fontId="45" fillId="9" borderId="42" xfId="0" applyFont="1" applyFill="1" applyBorder="1" applyAlignment="1">
      <alignment horizontal="center" vertical="center" wrapText="1"/>
    </xf>
    <xf numFmtId="0" fontId="29" fillId="2" borderId="28" xfId="0" applyFont="1" applyFill="1" applyBorder="1" applyAlignment="1">
      <alignment horizontal="center" vertical="center"/>
    </xf>
    <xf numFmtId="0" fontId="30" fillId="2" borderId="28" xfId="0" applyFont="1" applyFill="1" applyBorder="1" applyAlignment="1">
      <alignment horizontal="center"/>
    </xf>
    <xf numFmtId="0" fontId="30" fillId="2" borderId="33" xfId="0" applyFont="1" applyFill="1" applyBorder="1" applyAlignment="1">
      <alignment horizontal="center"/>
    </xf>
    <xf numFmtId="0" fontId="30" fillId="0" borderId="0" xfId="0" applyFont="1" applyAlignment="1">
      <alignment horizontal="center"/>
    </xf>
  </cellXfs>
  <cellStyles count="4">
    <cellStyle name="Millares [0]" xfId="3" builtinId="6"/>
    <cellStyle name="Moneda" xfId="1" builtinId="4"/>
    <cellStyle name="Normal" xfId="0" builtinId="0"/>
    <cellStyle name="Porcentaje" xfId="2" builtinId="5"/>
  </cellStyles>
  <dxfs count="221">
    <dxf>
      <font>
        <sz val="12"/>
      </font>
    </dxf>
    <dxf>
      <font>
        <sz val="12"/>
      </font>
    </dxf>
    <dxf>
      <fill>
        <patternFill>
          <bgColor rgb="FF00304D"/>
        </patternFill>
      </fill>
    </dxf>
    <dxf>
      <font>
        <color theme="0"/>
      </font>
    </dxf>
    <dxf>
      <fill>
        <patternFill>
          <bgColor rgb="FF42CD11"/>
        </patternFill>
      </fill>
    </dxf>
    <dxf>
      <font>
        <b/>
      </font>
    </dxf>
    <dxf>
      <fill>
        <patternFill patternType="solid">
          <bgColor rgb="FF42CD11"/>
        </patternFill>
      </fill>
    </dxf>
    <dxf>
      <font>
        <b/>
      </font>
    </dxf>
    <dxf>
      <font>
        <color theme="0"/>
      </font>
    </dxf>
    <dxf>
      <fill>
        <patternFill patternType="solid">
          <bgColor rgb="FF00304D"/>
        </patternFill>
      </fill>
    </dxf>
    <dxf>
      <numFmt numFmtId="170" formatCode="_-&quot;$&quot;\ * #,##0_-;\-&quot;$&quot;\ * #,##0_-;_-&quot;$&quot;\ * &quot;-&quot;??_-;_-@_-"/>
    </dxf>
    <dxf>
      <font>
        <sz val="12"/>
      </font>
    </dxf>
    <dxf>
      <font>
        <sz val="12"/>
      </font>
    </dxf>
    <dxf>
      <font>
        <color theme="0"/>
      </font>
    </dxf>
    <dxf>
      <fill>
        <patternFill>
          <bgColor rgb="FF00304D"/>
        </patternFill>
      </fill>
    </dxf>
    <dxf>
      <fill>
        <patternFill>
          <bgColor rgb="FF42CD11"/>
        </patternFill>
      </fill>
    </dxf>
    <dxf>
      <font>
        <b/>
      </font>
    </dxf>
    <dxf>
      <fill>
        <patternFill patternType="solid">
          <bgColor rgb="FF42CD11"/>
        </patternFill>
      </fill>
    </dxf>
    <dxf>
      <font>
        <b/>
      </font>
    </dxf>
    <dxf>
      <font>
        <color theme="0"/>
      </font>
    </dxf>
    <dxf>
      <fill>
        <patternFill patternType="solid">
          <bgColor rgb="FF00304D"/>
        </patternFill>
      </fill>
    </dxf>
    <dxf>
      <numFmt numFmtId="170" formatCode="_-&quot;$&quot;\ * #,##0_-;\-&quot;$&quot;\ * #,##0_-;_-&quot;$&quot;\ * &quot;-&quot;??_-;_-@_-"/>
    </dxf>
    <dxf>
      <font>
        <sz val="12"/>
      </font>
    </dxf>
    <dxf>
      <font>
        <sz val="12"/>
      </font>
    </dxf>
    <dxf>
      <fill>
        <patternFill>
          <bgColor rgb="FF42CD11"/>
        </patternFill>
      </fill>
    </dxf>
    <dxf>
      <font>
        <color theme="0"/>
      </font>
    </dxf>
    <dxf>
      <fill>
        <patternFill>
          <bgColor rgb="FF00304D"/>
        </patternFill>
      </fill>
    </dxf>
    <dxf>
      <font>
        <b/>
      </font>
    </dxf>
    <dxf>
      <fill>
        <patternFill patternType="solid">
          <bgColor rgb="FF42CD11"/>
        </patternFill>
      </fill>
    </dxf>
    <dxf>
      <fill>
        <patternFill patternType="solid">
          <bgColor rgb="FF00304D"/>
        </patternFill>
      </fill>
    </dxf>
    <dxf>
      <font>
        <color theme="0"/>
      </font>
    </dxf>
    <dxf>
      <numFmt numFmtId="170" formatCode="_-&quot;$&quot;\ * #,##0_-;\-&quot;$&quot;\ * #,##0_-;_-&quot;$&quot;\ * &quot;-&quot;??_-;_-@_-"/>
    </dxf>
    <dxf>
      <numFmt numFmtId="170" formatCode="_-&quot;$&quot;\ * #,##0_-;\-&quot;$&quot;\ * #,##0_-;_-&quot;$&quot;\ * &quot;-&quot;??_-;_-@_-"/>
    </dxf>
    <dxf>
      <numFmt numFmtId="170" formatCode="_-&quot;$&quot;\ * #,##0_-;\-&quot;$&quot;\ * #,##0_-;_-&quot;$&quot;\ * &quot;-&quot;??_-;_-@_-"/>
    </dxf>
    <dxf>
      <numFmt numFmtId="170" formatCode="_-&quot;$&quot;\ * #,##0_-;\-&quot;$&quot;\ * #,##0_-;_-&quot;$&quot;\ * &quot;-&quot;??_-;_-@_-"/>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i val="0"/>
        <strike val="0"/>
        <condense val="0"/>
        <extend val="0"/>
        <outline val="0"/>
        <shadow val="0"/>
        <u val="none"/>
        <vertAlign val="baseline"/>
        <sz val="9"/>
        <color theme="0"/>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protection locked="1" hidden="1"/>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protection locked="1" hidden="1"/>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ont>
        <b/>
        <i val="0"/>
        <strike val="0"/>
        <condense val="0"/>
        <extend val="0"/>
        <outline val="0"/>
        <shadow val="0"/>
        <u val="none"/>
        <vertAlign val="baseline"/>
        <sz val="9"/>
        <color theme="0"/>
        <name val="Arial"/>
        <family val="2"/>
        <scheme val="none"/>
      </font>
      <numFmt numFmtId="165" formatCode="_(&quot;$&quot;\ * #,##0_);_(&quot;$&quot;\ * \(#,##0\);_(&quot;$&quot;\ * &quot;-&quot;??_);_(@_)"/>
      <fill>
        <patternFill patternType="solid">
          <fgColor indexed="64"/>
          <bgColor theme="4" tint="-0.49998474074526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right style="thin">
          <color indexed="64"/>
        </right>
        <top style="thin">
          <color indexed="64"/>
        </top>
        <bottom style="thin">
          <color indexed="64"/>
        </bottom>
      </border>
      <protection locked="1" hidden="1"/>
    </dxf>
    <dxf>
      <font>
        <b/>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alignment horizontal="center" vertical="bottom" textRotation="0" wrapText="0" indent="0" justifyLastLine="0" shrinkToFit="0" readingOrder="0"/>
      <border diagonalUp="0" diagonalDown="0">
        <left style="medium">
          <color indexed="64"/>
        </left>
        <right style="medium">
          <color indexed="64"/>
        </right>
        <top style="thin">
          <color theme="0" tint="-0.499984740745262"/>
        </top>
        <bottom style="thin">
          <color theme="0" tint="-0.499984740745262"/>
        </bottom>
        <vertical/>
        <horizontal/>
      </border>
      <protection locked="1" hidden="1"/>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left style="thin">
          <color indexed="64"/>
        </left>
        <right style="thin">
          <color indexed="64"/>
        </right>
      </border>
    </dxf>
    <dxf>
      <font>
        <b val="0"/>
        <i val="0"/>
        <strike val="0"/>
        <condense val="0"/>
        <extend val="0"/>
        <outline val="0"/>
        <shadow val="0"/>
        <u val="none"/>
        <vertAlign val="baseline"/>
        <sz val="9"/>
        <color theme="1"/>
        <name val="Arial"/>
        <family val="2"/>
        <scheme val="none"/>
      </font>
      <protection locked="1" hidden="1"/>
    </dxf>
    <dxf>
      <font>
        <b/>
        <i val="0"/>
        <strike val="0"/>
        <condense val="0"/>
        <extend val="0"/>
        <outline val="0"/>
        <shadow val="0"/>
        <u val="none"/>
        <vertAlign val="baseline"/>
        <sz val="9"/>
        <color auto="1"/>
        <name val="Arial"/>
        <family val="2"/>
        <scheme val="none"/>
      </font>
      <numFmt numFmtId="165" formatCode="_(&quot;$&quot;\ * #,##0_);_(&quot;$&quot;\ * \(#,##0\);_(&quot;$&quot;\ * &quot;-&quot;??_);_(@_)"/>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73" formatCode="[$-F800]dddd\,\ mmmm\ dd\,\ yyyy"/>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6" formatCode="0.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numFmt numFmtId="170" formatCode="_-&quot;$&quot;\ * #,##0_-;\-&quot;$&quot;\ * #,##0_-;_-&quot;$&quot;\ * &quot;-&quot;??_-;_-@_-"/>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auto="1"/>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74" formatCode="[$-240A]d&quot; de &quot;mmmm&quot; de &quot;yyyy;@"/>
    </dxf>
    <dxf>
      <numFmt numFmtId="174" formatCode="[$-240A]d&quot; de &quot;mmmm&quot; de &quot;yyyy;@"/>
    </dxf>
    <dxf>
      <numFmt numFmtId="174" formatCode="[$-240A]d&quot; de &quot;mmmm&quot; de &quot;yyyy;@"/>
    </dxf>
    <dxf>
      <numFmt numFmtId="174" formatCode="[$-240A]d&quot; de &quot;mmmm&quot; de &quot;yyyy;@"/>
    </dxf>
    <dxf>
      <numFmt numFmtId="170" formatCode="_-&quot;$&quot;\ * #,##0_-;\-&quot;$&quot;\ * #,##0_-;_-&quot;$&quot;\ * &quot;-&quot;??_-;_-@_-"/>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alignment horizontal="general" vertical="bottom"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fill>
        <patternFill patternType="solid">
          <fgColor indexed="64"/>
          <bgColor theme="0"/>
        </patternFill>
      </fill>
      <alignment horizontal="general"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general"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family val="2"/>
        <scheme val="none"/>
      </font>
      <numFmt numFmtId="14" formatCode="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numFmt numFmtId="166" formatCode="0.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0"/>
        </patternFill>
      </fill>
    </dxf>
    <dxf>
      <border>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304D"/>
      <color rgb="FFFDC300"/>
      <color rgb="FF42CD11"/>
      <color rgb="FF50E5F9"/>
      <color rgb="FF39A900"/>
      <color rgb="FF007832"/>
      <color rgb="FF71277A"/>
      <color rgb="FF75F0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[excel_copia.xlsm]Tablas!TablaDinámica10</c:name>
    <c:fmtId val="2"/>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DEVENGADO</a:t>
            </a:r>
            <a:r>
              <a:rPr lang="en-US" b="1" baseline="0">
                <a:solidFill>
                  <a:schemeClr val="bg1"/>
                </a:solidFill>
              </a:rPr>
              <a:t> POR CARGOS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3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147843459866025"/>
          <c:y val="0.20396251673360111"/>
          <c:w val="0.74872057037646411"/>
          <c:h val="0.74248995983935739"/>
        </c:manualLayout>
      </c:layout>
      <c:barChart>
        <c:barDir val="bar"/>
        <c:grouping val="clustered"/>
        <c:varyColors val="0"/>
        <c:ser>
          <c:idx val="0"/>
          <c:order val="0"/>
          <c:tx>
            <c:strRef>
              <c:f>Tablas!$B$17</c:f>
              <c:strCache>
                <c:ptCount val="1"/>
                <c:pt idx="0">
                  <c:v>Total</c:v>
                </c:pt>
              </c:strCache>
            </c:strRef>
          </c:tx>
          <c:spPr>
            <a:solidFill>
              <a:srgbClr val="FDC3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Tablas!$A$18:$A$28</c:f>
              <c:strCache>
                <c:ptCount val="10"/>
                <c:pt idx="0">
                  <c:v>0</c:v>
                </c:pt>
                <c:pt idx="1">
                  <c:v>Jefe de Calidad</c:v>
                </c:pt>
                <c:pt idx="2">
                  <c:v>Jefe de Ingeniería</c:v>
                </c:pt>
                <c:pt idx="3">
                  <c:v>Mecánico</c:v>
                </c:pt>
                <c:pt idx="4">
                  <c:v>Operarios manuales</c:v>
                </c:pt>
                <c:pt idx="5">
                  <c:v>Pistolero</c:v>
                </c:pt>
                <c:pt idx="6">
                  <c:v>Planchador</c:v>
                </c:pt>
                <c:pt idx="7">
                  <c:v>Revisora</c:v>
                </c:pt>
                <c:pt idx="8">
                  <c:v>Servicios Generales</c:v>
                </c:pt>
                <c:pt idx="9">
                  <c:v>Supervisor</c:v>
                </c:pt>
              </c:strCache>
            </c:strRef>
          </c:cat>
          <c:val>
            <c:numRef>
              <c:f>Tablas!$B$18:$B$28</c:f>
              <c:numCache>
                <c:formatCode>_-"$"\ * #,##0_-;\-"$"\ * #,##0_-;_-"$"\ * "-"??_-;_-@_-</c:formatCode>
                <c:ptCount val="10"/>
                <c:pt idx="0">
                  <c:v>0</c:v>
                </c:pt>
                <c:pt idx="1">
                  <c:v>4312000</c:v>
                </c:pt>
                <c:pt idx="2">
                  <c:v>13914426.086956521</c:v>
                </c:pt>
                <c:pt idx="3">
                  <c:v>2875043.4782608696</c:v>
                </c:pt>
                <c:pt idx="4">
                  <c:v>1749000</c:v>
                </c:pt>
                <c:pt idx="5">
                  <c:v>1495800</c:v>
                </c:pt>
                <c:pt idx="6">
                  <c:v>1600533.3333333333</c:v>
                </c:pt>
                <c:pt idx="7">
                  <c:v>1602773.9130434783</c:v>
                </c:pt>
                <c:pt idx="8">
                  <c:v>1212794.2028985505</c:v>
                </c:pt>
                <c:pt idx="9">
                  <c:v>4149000</c:v>
                </c:pt>
              </c:numCache>
            </c:numRef>
          </c:val>
          <c:extLst>
            <c:ext xmlns:c16="http://schemas.microsoft.com/office/drawing/2014/chart" uri="{C3380CC4-5D6E-409C-BE32-E72D297353CC}">
              <c16:uniqueId val="{00000000-70AC-4F77-AA9A-BAA4929E07D6}"/>
            </c:ext>
          </c:extLst>
        </c:ser>
        <c:dLbls>
          <c:dLblPos val="outEnd"/>
          <c:showLegendKey val="0"/>
          <c:showVal val="1"/>
          <c:showCatName val="0"/>
          <c:showSerName val="0"/>
          <c:showPercent val="0"/>
          <c:showBubbleSize val="0"/>
        </c:dLbls>
        <c:gapWidth val="182"/>
        <c:axId val="783930640"/>
        <c:axId val="783933968"/>
      </c:barChart>
      <c:catAx>
        <c:axId val="783930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crossAx val="783933968"/>
        <c:crosses val="autoZero"/>
        <c:auto val="1"/>
        <c:lblAlgn val="ctr"/>
        <c:lblOffset val="100"/>
        <c:noMultiLvlLbl val="0"/>
      </c:catAx>
      <c:valAx>
        <c:axId val="783933968"/>
        <c:scaling>
          <c:orientation val="minMax"/>
        </c:scaling>
        <c:delete val="1"/>
        <c:axPos val="b"/>
        <c:numFmt formatCode="_-&quot;$&quot;\ * #,##0_-;\-&quot;$&quot;\ * #,##0_-;_-&quot;$&quot;\ * &quot;-&quot;??_-;_-@_-" sourceLinked="1"/>
        <c:majorTickMark val="none"/>
        <c:minorTickMark val="none"/>
        <c:tickLblPos val="nextTo"/>
        <c:crossAx val="78393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[excel_copia.xlsm]Tablas!TablaDinámica2</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CO" b="1">
                <a:solidFill>
                  <a:schemeClr val="bg1"/>
                </a:solidFill>
              </a:rPr>
              <a:t>COSTO</a:t>
            </a:r>
            <a:r>
              <a:rPr lang="es-CO" b="1" baseline="0">
                <a:solidFill>
                  <a:schemeClr val="bg1"/>
                </a:solidFill>
              </a:rPr>
              <a:t> DE HORAS EXTRAS</a:t>
            </a:r>
            <a:endParaRPr lang="es-CO"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DC3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0E5F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7127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78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39A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Tablas!$A$14</c:f>
              <c:strCache>
                <c:ptCount val="1"/>
                <c:pt idx="0">
                  <c:v> H.E. Diur. Dom/Fest</c:v>
                </c:pt>
              </c:strCache>
            </c:strRef>
          </c:tx>
          <c:spPr>
            <a:solidFill>
              <a:srgbClr val="FDC3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Tablas!$A$15</c:f>
              <c:numCache>
                <c:formatCode>_-"$"\ * #,##0_-;\-"$"\ * #,##0_-;_-"$"\ * "-"??_-;_-@_-</c:formatCode>
                <c:ptCount val="1"/>
                <c:pt idx="0">
                  <c:v>782608.69565217383</c:v>
                </c:pt>
              </c:numCache>
            </c:numRef>
          </c:val>
          <c:extLst>
            <c:ext xmlns:c16="http://schemas.microsoft.com/office/drawing/2014/chart" uri="{C3380CC4-5D6E-409C-BE32-E72D297353CC}">
              <c16:uniqueId val="{00000000-F0AC-4C97-AA7D-F50D659D29C1}"/>
            </c:ext>
          </c:extLst>
        </c:ser>
        <c:ser>
          <c:idx val="1"/>
          <c:order val="1"/>
          <c:tx>
            <c:strRef>
              <c:f>Tablas!$B$14</c:f>
              <c:strCache>
                <c:ptCount val="1"/>
                <c:pt idx="0">
                  <c:v>H.E. Noct</c:v>
                </c:pt>
              </c:strCache>
            </c:strRef>
          </c:tx>
          <c:spPr>
            <a:solidFill>
              <a:srgbClr val="50E5F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Tablas!$B$15</c:f>
              <c:numCache>
                <c:formatCode>_-"$"\ * #,##0_-;\-"$"\ * #,##0_-;_-"$"\ * "-"??_-;_-@_-</c:formatCode>
                <c:ptCount val="1"/>
                <c:pt idx="0">
                  <c:v>136347.82608695654</c:v>
                </c:pt>
              </c:numCache>
            </c:numRef>
          </c:val>
          <c:extLst>
            <c:ext xmlns:c16="http://schemas.microsoft.com/office/drawing/2014/chart" uri="{C3380CC4-5D6E-409C-BE32-E72D297353CC}">
              <c16:uniqueId val="{00000001-F0AC-4C97-AA7D-F50D659D29C1}"/>
            </c:ext>
          </c:extLst>
        </c:ser>
        <c:ser>
          <c:idx val="2"/>
          <c:order val="2"/>
          <c:tx>
            <c:strRef>
              <c:f>Tablas!$C$14</c:f>
              <c:strCache>
                <c:ptCount val="1"/>
                <c:pt idx="0">
                  <c:v>H.E. Noct. Dom/Fest.</c:v>
                </c:pt>
              </c:strCache>
            </c:strRef>
          </c:tx>
          <c:spPr>
            <a:solidFill>
              <a:srgbClr val="71277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Tablas!$C$15</c:f>
              <c:numCache>
                <c:formatCode>_-"$"\ * #,##0_-;\-"$"\ * #,##0_-;_-"$"\ * "-"??_-;_-@_-</c:formatCode>
                <c:ptCount val="1"/>
                <c:pt idx="0">
                  <c:v>65217.391304347831</c:v>
                </c:pt>
              </c:numCache>
            </c:numRef>
          </c:val>
          <c:extLst>
            <c:ext xmlns:c16="http://schemas.microsoft.com/office/drawing/2014/chart" uri="{C3380CC4-5D6E-409C-BE32-E72D297353CC}">
              <c16:uniqueId val="{00000002-F0AC-4C97-AA7D-F50D659D29C1}"/>
            </c:ext>
          </c:extLst>
        </c:ser>
        <c:ser>
          <c:idx val="3"/>
          <c:order val="3"/>
          <c:tx>
            <c:strRef>
              <c:f>Tablas!$D$14</c:f>
              <c:strCache>
                <c:ptCount val="1"/>
                <c:pt idx="0">
                  <c:v>Recargo Noctu</c:v>
                </c:pt>
              </c:strCache>
            </c:strRef>
          </c:tx>
          <c:spPr>
            <a:solidFill>
              <a:srgbClr val="0078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Tablas!$D$15</c:f>
              <c:numCache>
                <c:formatCode>_-"$"\ * #,##0_-;\-"$"\ * #,##0_-;_-"$"\ * "-"??_-;_-@_-</c:formatCode>
                <c:ptCount val="1"/>
                <c:pt idx="0">
                  <c:v>715217.3913043479</c:v>
                </c:pt>
              </c:numCache>
            </c:numRef>
          </c:val>
          <c:extLst>
            <c:ext xmlns:c16="http://schemas.microsoft.com/office/drawing/2014/chart" uri="{C3380CC4-5D6E-409C-BE32-E72D297353CC}">
              <c16:uniqueId val="{00000003-F0AC-4C97-AA7D-F50D659D29C1}"/>
            </c:ext>
          </c:extLst>
        </c:ser>
        <c:ser>
          <c:idx val="4"/>
          <c:order val="4"/>
          <c:tx>
            <c:strRef>
              <c:f>Tablas!$E$14</c:f>
              <c:strCache>
                <c:ptCount val="1"/>
                <c:pt idx="0">
                  <c:v>Recargo Noct. Dom/Fest.</c:v>
                </c:pt>
              </c:strCache>
            </c:strRef>
          </c:tx>
          <c:spPr>
            <a:solidFill>
              <a:srgbClr val="39A9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Tablas!$E$15</c:f>
              <c:numCache>
                <c:formatCode>_-"$"\ * #,##0_-;\-"$"\ * #,##0_-;_-"$"\ * "-"??_-;_-@_-</c:formatCode>
                <c:ptCount val="1"/>
                <c:pt idx="0">
                  <c:v>1123913.043478261</c:v>
                </c:pt>
              </c:numCache>
            </c:numRef>
          </c:val>
          <c:extLst>
            <c:ext xmlns:c16="http://schemas.microsoft.com/office/drawing/2014/chart" uri="{C3380CC4-5D6E-409C-BE32-E72D297353CC}">
              <c16:uniqueId val="{00000004-F0AC-4C97-AA7D-F50D659D29C1}"/>
            </c:ext>
          </c:extLst>
        </c:ser>
        <c:ser>
          <c:idx val="5"/>
          <c:order val="5"/>
          <c:tx>
            <c:strRef>
              <c:f>Tablas!$F$14</c:f>
              <c:strCache>
                <c:ptCount val="1"/>
                <c:pt idx="0">
                  <c:v>Recargo Diurno Dom/Fest.</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Tablas!$F$15</c:f>
              <c:numCache>
                <c:formatCode>_-"$"\ * #,##0_-;\-"$"\ * #,##0_-;_-"$"\ * "-"??_-;_-@_-</c:formatCode>
                <c:ptCount val="1"/>
                <c:pt idx="0">
                  <c:v>104347.82608695653</c:v>
                </c:pt>
              </c:numCache>
            </c:numRef>
          </c:val>
          <c:extLst>
            <c:ext xmlns:c16="http://schemas.microsoft.com/office/drawing/2014/chart" uri="{C3380CC4-5D6E-409C-BE32-E72D297353CC}">
              <c16:uniqueId val="{00000005-F0AC-4C97-AA7D-F50D659D29C1}"/>
            </c:ext>
          </c:extLst>
        </c:ser>
        <c:dLbls>
          <c:dLblPos val="outEnd"/>
          <c:showLegendKey val="0"/>
          <c:showVal val="1"/>
          <c:showCatName val="0"/>
          <c:showSerName val="0"/>
          <c:showPercent val="0"/>
          <c:showBubbleSize val="0"/>
        </c:dLbls>
        <c:gapWidth val="219"/>
        <c:overlap val="-27"/>
        <c:axId val="476582960"/>
        <c:axId val="476584208"/>
      </c:barChart>
      <c:catAx>
        <c:axId val="476582960"/>
        <c:scaling>
          <c:orientation val="minMax"/>
        </c:scaling>
        <c:delete val="1"/>
        <c:axPos val="b"/>
        <c:numFmt formatCode="General" sourceLinked="1"/>
        <c:majorTickMark val="none"/>
        <c:minorTickMark val="none"/>
        <c:tickLblPos val="nextTo"/>
        <c:crossAx val="476584208"/>
        <c:crosses val="autoZero"/>
        <c:auto val="1"/>
        <c:lblAlgn val="ctr"/>
        <c:lblOffset val="100"/>
        <c:noMultiLvlLbl val="0"/>
      </c:catAx>
      <c:valAx>
        <c:axId val="476584208"/>
        <c:scaling>
          <c:orientation val="minMax"/>
        </c:scaling>
        <c:delete val="1"/>
        <c:axPos val="l"/>
        <c:numFmt formatCode="_-&quot;$&quot;\ * #,##0_-;\-&quot;$&quot;\ * #,##0_-;_-&quot;$&quot;\ * &quot;-&quot;??_-;_-@_-" sourceLinked="1"/>
        <c:majorTickMark val="none"/>
        <c:minorTickMark val="none"/>
        <c:tickLblPos val="nextTo"/>
        <c:crossAx val="476582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INCAPACIDADES</a:t>
            </a:r>
            <a:r>
              <a:rPr lang="en-US" baseline="0">
                <a:solidFill>
                  <a:schemeClr val="bg1"/>
                </a:solidFill>
              </a:rPr>
              <a:t> POR CARGO</a:t>
            </a:r>
            <a:endParaRPr lang="en-US">
              <a:solidFill>
                <a:schemeClr val="bg1"/>
              </a:solidFill>
            </a:endParaRPr>
          </a:p>
        </c:rich>
      </c:tx>
      <c:layout>
        <c:manualLayout>
          <c:xMode val="edge"/>
          <c:yMode val="edge"/>
          <c:x val="0.21705996469111435"/>
          <c:y val="0.0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50E5F9"/>
            </a:solidFill>
            <a:round/>
          </a:ln>
          <a:effectLst/>
        </c:spPr>
        <c:marker>
          <c:symbol val="circle"/>
          <c:size val="5"/>
          <c:spPr>
            <a:solidFill>
              <a:schemeClr val="accent1"/>
            </a:solidFill>
            <a:ln w="9525">
              <a:solidFill>
                <a:srgbClr val="50E5F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Tablas!$B$1</c:f>
              <c:strCache>
                <c:ptCount val="1"/>
                <c:pt idx="0">
                  <c:v>Total</c:v>
                </c:pt>
              </c:strCache>
            </c:strRef>
          </c:tx>
          <c:spPr>
            <a:ln w="28575" cap="rnd">
              <a:solidFill>
                <a:srgbClr val="50E5F9"/>
              </a:solidFill>
              <a:round/>
            </a:ln>
            <a:effectLst/>
          </c:spPr>
          <c:marker>
            <c:symbol val="circle"/>
            <c:size val="5"/>
            <c:spPr>
              <a:solidFill>
                <a:schemeClr val="accent1"/>
              </a:solidFill>
              <a:ln w="9525">
                <a:solidFill>
                  <a:srgbClr val="50E5F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Tablas!$A$2:$A$12</c:f>
              <c:strCache>
                <c:ptCount val="10"/>
                <c:pt idx="0">
                  <c:v>0</c:v>
                </c:pt>
                <c:pt idx="1">
                  <c:v>Jefe de Calidad</c:v>
                </c:pt>
                <c:pt idx="2">
                  <c:v>Jefe de Ingeniería</c:v>
                </c:pt>
                <c:pt idx="3">
                  <c:v>Mecánico</c:v>
                </c:pt>
                <c:pt idx="4">
                  <c:v>Operarios manuales</c:v>
                </c:pt>
                <c:pt idx="5">
                  <c:v>Pistolero</c:v>
                </c:pt>
                <c:pt idx="6">
                  <c:v>Planchador</c:v>
                </c:pt>
                <c:pt idx="7">
                  <c:v>Revisora</c:v>
                </c:pt>
                <c:pt idx="8">
                  <c:v>Servicios Generales</c:v>
                </c:pt>
                <c:pt idx="9">
                  <c:v>Supervisor</c:v>
                </c:pt>
              </c:strCache>
            </c:strRef>
          </c:cat>
          <c:val>
            <c:numRef>
              <c:f>Tablas!$B$2:$B$12</c:f>
              <c:numCache>
                <c:formatCode>_-"$"\ * #,##0_-;\-"$"\ * #,##0_-;_-"$"\ * "-"??_-;_-@_-</c:formatCode>
                <c:ptCount val="10"/>
                <c:pt idx="0">
                  <c:v>0</c:v>
                </c:pt>
                <c:pt idx="1">
                  <c:v>0</c:v>
                </c:pt>
                <c:pt idx="2">
                  <c:v>2</c:v>
                </c:pt>
                <c:pt idx="3">
                  <c:v>0</c:v>
                </c:pt>
                <c:pt idx="4">
                  <c:v>0</c:v>
                </c:pt>
                <c:pt idx="5">
                  <c:v>8</c:v>
                </c:pt>
                <c:pt idx="6">
                  <c:v>2</c:v>
                </c:pt>
                <c:pt idx="7">
                  <c:v>6</c:v>
                </c:pt>
                <c:pt idx="8">
                  <c:v>1</c:v>
                </c:pt>
                <c:pt idx="9">
                  <c:v>0</c:v>
                </c:pt>
              </c:numCache>
            </c:numRef>
          </c:val>
          <c:smooth val="0"/>
          <c:extLst>
            <c:ext xmlns:c16="http://schemas.microsoft.com/office/drawing/2014/chart" uri="{C3380CC4-5D6E-409C-BE32-E72D297353CC}">
              <c16:uniqueId val="{00000000-42E7-4DA3-A5C7-5A2075A95D11}"/>
            </c:ext>
          </c:extLst>
        </c:ser>
        <c:dLbls>
          <c:dLblPos val="t"/>
          <c:showLegendKey val="0"/>
          <c:showVal val="1"/>
          <c:showCatName val="0"/>
          <c:showSerName val="0"/>
          <c:showPercent val="0"/>
          <c:showBubbleSize val="0"/>
        </c:dLbls>
        <c:marker val="1"/>
        <c:smooth val="0"/>
        <c:axId val="476543856"/>
        <c:axId val="476544688"/>
      </c:lineChart>
      <c:catAx>
        <c:axId val="47654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s-CO"/>
          </a:p>
        </c:txPr>
        <c:crossAx val="476544688"/>
        <c:crosses val="autoZero"/>
        <c:auto val="1"/>
        <c:lblAlgn val="ctr"/>
        <c:lblOffset val="100"/>
        <c:noMultiLvlLbl val="0"/>
      </c:catAx>
      <c:valAx>
        <c:axId val="476544688"/>
        <c:scaling>
          <c:orientation val="minMax"/>
        </c:scaling>
        <c:delete val="1"/>
        <c:axPos val="l"/>
        <c:numFmt formatCode="_-&quot;$&quot;\ * #,##0_-;\-&quot;$&quot;\ * #,##0_-;_-&quot;$&quot;\ * &quot;-&quot;??_-;_-@_-" sourceLinked="1"/>
        <c:majorTickMark val="none"/>
        <c:minorTickMark val="none"/>
        <c:tickLblPos val="nextTo"/>
        <c:crossAx val="47654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6.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png"/></Relationships>
</file>

<file path=xl/drawings/_rels/drawing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9.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104774</xdr:rowOff>
    </xdr:from>
    <xdr:to>
      <xdr:col>20</xdr:col>
      <xdr:colOff>742950</xdr:colOff>
      <xdr:row>33</xdr:row>
      <xdr:rowOff>123824</xdr:rowOff>
    </xdr:to>
    <xdr:grpSp>
      <xdr:nvGrpSpPr>
        <xdr:cNvPr id="6" name="Grupo 5">
          <a:extLst>
            <a:ext uri="{FF2B5EF4-FFF2-40B4-BE49-F238E27FC236}">
              <a16:creationId xmlns:a16="http://schemas.microsoft.com/office/drawing/2014/main" id="{9F4AA0DF-FD8E-42F1-8159-AD113E1EC97F}"/>
            </a:ext>
          </a:extLst>
        </xdr:cNvPr>
        <xdr:cNvGrpSpPr/>
      </xdr:nvGrpSpPr>
      <xdr:grpSpPr>
        <a:xfrm>
          <a:off x="0" y="1157719"/>
          <a:ext cx="19003241" cy="6004214"/>
          <a:chOff x="38100" y="1128712"/>
          <a:chExt cx="18388013" cy="6257925"/>
        </a:xfrm>
      </xdr:grpSpPr>
      <xdr:sp macro="" textlink="">
        <xdr:nvSpPr>
          <xdr:cNvPr id="7" name="Rectángulo: esquinas redondeadas 6">
            <a:extLst>
              <a:ext uri="{FF2B5EF4-FFF2-40B4-BE49-F238E27FC236}">
                <a16:creationId xmlns:a16="http://schemas.microsoft.com/office/drawing/2014/main" id="{C41F5B20-4724-403C-8944-3960DB3FE90B}"/>
              </a:ext>
            </a:extLst>
          </xdr:cNvPr>
          <xdr:cNvSpPr/>
        </xdr:nvSpPr>
        <xdr:spPr>
          <a:xfrm>
            <a:off x="5162550" y="1128712"/>
            <a:ext cx="13263563" cy="6257925"/>
          </a:xfrm>
          <a:prstGeom prst="roundRect">
            <a:avLst/>
          </a:prstGeom>
          <a:solidFill>
            <a:srgbClr val="00304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xdr:nvPicPr>
          <xdr:cNvPr id="10" name="Imagen 9">
            <a:extLst>
              <a:ext uri="{FF2B5EF4-FFF2-40B4-BE49-F238E27FC236}">
                <a16:creationId xmlns:a16="http://schemas.microsoft.com/office/drawing/2014/main" id="{2EBC0AA5-0BCC-FF65-9C69-2C6DD13972CE}"/>
              </a:ext>
            </a:extLst>
          </xdr:cNvPr>
          <xdr:cNvPicPr>
            <a:picLocks noChangeAspect="1"/>
          </xdr:cNvPicPr>
        </xdr:nvPicPr>
        <xdr:blipFill>
          <a:blip xmlns:r="http://schemas.openxmlformats.org/officeDocument/2006/relationships" r:embed="rId1">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38100" y="2066923"/>
            <a:ext cx="5126382" cy="4948240"/>
          </a:xfrm>
          <a:prstGeom prst="rect">
            <a:avLst/>
          </a:prstGeom>
        </xdr:spPr>
      </xdr:pic>
    </xdr:grpSp>
    <xdr:clientData/>
  </xdr:twoCellAnchor>
  <xdr:twoCellAnchor>
    <xdr:from>
      <xdr:col>6</xdr:col>
      <xdr:colOff>761999</xdr:colOff>
      <xdr:row>8</xdr:row>
      <xdr:rowOff>95250</xdr:rowOff>
    </xdr:from>
    <xdr:to>
      <xdr:col>10</xdr:col>
      <xdr:colOff>514349</xdr:colOff>
      <xdr:row>16</xdr:row>
      <xdr:rowOff>51394</xdr:rowOff>
    </xdr:to>
    <xdr:grpSp>
      <xdr:nvGrpSpPr>
        <xdr:cNvPr id="12" name="Grupo 11">
          <a:extLst>
            <a:ext uri="{FF2B5EF4-FFF2-40B4-BE49-F238E27FC236}">
              <a16:creationId xmlns:a16="http://schemas.microsoft.com/office/drawing/2014/main" id="{5D6C17BD-A589-4565-B8F1-FA31109EFD30}"/>
            </a:ext>
          </a:extLst>
        </xdr:cNvPr>
        <xdr:cNvGrpSpPr/>
      </xdr:nvGrpSpPr>
      <xdr:grpSpPr>
        <a:xfrm>
          <a:off x="6248399" y="1868632"/>
          <a:ext cx="3174423" cy="1397017"/>
          <a:chOff x="6119812" y="1905000"/>
          <a:chExt cx="3062288" cy="1480144"/>
        </a:xfrm>
      </xdr:grpSpPr>
      <xdr:pic macro="[0]!IRADATOS">
        <xdr:nvPicPr>
          <xdr:cNvPr id="13" name="Imagen 12">
            <a:extLst>
              <a:ext uri="{FF2B5EF4-FFF2-40B4-BE49-F238E27FC236}">
                <a16:creationId xmlns:a16="http://schemas.microsoft.com/office/drawing/2014/main" id="{3FAE33BD-6958-4AC8-AB54-3EA53527D3E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1078" t="16122" r="20588" b="33617"/>
          <a:stretch/>
        </xdr:blipFill>
        <xdr:spPr>
          <a:xfrm>
            <a:off x="6119812" y="2000251"/>
            <a:ext cx="2853064" cy="1384893"/>
          </a:xfrm>
          <a:prstGeom prst="rect">
            <a:avLst/>
          </a:prstGeom>
        </xdr:spPr>
      </xdr:pic>
      <xdr:sp macro="[0]!IRADATOS" textlink="">
        <xdr:nvSpPr>
          <xdr:cNvPr id="14" name="CuadroTexto 13">
            <a:extLst>
              <a:ext uri="{FF2B5EF4-FFF2-40B4-BE49-F238E27FC236}">
                <a16:creationId xmlns:a16="http://schemas.microsoft.com/office/drawing/2014/main" id="{ACBA2670-E018-4136-91A2-2F9CB1B62500}"/>
              </a:ext>
            </a:extLst>
          </xdr:cNvPr>
          <xdr:cNvSpPr txBox="1"/>
        </xdr:nvSpPr>
        <xdr:spPr>
          <a:xfrm>
            <a:off x="6252954" y="1905000"/>
            <a:ext cx="292914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PARAMETRIZACIÓN</a:t>
            </a:r>
          </a:p>
        </xdr:txBody>
      </xdr:sp>
    </xdr:grpSp>
    <xdr:clientData/>
  </xdr:twoCellAnchor>
  <xdr:twoCellAnchor>
    <xdr:from>
      <xdr:col>6</xdr:col>
      <xdr:colOff>761999</xdr:colOff>
      <xdr:row>26</xdr:row>
      <xdr:rowOff>128587</xdr:rowOff>
    </xdr:from>
    <xdr:to>
      <xdr:col>10</xdr:col>
      <xdr:colOff>576261</xdr:colOff>
      <xdr:row>31</xdr:row>
      <xdr:rowOff>138112</xdr:rowOff>
    </xdr:to>
    <xdr:grpSp>
      <xdr:nvGrpSpPr>
        <xdr:cNvPr id="20" name="Grupo 19">
          <a:extLst>
            <a:ext uri="{FF2B5EF4-FFF2-40B4-BE49-F238E27FC236}">
              <a16:creationId xmlns:a16="http://schemas.microsoft.com/office/drawing/2014/main" id="{408A2DC9-4D29-4192-A148-743B6A186AD0}"/>
            </a:ext>
          </a:extLst>
        </xdr:cNvPr>
        <xdr:cNvGrpSpPr/>
      </xdr:nvGrpSpPr>
      <xdr:grpSpPr>
        <a:xfrm>
          <a:off x="6248399" y="5143932"/>
          <a:ext cx="3236335" cy="1450398"/>
          <a:chOff x="6048374" y="5367337"/>
          <a:chExt cx="3124200" cy="1462088"/>
        </a:xfrm>
      </xdr:grpSpPr>
      <xdr:pic macro="[0]!IRANOVEDADES">
        <xdr:nvPicPr>
          <xdr:cNvPr id="16" name="Imagen 15">
            <a:extLst>
              <a:ext uri="{FF2B5EF4-FFF2-40B4-BE49-F238E27FC236}">
                <a16:creationId xmlns:a16="http://schemas.microsoft.com/office/drawing/2014/main" id="{A0DE5DB5-22B9-46C2-B4BA-6DDCE9B2D8C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5931" b="23530"/>
          <a:stretch/>
        </xdr:blipFill>
        <xdr:spPr>
          <a:xfrm>
            <a:off x="6048374" y="5457825"/>
            <a:ext cx="2853117" cy="1371600"/>
          </a:xfrm>
          <a:prstGeom prst="rect">
            <a:avLst/>
          </a:prstGeom>
        </xdr:spPr>
      </xdr:pic>
      <xdr:sp macro="" textlink="">
        <xdr:nvSpPr>
          <xdr:cNvPr id="17" name="CuadroTexto 16">
            <a:extLst>
              <a:ext uri="{FF2B5EF4-FFF2-40B4-BE49-F238E27FC236}">
                <a16:creationId xmlns:a16="http://schemas.microsoft.com/office/drawing/2014/main" id="{EE422C18-824E-4386-81A6-52516FC0C536}"/>
              </a:ext>
            </a:extLst>
          </xdr:cNvPr>
          <xdr:cNvSpPr txBox="1"/>
        </xdr:nvSpPr>
        <xdr:spPr>
          <a:xfrm>
            <a:off x="6604768" y="5367337"/>
            <a:ext cx="256780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NOVEDADES</a:t>
            </a:r>
          </a:p>
        </xdr:txBody>
      </xdr:sp>
    </xdr:grpSp>
    <xdr:clientData/>
  </xdr:twoCellAnchor>
  <xdr:twoCellAnchor>
    <xdr:from>
      <xdr:col>12</xdr:col>
      <xdr:colOff>1181100</xdr:colOff>
      <xdr:row>8</xdr:row>
      <xdr:rowOff>76200</xdr:rowOff>
    </xdr:from>
    <xdr:to>
      <xdr:col>15</xdr:col>
      <xdr:colOff>209550</xdr:colOff>
      <xdr:row>15</xdr:row>
      <xdr:rowOff>186978</xdr:rowOff>
    </xdr:to>
    <xdr:grpSp>
      <xdr:nvGrpSpPr>
        <xdr:cNvPr id="30" name="Grupo 29">
          <a:extLst>
            <a:ext uri="{FF2B5EF4-FFF2-40B4-BE49-F238E27FC236}">
              <a16:creationId xmlns:a16="http://schemas.microsoft.com/office/drawing/2014/main" id="{DA5EBA61-D619-4BED-B8EA-8476E14DFC66}"/>
            </a:ext>
          </a:extLst>
        </xdr:cNvPr>
        <xdr:cNvGrpSpPr/>
      </xdr:nvGrpSpPr>
      <xdr:grpSpPr>
        <a:xfrm>
          <a:off x="11668991" y="1849582"/>
          <a:ext cx="2852304" cy="1363921"/>
          <a:chOff x="11277600" y="1257300"/>
          <a:chExt cx="2743200" cy="1444278"/>
        </a:xfrm>
      </xdr:grpSpPr>
      <xdr:pic macro="[0]!IRANOMINA">
        <xdr:nvPicPr>
          <xdr:cNvPr id="21" name="Imagen 20">
            <a:extLst>
              <a:ext uri="{FF2B5EF4-FFF2-40B4-BE49-F238E27FC236}">
                <a16:creationId xmlns:a16="http://schemas.microsoft.com/office/drawing/2014/main" id="{BFA8B5B1-ACD1-4EA2-BC6F-DD9B0A8AF2AC}"/>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0666" r="10000" b="18666"/>
          <a:stretch/>
        </xdr:blipFill>
        <xdr:spPr>
          <a:xfrm>
            <a:off x="11277600" y="1295400"/>
            <a:ext cx="2743200" cy="1406178"/>
          </a:xfrm>
          <a:prstGeom prst="rect">
            <a:avLst/>
          </a:prstGeom>
        </xdr:spPr>
      </xdr:pic>
      <xdr:pic macro="[0]!IRANOMINA">
        <xdr:nvPicPr>
          <xdr:cNvPr id="26" name="Imagen 25">
            <a:extLst>
              <a:ext uri="{FF2B5EF4-FFF2-40B4-BE49-F238E27FC236}">
                <a16:creationId xmlns:a16="http://schemas.microsoft.com/office/drawing/2014/main" id="{97CFB4F7-DE11-4CB7-A99B-FA20CD1F416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230100" y="1924050"/>
            <a:ext cx="609600" cy="605789"/>
          </a:xfrm>
          <a:prstGeom prst="rect">
            <a:avLst/>
          </a:prstGeom>
        </xdr:spPr>
      </xdr:pic>
      <xdr:sp macro="[0]!IRANOMINA" textlink="">
        <xdr:nvSpPr>
          <xdr:cNvPr id="27" name="CuadroTexto 26">
            <a:extLst>
              <a:ext uri="{FF2B5EF4-FFF2-40B4-BE49-F238E27FC236}">
                <a16:creationId xmlns:a16="http://schemas.microsoft.com/office/drawing/2014/main" id="{0697C693-D8B2-4433-A8A5-16F5D4125988}"/>
              </a:ext>
            </a:extLst>
          </xdr:cNvPr>
          <xdr:cNvSpPr txBox="1"/>
        </xdr:nvSpPr>
        <xdr:spPr>
          <a:xfrm>
            <a:off x="12020550" y="1257300"/>
            <a:ext cx="13358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NÓMINA</a:t>
            </a:r>
          </a:p>
        </xdr:txBody>
      </xdr:sp>
    </xdr:grpSp>
    <xdr:clientData/>
  </xdr:twoCellAnchor>
  <xdr:twoCellAnchor>
    <xdr:from>
      <xdr:col>12</xdr:col>
      <xdr:colOff>1181100</xdr:colOff>
      <xdr:row>26</xdr:row>
      <xdr:rowOff>128588</xdr:rowOff>
    </xdr:from>
    <xdr:to>
      <xdr:col>15</xdr:col>
      <xdr:colOff>209550</xdr:colOff>
      <xdr:row>31</xdr:row>
      <xdr:rowOff>101253</xdr:rowOff>
    </xdr:to>
    <xdr:grpSp>
      <xdr:nvGrpSpPr>
        <xdr:cNvPr id="34" name="Grupo 33">
          <a:extLst>
            <a:ext uri="{FF2B5EF4-FFF2-40B4-BE49-F238E27FC236}">
              <a16:creationId xmlns:a16="http://schemas.microsoft.com/office/drawing/2014/main" id="{B1F818F7-44DA-4AB8-A22C-97160D1FA779}"/>
            </a:ext>
          </a:extLst>
        </xdr:cNvPr>
        <xdr:cNvGrpSpPr/>
      </xdr:nvGrpSpPr>
      <xdr:grpSpPr>
        <a:xfrm>
          <a:off x="11668991" y="5143933"/>
          <a:ext cx="2852304" cy="1413538"/>
          <a:chOff x="11258550" y="2838450"/>
          <a:chExt cx="2743200" cy="1425228"/>
        </a:xfrm>
      </xdr:grpSpPr>
      <xdr:pic macro="[0]!IRAPROVISIONES">
        <xdr:nvPicPr>
          <xdr:cNvPr id="22" name="Imagen 21">
            <a:extLst>
              <a:ext uri="{FF2B5EF4-FFF2-40B4-BE49-F238E27FC236}">
                <a16:creationId xmlns:a16="http://schemas.microsoft.com/office/drawing/2014/main" id="{E75168F2-7395-415B-A772-679979619C4E}"/>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0666" r="10000" b="18666"/>
          <a:stretch/>
        </xdr:blipFill>
        <xdr:spPr>
          <a:xfrm>
            <a:off x="11258550" y="2857500"/>
            <a:ext cx="2743200" cy="1406178"/>
          </a:xfrm>
          <a:prstGeom prst="rect">
            <a:avLst/>
          </a:prstGeom>
        </xdr:spPr>
      </xdr:pic>
      <xdr:sp macro="[0]!IRAPROVISIONES" textlink="">
        <xdr:nvSpPr>
          <xdr:cNvPr id="28" name="CuadroTexto 27">
            <a:extLst>
              <a:ext uri="{FF2B5EF4-FFF2-40B4-BE49-F238E27FC236}">
                <a16:creationId xmlns:a16="http://schemas.microsoft.com/office/drawing/2014/main" id="{D80944C2-489B-42CE-B6D4-31D544115E39}"/>
              </a:ext>
            </a:extLst>
          </xdr:cNvPr>
          <xdr:cNvSpPr txBox="1"/>
        </xdr:nvSpPr>
        <xdr:spPr>
          <a:xfrm>
            <a:off x="11715750" y="2838450"/>
            <a:ext cx="192796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PROVISIONES</a:t>
            </a:r>
          </a:p>
        </xdr:txBody>
      </xdr:sp>
      <xdr:pic macro="[0]!IRAPROVISIONES">
        <xdr:nvPicPr>
          <xdr:cNvPr id="33" name="Imagen 32">
            <a:extLst>
              <a:ext uri="{FF2B5EF4-FFF2-40B4-BE49-F238E27FC236}">
                <a16:creationId xmlns:a16="http://schemas.microsoft.com/office/drawing/2014/main" id="{8B42A07C-CA54-43B4-8200-9487BD6FC5C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192000" y="3467100"/>
            <a:ext cx="666750" cy="666750"/>
          </a:xfrm>
          <a:prstGeom prst="rect">
            <a:avLst/>
          </a:prstGeom>
        </xdr:spPr>
      </xdr:pic>
    </xdr:grpSp>
    <xdr:clientData/>
  </xdr:twoCellAnchor>
  <xdr:twoCellAnchor>
    <xdr:from>
      <xdr:col>12</xdr:col>
      <xdr:colOff>1176337</xdr:colOff>
      <xdr:row>17</xdr:row>
      <xdr:rowOff>114300</xdr:rowOff>
    </xdr:from>
    <xdr:to>
      <xdr:col>15</xdr:col>
      <xdr:colOff>204787</xdr:colOff>
      <xdr:row>25</xdr:row>
      <xdr:rowOff>25053</xdr:rowOff>
    </xdr:to>
    <xdr:grpSp>
      <xdr:nvGrpSpPr>
        <xdr:cNvPr id="31" name="Grupo 30">
          <a:extLst>
            <a:ext uri="{FF2B5EF4-FFF2-40B4-BE49-F238E27FC236}">
              <a16:creationId xmlns:a16="http://schemas.microsoft.com/office/drawing/2014/main" id="{E78A2FF9-9D93-4BD7-8387-796DB47DAA75}"/>
            </a:ext>
          </a:extLst>
        </xdr:cNvPr>
        <xdr:cNvGrpSpPr/>
      </xdr:nvGrpSpPr>
      <xdr:grpSpPr>
        <a:xfrm>
          <a:off x="11664228" y="3508664"/>
          <a:ext cx="2852304" cy="1351625"/>
          <a:chOff x="11296650" y="3638550"/>
          <a:chExt cx="2743200" cy="1434753"/>
        </a:xfrm>
      </xdr:grpSpPr>
      <xdr:pic macro="[0]!IRAPARAFISCALES">
        <xdr:nvPicPr>
          <xdr:cNvPr id="23" name="Imagen 22">
            <a:extLst>
              <a:ext uri="{FF2B5EF4-FFF2-40B4-BE49-F238E27FC236}">
                <a16:creationId xmlns:a16="http://schemas.microsoft.com/office/drawing/2014/main" id="{53AC1426-A4BD-4EB7-BE70-4864C6A32CA7}"/>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10666" r="10000" b="18666"/>
          <a:stretch/>
        </xdr:blipFill>
        <xdr:spPr>
          <a:xfrm>
            <a:off x="11296650" y="3681412"/>
            <a:ext cx="2743200" cy="1391891"/>
          </a:xfrm>
          <a:prstGeom prst="rect">
            <a:avLst/>
          </a:prstGeom>
        </xdr:spPr>
      </xdr:pic>
      <xdr:pic>
        <xdr:nvPicPr>
          <xdr:cNvPr id="37" name="Imagen 36">
            <a:extLst>
              <a:ext uri="{FF2B5EF4-FFF2-40B4-BE49-F238E27FC236}">
                <a16:creationId xmlns:a16="http://schemas.microsoft.com/office/drawing/2014/main" id="{1401FE19-8471-4C6E-A757-B04157716CE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163425" y="4291013"/>
            <a:ext cx="853150" cy="614362"/>
          </a:xfrm>
          <a:prstGeom prst="rect">
            <a:avLst/>
          </a:prstGeom>
        </xdr:spPr>
      </xdr:pic>
      <xdr:sp macro="" textlink="">
        <xdr:nvSpPr>
          <xdr:cNvPr id="39" name="CuadroTexto 38">
            <a:extLst>
              <a:ext uri="{FF2B5EF4-FFF2-40B4-BE49-F238E27FC236}">
                <a16:creationId xmlns:a16="http://schemas.microsoft.com/office/drawing/2014/main" id="{98EDB75F-0477-4FB1-9300-D9D30A5A8D2D}"/>
              </a:ext>
            </a:extLst>
          </xdr:cNvPr>
          <xdr:cNvSpPr txBox="1"/>
        </xdr:nvSpPr>
        <xdr:spPr>
          <a:xfrm>
            <a:off x="11558588" y="3638550"/>
            <a:ext cx="203882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PARAFISCALES</a:t>
            </a:r>
          </a:p>
        </xdr:txBody>
      </xdr:sp>
    </xdr:grpSp>
    <xdr:clientData/>
  </xdr:twoCellAnchor>
  <xdr:twoCellAnchor>
    <xdr:from>
      <xdr:col>16</xdr:col>
      <xdr:colOff>209550</xdr:colOff>
      <xdr:row>8</xdr:row>
      <xdr:rowOff>114300</xdr:rowOff>
    </xdr:from>
    <xdr:to>
      <xdr:col>19</xdr:col>
      <xdr:colOff>666750</xdr:colOff>
      <xdr:row>16</xdr:row>
      <xdr:rowOff>15528</xdr:rowOff>
    </xdr:to>
    <xdr:grpSp>
      <xdr:nvGrpSpPr>
        <xdr:cNvPr id="46" name="Grupo 45">
          <a:extLst>
            <a:ext uri="{FF2B5EF4-FFF2-40B4-BE49-F238E27FC236}">
              <a16:creationId xmlns:a16="http://schemas.microsoft.com/office/drawing/2014/main" id="{1DB9ACD1-6655-4CD6-A0E7-DB7C0F62028C}"/>
            </a:ext>
          </a:extLst>
        </xdr:cNvPr>
        <xdr:cNvGrpSpPr/>
      </xdr:nvGrpSpPr>
      <xdr:grpSpPr>
        <a:xfrm>
          <a:off x="15311005" y="1887682"/>
          <a:ext cx="2826327" cy="1342101"/>
          <a:chOff x="14820900" y="1924050"/>
          <a:chExt cx="2743200" cy="1425228"/>
        </a:xfrm>
      </xdr:grpSpPr>
      <xdr:pic macro="[0]!irarecibo">
        <xdr:nvPicPr>
          <xdr:cNvPr id="40" name="Imagen 39">
            <a:extLst>
              <a:ext uri="{FF2B5EF4-FFF2-40B4-BE49-F238E27FC236}">
                <a16:creationId xmlns:a16="http://schemas.microsoft.com/office/drawing/2014/main" id="{5230137E-3C01-446A-9A70-DFACEAD34DD1}"/>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10666" r="10000" b="18666"/>
          <a:stretch/>
        </xdr:blipFill>
        <xdr:spPr>
          <a:xfrm>
            <a:off x="14820900" y="1943100"/>
            <a:ext cx="2743200" cy="1406178"/>
          </a:xfrm>
          <a:prstGeom prst="rect">
            <a:avLst/>
          </a:prstGeom>
        </xdr:spPr>
      </xdr:pic>
      <xdr:sp macro="[0]!irarecibo" textlink="">
        <xdr:nvSpPr>
          <xdr:cNvPr id="42" name="CuadroTexto 41">
            <a:extLst>
              <a:ext uri="{FF2B5EF4-FFF2-40B4-BE49-F238E27FC236}">
                <a16:creationId xmlns:a16="http://schemas.microsoft.com/office/drawing/2014/main" id="{61F81BFC-27AB-4808-B007-CCA09556056B}"/>
              </a:ext>
            </a:extLst>
          </xdr:cNvPr>
          <xdr:cNvSpPr txBox="1"/>
        </xdr:nvSpPr>
        <xdr:spPr>
          <a:xfrm>
            <a:off x="15125700" y="1924050"/>
            <a:ext cx="237161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RECIBO DE PAGO</a:t>
            </a:r>
          </a:p>
        </xdr:txBody>
      </xdr:sp>
      <xdr:pic macro="[0]!irarecibo">
        <xdr:nvPicPr>
          <xdr:cNvPr id="44" name="Imagen 43">
            <a:extLst>
              <a:ext uri="{FF2B5EF4-FFF2-40B4-BE49-F238E27FC236}">
                <a16:creationId xmlns:a16="http://schemas.microsoft.com/office/drawing/2014/main" id="{C42642A0-584E-4E97-8A25-6DC277C6D17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735300" y="2533650"/>
            <a:ext cx="666750" cy="666750"/>
          </a:xfrm>
          <a:prstGeom prst="rect">
            <a:avLst/>
          </a:prstGeom>
        </xdr:spPr>
      </xdr:pic>
    </xdr:grpSp>
    <xdr:clientData/>
  </xdr:twoCellAnchor>
  <xdr:twoCellAnchor>
    <xdr:from>
      <xdr:col>16</xdr:col>
      <xdr:colOff>171450</xdr:colOff>
      <xdr:row>27</xdr:row>
      <xdr:rowOff>0</xdr:rowOff>
    </xdr:from>
    <xdr:to>
      <xdr:col>19</xdr:col>
      <xdr:colOff>628650</xdr:colOff>
      <xdr:row>31</xdr:row>
      <xdr:rowOff>172690</xdr:rowOff>
    </xdr:to>
    <xdr:grpSp>
      <xdr:nvGrpSpPr>
        <xdr:cNvPr id="47" name="Grupo 46">
          <a:extLst>
            <a:ext uri="{FF2B5EF4-FFF2-40B4-BE49-F238E27FC236}">
              <a16:creationId xmlns:a16="http://schemas.microsoft.com/office/drawing/2014/main" id="{01D5D0E9-063F-4AEF-B06D-BB54BC833B9F}"/>
            </a:ext>
          </a:extLst>
        </xdr:cNvPr>
        <xdr:cNvGrpSpPr/>
      </xdr:nvGrpSpPr>
      <xdr:grpSpPr>
        <a:xfrm>
          <a:off x="15272905" y="5195455"/>
          <a:ext cx="2826327" cy="1433453"/>
          <a:chOff x="14768513" y="5429250"/>
          <a:chExt cx="2743200" cy="1434753"/>
        </a:xfrm>
      </xdr:grpSpPr>
      <xdr:grpSp>
        <xdr:nvGrpSpPr>
          <xdr:cNvPr id="5" name="Grupo 4">
            <a:extLst>
              <a:ext uri="{FF2B5EF4-FFF2-40B4-BE49-F238E27FC236}">
                <a16:creationId xmlns:a16="http://schemas.microsoft.com/office/drawing/2014/main" id="{81AB23CB-09C7-4019-9E3C-C6CC394788C5}"/>
              </a:ext>
            </a:extLst>
          </xdr:cNvPr>
          <xdr:cNvGrpSpPr/>
        </xdr:nvGrpSpPr>
        <xdr:grpSpPr>
          <a:xfrm>
            <a:off x="14768513" y="5429250"/>
            <a:ext cx="2743200" cy="1434753"/>
            <a:chOff x="14768513" y="5429250"/>
            <a:chExt cx="2743200" cy="1434753"/>
          </a:xfrm>
        </xdr:grpSpPr>
        <xdr:pic macro="[0]!IRALIQUIDACION">
          <xdr:nvPicPr>
            <xdr:cNvPr id="29" name="Imagen 28">
              <a:extLst>
                <a:ext uri="{FF2B5EF4-FFF2-40B4-BE49-F238E27FC236}">
                  <a16:creationId xmlns:a16="http://schemas.microsoft.com/office/drawing/2014/main" id="{AADA6BD5-488E-4403-B359-94C9A06B0A45}"/>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0666" r="10000" b="18666"/>
            <a:stretch/>
          </xdr:blipFill>
          <xdr:spPr>
            <a:xfrm>
              <a:off x="14768513" y="5457825"/>
              <a:ext cx="2743200" cy="1406178"/>
            </a:xfrm>
            <a:prstGeom prst="rect">
              <a:avLst/>
            </a:prstGeom>
          </xdr:spPr>
        </xdr:pic>
        <xdr:sp macro="[0]!IRAREPORTE" textlink="">
          <xdr:nvSpPr>
            <xdr:cNvPr id="32" name="CuadroTexto 31">
              <a:extLst>
                <a:ext uri="{FF2B5EF4-FFF2-40B4-BE49-F238E27FC236}">
                  <a16:creationId xmlns:a16="http://schemas.microsoft.com/office/drawing/2014/main" id="{F1CCA577-50AB-49C9-AD66-3B0C5BBDE90A}"/>
                </a:ext>
              </a:extLst>
            </xdr:cNvPr>
            <xdr:cNvSpPr txBox="1"/>
          </xdr:nvSpPr>
          <xdr:spPr>
            <a:xfrm>
              <a:off x="15525752" y="5429250"/>
              <a:ext cx="1357311" cy="376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000" b="1"/>
                <a:t>REPORTE</a:t>
              </a:r>
            </a:p>
          </xdr:txBody>
        </xdr:sp>
      </xdr:grpSp>
      <xdr:pic>
        <xdr:nvPicPr>
          <xdr:cNvPr id="3" name="Imagen 2">
            <a:extLst>
              <a:ext uri="{FF2B5EF4-FFF2-40B4-BE49-F238E27FC236}">
                <a16:creationId xmlns:a16="http://schemas.microsoft.com/office/drawing/2014/main" id="{29B497AA-9935-4C34-B713-97362142AA0A}"/>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24553" t="30944" r="25000" b="28921"/>
          <a:stretch/>
        </xdr:blipFill>
        <xdr:spPr>
          <a:xfrm>
            <a:off x="15382876" y="6095998"/>
            <a:ext cx="1047750" cy="571711"/>
          </a:xfrm>
          <a:prstGeom prst="rect">
            <a:avLst/>
          </a:prstGeom>
        </xdr:spPr>
      </xdr:pic>
    </xdr:grpSp>
    <xdr:clientData/>
  </xdr:twoCellAnchor>
  <xdr:twoCellAnchor>
    <xdr:from>
      <xdr:col>6</xdr:col>
      <xdr:colOff>762000</xdr:colOff>
      <xdr:row>17</xdr:row>
      <xdr:rowOff>104777</xdr:rowOff>
    </xdr:from>
    <xdr:to>
      <xdr:col>10</xdr:col>
      <xdr:colOff>308062</xdr:colOff>
      <xdr:row>25</xdr:row>
      <xdr:rowOff>0</xdr:rowOff>
    </xdr:to>
    <xdr:grpSp>
      <xdr:nvGrpSpPr>
        <xdr:cNvPr id="25" name="Grupo 24">
          <a:extLst>
            <a:ext uri="{FF2B5EF4-FFF2-40B4-BE49-F238E27FC236}">
              <a16:creationId xmlns:a16="http://schemas.microsoft.com/office/drawing/2014/main" id="{D0AEFFFC-5E71-4EB9-929D-6C8EEDE6527E}"/>
            </a:ext>
          </a:extLst>
        </xdr:cNvPr>
        <xdr:cNvGrpSpPr/>
      </xdr:nvGrpSpPr>
      <xdr:grpSpPr>
        <a:xfrm>
          <a:off x="6248400" y="3499141"/>
          <a:ext cx="2968135" cy="1336095"/>
          <a:chOff x="6048375" y="3629027"/>
          <a:chExt cx="2856000" cy="1419223"/>
        </a:xfrm>
      </xdr:grpSpPr>
      <xdr:pic macro="[0]!IRAEMPLEADOS">
        <xdr:nvPicPr>
          <xdr:cNvPr id="8" name="Imagen 7">
            <a:extLst>
              <a:ext uri="{FF2B5EF4-FFF2-40B4-BE49-F238E27FC236}">
                <a16:creationId xmlns:a16="http://schemas.microsoft.com/office/drawing/2014/main" id="{AE6C118E-EB89-488A-AF33-8FC063F1614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048375" y="3667126"/>
            <a:ext cx="2856000" cy="1381124"/>
          </a:xfrm>
          <a:prstGeom prst="rect">
            <a:avLst/>
          </a:prstGeom>
        </xdr:spPr>
      </xdr:pic>
      <xdr:grpSp>
        <xdr:nvGrpSpPr>
          <xdr:cNvPr id="15" name="Grupo 14">
            <a:extLst>
              <a:ext uri="{FF2B5EF4-FFF2-40B4-BE49-F238E27FC236}">
                <a16:creationId xmlns:a16="http://schemas.microsoft.com/office/drawing/2014/main" id="{8C893649-477A-45F7-8FCB-95B3DD225445}"/>
              </a:ext>
            </a:extLst>
          </xdr:cNvPr>
          <xdr:cNvGrpSpPr/>
        </xdr:nvGrpSpPr>
        <xdr:grpSpPr>
          <a:xfrm>
            <a:off x="6643479" y="3629027"/>
            <a:ext cx="1786146" cy="1285873"/>
            <a:chOff x="6643479" y="3629027"/>
            <a:chExt cx="1786146" cy="1285873"/>
          </a:xfrm>
        </xdr:grpSpPr>
        <xdr:pic macro="[0]!IRAEMPLEADOS">
          <xdr:nvPicPr>
            <xdr:cNvPr id="11" name="Gráfico 10" descr="Usuarios">
              <a:extLst>
                <a:ext uri="{FF2B5EF4-FFF2-40B4-BE49-F238E27FC236}">
                  <a16:creationId xmlns:a16="http://schemas.microsoft.com/office/drawing/2014/main" id="{FF8EEFEC-87B5-4447-AFA7-DB41E4BC057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834188" y="4000500"/>
              <a:ext cx="914400" cy="914400"/>
            </a:xfrm>
            <a:prstGeom prst="rect">
              <a:avLst/>
            </a:prstGeom>
          </xdr:spPr>
        </xdr:pic>
        <xdr:sp macro="[0]!IRAEMPLEADOS" textlink="">
          <xdr:nvSpPr>
            <xdr:cNvPr id="38" name="CuadroTexto 37">
              <a:extLst>
                <a:ext uri="{FF2B5EF4-FFF2-40B4-BE49-F238E27FC236}">
                  <a16:creationId xmlns:a16="http://schemas.microsoft.com/office/drawing/2014/main" id="{13675DED-491A-49D0-AF6E-6F199F198333}"/>
                </a:ext>
              </a:extLst>
            </xdr:cNvPr>
            <xdr:cNvSpPr txBox="1"/>
          </xdr:nvSpPr>
          <xdr:spPr>
            <a:xfrm>
              <a:off x="6643479" y="3629027"/>
              <a:ext cx="1786146" cy="371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EMPLEADOS</a:t>
              </a:r>
            </a:p>
          </xdr:txBody>
        </xdr:sp>
      </xdr:grpSp>
    </xdr:grpSp>
    <xdr:clientData/>
  </xdr:twoCellAnchor>
  <xdr:twoCellAnchor>
    <xdr:from>
      <xdr:col>16</xdr:col>
      <xdr:colOff>133351</xdr:colOff>
      <xdr:row>17</xdr:row>
      <xdr:rowOff>114300</xdr:rowOff>
    </xdr:from>
    <xdr:to>
      <xdr:col>20</xdr:col>
      <xdr:colOff>57150</xdr:colOff>
      <xdr:row>24</xdr:row>
      <xdr:rowOff>186978</xdr:rowOff>
    </xdr:to>
    <xdr:grpSp>
      <xdr:nvGrpSpPr>
        <xdr:cNvPr id="43" name="Grupo 42">
          <a:extLst>
            <a:ext uri="{FF2B5EF4-FFF2-40B4-BE49-F238E27FC236}">
              <a16:creationId xmlns:a16="http://schemas.microsoft.com/office/drawing/2014/main" id="{E2689446-EF20-4E06-BD4B-8722BA3CF4D6}"/>
            </a:ext>
          </a:extLst>
        </xdr:cNvPr>
        <xdr:cNvGrpSpPr/>
      </xdr:nvGrpSpPr>
      <xdr:grpSpPr>
        <a:xfrm>
          <a:off x="15234806" y="3508664"/>
          <a:ext cx="3082635" cy="1325821"/>
          <a:chOff x="14730414" y="3638550"/>
          <a:chExt cx="2971799" cy="1406178"/>
        </a:xfrm>
      </xdr:grpSpPr>
      <xdr:grpSp>
        <xdr:nvGrpSpPr>
          <xdr:cNvPr id="4" name="Grupo 3">
            <a:extLst>
              <a:ext uri="{FF2B5EF4-FFF2-40B4-BE49-F238E27FC236}">
                <a16:creationId xmlns:a16="http://schemas.microsoft.com/office/drawing/2014/main" id="{36E9375F-1660-48DC-BE9E-B727D7C13453}"/>
              </a:ext>
            </a:extLst>
          </xdr:cNvPr>
          <xdr:cNvGrpSpPr/>
        </xdr:nvGrpSpPr>
        <xdr:grpSpPr>
          <a:xfrm>
            <a:off x="14730414" y="3638550"/>
            <a:ext cx="2971799" cy="1406178"/>
            <a:chOff x="14730414" y="3638550"/>
            <a:chExt cx="2971799" cy="1406178"/>
          </a:xfrm>
        </xdr:grpSpPr>
        <xdr:pic macro="[0]!IRALIQUIDACION">
          <xdr:nvPicPr>
            <xdr:cNvPr id="24" name="Imagen 23">
              <a:extLst>
                <a:ext uri="{FF2B5EF4-FFF2-40B4-BE49-F238E27FC236}">
                  <a16:creationId xmlns:a16="http://schemas.microsoft.com/office/drawing/2014/main" id="{C7862F0D-F4D5-48AF-B016-646EF19D5B2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10666" r="10000" b="18666"/>
            <a:stretch/>
          </xdr:blipFill>
          <xdr:spPr>
            <a:xfrm>
              <a:off x="14806613" y="3638550"/>
              <a:ext cx="2743200" cy="1406178"/>
            </a:xfrm>
            <a:prstGeom prst="rect">
              <a:avLst/>
            </a:prstGeom>
          </xdr:spPr>
        </xdr:pic>
        <xdr:sp macro="[0]!IRALIQUIDACION" textlink="">
          <xdr:nvSpPr>
            <xdr:cNvPr id="45" name="CuadroTexto 44">
              <a:extLst>
                <a:ext uri="{FF2B5EF4-FFF2-40B4-BE49-F238E27FC236}">
                  <a16:creationId xmlns:a16="http://schemas.microsoft.com/office/drawing/2014/main" id="{735AB94A-85AC-423D-BB24-77D5207AB658}"/>
                </a:ext>
              </a:extLst>
            </xdr:cNvPr>
            <xdr:cNvSpPr txBox="1"/>
          </xdr:nvSpPr>
          <xdr:spPr>
            <a:xfrm>
              <a:off x="14730414" y="3676649"/>
              <a:ext cx="297179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000" b="1"/>
                <a:t>LIQUIDACIÓN DEFINITIVA</a:t>
              </a:r>
            </a:p>
          </xdr:txBody>
        </xdr:sp>
      </xdr:grpSp>
      <xdr:pic macro="[0]!IRALIQUIDACION">
        <xdr:nvPicPr>
          <xdr:cNvPr id="36" name="Imagen 35">
            <a:extLst>
              <a:ext uri="{FF2B5EF4-FFF2-40B4-BE49-F238E27FC236}">
                <a16:creationId xmlns:a16="http://schemas.microsoft.com/office/drawing/2014/main" id="{B5C3084A-F313-4BA2-B619-ABC37221EC9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5740063" y="4238626"/>
            <a:ext cx="594251" cy="6667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9769</xdr:colOff>
      <xdr:row>2</xdr:row>
      <xdr:rowOff>19538</xdr:rowOff>
    </xdr:from>
    <xdr:to>
      <xdr:col>2</xdr:col>
      <xdr:colOff>854808</xdr:colOff>
      <xdr:row>10</xdr:row>
      <xdr:rowOff>147304</xdr:rowOff>
    </xdr:to>
    <xdr:pic>
      <xdr:nvPicPr>
        <xdr:cNvPr id="3" name="Imagen 2">
          <a:extLst>
            <a:ext uri="{FF2B5EF4-FFF2-40B4-BE49-F238E27FC236}">
              <a16:creationId xmlns:a16="http://schemas.microsoft.com/office/drawing/2014/main" id="{A8A3060D-B4D3-064D-B650-C462CC6686A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139" r="8364" b="37217"/>
        <a:stretch/>
      </xdr:blipFill>
      <xdr:spPr>
        <a:xfrm>
          <a:off x="9769" y="1494692"/>
          <a:ext cx="2593731" cy="1768997"/>
        </a:xfrm>
        <a:prstGeom prst="rect">
          <a:avLst/>
        </a:prstGeom>
      </xdr:spPr>
    </xdr:pic>
    <xdr:clientData/>
  </xdr:twoCellAnchor>
  <xdr:twoCellAnchor editAs="oneCell">
    <xdr:from>
      <xdr:col>0</xdr:col>
      <xdr:colOff>0</xdr:colOff>
      <xdr:row>13</xdr:row>
      <xdr:rowOff>0</xdr:rowOff>
    </xdr:from>
    <xdr:to>
      <xdr:col>9</xdr:col>
      <xdr:colOff>635977</xdr:colOff>
      <xdr:row>18</xdr:row>
      <xdr:rowOff>192496</xdr:rowOff>
    </xdr:to>
    <xdr:pic>
      <xdr:nvPicPr>
        <xdr:cNvPr id="5" name="Imagen 4">
          <a:extLst>
            <a:ext uri="{FF2B5EF4-FFF2-40B4-BE49-F238E27FC236}">
              <a16:creationId xmlns:a16="http://schemas.microsoft.com/office/drawing/2014/main" id="{BC81D900-8EAF-4041-8C69-09325F036A5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205654"/>
          <a:ext cx="7772400" cy="1218265"/>
        </a:xfrm>
        <a:prstGeom prst="rect">
          <a:avLst/>
        </a:prstGeom>
      </xdr:spPr>
    </xdr:pic>
    <xdr:clientData/>
  </xdr:twoCellAnchor>
  <xdr:twoCellAnchor editAs="oneCell">
    <xdr:from>
      <xdr:col>0</xdr:col>
      <xdr:colOff>0</xdr:colOff>
      <xdr:row>20</xdr:row>
      <xdr:rowOff>1318846</xdr:rowOff>
    </xdr:from>
    <xdr:to>
      <xdr:col>9</xdr:col>
      <xdr:colOff>635977</xdr:colOff>
      <xdr:row>23</xdr:row>
      <xdr:rowOff>166475</xdr:rowOff>
    </xdr:to>
    <xdr:pic>
      <xdr:nvPicPr>
        <xdr:cNvPr id="7" name="Imagen 6">
          <a:extLst>
            <a:ext uri="{FF2B5EF4-FFF2-40B4-BE49-F238E27FC236}">
              <a16:creationId xmlns:a16="http://schemas.microsoft.com/office/drawing/2014/main" id="{17D1E0B7-5150-BE42-B584-5705F98E53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6486769"/>
          <a:ext cx="7772400" cy="576783"/>
        </a:xfrm>
        <a:prstGeom prst="rect">
          <a:avLst/>
        </a:prstGeom>
      </xdr:spPr>
    </xdr:pic>
    <xdr:clientData/>
  </xdr:twoCellAnchor>
  <xdr:twoCellAnchor>
    <xdr:from>
      <xdr:col>0</xdr:col>
      <xdr:colOff>0</xdr:colOff>
      <xdr:row>25</xdr:row>
      <xdr:rowOff>205153</xdr:rowOff>
    </xdr:from>
    <xdr:to>
      <xdr:col>9</xdr:col>
      <xdr:colOff>635977</xdr:colOff>
      <xdr:row>39</xdr:row>
      <xdr:rowOff>24374</xdr:rowOff>
    </xdr:to>
    <xdr:grpSp>
      <xdr:nvGrpSpPr>
        <xdr:cNvPr id="14" name="Grupo 13">
          <a:extLst>
            <a:ext uri="{FF2B5EF4-FFF2-40B4-BE49-F238E27FC236}">
              <a16:creationId xmlns:a16="http://schemas.microsoft.com/office/drawing/2014/main" id="{DB567D88-8E7A-2A4A-92F4-9EFCDD8D1D91}"/>
            </a:ext>
          </a:extLst>
        </xdr:cNvPr>
        <xdr:cNvGrpSpPr/>
      </xdr:nvGrpSpPr>
      <xdr:grpSpPr>
        <a:xfrm>
          <a:off x="0" y="7315509"/>
          <a:ext cx="7041259" cy="2587971"/>
          <a:chOff x="0" y="7512538"/>
          <a:chExt cx="7772400" cy="2691374"/>
        </a:xfrm>
      </xdr:grpSpPr>
      <xdr:pic>
        <xdr:nvPicPr>
          <xdr:cNvPr id="9" name="Imagen 8">
            <a:extLst>
              <a:ext uri="{FF2B5EF4-FFF2-40B4-BE49-F238E27FC236}">
                <a16:creationId xmlns:a16="http://schemas.microsoft.com/office/drawing/2014/main" id="{7550B413-1D70-F940-9380-30528101D7F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7512538"/>
            <a:ext cx="7772400" cy="2691374"/>
          </a:xfrm>
          <a:prstGeom prst="rect">
            <a:avLst/>
          </a:prstGeom>
        </xdr:spPr>
      </xdr:pic>
      <xdr:sp macro="" textlink="">
        <xdr:nvSpPr>
          <xdr:cNvPr id="13" name="Flecha abajo 12">
            <a:extLst>
              <a:ext uri="{FF2B5EF4-FFF2-40B4-BE49-F238E27FC236}">
                <a16:creationId xmlns:a16="http://schemas.microsoft.com/office/drawing/2014/main" id="{095966E9-1593-2A48-A798-D58F5F258EF7}"/>
              </a:ext>
            </a:extLst>
          </xdr:cNvPr>
          <xdr:cNvSpPr/>
        </xdr:nvSpPr>
        <xdr:spPr>
          <a:xfrm>
            <a:off x="6149731" y="7712807"/>
            <a:ext cx="484632" cy="978408"/>
          </a:xfrm>
          <a:prstGeom prst="downArrow">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31714</xdr:colOff>
      <xdr:row>0</xdr:row>
      <xdr:rowOff>59530</xdr:rowOff>
    </xdr:from>
    <xdr:to>
      <xdr:col>0</xdr:col>
      <xdr:colOff>743289</xdr:colOff>
      <xdr:row>2</xdr:row>
      <xdr:rowOff>11906</xdr:rowOff>
    </xdr:to>
    <xdr:pic macro="[0]!IRAPORTADA">
      <xdr:nvPicPr>
        <xdr:cNvPr id="7" name="Imagen 6">
          <a:extLst>
            <a:ext uri="{FF2B5EF4-FFF2-40B4-BE49-F238E27FC236}">
              <a16:creationId xmlns:a16="http://schemas.microsoft.com/office/drawing/2014/main" id="{2CC64D37-166B-4A15-8984-BF04924188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14" y="59530"/>
          <a:ext cx="711575" cy="3333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1250522</xdr:colOff>
      <xdr:row>1</xdr:row>
      <xdr:rowOff>10584</xdr:rowOff>
    </xdr:to>
    <xdr:pic macro="[0]!IRAPORTADA">
      <xdr:nvPicPr>
        <xdr:cNvPr id="4" name="Imagen 3">
          <a:extLst>
            <a:ext uri="{FF2B5EF4-FFF2-40B4-BE49-F238E27FC236}">
              <a16:creationId xmlns:a16="http://schemas.microsoft.com/office/drawing/2014/main" id="{754EDD2A-776B-483A-AE04-E35D236D43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74939" cy="87841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57150</xdr:colOff>
      <xdr:row>0</xdr:row>
      <xdr:rowOff>257175</xdr:rowOff>
    </xdr:from>
    <xdr:to>
      <xdr:col>6</xdr:col>
      <xdr:colOff>295275</xdr:colOff>
      <xdr:row>1</xdr:row>
      <xdr:rowOff>396750</xdr:rowOff>
    </xdr:to>
    <xdr:pic macro="[0]!IRAPORTADA">
      <xdr:nvPicPr>
        <xdr:cNvPr id="4" name="Imagen 3">
          <a:extLst>
            <a:ext uri="{FF2B5EF4-FFF2-40B4-BE49-F238E27FC236}">
              <a16:creationId xmlns:a16="http://schemas.microsoft.com/office/drawing/2014/main" id="{FBD6C2E9-4D87-488E-8C9F-B7CE6ACD60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81700" y="257175"/>
          <a:ext cx="1314450" cy="6158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9525</xdr:colOff>
      <xdr:row>1</xdr:row>
      <xdr:rowOff>0</xdr:rowOff>
    </xdr:from>
    <xdr:to>
      <xdr:col>5</xdr:col>
      <xdr:colOff>270621</xdr:colOff>
      <xdr:row>3</xdr:row>
      <xdr:rowOff>200025</xdr:rowOff>
    </xdr:to>
    <xdr:pic macro="[0]!IRAPORTADA">
      <xdr:nvPicPr>
        <xdr:cNvPr id="3" name="Imagen 2">
          <a:extLst>
            <a:ext uri="{FF2B5EF4-FFF2-40B4-BE49-F238E27FC236}">
              <a16:creationId xmlns:a16="http://schemas.microsoft.com/office/drawing/2014/main" id="{6DE922B2-DA70-48FF-80ED-3FB64E2D0A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67325" y="152400"/>
          <a:ext cx="1423146" cy="666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8659</xdr:colOff>
      <xdr:row>0</xdr:row>
      <xdr:rowOff>147205</xdr:rowOff>
    </xdr:from>
    <xdr:to>
      <xdr:col>6</xdr:col>
      <xdr:colOff>1056409</xdr:colOff>
      <xdr:row>3</xdr:row>
      <xdr:rowOff>14625</xdr:rowOff>
    </xdr:to>
    <xdr:pic macro="[0]!IRAPORTADA">
      <xdr:nvPicPr>
        <xdr:cNvPr id="3" name="Imagen 2">
          <a:extLst>
            <a:ext uri="{FF2B5EF4-FFF2-40B4-BE49-F238E27FC236}">
              <a16:creationId xmlns:a16="http://schemas.microsoft.com/office/drawing/2014/main" id="{6AF9F5D8-CA06-494B-9A37-7282699182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25045" y="147205"/>
          <a:ext cx="1047750" cy="490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255984</xdr:colOff>
      <xdr:row>1</xdr:row>
      <xdr:rowOff>23813</xdr:rowOff>
    </xdr:from>
    <xdr:to>
      <xdr:col>5</xdr:col>
      <xdr:colOff>982265</xdr:colOff>
      <xdr:row>1</xdr:row>
      <xdr:rowOff>273844</xdr:rowOff>
    </xdr:to>
    <xdr:sp macro="[0]!IRAPORTADA" textlink="">
      <xdr:nvSpPr>
        <xdr:cNvPr id="2" name="Rectángulo: esquinas redondeadas 1">
          <a:extLst>
            <a:ext uri="{FF2B5EF4-FFF2-40B4-BE49-F238E27FC236}">
              <a16:creationId xmlns:a16="http://schemas.microsoft.com/office/drawing/2014/main" id="{5D05E073-FE0B-48A4-A538-0A286ED95A90}"/>
            </a:ext>
          </a:extLst>
        </xdr:cNvPr>
        <xdr:cNvSpPr/>
      </xdr:nvSpPr>
      <xdr:spPr>
        <a:xfrm>
          <a:off x="5197078" y="178594"/>
          <a:ext cx="726281" cy="250031"/>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00"/>
            <a:t>PORTADA</a:t>
          </a:r>
        </a:p>
      </xdr:txBody>
    </xdr:sp>
    <xdr:clientData/>
  </xdr:twoCellAnchor>
  <xdr:twoCellAnchor editAs="oneCell">
    <xdr:from>
      <xdr:col>5</xdr:col>
      <xdr:colOff>29766</xdr:colOff>
      <xdr:row>4</xdr:row>
      <xdr:rowOff>5954</xdr:rowOff>
    </xdr:from>
    <xdr:to>
      <xdr:col>5</xdr:col>
      <xdr:colOff>995471</xdr:colOff>
      <xdr:row>6</xdr:row>
      <xdr:rowOff>148828</xdr:rowOff>
    </xdr:to>
    <xdr:pic macro="[0]!IRAPORTADA">
      <xdr:nvPicPr>
        <xdr:cNvPr id="3" name="Imagen 2">
          <a:extLst>
            <a:ext uri="{FF2B5EF4-FFF2-40B4-BE49-F238E27FC236}">
              <a16:creationId xmlns:a16="http://schemas.microsoft.com/office/drawing/2014/main" id="{B88E0168-925D-4D8C-BB7E-7BCF8FA7FD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4438" y="785813"/>
          <a:ext cx="965705" cy="45243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2127251</xdr:colOff>
      <xdr:row>0</xdr:row>
      <xdr:rowOff>0</xdr:rowOff>
    </xdr:from>
    <xdr:to>
      <xdr:col>2</xdr:col>
      <xdr:colOff>21167</xdr:colOff>
      <xdr:row>2</xdr:row>
      <xdr:rowOff>25419</xdr:rowOff>
    </xdr:to>
    <xdr:pic>
      <xdr:nvPicPr>
        <xdr:cNvPr id="4" name="Imagen 3">
          <a:extLst>
            <a:ext uri="{FF2B5EF4-FFF2-40B4-BE49-F238E27FC236}">
              <a16:creationId xmlns:a16="http://schemas.microsoft.com/office/drawing/2014/main" id="{A6D7226C-F8A2-44F3-A053-1B87D5880437}"/>
            </a:ext>
          </a:extLst>
        </xdr:cNvPr>
        <xdr:cNvPicPr>
          <a:picLocks noChangeAspect="1"/>
        </xdr:cNvPicPr>
      </xdr:nvPicPr>
      <xdr:blipFill>
        <a:blip xmlns:r="http://schemas.openxmlformats.org/officeDocument/2006/relationships" r:embed="rId1" cstate="print">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2889251" y="0"/>
          <a:ext cx="529166" cy="512252"/>
        </a:xfrm>
        <a:prstGeom prst="rect">
          <a:avLst/>
        </a:prstGeom>
      </xdr:spPr>
    </xdr:pic>
    <xdr:clientData/>
  </xdr:twoCellAnchor>
  <xdr:twoCellAnchor>
    <xdr:from>
      <xdr:col>6</xdr:col>
      <xdr:colOff>370416</xdr:colOff>
      <xdr:row>2</xdr:row>
      <xdr:rowOff>169333</xdr:rowOff>
    </xdr:from>
    <xdr:to>
      <xdr:col>7</xdr:col>
      <xdr:colOff>497416</xdr:colOff>
      <xdr:row>4</xdr:row>
      <xdr:rowOff>105833</xdr:rowOff>
    </xdr:to>
    <xdr:sp macro="[0]!IRAPORTADA" textlink="">
      <xdr:nvSpPr>
        <xdr:cNvPr id="7" name="Rectángulo: esquinas redondeadas 6">
          <a:extLst>
            <a:ext uri="{FF2B5EF4-FFF2-40B4-BE49-F238E27FC236}">
              <a16:creationId xmlns:a16="http://schemas.microsoft.com/office/drawing/2014/main" id="{9F2793E6-276A-4694-A2EA-69A1F354F162}"/>
            </a:ext>
          </a:extLst>
        </xdr:cNvPr>
        <xdr:cNvSpPr/>
      </xdr:nvSpPr>
      <xdr:spPr>
        <a:xfrm>
          <a:off x="8350249" y="656166"/>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GUARDAR</a:t>
          </a:r>
          <a:r>
            <a:rPr lang="es-CO" sz="1200" baseline="0"/>
            <a:t> PDF</a:t>
          </a:r>
          <a:endParaRPr lang="es-CO" sz="1200"/>
        </a:p>
      </xdr:txBody>
    </xdr:sp>
    <xdr:clientData/>
  </xdr:twoCellAnchor>
  <xdr:twoCellAnchor>
    <xdr:from>
      <xdr:col>6</xdr:col>
      <xdr:colOff>395816</xdr:colOff>
      <xdr:row>5</xdr:row>
      <xdr:rowOff>131233</xdr:rowOff>
    </xdr:from>
    <xdr:to>
      <xdr:col>7</xdr:col>
      <xdr:colOff>522816</xdr:colOff>
      <xdr:row>6</xdr:row>
      <xdr:rowOff>247649</xdr:rowOff>
    </xdr:to>
    <xdr:sp macro="[0]!IRAPORTADA" textlink="">
      <xdr:nvSpPr>
        <xdr:cNvPr id="8" name="Rectángulo: esquinas redondeadas 7">
          <a:extLst>
            <a:ext uri="{FF2B5EF4-FFF2-40B4-BE49-F238E27FC236}">
              <a16:creationId xmlns:a16="http://schemas.microsoft.com/office/drawing/2014/main" id="{5E1CB756-B01E-48E2-9E6B-9288AB6D3E88}"/>
            </a:ext>
          </a:extLst>
        </xdr:cNvPr>
        <xdr:cNvSpPr/>
      </xdr:nvSpPr>
      <xdr:spPr>
        <a:xfrm>
          <a:off x="8375649" y="1189566"/>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IMPRIMIR</a:t>
          </a:r>
        </a:p>
      </xdr:txBody>
    </xdr:sp>
    <xdr:clientData/>
  </xdr:twoCellAnchor>
  <xdr:twoCellAnchor>
    <xdr:from>
      <xdr:col>6</xdr:col>
      <xdr:colOff>412750</xdr:colOff>
      <xdr:row>7</xdr:row>
      <xdr:rowOff>201083</xdr:rowOff>
    </xdr:from>
    <xdr:to>
      <xdr:col>7</xdr:col>
      <xdr:colOff>539750</xdr:colOff>
      <xdr:row>9</xdr:row>
      <xdr:rowOff>105833</xdr:rowOff>
    </xdr:to>
    <xdr:sp macro="[0]!IRAPORTADA" textlink="">
      <xdr:nvSpPr>
        <xdr:cNvPr id="9" name="Rectángulo: esquinas redondeadas 8">
          <a:extLst>
            <a:ext uri="{FF2B5EF4-FFF2-40B4-BE49-F238E27FC236}">
              <a16:creationId xmlns:a16="http://schemas.microsoft.com/office/drawing/2014/main" id="{EFD69F92-6C15-422D-B46E-091C55E1054D}"/>
            </a:ext>
          </a:extLst>
        </xdr:cNvPr>
        <xdr:cNvSpPr/>
      </xdr:nvSpPr>
      <xdr:spPr>
        <a:xfrm>
          <a:off x="8392583" y="1714500"/>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ENVIAR</a:t>
          </a:r>
        </a:p>
      </xdr:txBody>
    </xdr:sp>
    <xdr:clientData/>
  </xdr:twoCellAnchor>
  <xdr:twoCellAnchor editAs="oneCell">
    <xdr:from>
      <xdr:col>6</xdr:col>
      <xdr:colOff>402167</xdr:colOff>
      <xdr:row>0</xdr:row>
      <xdr:rowOff>127000</xdr:rowOff>
    </xdr:from>
    <xdr:to>
      <xdr:col>7</xdr:col>
      <xdr:colOff>498573</xdr:colOff>
      <xdr:row>2</xdr:row>
      <xdr:rowOff>42334</xdr:rowOff>
    </xdr:to>
    <xdr:pic macro="[0]!IRAPORTADA">
      <xdr:nvPicPr>
        <xdr:cNvPr id="10" name="Imagen 9">
          <a:extLst>
            <a:ext uri="{FF2B5EF4-FFF2-40B4-BE49-F238E27FC236}">
              <a16:creationId xmlns:a16="http://schemas.microsoft.com/office/drawing/2014/main" id="{D10085C4-04ED-484B-912B-D18DDC2C702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82000" y="127000"/>
          <a:ext cx="858406" cy="4021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2270127</xdr:colOff>
      <xdr:row>0</xdr:row>
      <xdr:rowOff>1</xdr:rowOff>
    </xdr:from>
    <xdr:to>
      <xdr:col>1</xdr:col>
      <xdr:colOff>2705100</xdr:colOff>
      <xdr:row>2</xdr:row>
      <xdr:rowOff>11491</xdr:rowOff>
    </xdr:to>
    <xdr:pic>
      <xdr:nvPicPr>
        <xdr:cNvPr id="2" name="Imagen 1">
          <a:extLst>
            <a:ext uri="{FF2B5EF4-FFF2-40B4-BE49-F238E27FC236}">
              <a16:creationId xmlns:a16="http://schemas.microsoft.com/office/drawing/2014/main" id="{83AD1A71-28FF-43C0-B666-BB1D3C2F4D1C}"/>
            </a:ext>
          </a:extLst>
        </xdr:cNvPr>
        <xdr:cNvPicPr>
          <a:picLocks noChangeAspect="1"/>
        </xdr:cNvPicPr>
      </xdr:nvPicPr>
      <xdr:blipFill>
        <a:blip xmlns:r="http://schemas.openxmlformats.org/officeDocument/2006/relationships" r:embed="rId1" cstate="print">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3032127" y="1"/>
          <a:ext cx="434973" cy="487740"/>
        </a:xfrm>
        <a:prstGeom prst="rect">
          <a:avLst/>
        </a:prstGeom>
      </xdr:spPr>
    </xdr:pic>
    <xdr:clientData/>
  </xdr:twoCellAnchor>
  <xdr:twoCellAnchor>
    <xdr:from>
      <xdr:col>6</xdr:col>
      <xdr:colOff>381000</xdr:colOff>
      <xdr:row>0</xdr:row>
      <xdr:rowOff>137583</xdr:rowOff>
    </xdr:from>
    <xdr:to>
      <xdr:col>7</xdr:col>
      <xdr:colOff>508000</xdr:colOff>
      <xdr:row>1</xdr:row>
      <xdr:rowOff>211666</xdr:rowOff>
    </xdr:to>
    <xdr:sp macro="[0]!IRAPORTADA" textlink="">
      <xdr:nvSpPr>
        <xdr:cNvPr id="3" name="Rectángulo: esquinas redondeadas 2">
          <a:extLst>
            <a:ext uri="{FF2B5EF4-FFF2-40B4-BE49-F238E27FC236}">
              <a16:creationId xmlns:a16="http://schemas.microsoft.com/office/drawing/2014/main" id="{16BF9E89-7F9C-418A-B844-778D05A514D9}"/>
            </a:ext>
          </a:extLst>
        </xdr:cNvPr>
        <xdr:cNvSpPr/>
      </xdr:nvSpPr>
      <xdr:spPr>
        <a:xfrm>
          <a:off x="8372475" y="137583"/>
          <a:ext cx="889000" cy="312208"/>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PORTADA</a:t>
          </a:r>
        </a:p>
      </xdr:txBody>
    </xdr:sp>
    <xdr:clientData/>
  </xdr:twoCellAnchor>
  <xdr:twoCellAnchor>
    <xdr:from>
      <xdr:col>6</xdr:col>
      <xdr:colOff>370416</xdr:colOff>
      <xdr:row>2</xdr:row>
      <xdr:rowOff>169333</xdr:rowOff>
    </xdr:from>
    <xdr:to>
      <xdr:col>7</xdr:col>
      <xdr:colOff>497416</xdr:colOff>
      <xdr:row>4</xdr:row>
      <xdr:rowOff>105833</xdr:rowOff>
    </xdr:to>
    <xdr:sp macro="[0]!IRAPORTADA" textlink="">
      <xdr:nvSpPr>
        <xdr:cNvPr id="4" name="Rectángulo: esquinas redondeadas 3">
          <a:extLst>
            <a:ext uri="{FF2B5EF4-FFF2-40B4-BE49-F238E27FC236}">
              <a16:creationId xmlns:a16="http://schemas.microsoft.com/office/drawing/2014/main" id="{A63402E4-D423-402B-BD8D-FD7800851677}"/>
            </a:ext>
          </a:extLst>
        </xdr:cNvPr>
        <xdr:cNvSpPr/>
      </xdr:nvSpPr>
      <xdr:spPr>
        <a:xfrm>
          <a:off x="8361891" y="645583"/>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GUARDAR</a:t>
          </a:r>
          <a:r>
            <a:rPr lang="es-CO" sz="1200" baseline="0"/>
            <a:t> PDF</a:t>
          </a:r>
          <a:endParaRPr lang="es-CO" sz="1200"/>
        </a:p>
      </xdr:txBody>
    </xdr:sp>
    <xdr:clientData/>
  </xdr:twoCellAnchor>
  <xdr:twoCellAnchor>
    <xdr:from>
      <xdr:col>6</xdr:col>
      <xdr:colOff>395816</xdr:colOff>
      <xdr:row>5</xdr:row>
      <xdr:rowOff>131233</xdr:rowOff>
    </xdr:from>
    <xdr:to>
      <xdr:col>7</xdr:col>
      <xdr:colOff>522816</xdr:colOff>
      <xdr:row>6</xdr:row>
      <xdr:rowOff>247649</xdr:rowOff>
    </xdr:to>
    <xdr:sp macro="[0]!IRAPORTADA" textlink="">
      <xdr:nvSpPr>
        <xdr:cNvPr id="5" name="Rectángulo: esquinas redondeadas 4">
          <a:extLst>
            <a:ext uri="{FF2B5EF4-FFF2-40B4-BE49-F238E27FC236}">
              <a16:creationId xmlns:a16="http://schemas.microsoft.com/office/drawing/2014/main" id="{4BB65F87-EDE2-47AE-80D4-293AF9D8DE60}"/>
            </a:ext>
          </a:extLst>
        </xdr:cNvPr>
        <xdr:cNvSpPr/>
      </xdr:nvSpPr>
      <xdr:spPr>
        <a:xfrm>
          <a:off x="8387291" y="1178983"/>
          <a:ext cx="889000" cy="316441"/>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IMPRIMIR</a:t>
          </a:r>
        </a:p>
      </xdr:txBody>
    </xdr:sp>
    <xdr:clientData/>
  </xdr:twoCellAnchor>
  <xdr:twoCellAnchor>
    <xdr:from>
      <xdr:col>6</xdr:col>
      <xdr:colOff>412750</xdr:colOff>
      <xdr:row>7</xdr:row>
      <xdr:rowOff>201083</xdr:rowOff>
    </xdr:from>
    <xdr:to>
      <xdr:col>7</xdr:col>
      <xdr:colOff>539750</xdr:colOff>
      <xdr:row>9</xdr:row>
      <xdr:rowOff>105833</xdr:rowOff>
    </xdr:to>
    <xdr:sp macro="[0]!IRAPORTADA" textlink="">
      <xdr:nvSpPr>
        <xdr:cNvPr id="6" name="Rectángulo: esquinas redondeadas 5">
          <a:extLst>
            <a:ext uri="{FF2B5EF4-FFF2-40B4-BE49-F238E27FC236}">
              <a16:creationId xmlns:a16="http://schemas.microsoft.com/office/drawing/2014/main" id="{5ACF3915-54C2-49C5-8E79-53AB0C6765DF}"/>
            </a:ext>
          </a:extLst>
        </xdr:cNvPr>
        <xdr:cNvSpPr/>
      </xdr:nvSpPr>
      <xdr:spPr>
        <a:xfrm>
          <a:off x="8404225" y="1706033"/>
          <a:ext cx="889000" cy="314325"/>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ENVIAR</a:t>
          </a:r>
        </a:p>
      </xdr:txBody>
    </xdr:sp>
    <xdr:clientData/>
  </xdr:twoCellAnchor>
  <xdr:twoCellAnchor editAs="oneCell">
    <xdr:from>
      <xdr:col>6</xdr:col>
      <xdr:colOff>428625</xdr:colOff>
      <xdr:row>10</xdr:row>
      <xdr:rowOff>76200</xdr:rowOff>
    </xdr:from>
    <xdr:to>
      <xdr:col>7</xdr:col>
      <xdr:colOff>525031</xdr:colOff>
      <xdr:row>12</xdr:row>
      <xdr:rowOff>97367</xdr:rowOff>
    </xdr:to>
    <xdr:pic macro="[0]!IRAPORTADA">
      <xdr:nvPicPr>
        <xdr:cNvPr id="7" name="Imagen 6">
          <a:extLst>
            <a:ext uri="{FF2B5EF4-FFF2-40B4-BE49-F238E27FC236}">
              <a16:creationId xmlns:a16="http://schemas.microsoft.com/office/drawing/2014/main" id="{7C329E39-5ADC-4666-A9B2-8491047651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44100" y="2181225"/>
          <a:ext cx="858406" cy="40216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9526</xdr:colOff>
      <xdr:row>2</xdr:row>
      <xdr:rowOff>133350</xdr:rowOff>
    </xdr:from>
    <xdr:to>
      <xdr:col>4</xdr:col>
      <xdr:colOff>542926</xdr:colOff>
      <xdr:row>15</xdr:row>
      <xdr:rowOff>28575</xdr:rowOff>
    </xdr:to>
    <xdr:graphicFrame macro="">
      <xdr:nvGraphicFramePr>
        <xdr:cNvPr id="2" name="Gráfico 1">
          <a:extLst>
            <a:ext uri="{FF2B5EF4-FFF2-40B4-BE49-F238E27FC236}">
              <a16:creationId xmlns:a16="http://schemas.microsoft.com/office/drawing/2014/main" id="{8E0EDF0A-E394-4C6C-B1A8-413FC40D3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523876</xdr:colOff>
      <xdr:row>2</xdr:row>
      <xdr:rowOff>133350</xdr:rowOff>
    </xdr:from>
    <xdr:to>
      <xdr:col>10</xdr:col>
      <xdr:colOff>390526</xdr:colOff>
      <xdr:row>15</xdr:row>
      <xdr:rowOff>38100</xdr:rowOff>
    </xdr:to>
    <xdr:graphicFrame macro="">
      <xdr:nvGraphicFramePr>
        <xdr:cNvPr id="3" name="Gráfico 2">
          <a:extLst>
            <a:ext uri="{FF2B5EF4-FFF2-40B4-BE49-F238E27FC236}">
              <a16:creationId xmlns:a16="http://schemas.microsoft.com/office/drawing/2014/main" id="{1B0B071C-7FB4-4754-B50E-F2FE69A7DE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400050</xdr:colOff>
      <xdr:row>2</xdr:row>
      <xdr:rowOff>133349</xdr:rowOff>
    </xdr:from>
    <xdr:to>
      <xdr:col>16</xdr:col>
      <xdr:colOff>219075</xdr:colOff>
      <xdr:row>15</xdr:row>
      <xdr:rowOff>38100</xdr:rowOff>
    </xdr:to>
    <xdr:graphicFrame macro="">
      <xdr:nvGraphicFramePr>
        <xdr:cNvPr id="4" name="Gráfico 3">
          <a:extLst>
            <a:ext uri="{FF2B5EF4-FFF2-40B4-BE49-F238E27FC236}">
              <a16:creationId xmlns:a16="http://schemas.microsoft.com/office/drawing/2014/main" id="{80264BFF-14A4-47C0-A87D-A5832859E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66675</xdr:colOff>
      <xdr:row>15</xdr:row>
      <xdr:rowOff>19050</xdr:rowOff>
    </xdr:from>
    <xdr:to>
      <xdr:col>5</xdr:col>
      <xdr:colOff>371475</xdr:colOff>
      <xdr:row>23</xdr:row>
      <xdr:rowOff>190500</xdr:rowOff>
    </xdr:to>
    <mc:AlternateContent xmlns:mc="http://schemas.openxmlformats.org/markup-compatibility/2006" xmlns:a14="http://schemas.microsoft.com/office/drawing/2010/main">
      <mc:Choice Requires="a14">
        <xdr:graphicFrame macro="">
          <xdr:nvGraphicFramePr>
            <xdr:cNvPr id="5" name="CARGO">
              <a:extLst>
                <a:ext uri="{FF2B5EF4-FFF2-40B4-BE49-F238E27FC236}">
                  <a16:creationId xmlns:a16="http://schemas.microsoft.com/office/drawing/2014/main" id="{9B1FCCCF-D37F-42A2-B676-3A0725EE52D9}"/>
                </a:ext>
              </a:extLst>
            </xdr:cNvPr>
            <xdr:cNvGraphicFramePr/>
          </xdr:nvGraphicFramePr>
          <xdr:xfrm>
            <a:off x="0" y="0"/>
            <a:ext cx="0" cy="0"/>
          </xdr:xfrm>
          <a:graphic>
            <a:graphicData uri="http://schemas.microsoft.com/office/drawing/2010/slicer">
              <sle:slicer xmlns:sle="http://schemas.microsoft.com/office/drawing/2010/slicer" name="CARGO"/>
            </a:graphicData>
          </a:graphic>
        </xdr:graphicFrame>
      </mc:Choice>
      <mc:Fallback xmlns="">
        <xdr:sp macro="" textlink="">
          <xdr:nvSpPr>
            <xdr:cNvPr id="0" name=""/>
            <xdr:cNvSpPr>
              <a:spLocks noTextEdit="1"/>
            </xdr:cNvSpPr>
          </xdr:nvSpPr>
          <xdr:spPr>
            <a:xfrm>
              <a:off x="3476625" y="2876550"/>
              <a:ext cx="1828800" cy="18097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5</xdr:col>
      <xdr:colOff>409575</xdr:colOff>
      <xdr:row>15</xdr:row>
      <xdr:rowOff>38101</xdr:rowOff>
    </xdr:from>
    <xdr:to>
      <xdr:col>7</xdr:col>
      <xdr:colOff>714375</xdr:colOff>
      <xdr:row>23</xdr:row>
      <xdr:rowOff>190501</xdr:rowOff>
    </xdr:to>
    <mc:AlternateContent xmlns:mc="http://schemas.openxmlformats.org/markup-compatibility/2006" xmlns:a14="http://schemas.microsoft.com/office/drawing/2010/main">
      <mc:Choice Requires="a14">
        <xdr:graphicFrame macro="">
          <xdr:nvGraphicFramePr>
            <xdr:cNvPr id="6" name="NOMBRE">
              <a:extLst>
                <a:ext uri="{FF2B5EF4-FFF2-40B4-BE49-F238E27FC236}">
                  <a16:creationId xmlns:a16="http://schemas.microsoft.com/office/drawing/2014/main" id="{144D5F2C-8174-4142-BF64-9FD2180B420E}"/>
                </a:ext>
              </a:extLst>
            </xdr:cNvPr>
            <xdr:cNvGraphicFramePr/>
          </xdr:nvGraphicFramePr>
          <xdr:xfrm>
            <a:off x="0" y="0"/>
            <a:ext cx="0" cy="0"/>
          </xdr:xfrm>
          <a:graphic>
            <a:graphicData uri="http://schemas.microsoft.com/office/drawing/2010/slicer">
              <sle:slicer xmlns:sle="http://schemas.microsoft.com/office/drawing/2010/slicer" name="NOMBRE"/>
            </a:graphicData>
          </a:graphic>
        </xdr:graphicFrame>
      </mc:Choice>
      <mc:Fallback xmlns="">
        <xdr:sp macro="" textlink="">
          <xdr:nvSpPr>
            <xdr:cNvPr id="0" name=""/>
            <xdr:cNvSpPr>
              <a:spLocks noTextEdit="1"/>
            </xdr:cNvSpPr>
          </xdr:nvSpPr>
          <xdr:spPr>
            <a:xfrm>
              <a:off x="5343525" y="2895601"/>
              <a:ext cx="1828800" cy="17907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238125</xdr:colOff>
      <xdr:row>0</xdr:row>
      <xdr:rowOff>57150</xdr:rowOff>
    </xdr:from>
    <xdr:to>
      <xdr:col>10</xdr:col>
      <xdr:colOff>334531</xdr:colOff>
      <xdr:row>2</xdr:row>
      <xdr:rowOff>78317</xdr:rowOff>
    </xdr:to>
    <xdr:pic macro="[0]!IRAPORTADA">
      <xdr:nvPicPr>
        <xdr:cNvPr id="7" name="Imagen 6">
          <a:extLst>
            <a:ext uri="{FF2B5EF4-FFF2-40B4-BE49-F238E27FC236}">
              <a16:creationId xmlns:a16="http://schemas.microsoft.com/office/drawing/2014/main" id="{C840185C-5CD3-4D8F-9B66-B9C7655F59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20075" y="57150"/>
          <a:ext cx="858406" cy="40216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154782</xdr:colOff>
      <xdr:row>0</xdr:row>
      <xdr:rowOff>130968</xdr:rowOff>
    </xdr:from>
    <xdr:to>
      <xdr:col>0</xdr:col>
      <xdr:colOff>1174750</xdr:colOff>
      <xdr:row>0</xdr:row>
      <xdr:rowOff>1016000</xdr:rowOff>
    </xdr:to>
    <xdr:pic>
      <xdr:nvPicPr>
        <xdr:cNvPr id="2" name="Imagen 1">
          <a:extLst>
            <a:ext uri="{FF2B5EF4-FFF2-40B4-BE49-F238E27FC236}">
              <a16:creationId xmlns:a16="http://schemas.microsoft.com/office/drawing/2014/main" id="{A0C8CFB2-D81C-4E24-85A7-FA4493E3C95F}"/>
            </a:ext>
          </a:extLst>
        </xdr:cNvPr>
        <xdr:cNvPicPr/>
      </xdr:nvPicPr>
      <xdr:blipFill>
        <a:blip xmlns:r="http://schemas.openxmlformats.org/officeDocument/2006/relationships" r:embed="rId1"/>
        <a:stretch>
          <a:fillRect/>
        </a:stretch>
      </xdr:blipFill>
      <xdr:spPr>
        <a:xfrm>
          <a:off x="154782" y="130968"/>
          <a:ext cx="1019968" cy="88503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NSTRUCTORA-SENA\SENA2024\TEMATICAS\NOMINA\Nomina%20Sistematizada%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JT"/>
      <sheetName val="Novedades empleados"/>
      <sheetName val="Base de datos"/>
      <sheetName val="Liquidacion Nomina"/>
      <sheetName val="Aportes Parafiscales"/>
      <sheetName val="Provisiones"/>
      <sheetName val="Contabilizacion"/>
      <sheetName val="Volantes de pago"/>
    </sheetNames>
    <sheetDataSet>
      <sheetData sheetId="0"/>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iente107" refreshedDate="45533.468247569443" createdVersion="6" refreshedVersion="6" minRefreshableVersion="3" recordCount="50" xr:uid="{06E1384B-52F5-4F3F-94BB-8287F17340B7}">
  <cacheSource type="worksheet">
    <worksheetSource name="Tabla12"/>
  </cacheSource>
  <cacheFields count="43">
    <cacheField name="CEDULA" numFmtId="0">
      <sharedItems containsSemiMixedTypes="0" containsString="0" containsNumber="1" containsInteger="1" minValue="0" maxValue="10"/>
    </cacheField>
    <cacheField name="NOMBRE" numFmtId="0">
      <sharedItems containsMixedTypes="1" containsNumber="1" containsInteger="1" minValue="0" maxValue="0" count="11">
        <s v="ANA ROCIO MANRIQUE RIOS"/>
        <s v="ANGELA ROSARIO PEREZ RICO"/>
        <s v="JULIANA GIRALDO RIOS"/>
        <s v="AMALIA MONSALVE SANCHEZ"/>
        <s v="JUAN GILBERTO MORENO RIOS"/>
        <s v="CAMILO ANDRES MONSALVE"/>
        <s v="CESAR JOSE GIRALDO"/>
        <s v="CARLOS ANDRES LÓPEZ"/>
        <s v="RIGOBERTO URAN PEÑA"/>
        <s v="RENÉ HIGUITA SUAZA"/>
        <n v="0"/>
      </sharedItems>
    </cacheField>
    <cacheField name="CARGO" numFmtId="0">
      <sharedItems containsMixedTypes="1" containsNumber="1" containsInteger="1" minValue="0" maxValue="0" count="10">
        <s v="Jefe de Ingeniería"/>
        <s v="Supervisor"/>
        <s v="Revisora"/>
        <s v="Jefe de Calidad"/>
        <s v="Pistolero"/>
        <s v="Operarios manuales"/>
        <s v="Planchador"/>
        <s v="Servicios Generales"/>
        <s v="Mecánico"/>
        <n v="0"/>
      </sharedItems>
    </cacheField>
    <cacheField name="Salario Basico" numFmtId="44">
      <sharedItems containsSemiMixedTypes="0" containsString="0" containsNumber="1" containsInteger="1" minValue="0" maxValue="15000000"/>
    </cacheField>
    <cacheField name="Incapacidad" numFmtId="0">
      <sharedItems containsSemiMixedTypes="0" containsString="0" containsNumber="1" containsInteger="1" minValue="0" maxValue="8"/>
    </cacheField>
    <cacheField name="Dias" numFmtId="0">
      <sharedItems containsSemiMixedTypes="0" containsString="0" containsNumber="1" containsInteger="1" minValue="0" maxValue="30"/>
    </cacheField>
    <cacheField name="IBC" numFmtId="170">
      <sharedItems containsSemiMixedTypes="0" containsString="0" containsNumber="1" minValue="0" maxValue="13914426.086956521"/>
    </cacheField>
    <cacheField name="Incapacidad2" numFmtId="170">
      <sharedItems containsSemiMixedTypes="0" containsString="0" containsNumber="1" minValue="0" maxValue="666600"/>
    </cacheField>
    <cacheField name="Sueldo" numFmtId="170">
      <sharedItems containsSemiMixedTypes="0" containsString="0" containsNumber="1" minValue="0" maxValue="11500000"/>
    </cacheField>
    <cacheField name="Auxilio de Transporte" numFmtId="170">
      <sharedItems containsSemiMixedTypes="0" containsString="0" containsNumber="1" containsInteger="1" minValue="0" maxValue="162000"/>
    </cacheField>
    <cacheField name="H.E.Diurna" numFmtId="170">
      <sharedItems containsSemiMixedTypes="0" containsString="0" containsNumber="1" minValue="0" maxValue="815217.3913043479"/>
    </cacheField>
    <cacheField name="H.E. Diur. Dom/Fest" numFmtId="170">
      <sharedItems containsSemiMixedTypes="0" containsString="0" containsNumber="1" minValue="0" maxValue="782608.69565217383"/>
    </cacheField>
    <cacheField name="H.E. Noct." numFmtId="170">
      <sharedItems containsSemiMixedTypes="0" containsString="0" containsNumber="1" minValue="0" maxValue="76086.956521739135"/>
    </cacheField>
    <cacheField name="H.E. Noct. Dom/Fest" numFmtId="170">
      <sharedItems containsSemiMixedTypes="0" containsString="0" containsNumber="1" minValue="0" maxValue="65217.391304347831"/>
    </cacheField>
    <cacheField name="Recargo Noct." numFmtId="170">
      <sharedItems containsSemiMixedTypes="0" containsString="0" containsNumber="1" minValue="0" maxValue="715217.3913043479"/>
    </cacheField>
    <cacheField name="Recargo Noct. Dom/Fest" numFmtId="170">
      <sharedItems containsSemiMixedTypes="0" containsString="0" containsNumber="1" minValue="0" maxValue="1123913.043478261"/>
    </cacheField>
    <cacheField name="Recargo Diurno Dom/Fest" numFmtId="170">
      <sharedItems containsSemiMixedTypes="0" containsString="0" containsNumber="1" minValue="0" maxValue="104347.82608695653"/>
    </cacheField>
    <cacheField name="Total HE y Recargos" numFmtId="170">
      <sharedItems containsSemiMixedTypes="0" containsString="0" containsNumber="1" minValue="0" maxValue="2150000"/>
    </cacheField>
    <cacheField name="Comisiones" numFmtId="170">
      <sharedItems containsSemiMixedTypes="0" containsString="0" containsNumber="1" containsInteger="1" minValue="0" maxValue="0"/>
    </cacheField>
    <cacheField name="Bonificaciones" numFmtId="170">
      <sharedItems containsSemiMixedTypes="0" containsString="0" containsNumber="1" containsInteger="1" minValue="0" maxValue="150000"/>
    </cacheField>
    <cacheField name="Total Devengado" numFmtId="170">
      <sharedItems containsSemiMixedTypes="0" containsString="0" containsNumber="1" minValue="0" maxValue="13914426.086956521"/>
    </cacheField>
    <cacheField name="Salud" numFmtId="170">
      <sharedItems containsSemiMixedTypes="0" containsString="0" containsNumber="1" minValue="0" maxValue="556577.04347826086"/>
    </cacheField>
    <cacheField name="Pension" numFmtId="170">
      <sharedItems containsSemiMixedTypes="0" containsString="0" containsNumber="1" minValue="0" maxValue="556577.04347826086"/>
    </cacheField>
    <cacheField name="F.S.P." numFmtId="170">
      <sharedItems containsSemiMixedTypes="0" containsString="0" containsNumber="1" minValue="0" maxValue="139144.26086956522"/>
    </cacheField>
    <cacheField name="Retefuente" numFmtId="170">
      <sharedItems containsSemiMixedTypes="0" containsString="0" containsNumber="1" containsInteger="1" minValue="0" maxValue="0"/>
    </cacheField>
    <cacheField name="Embargos Judiciales" numFmtId="170">
      <sharedItems containsSemiMixedTypes="0" containsString="0" containsNumber="1" containsInteger="1" minValue="0" maxValue="0"/>
    </cacheField>
    <cacheField name="Libranzas" numFmtId="170">
      <sharedItems containsSemiMixedTypes="0" containsString="0" containsNumber="1" containsInteger="1" minValue="0" maxValue="0"/>
    </cacheField>
    <cacheField name="Cooperativas" numFmtId="170">
      <sharedItems containsSemiMixedTypes="0" containsString="0" containsNumber="1" containsInteger="1" minValue="0" maxValue="0"/>
    </cacheField>
    <cacheField name="Otros" numFmtId="170">
      <sharedItems containsSemiMixedTypes="0" containsString="0" containsNumber="1" containsInteger="1" minValue="0" maxValue="0"/>
    </cacheField>
    <cacheField name="Total Deducciones" numFmtId="170">
      <sharedItems containsSemiMixedTypes="0" containsString="0" containsNumber="1" minValue="0" maxValue="1252298.3478260869"/>
    </cacheField>
    <cacheField name="NETO A PAGAR" numFmtId="170">
      <sharedItems containsSemiMixedTypes="0" containsString="0" containsNumber="1" minValue="0" maxValue="12662127.739130434"/>
    </cacheField>
    <cacheField name="Parafiscales Salud" numFmtId="170">
      <sharedItems containsSemiMixedTypes="0" containsString="0" containsNumber="1" minValue="0" maxValue="1182726.2173913044"/>
    </cacheField>
    <cacheField name="Parafiscales Pension" numFmtId="170">
      <sharedItems containsSemiMixedTypes="0" containsString="0" containsNumber="1" minValue="0" maxValue="1669731.1304347825"/>
    </cacheField>
    <cacheField name="Parafiscales ARL" numFmtId="170">
      <sharedItems containsSemiMixedTypes="0" containsString="0" containsNumber="1" minValue="0" maxValue="72633.304173913042"/>
    </cacheField>
    <cacheField name="ParafiscalesSENA" numFmtId="170">
      <sharedItems containsSemiMixedTypes="0" containsString="0" containsNumber="1" minValue="0" maxValue="278288.52173913043"/>
    </cacheField>
    <cacheField name="Parafiscales ICBF" numFmtId="170">
      <sharedItems containsSemiMixedTypes="0" containsString="0" containsNumber="1" minValue="0" maxValue="417432.78260869562"/>
    </cacheField>
    <cacheField name="TOTAL PARAFISCALES" numFmtId="170">
      <sharedItems containsSemiMixedTypes="0" containsString="0" containsNumber="1" minValue="0" maxValue="3620811.9563478259"/>
    </cacheField>
    <cacheField name="Parafiscales Caja de Compenscion" numFmtId="170">
      <sharedItems containsSemiMixedTypes="0" containsString="0" containsNumber="1" minValue="0" maxValue="556577.04347826086"/>
    </cacheField>
    <cacheField name="Provisiones Cesantias" numFmtId="170">
      <sharedItems containsSemiMixedTypes="0" containsString="0" containsNumber="1" minValue="0" maxValue="1159071.6930434783"/>
    </cacheField>
    <cacheField name="Provisiones Intereses sobre Cesantias" numFmtId="170">
      <sharedItems containsSemiMixedTypes="0" containsString="0" containsNumber="1" minValue="0" maxValue="139144.26086956522"/>
    </cacheField>
    <cacheField name="Provisiones Primas de Servicios" numFmtId="170">
      <sharedItems containsSemiMixedTypes="0" containsString="0" containsNumber="1" minValue="0" maxValue="1159071.6930434783"/>
    </cacheField>
    <cacheField name="Provisiones Vacaciones" numFmtId="170">
      <sharedItems containsSemiMixedTypes="0" containsString="0" containsNumber="1" minValue="0" maxValue="507347.22000000003"/>
    </cacheField>
    <cacheField name="TOTAL SUMA PROVISIONES" numFmtId="170">
      <sharedItems containsSemiMixedTypes="0" containsString="0" containsNumber="1" minValue="0" maxValue="2964634.8669565222"/>
    </cacheField>
  </cacheFields>
  <extLst>
    <ext xmlns:x14="http://schemas.microsoft.com/office/spreadsheetml/2009/9/main" uri="{725AE2AE-9491-48be-B2B4-4EB974FC3084}">
      <x14:pivotCacheDefinition pivotCacheId="1541903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x v="0"/>
    <x v="0"/>
    <n v="15000000"/>
    <n v="2"/>
    <n v="23"/>
    <n v="13914426.086956521"/>
    <n v="666600"/>
    <n v="11500000"/>
    <n v="0"/>
    <n v="815217.3913043479"/>
    <n v="782608.69565217383"/>
    <n v="0"/>
    <n v="0"/>
    <n v="0"/>
    <n v="0"/>
    <n v="0"/>
    <n v="1597826.0869565217"/>
    <n v="0"/>
    <n v="150000"/>
    <n v="13914426.086956521"/>
    <n v="556577.04347826086"/>
    <n v="556577.04347826086"/>
    <n v="139144.26086956522"/>
    <n v="0"/>
    <n v="0"/>
    <n v="0"/>
    <n v="0"/>
    <n v="0"/>
    <n v="1252298.3478260869"/>
    <n v="12662127.739130434"/>
    <n v="1182726.2173913044"/>
    <n v="1669731.1304347825"/>
    <n v="72633.304173913042"/>
    <n v="278288.52173913043"/>
    <n v="417432.78260869562"/>
    <n v="3620811.9563478259"/>
    <n v="556577.04347826086"/>
    <n v="1159071.6930434783"/>
    <n v="139144.26086956522"/>
    <n v="1159071.6930434783"/>
    <n v="507347.22000000003"/>
    <n v="2964634.8669565222"/>
  </r>
  <r>
    <n v="2"/>
    <x v="1"/>
    <x v="1"/>
    <n v="1850000"/>
    <n v="0"/>
    <n v="30"/>
    <n v="1975000"/>
    <n v="0"/>
    <n v="1850000"/>
    <n v="162000"/>
    <n v="0"/>
    <n v="0"/>
    <n v="0"/>
    <n v="0"/>
    <n v="0"/>
    <n v="0"/>
    <n v="0"/>
    <n v="0"/>
    <n v="0"/>
    <n v="125000"/>
    <n v="2137000"/>
    <n v="79000"/>
    <n v="79000"/>
    <n v="0"/>
    <n v="0"/>
    <n v="0"/>
    <n v="0"/>
    <n v="0"/>
    <n v="0"/>
    <n v="158000"/>
    <n v="1979000"/>
    <n v="0"/>
    <n v="237000"/>
    <n v="20619"/>
    <n v="0"/>
    <n v="0"/>
    <n v="257619"/>
    <n v="79000"/>
    <n v="164517.5"/>
    <n v="19750"/>
    <n v="164517.5"/>
    <n v="77145"/>
    <n v="425930"/>
  </r>
  <r>
    <n v="3"/>
    <x v="2"/>
    <x v="2"/>
    <n v="1420000"/>
    <n v="6"/>
    <n v="24"/>
    <n v="1473173.9130434783"/>
    <n v="260000"/>
    <n v="1136000"/>
    <n v="129600"/>
    <n v="77173.913043478256"/>
    <n v="0"/>
    <n v="0"/>
    <n v="0"/>
    <n v="0"/>
    <n v="0"/>
    <n v="0"/>
    <n v="77173.913043478256"/>
    <n v="0"/>
    <n v="0"/>
    <n v="1602773.9130434783"/>
    <n v="58926.956521739135"/>
    <n v="58926.956521739135"/>
    <n v="0"/>
    <n v="0"/>
    <n v="0"/>
    <n v="0"/>
    <n v="0"/>
    <n v="0"/>
    <n v="117853.91304347827"/>
    <n v="1484920"/>
    <n v="0"/>
    <n v="176780.86956521738"/>
    <n v="7689.9678260869559"/>
    <n v="0"/>
    <n v="0"/>
    <n v="184470.83739130435"/>
    <n v="58926.956521739135"/>
    <n v="122715.38695652173"/>
    <n v="14731.739130434784"/>
    <n v="122715.38695652173"/>
    <n v="58213.200000000004"/>
    <n v="318375.71304347826"/>
  </r>
  <r>
    <n v="4"/>
    <x v="3"/>
    <x v="1"/>
    <n v="1850000"/>
    <n v="0"/>
    <n v="30"/>
    <n v="1850000"/>
    <n v="0"/>
    <n v="1850000"/>
    <n v="162000"/>
    <n v="0"/>
    <n v="0"/>
    <n v="0"/>
    <n v="0"/>
    <n v="0"/>
    <n v="0"/>
    <n v="0"/>
    <n v="0"/>
    <n v="0"/>
    <n v="0"/>
    <n v="2012000"/>
    <n v="74000"/>
    <n v="74000"/>
    <n v="0"/>
    <n v="0"/>
    <n v="0"/>
    <n v="0"/>
    <n v="0"/>
    <n v="0"/>
    <n v="148000"/>
    <n v="1864000"/>
    <n v="0"/>
    <n v="222000"/>
    <n v="9657"/>
    <n v="0"/>
    <n v="0"/>
    <n v="231657"/>
    <n v="74000"/>
    <n v="154105"/>
    <n v="18500"/>
    <n v="154105"/>
    <n v="77145"/>
    <n v="403855"/>
  </r>
  <r>
    <n v="5"/>
    <x v="4"/>
    <x v="3"/>
    <n v="2000000"/>
    <n v="0"/>
    <n v="30"/>
    <n v="4150000"/>
    <n v="0"/>
    <n v="2000000.0000000002"/>
    <n v="162000"/>
    <n v="65217.391304347831"/>
    <n v="0"/>
    <n v="76086.956521739135"/>
    <n v="65217.391304347831"/>
    <n v="715217.3913043479"/>
    <n v="1123913.043478261"/>
    <n v="104347.82608695653"/>
    <n v="2150000"/>
    <n v="0"/>
    <n v="0"/>
    <n v="4312000"/>
    <n v="166000"/>
    <n v="166000"/>
    <n v="0"/>
    <n v="0"/>
    <n v="0"/>
    <n v="0"/>
    <n v="0"/>
    <n v="0"/>
    <n v="332000"/>
    <n v="3980000"/>
    <n v="0"/>
    <n v="498000"/>
    <n v="21663"/>
    <n v="0"/>
    <n v="0"/>
    <n v="519663"/>
    <n v="166000"/>
    <n v="345695"/>
    <n v="41500"/>
    <n v="345695"/>
    <n v="83400.000000000015"/>
    <n v="816290"/>
  </r>
  <r>
    <n v="6"/>
    <x v="5"/>
    <x v="4"/>
    <n v="1405000"/>
    <n v="8"/>
    <n v="22"/>
    <n v="1377000"/>
    <n v="346666.66666666669"/>
    <n v="1030333.3333333334"/>
    <n v="118800"/>
    <n v="0"/>
    <n v="0"/>
    <n v="0"/>
    <n v="0"/>
    <n v="0"/>
    <n v="0"/>
    <n v="0"/>
    <n v="0"/>
    <n v="0"/>
    <n v="0"/>
    <n v="1495800"/>
    <n v="55080"/>
    <n v="55080"/>
    <n v="0"/>
    <n v="0"/>
    <n v="0"/>
    <n v="0"/>
    <n v="0"/>
    <n v="0"/>
    <n v="110160"/>
    <n v="1385640"/>
    <n v="0"/>
    <n v="165240"/>
    <n v="7187.94"/>
    <n v="0"/>
    <n v="0"/>
    <n v="172427.94"/>
    <n v="55080"/>
    <n v="114704.1"/>
    <n v="13770"/>
    <n v="114704.1"/>
    <n v="57420.9"/>
    <n v="300599.10000000003"/>
  </r>
  <r>
    <n v="7"/>
    <x v="6"/>
    <x v="5"/>
    <n v="1380000"/>
    <n v="0"/>
    <n v="30"/>
    <n v="1587000"/>
    <n v="0"/>
    <n v="1380000"/>
    <n v="162000"/>
    <n v="75000"/>
    <n v="0"/>
    <n v="0"/>
    <n v="0"/>
    <n v="0"/>
    <n v="0"/>
    <n v="0"/>
    <n v="75000"/>
    <n v="0"/>
    <n v="132000"/>
    <n v="1749000"/>
    <n v="63480"/>
    <n v="63480"/>
    <n v="0"/>
    <n v="0"/>
    <n v="0"/>
    <n v="0"/>
    <n v="0"/>
    <n v="0"/>
    <n v="126960"/>
    <n v="1622040"/>
    <n v="0"/>
    <n v="190440"/>
    <n v="8284.14"/>
    <n v="0"/>
    <n v="0"/>
    <n v="198724.14"/>
    <n v="63480"/>
    <n v="132197.1"/>
    <n v="15870"/>
    <n v="132197.1"/>
    <n v="57546"/>
    <n v="337810.2"/>
  </r>
  <r>
    <n v="8"/>
    <x v="7"/>
    <x v="6"/>
    <n v="1460000"/>
    <n v="2"/>
    <n v="28"/>
    <n v="1449333.3333333333"/>
    <n v="86666.666666666672"/>
    <n v="1362666.6666666665"/>
    <n v="151200"/>
    <n v="0"/>
    <n v="0"/>
    <n v="0"/>
    <n v="0"/>
    <n v="0"/>
    <n v="0"/>
    <n v="0"/>
    <n v="0"/>
    <n v="0"/>
    <n v="0"/>
    <n v="1600533.3333333333"/>
    <n v="57973.333333333328"/>
    <n v="57973.333333333328"/>
    <n v="0"/>
    <n v="0"/>
    <n v="0"/>
    <n v="0"/>
    <n v="0"/>
    <n v="0"/>
    <n v="115946.66666666666"/>
    <n v="1484586.6666666665"/>
    <n v="0"/>
    <n v="173919.99999999997"/>
    <n v="7565.5199999999995"/>
    <n v="0"/>
    <n v="0"/>
    <n v="181485.51999999996"/>
    <n v="57973.333333333328"/>
    <n v="120729.46666666666"/>
    <n v="14493.333333333332"/>
    <n v="120729.46666666666"/>
    <n v="60437.2"/>
    <n v="316389.46666666667"/>
  </r>
  <r>
    <n v="9"/>
    <x v="8"/>
    <x v="7"/>
    <n v="1320000"/>
    <n v="1"/>
    <n v="23"/>
    <n v="1115594.2028985505"/>
    <n v="43333.333333333336"/>
    <n v="1012000"/>
    <n v="97200"/>
    <n v="0"/>
    <n v="0"/>
    <n v="60260.869565217399"/>
    <n v="0"/>
    <n v="0"/>
    <n v="0"/>
    <n v="0"/>
    <n v="60260.869565217399"/>
    <n v="0"/>
    <n v="0"/>
    <n v="1212794.2028985505"/>
    <n v="44623.768115942024"/>
    <n v="44623.768115942024"/>
    <n v="0"/>
    <n v="0"/>
    <n v="0"/>
    <n v="0"/>
    <n v="0"/>
    <n v="0"/>
    <n v="89247.536231884049"/>
    <n v="1123546.6666666665"/>
    <n v="0"/>
    <n v="133871.30434782605"/>
    <n v="5823.4017391304333"/>
    <n v="0"/>
    <n v="0"/>
    <n v="139694.70608695649"/>
    <n v="44623.768115942024"/>
    <n v="92928.997101449262"/>
    <n v="11155.942028985506"/>
    <n v="92928.997101449262"/>
    <n v="44007.399999999994"/>
    <n v="241021.33623188402"/>
  </r>
  <r>
    <n v="10"/>
    <x v="9"/>
    <x v="8"/>
    <n v="2400000"/>
    <n v="0"/>
    <n v="30"/>
    <n v="2713043.4782608696"/>
    <n v="0"/>
    <n v="2400000"/>
    <n v="162000"/>
    <n v="313043.47826086957"/>
    <n v="0"/>
    <n v="0"/>
    <n v="0"/>
    <n v="0"/>
    <n v="0"/>
    <n v="0"/>
    <n v="313043.47826086957"/>
    <n v="0"/>
    <n v="0"/>
    <n v="2875043.4782608696"/>
    <n v="108521.73913043478"/>
    <n v="108521.73913043478"/>
    <n v="0"/>
    <n v="0"/>
    <n v="0"/>
    <n v="0"/>
    <n v="0"/>
    <n v="0"/>
    <n v="217043.47826086957"/>
    <n v="2658000"/>
    <n v="0"/>
    <n v="325565.21739130432"/>
    <n v="14162.086956521738"/>
    <n v="0"/>
    <n v="0"/>
    <n v="339727.30434782605"/>
    <n v="108521.73913043478"/>
    <n v="225996.52173913043"/>
    <n v="27130.434782608696"/>
    <n v="225996.52173913043"/>
    <n v="100080"/>
    <n v="579203.47826086963"/>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57731E-A3D3-4D30-989D-4ECD2F8EF722}" name="TablaDinámica2"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A14:F15" firstHeaderRow="0"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dataField="1" numFmtId="170" showAll="0"/>
    <pivotField dataField="1" numFmtId="170" showAll="0"/>
    <pivotField dataField="1" numFmtId="170" showAll="0"/>
    <pivotField dataField="1" numFmtId="170" showAll="0"/>
    <pivotField dataField="1"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Items count="1">
    <i/>
  </rowItems>
  <colFields count="1">
    <field x="-2"/>
  </colFields>
  <colItems count="6">
    <i>
      <x/>
    </i>
    <i i="1">
      <x v="1"/>
    </i>
    <i i="2">
      <x v="2"/>
    </i>
    <i i="3">
      <x v="3"/>
    </i>
    <i i="4">
      <x v="4"/>
    </i>
    <i i="5">
      <x v="5"/>
    </i>
  </colItems>
  <dataFields count="6">
    <dataField name=" H.E. Diur. Dom/Fest" fld="11" baseField="0" baseItem="1"/>
    <dataField name="H.E. Noct" fld="12" baseField="0" baseItem="1"/>
    <dataField name="H.E. Noct. Dom/Fest." fld="13" baseField="0" baseItem="2"/>
    <dataField name="Recargo Noctu" fld="14" baseField="0" baseItem="3"/>
    <dataField name="Recargo Noct. Dom/Fest." fld="15" baseField="0" baseItem="4"/>
    <dataField name="Recargo Diurno Dom/Fest." fld="16" baseField="0" baseItem="5"/>
  </dataFields>
  <formats count="1">
    <format dxfId="32">
      <pivotArea outline="0" collapsedLevelsAreSubtotals="1" fieldPosition="0"/>
    </format>
  </formats>
  <chartFormats count="6">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7682FD-7A4A-4052-A409-18586CBB4195}" name="TablaDiná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location ref="A1:B12"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dataField="1"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Fields count="1">
    <field x="2"/>
  </rowFields>
  <rowItems count="11">
    <i>
      <x/>
    </i>
    <i>
      <x v="1"/>
    </i>
    <i>
      <x v="2"/>
    </i>
    <i>
      <x v="3"/>
    </i>
    <i>
      <x v="4"/>
    </i>
    <i>
      <x v="5"/>
    </i>
    <i>
      <x v="6"/>
    </i>
    <i>
      <x v="7"/>
    </i>
    <i>
      <x v="8"/>
    </i>
    <i>
      <x v="9"/>
    </i>
    <i t="grand">
      <x/>
    </i>
  </rowItems>
  <colItems count="1">
    <i/>
  </colItems>
  <dataFields count="1">
    <dataField name="Suma de Incapacidad" fld="4" baseField="0" baseItem="0"/>
  </dataFields>
  <formats count="1">
    <format dxfId="3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AD90C7-A507-4C60-AD9B-D6DFED7EC14C}" name="TablaDinámica10"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location ref="A17:B28"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Fields count="1">
    <field x="2"/>
  </rowFields>
  <rowItems count="11">
    <i>
      <x/>
    </i>
    <i>
      <x v="1"/>
    </i>
    <i>
      <x v="2"/>
    </i>
    <i>
      <x v="3"/>
    </i>
    <i>
      <x v="4"/>
    </i>
    <i>
      <x v="5"/>
    </i>
    <i>
      <x v="6"/>
    </i>
    <i>
      <x v="7"/>
    </i>
    <i>
      <x v="8"/>
    </i>
    <i>
      <x v="9"/>
    </i>
    <i t="grand">
      <x/>
    </i>
  </rowItems>
  <colItems count="1">
    <i/>
  </colItems>
  <dataFields count="1">
    <dataField name="Suma de Total Devengado" fld="20" baseField="0" baseItem="0"/>
  </dataFields>
  <formats count="1">
    <format dxfId="3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2F0BF8-323C-4F63-A844-E3FAB81C10D8}" name="TablaDinámica8"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0:A21"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s>
  <rowItems count="1">
    <i/>
  </rowItems>
  <colItems count="1">
    <i/>
  </colItems>
  <dataFields count="1">
    <dataField name="TOTAL PARAFISCALES_" fld="36" baseField="0" baseItem="767982064"/>
  </dataFields>
  <formats count="11">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dataOnly="0" labelOnly="1" outline="0" axis="axisValues" fieldPosition="0"/>
    </format>
    <format dxfId="6">
      <pivotArea outline="0" collapsedLevelsAreSubtotals="1" fieldPosition="0"/>
    </format>
    <format dxfId="5">
      <pivotArea outline="0" collapsedLevelsAreSubtotals="1" fieldPosition="0"/>
    </format>
    <format dxfId="4">
      <pivotArea dataOnly="0" labelOnly="1" outline="0" axis="axisValues"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C44FCF-C6E4-4DD6-92D3-3DA4ABF6EE30}" name="TablaDinámica5"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17:A18"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Items count="1">
    <i/>
  </rowItems>
  <colItems count="1">
    <i/>
  </colItems>
  <dataFields count="1">
    <dataField name="VALOR NÓMINA" fld="20" baseField="0" baseItem="812911664"/>
  </dataFields>
  <formats count="11">
    <format dxfId="21">
      <pivotArea outline="0" collapsedLevelsAreSubtotals="1" fieldPosition="0"/>
    </format>
    <format dxfId="20">
      <pivotArea dataOnly="0" labelOnly="1" outline="0" axis="axisValues" fieldPosition="0"/>
    </format>
    <format dxfId="19">
      <pivotArea dataOnly="0" labelOnly="1" outline="0" axis="axisValues" fieldPosition="0"/>
    </format>
    <format dxfId="18">
      <pivotArea dataOnly="0" labelOnly="1" outline="0" axis="axisValues" fieldPosition="0"/>
    </format>
    <format dxfId="17">
      <pivotArea outline="0" collapsedLevelsAreSubtotals="1" fieldPosition="0"/>
    </format>
    <format dxfId="16">
      <pivotArea outline="0" collapsedLevelsAreSubtotals="1" fieldPosition="0"/>
    </format>
    <format dxfId="15">
      <pivotArea dataOnly="0" labelOnly="1" outline="0" axis="axisValues" fieldPosition="0"/>
    </format>
    <format dxfId="14">
      <pivotArea outline="0" collapsedLevelsAreSubtotals="1" fieldPosition="0"/>
    </format>
    <format dxfId="13">
      <pivotArea outline="0" collapsedLevelsAreSubtotals="1" fieldPosition="0"/>
    </format>
    <format dxfId="12">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3A75BB-8CC9-438F-8095-722417ACFD53}" name="TablaDinámica9"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3:A24"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s>
  <rowItems count="1">
    <i/>
  </rowItems>
  <colItems count="1">
    <i/>
  </colItems>
  <dataFields count="1">
    <dataField name="TOTAL PROVISIONES_" fld="42" baseField="0" baseItem="422465264"/>
  </dataFields>
  <formats count="10">
    <format dxfId="31">
      <pivotArea outline="0" collapsedLevelsAreSubtotals="1" fieldPosition="0"/>
    </format>
    <format dxfId="30">
      <pivotArea dataOnly="0" labelOnly="1" outline="0" axis="axisValues" fieldPosition="0"/>
    </format>
    <format dxfId="29">
      <pivotArea dataOnly="0" labelOnly="1" outline="0" axis="axisValues"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outline="0" collapsedLevelsAreSubtotals="1" fieldPosition="0"/>
    </format>
    <format dxfId="24">
      <pivotArea dataOnly="0" labelOnly="1" outline="0" axis="axisValues" fieldPosition="0"/>
    </format>
    <format dxfId="23">
      <pivotArea outline="0" collapsedLevelsAreSubtotals="1"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RGO" xr10:uid="{9FC9B68D-5604-4414-A4AB-3623F99F98B7}" sourceName="CARGO">
  <pivotTables>
    <pivotTable tabId="18" name="TablaDinámica10"/>
    <pivotTable tabId="17" name="TablaDinámica5"/>
    <pivotTable tabId="17" name="TablaDinámica8"/>
    <pivotTable tabId="17" name="TablaDinámica9"/>
    <pivotTable tabId="18" name="TablaDinámica1"/>
    <pivotTable tabId="18" name="TablaDinámica2"/>
  </pivotTables>
  <data>
    <tabular pivotCacheId="1541903604">
      <items count="10">
        <i x="9" s="1"/>
        <i x="3" s="1"/>
        <i x="0" s="1"/>
        <i x="8" s="1"/>
        <i x="5" s="1"/>
        <i x="4" s="1"/>
        <i x="6" s="1"/>
        <i x="2" s="1"/>
        <i x="7"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 xr10:uid="{75D320F0-D947-4452-9EEC-FA5F0ABCA50D}" sourceName="NOMBRE">
  <pivotTables>
    <pivotTable tabId="18" name="TablaDinámica10"/>
    <pivotTable tabId="17" name="TablaDinámica5"/>
    <pivotTable tabId="17" name="TablaDinámica8"/>
    <pivotTable tabId="17" name="TablaDinámica9"/>
    <pivotTable tabId="18" name="TablaDinámica1"/>
    <pivotTable tabId="18" name="TablaDinámica2"/>
  </pivotTables>
  <data>
    <tabular pivotCacheId="1541903604">
      <items count="11">
        <i x="10" s="1"/>
        <i x="3" s="1"/>
        <i x="0" s="1"/>
        <i x="1" s="1"/>
        <i x="5" s="1"/>
        <i x="7" s="1"/>
        <i x="6" s="1"/>
        <i x="4" s="1"/>
        <i x="2" s="1"/>
        <i x="9"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RGO" xr10:uid="{F232D57C-7B7C-4714-BF03-6F0682050A6F}" cache="SegmentaciónDeDatos_CARGO" caption="CARGO" startItem="4" style="SlicerStyleDark4" rowHeight="241300"/>
  <slicer name="NOMBRE" xr10:uid="{2CC65517-0137-4FE8-A8CC-2F764E452D57}" cache="SegmentaciónDeDatos_NOMBRE" caption="NOMBRE" startItem="6"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A033DF-3937-4291-AF09-9FEC525E3AD9}" name="Tabla2" displayName="Tabla2" ref="E21:F26" totalsRowShown="0" headerRowDxfId="220" dataDxfId="218" headerRowBorderDxfId="219" tableBorderDxfId="217" totalsRowBorderDxfId="216">
  <autoFilter ref="E21:F26" xr:uid="{346F1721-5605-4259-9895-3D25EAA98FA9}"/>
  <tableColumns count="2">
    <tableColumn id="1" xr3:uid="{13CB0F8A-BE02-45EB-8EF4-8F4875CB858B}" name="APORTE RIESGOS LABORALES CLASE DE RIESGO" dataDxfId="215"/>
    <tableColumn id="2" xr3:uid="{1BE52BEB-0385-4931-9FE7-3E1CE8BD38B6}" name="% SEGÚN CLASE DE RIESGO" dataDxfId="2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78AC55-9777-4C71-A921-C94B570A5AE2}" name="Tabla3" displayName="Tabla3" ref="B11:C18" totalsRowShown="0" dataDxfId="212" headerRowBorderDxfId="213" tableBorderDxfId="211" totalsRowBorderDxfId="210">
  <autoFilter ref="B11:C18" xr:uid="{2AC4557C-31AE-47A3-A179-F3F83139D236}"/>
  <tableColumns count="2">
    <tableColumn id="1" xr3:uid="{D8258894-6F35-4152-A5FB-E9F39D0CF3F9}" name="Factores Horas Extras y Recargos" dataDxfId="209"/>
    <tableColumn id="2" xr3:uid="{EADD0825-90D6-4BCA-9CDB-7B4E6690ED0E}" name="Valor"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B5A62F-BFC0-474C-BC52-E4D943333E5E}" name="Tabla4" displayName="Tabla4" ref="E11:F14" totalsRowShown="0" dataDxfId="206" headerRowBorderDxfId="207" tableBorderDxfId="205" totalsRowBorderDxfId="204">
  <autoFilter ref="E11:F14" xr:uid="{0B42CF97-AD09-4969-88BE-8D34134B886A}"/>
  <tableColumns count="2">
    <tableColumn id="1" xr3:uid="{4F2EEE23-BB82-44B6-AA6F-82A1BCEDFB76}" name="Aporte Parafiscales" dataDxfId="203"/>
    <tableColumn id="2" xr3:uid="{EC956F9B-8782-4402-BD4B-0F0C414D28BA}" name="Valor" dataDxfId="20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E9177A-DD8F-4F46-B0B7-3587D9EE3A4F}" name="Tabla5" displayName="Tabla5" ref="E5:F9" totalsRowShown="0" dataDxfId="200" headerRowBorderDxfId="201" tableBorderDxfId="199" totalsRowBorderDxfId="198">
  <autoFilter ref="E5:F9" xr:uid="{8286FBA0-A893-4560-A74B-0EAD9C7367C8}"/>
  <tableColumns count="2">
    <tableColumn id="1" xr3:uid="{137CE91C-E38E-42A7-BA7B-9865E94F41D7}" name="Aporte Seguridad Social" dataDxfId="197"/>
    <tableColumn id="2" xr3:uid="{D337117D-299C-477E-AE33-7659A76D9658}" name="Valor" dataDxfId="19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8AFC13-6865-4736-8815-F4C8086A9637}" name="Tabla6" displayName="Tabla6" ref="E16:K20" totalsRowShown="0" headerRowDxfId="195" dataDxfId="193" headerRowBorderDxfId="194" tableBorderDxfId="192" totalsRowBorderDxfId="191">
  <autoFilter ref="E16:K20" xr:uid="{5D88D172-4FED-4AE7-ABE6-B9B402DE3598}"/>
  <tableColumns count="7">
    <tableColumn id="1" xr3:uid="{C6B4B361-DAB6-47A5-9113-068B6795A312}" name="Prestaciones Sociales" dataDxfId="190"/>
    <tableColumn id="2" xr3:uid="{2A2A6DAB-E104-4C5E-BC73-96C6AC302CF3}" name="%" dataDxfId="189"/>
    <tableColumn id="3" xr3:uid="{65CAB285-BCF0-43C2-B5EE-6BA553E53D86}" name="DIAS DE PRESTACIÓN ANUAL" dataDxfId="188"/>
    <tableColumn id="4" xr3:uid="{2A96FD82-C567-48C5-B5B2-D644C49B2DAC}" name="DIAS LABORADOS" dataDxfId="187"/>
    <tableColumn id="5" xr3:uid="{FE1698B6-9F9E-4728-93C9-08D0CD39F9D3}" name="Salario fijo" dataDxfId="186"/>
    <tableColumn id="6" xr3:uid="{E2578A5F-6911-4007-8752-D2E2A5EBE219}" name="Salario Variable" dataDxfId="185"/>
    <tableColumn id="7" xr3:uid="{B621B4D9-054B-4E24-8FB2-9E665D898C10}" name="FÓRMULA" dataDxfId="18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A60D6-1DA6-4D6D-A0F8-08354842C968}" name="Tabla10" displayName="Tabla10" ref="B34:C84" totalsRowShown="0" tableBorderDxfId="183">
  <autoFilter ref="B34:C84" xr:uid="{E54B7A16-ED5C-42CB-8A17-C55AC2CB6173}"/>
  <tableColumns count="2">
    <tableColumn id="1" xr3:uid="{1C3CFFF4-5861-467B-B592-F7685606A311}" name="CARGO" dataDxfId="182"/>
    <tableColumn id="2" xr3:uid="{5BE01113-99D9-4CDA-9D7C-DFD73D3B96DD}" name="SALARIO" dataDxfId="181" dataCellStyle="Moned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42BCFE-5B04-49BF-9AB8-EFE627424081}" name="Tabla8" displayName="Tabla8" ref="A2:I202" totalsRowShown="0">
  <autoFilter ref="A2:I202" xr:uid="{A0266DD7-5048-42DD-9633-54526F566922}"/>
  <tableColumns count="9">
    <tableColumn id="1" xr3:uid="{D2135DB9-B77B-49B5-96FA-1FCE581E0CEA}" name="CÉDULA" dataDxfId="180"/>
    <tableColumn id="2" xr3:uid="{7A4B57B8-8E62-46E1-B473-B5C1FCDDB102}" name="NOMBRE"/>
    <tableColumn id="3" xr3:uid="{9E397EE5-7B99-46AC-89DA-4066D1015DB1}" name="CARGO"/>
    <tableColumn id="4" xr3:uid="{8F467112-288B-4F5B-8385-EBE6E48D75C7}" name="SALARIO" dataDxfId="179" dataCellStyle="Moneda">
      <calculatedColumnFormula>IFERROR(VLOOKUP(Tabla8[[#This Row],[CARGO]],Tabla10[],2,FALSE),0)</calculatedColumnFormula>
    </tableColumn>
    <tableColumn id="5" xr3:uid="{CF197443-5E33-4980-81FB-3338AC1D513A}" name="FECHA DE INGRESO" dataDxfId="178"/>
    <tableColumn id="6" xr3:uid="{9ED5063D-93C2-46B4-891E-2F0155475BC6}" name="FECHA FIN CONTRATO" dataDxfId="177"/>
    <tableColumn id="7" xr3:uid="{4B316EAE-BCB6-406A-B926-8B191C58615C}" name="TIPO CONTRATO" dataDxfId="176"/>
    <tableColumn id="8" xr3:uid="{F419A0C2-312E-4042-ACA9-20C1D67A8C79}" name="FECHA RETIRO" dataDxfId="175"/>
    <tableColumn id="9" xr3:uid="{6B5CFE20-8400-4D78-8DB2-5B9824D0F6EA}" name="MOTIVO RETIRO"/>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4CE2A7-1863-4222-82D0-ADABA8F0E02F}" name="Tabla9" displayName="Tabla9" ref="B3:AF53" totalsRowShown="0" headerRowDxfId="174" dataDxfId="172" headerRowBorderDxfId="173" tableBorderDxfId="171" totalsRowBorderDxfId="170">
  <autoFilter ref="B3:AF53" xr:uid="{03C2BBA8-F3BF-45A3-8E95-0B63CC4252E3}"/>
  <tableColumns count="31">
    <tableColumn id="1" xr3:uid="{DC6AAA5F-0A1D-462A-8645-6A1CF9B11A69}" name="CEDULA" dataDxfId="169"/>
    <tableColumn id="2" xr3:uid="{725D1502-8B69-4A18-B22E-355DC366CE38}" name="NOMBRE" dataDxfId="168">
      <calculatedColumnFormula>IFERROR(VLOOKUP(Tabla9[[#This Row],[CEDULA]],Tabla8[],2,FALSE),0)</calculatedColumnFormula>
    </tableColumn>
    <tableColumn id="3" xr3:uid="{7AE25277-D6AF-445B-96CD-0A207984EDC5}" name="CARGO" dataDxfId="167">
      <calculatedColumnFormula>IFERROR(VLOOKUP(Tabla9[[#This Row],[CEDULA]],Tabla8[],3,FALSE),0)</calculatedColumnFormula>
    </tableColumn>
    <tableColumn id="4" xr3:uid="{6E000118-94E9-4D94-91B5-355427EDBAF2}" name="Salario" dataDxfId="166" dataCellStyle="Moneda">
      <calculatedColumnFormula>IFERROR(VLOOKUP(Tabla9[[#This Row],[CEDULA]],Tabla8[],4,FALSE),0)</calculatedColumnFormula>
    </tableColumn>
    <tableColumn id="5" xr3:uid="{C3E38EFD-EE46-4A34-A34A-017304793954}" name="Clase de salario" dataDxfId="165"/>
    <tableColumn id="23" xr3:uid="{D1CCF1D1-6610-48AF-9F9C-38BD5C32911E}" name="Incapacidad" dataDxfId="164"/>
    <tableColumn id="6" xr3:uid="{B49EC8FC-7DC1-462C-9390-2161AD59FBD0}" name="Dias trabajados" dataDxfId="163"/>
    <tableColumn id="25" xr3:uid="{A3E1BC3C-7820-4AA2-B088-3D24DA5C45F3}" name="PERMISO REMUNERADO" dataDxfId="162"/>
    <tableColumn id="30" xr3:uid="{E04F8308-0CEE-4D65-9CCC-CE2F5944F766}" name="PERMISO NO REMUNERADO" dataDxfId="161"/>
    <tableColumn id="31" xr3:uid="{D524F9F9-8E42-4044-B83A-622174E289E9}" name="SIN JUSTA CAUSA" dataDxfId="160"/>
    <tableColumn id="7" xr3:uid="{D5F5D905-44E7-4499-980B-A8E2B93BDC5A}" name="H.E. Diurna" dataDxfId="159"/>
    <tableColumn id="8" xr3:uid="{0264CA15-9AFF-4561-BD08-14ABD9BF6F90}" name="H.E. Diur. Dom/Fest" dataDxfId="158"/>
    <tableColumn id="9" xr3:uid="{6999793B-890D-48DD-A142-D91F2D677499}" name="H.E. Noct." dataDxfId="157"/>
    <tableColumn id="10" xr3:uid="{DDFF08E5-B1B2-4A2B-B224-431EC46F6E26}" name="H.E. Noct. Dom/Fest" dataDxfId="156"/>
    <tableColumn id="11" xr3:uid="{4204EE72-EB9D-4375-B469-109DDDCBEDFB}" name="Recargo Noct." dataDxfId="155"/>
    <tableColumn id="12" xr3:uid="{4E94DDEA-72CA-4CD3-A48A-27E2A03A2065}" name="Recargo Diurno Dom/Fest" dataDxfId="154"/>
    <tableColumn id="13" xr3:uid="{465FE5DB-E111-449A-87C6-56FCD2E789F3}" name="Recargo Nocturno Dom/Fest2" dataDxfId="153"/>
    <tableColumn id="14" xr3:uid="{024D4ED0-8713-4E3C-BD82-1FFE20E75F1E}" name="Comisiones (Valor de la venta)" dataDxfId="152"/>
    <tableColumn id="15" xr3:uid="{D63AE2D4-BD42-47F9-A1EB-0D162FDB267E}" name="Comisiones (Porcentaje de la Comision)" dataDxfId="151"/>
    <tableColumn id="16" xr3:uid="{92939697-771F-4A9F-8C20-9B60D8FF3B2B}" name="Bonificaciones" dataDxfId="150"/>
    <tableColumn id="17" xr3:uid="{231C5B74-733F-464B-8D0C-885C48A9EB8E}" name="Embargos Judiciales" dataDxfId="149"/>
    <tableColumn id="18" xr3:uid="{EF1C735F-7853-4387-BA53-F3D6B85D8A7B}" name="Libranzas" dataDxfId="148"/>
    <tableColumn id="19" xr3:uid="{0FF304A4-65BA-4879-BABA-43F47541BCA7}" name="Cooperativas" dataDxfId="147"/>
    <tableColumn id="20" xr3:uid="{7D127526-74A5-4EF5-889A-A89BFBC3683D}" name="Otros" dataDxfId="146"/>
    <tableColumn id="21" xr3:uid="{1056F000-1ACE-4A37-918F-AD403B4A43F2}" name="CLASE DE RIESGO" dataDxfId="145"/>
    <tableColumn id="22" xr3:uid="{BEDD2477-1D54-4D9B-A45A-46B3B2D85AED}" name="Clase de Riesgo ARL (%)" dataDxfId="144">
      <calculatedColumnFormula>IFERROR(VLOOKUP(Z4,Tabla2[],2,FALSE),)</calculatedColumnFormula>
    </tableColumn>
    <tableColumn id="24" xr3:uid="{A29BF477-964E-400D-A15B-53CD0B2170C0}" name="FECHA DE INGRESO" dataDxfId="143">
      <calculatedColumnFormula>IFERROR(VLOOKUP(Tabla9[[#This Row],[CEDULA]],Tabla8[],5,FALSE),0)</calculatedColumnFormula>
    </tableColumn>
    <tableColumn id="26" xr3:uid="{B33DF5C8-7EE1-4460-A58C-1422A7CDDDFA}" name="FECHA FIN DE CONTRATO" dataDxfId="142">
      <calculatedColumnFormula>IFERROR(VLOOKUP(Tabla9[[#This Row],[CEDULA]],Tabla8[],6,FALSE),0)</calculatedColumnFormula>
    </tableColumn>
    <tableColumn id="27" xr3:uid="{B76F5FE7-D17F-4CD4-99FB-F7E6702A23F7}" name="TIPO DE CONTRATO" dataDxfId="141">
      <calculatedColumnFormula>IFERROR(VLOOKUP(Tabla9[[#This Row],[CEDULA]],Tabla8[],7,FALSE),0)</calculatedColumnFormula>
    </tableColumn>
    <tableColumn id="28" xr3:uid="{7A9324E0-9C1C-499C-8905-3DA4E43D9D59}" name="FECHA DE RETIRO" dataDxfId="140">
      <calculatedColumnFormula>IFERROR(VLOOKUP(Tabla9[[#This Row],[CEDULA]],Tabla8[],8,FALSE),0)</calculatedColumnFormula>
    </tableColumn>
    <tableColumn id="29" xr3:uid="{BE922795-F32A-4F6F-8860-1A72741573FF}" name="MOTIVO DE RETIRO" dataDxfId="139">
      <calculatedColumnFormula>IFERROR(VLOOKUP(Tabla9[[#This Row],[CEDULA]],Tabla8[],9,FALSE),0)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4B5DBF-2286-47F0-9EA9-57D6803A448B}" name="Tabla7" displayName="Tabla7" ref="B9:AF59" totalsRowShown="0" headerRowDxfId="138" dataDxfId="137" tableBorderDxfId="136">
  <autoFilter ref="B9:AF59" xr:uid="{D928EE3E-64F1-40C4-9D7E-AE6B52C63BF9}"/>
  <tableColumns count="31">
    <tableColumn id="1" xr3:uid="{8E263A01-0F08-4CE9-8C05-007AB3ABAE3B}" name="CEDULA" dataDxfId="135">
      <calculatedColumnFormula>'NOVEDADES EMPLEADOS'!B4</calculatedColumnFormula>
    </tableColumn>
    <tableColumn id="2" xr3:uid="{517A8695-00A3-4A84-85A8-C97FCEFEB3A4}" name="NOMBRE" dataDxfId="134">
      <calculatedColumnFormula>'NOVEDADES EMPLEADOS'!C4</calculatedColumnFormula>
    </tableColumn>
    <tableColumn id="3" xr3:uid="{693586C7-EC34-473E-84F9-EC1203FDB535}" name="CARGO" dataDxfId="133"/>
    <tableColumn id="4" xr3:uid="{CDD85C57-244C-46C7-9965-A1AC31F1AF1B}" name="Salario Basico" dataDxfId="132">
      <calculatedColumnFormula>IFERROR(VLOOKUP(B10,'NOVEDADES EMPLEADOS'!$B$3:$E$53,4,FALSE),)</calculatedColumnFormula>
    </tableColumn>
    <tableColumn id="36" xr3:uid="{126F3CA2-49D4-45ED-8989-FC786EC9C779}" name="Incapacidad" dataDxfId="131">
      <calculatedColumnFormula>'NOVEDADES EMPLEADOS'!G4</calculatedColumnFormula>
    </tableColumn>
    <tableColumn id="5" xr3:uid="{24A9001E-1931-4B5E-89B0-5267A172C662}" name="Dias" dataDxfId="130">
      <calculatedColumnFormula>'NOVEDADES EMPLEADOS'!H4</calculatedColumnFormula>
    </tableColumn>
    <tableColumn id="6" xr3:uid="{3CF65386-3F1B-434B-BAD0-B1C86718F67B}" name="IBC" dataDxfId="129">
      <calculatedColumnFormula>Tabla7[[#This Row],[Sueldo]]+Tabla7[[#This Row],[Incapacidad2]]+Tabla7[[#This Row],[Total HE y Recargos]]+Tabla7[[#This Row],[Comisiones]]+Tabla7[[#This Row],[Bonificaciones]]</calculatedColumnFormula>
    </tableColumn>
    <tableColumn id="37" xr3:uid="{A60B0505-EDB6-4CC5-8BE6-169B07FBCAB5}" name="Incapacidad2" dataDxfId="128">
      <calculatedColumnFormula>IF((Tabla7[[#This Row],[Salario Basico]]/30)*66.66%&lt;DATOS!$C$10,DATOS!$C$10*Tabla7[[#This Row],[Incapacidad]],((Tabla7[[#This Row],[Salario Basico]]/30)*66.66%)*Tabla7[[#This Row],[Incapacidad]])</calculatedColumnFormula>
    </tableColumn>
    <tableColumn id="7" xr3:uid="{BEC6D83D-ED04-4CA1-B3D1-2E77C50757D9}" name="Sueldo" dataDxfId="127">
      <calculatedColumnFormula>IFERROR(E10/30*G10,0)</calculatedColumnFormula>
    </tableColumn>
    <tableColumn id="8" xr3:uid="{9C7DBDF7-8073-44A2-B5D2-70D1F2C32C4D}" name="Auxilio de Transporte" dataDxfId="126">
      <calculatedColumnFormula>(IF(AND(E10+T10&lt;=DATOS!$C$8,J10+T10&gt;0),DATOS!$C$7,0)/30)*(G10-'NOVEDADES EMPLEADOS'!I4)</calculatedColumnFormula>
    </tableColumn>
    <tableColumn id="9" xr3:uid="{E637807D-F8C2-474A-96DE-37BFD70587D3}" name="H.E.Diurna" dataDxfId="125">
      <calculatedColumnFormula>IFERROR(($E10/230)*'NOVEDADES EMPLEADOS'!L4,)*DATOS!$C$12</calculatedColumnFormula>
    </tableColumn>
    <tableColumn id="11" xr3:uid="{824C08B6-3CB6-4996-BB90-295596D557DC}" name="H.E. Diur. Dom/Fest" dataDxfId="124">
      <calculatedColumnFormula>IFERROR(($E10/230)*'NOVEDADES EMPLEADOS'!M4,)*DATOS!$C$13</calculatedColumnFormula>
    </tableColumn>
    <tableColumn id="13" xr3:uid="{0F641C90-6A48-4E98-BF90-22ED48A5C792}" name="H.E. Noct." dataDxfId="123">
      <calculatedColumnFormula>IFERROR(($E10/230)*'NOVEDADES EMPLEADOS'!N4,)*DATOS!$C$14</calculatedColumnFormula>
    </tableColumn>
    <tableColumn id="15" xr3:uid="{909E3A30-6BB9-4DFD-900B-2891AC239A8C}" name="H.E. Noct. Dom/Fest" dataDxfId="122">
      <calculatedColumnFormula>IFERROR(($E10/230)*'NOVEDADES EMPLEADOS'!O4,)*DATOS!$C$15</calculatedColumnFormula>
    </tableColumn>
    <tableColumn id="17" xr3:uid="{750CC5AA-98D6-48E6-9710-74F83B4CC636}" name="Recargo Noct." dataDxfId="121">
      <calculatedColumnFormula>IFERROR(($E10/230)*'NOVEDADES EMPLEADOS'!P4,)*DATOS!$C$16</calculatedColumnFormula>
    </tableColumn>
    <tableColumn id="19" xr3:uid="{860AE027-3F9B-4F7D-B749-2A4687E37105}" name="Recargo Noct. Dom/Fest" dataDxfId="120">
      <calculatedColumnFormula>IFERROR(($E10/230)*'NOVEDADES EMPLEADOS'!Q4,)*DATOS!$C$17</calculatedColumnFormula>
    </tableColumn>
    <tableColumn id="21" xr3:uid="{254FD076-8ACD-4723-8560-52241666D133}" name="Recargo Diurno Dom/Fest" dataDxfId="119">
      <calculatedColumnFormula>IFERROR(($E10/230)*'NOVEDADES EMPLEADOS'!R4,)*DATOS!$C$18</calculatedColumnFormula>
    </tableColumn>
    <tableColumn id="22" xr3:uid="{47266B09-3885-47C3-ADBD-2E4484EBB964}" name="Total HE y Recargos" dataDxfId="118">
      <calculatedColumnFormula>SUM(L10:R10)</calculatedColumnFormula>
    </tableColumn>
    <tableColumn id="23" xr3:uid="{7EF2274F-D36D-47DC-8249-A9B65BC16630}" name="Comisiones" dataDxfId="117">
      <calculatedColumnFormula>'NOVEDADES EMPLEADOS'!S4*'NOVEDADES EMPLEADOS'!T4</calculatedColumnFormula>
    </tableColumn>
    <tableColumn id="24" xr3:uid="{297B7055-C299-430B-9924-08311C4A292A}" name="Bonificaciones" dataDxfId="116">
      <calculatedColumnFormula>'NOVEDADES EMPLEADOS'!U4</calculatedColumnFormula>
    </tableColumn>
    <tableColumn id="25" xr3:uid="{AD578478-E96F-4AC7-950D-11F91C54D38E}" name="Total Devengado" dataDxfId="115">
      <calculatedColumnFormula>(H10+K10)</calculatedColumnFormula>
    </tableColumn>
    <tableColumn id="26" xr3:uid="{26BDF94A-B2FA-4156-BEB6-CC1BFF019E63}" name="Salud" dataDxfId="114">
      <calculatedColumnFormula>H10*DATOS!$F$6</calculatedColumnFormula>
    </tableColumn>
    <tableColumn id="27" xr3:uid="{7DFD14B3-74A8-48B0-A3C3-369EF37A60E8}" name="Pension" dataDxfId="113">
      <calculatedColumnFormula>H10*DATOS!$F$8</calculatedColumnFormula>
    </tableColumn>
    <tableColumn id="28" xr3:uid="{4C2B3F24-E28C-4CC5-BC83-DB8DE26F402C}" name="F.S.P." dataDxfId="112">
      <calculatedColumnFormula>IF(AND(E10&gt;=DATOS!$B$22,E10&lt;=DATOS!$B$23),NÓMINA!V10*DATOS!$C$22,IF(AND(E10&gt;=DATOS!$B$24,E10&lt;=DATOS!B25),NÓMINA!V10*DATOS!$C$24,IF(AND(E10&gt;=DATOS!$B$26,E10&lt;=DATOS!$B$27),NÓMINA!V10*DATOS!$C$27,IF(AND(E10&gt;=DATOS!$B$28,E10&lt;=DATOS!$B$29),NÓMINA!V10*DATOS!$C$29,IF(AND(E10&gt;=DATOS!$B$30,E10&lt;=DATOS!$B$31),NÓMINA!V10*DATOS!$C$31,IF(AND(E10&gt;=DATOS!$B$32),NÓMINA!V10*DATOS!$C$32,0))))))</calculatedColumnFormula>
    </tableColumn>
    <tableColumn id="29" xr3:uid="{9D38EB68-DD60-47AC-A599-A68ECCD0B6F9}" name="Retefuente" dataDxfId="111"/>
    <tableColumn id="30" xr3:uid="{A284C395-785D-4652-B34A-5B8DD99B6205}" name="Embargos Judiciales" dataDxfId="110">
      <calculatedColumnFormula>'NOVEDADES EMPLEADOS'!V4</calculatedColumnFormula>
    </tableColumn>
    <tableColumn id="31" xr3:uid="{9308BFE5-115C-4D49-A484-76CF1A6ACBF0}" name="Libranzas" dataDxfId="109">
      <calculatedColumnFormula>'NOVEDADES EMPLEADOS'!W4</calculatedColumnFormula>
    </tableColumn>
    <tableColumn id="32" xr3:uid="{8010B13A-E458-4DB2-9765-DD5893BCF868}" name="Cooperativas" dataDxfId="108">
      <calculatedColumnFormula>'NOVEDADES EMPLEADOS'!X4</calculatedColumnFormula>
    </tableColumn>
    <tableColumn id="33" xr3:uid="{5A5624E8-6AAD-40F2-B555-7BEC9A62C0A5}" name="Otros" dataDxfId="107">
      <calculatedColumnFormula>'NOVEDADES EMPLEADOS'!Y4</calculatedColumnFormula>
    </tableColumn>
    <tableColumn id="34" xr3:uid="{85D63202-590F-49A3-984D-DE1173506AA3}" name="Total Deducciones" dataDxfId="106">
      <calculatedColumnFormula>SUM(W10:AD10)</calculatedColumnFormula>
    </tableColumn>
    <tableColumn id="35" xr3:uid="{90A67632-623A-46F4-AE2B-579123597C26}" name="NETO A PAGAR" dataDxfId="105">
      <calculatedColumnFormula>V10-AE10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DE8A0F-187D-40AC-B964-FEBEBE3E5D41}" name="Tabla1" displayName="Tabla1" ref="C9:K59" totalsRowShown="0" headerRowDxfId="104" dataDxfId="102" headerRowBorderDxfId="103" tableBorderDxfId="101" totalsRowBorderDxfId="100">
  <autoFilter ref="C9:K59" xr:uid="{107ADEF0-9044-4591-9F87-FF09A1EC4862}"/>
  <tableColumns count="9">
    <tableColumn id="1" xr3:uid="{6C81EBC0-83AF-4E03-8A93-C79FE08416F6}" name="CEDULA" dataDxfId="99">
      <calculatedColumnFormula>'NOVEDADES EMPLEADOS'!B4</calculatedColumnFormula>
    </tableColumn>
    <tableColumn id="2" xr3:uid="{2B4F2F0B-EF80-4B84-8ED3-34DD7433D48E}" name="NOMBRE" dataDxfId="98">
      <calculatedColumnFormula>IFERROR(VLOOKUP(C10,'NOVEDADES EMPLEADOS'!$B$3:$H$53,2,FALSE),)</calculatedColumnFormula>
    </tableColumn>
    <tableColumn id="3" xr3:uid="{B542CC1D-0AEF-4703-89A7-D969A1E48762}" name="CARGO" dataDxfId="97">
      <calculatedColumnFormula>IFERROR(VLOOKUP(C10,'NOVEDADES EMPLEADOS'!$B$3:$H$53,3,0),)</calculatedColumnFormula>
    </tableColumn>
    <tableColumn id="4" xr3:uid="{8D1F76EA-077E-490B-86BF-1C75828E5606}" name="Salud" dataDxfId="96">
      <calculatedColumnFormula>NÓMINA!H10*DATOS!$F$7</calculatedColumnFormula>
    </tableColumn>
    <tableColumn id="5" xr3:uid="{2B5F4E34-28D2-4981-887B-DE0BEA8232D9}" name="Pension" dataDxfId="95">
      <calculatedColumnFormula>NÓMINA!H10*DATOS!$F$9</calculatedColumnFormula>
    </tableColumn>
    <tableColumn id="6" xr3:uid="{E66BCEB9-D381-4904-B576-36732EAA4E87}" name="ARL" dataDxfId="94">
      <calculatedColumnFormula>NÓMINA!H10*'NOVEDADES EMPLEADOS'!AA4</calculatedColumnFormula>
    </tableColumn>
    <tableColumn id="7" xr3:uid="{81A4BAF2-8CF4-41AD-8291-9DE9EF0642BC}" name="SENA" dataDxfId="93">
      <calculatedColumnFormula>IF(NÓMINA!H10&gt;=DATOS!$C$9,NÓMINA!H10*DATOS!$F$12,0)</calculatedColumnFormula>
    </tableColumn>
    <tableColumn id="8" xr3:uid="{395BA022-3F3A-4AAF-A569-6992A44EC67E}" name="ICBF" dataDxfId="92">
      <calculatedColumnFormula>IF(NÓMINA!H10&gt;=DATOS!$C$9,NÓMINA!H10*DATOS!$F$13,0)</calculatedColumnFormula>
    </tableColumn>
    <tableColumn id="9" xr3:uid="{5B40A299-570C-4D75-9F65-B1DB099A12C8}" name="Caja de Compenscion" dataDxfId="91">
      <calculatedColumnFormula>NÓMINA!H10*DATOS!$F$14</calculatedColumnFormula>
    </tableColumn>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57FD456-75BA-4858-8D91-48C9AF96F404}" name="Tabla11" displayName="Tabla11" ref="C10:H60" totalsRowShown="0" headerRowDxfId="90" dataDxfId="88" headerRowBorderDxfId="89" tableBorderDxfId="87" totalsRowBorderDxfId="86">
  <autoFilter ref="C10:H60" xr:uid="{ABEB4D90-F4F3-42A5-ABAA-E69DF9339D22}"/>
  <tableColumns count="6">
    <tableColumn id="1" xr3:uid="{D3522927-69C2-4D65-90B1-970E72F35826}" name="CEDULA" dataDxfId="85">
      <calculatedColumnFormula>'NOVEDADES EMPLEADOS'!B4</calculatedColumnFormula>
    </tableColumn>
    <tableColumn id="2" xr3:uid="{EDB03F62-3C1C-4B45-BEA1-753AEE64EBCD}" name="NOMBRE" dataDxfId="84">
      <calculatedColumnFormula>IFERROR(VLOOKUP(C11,'NOVEDADES EMPLEADOS'!$B$3:$H$53,2,0),)</calculatedColumnFormula>
    </tableColumn>
    <tableColumn id="3" xr3:uid="{0392C2EC-86CE-4B18-A018-8F124075BB3E}" name="Cesantias" dataDxfId="83">
      <calculatedColumnFormula>IF('NOVEDADES EMPLEADOS'!F4="BASICO",NÓMINA!H10*DATOS!$F$17,0)</calculatedColumnFormula>
    </tableColumn>
    <tableColumn id="4" xr3:uid="{38DFB387-990C-42D7-8146-54ED9BE13AF7}" name="Intereses sobre Cesantias" dataDxfId="82">
      <calculatedColumnFormula>IF('NOVEDADES EMPLEADOS'!F4="BASICO",NÓMINA!H10*DATOS!$F$18,0)</calculatedColumnFormula>
    </tableColumn>
    <tableColumn id="5" xr3:uid="{80CD8243-7C9B-4596-A77D-9FCC4BB3A41F}" name="Primas de Servicios" dataDxfId="81">
      <calculatedColumnFormula>IF('NOVEDADES EMPLEADOS'!F4="BASICO",NÓMINA!H10*DATOS!$F$19,0)</calculatedColumnFormula>
    </tableColumn>
    <tableColumn id="6" xr3:uid="{4BEE7749-DD1D-448C-B093-9E6A17E45400}" name="Vacaciones" dataDxfId="80">
      <calculatedColumnFormula>IF('NOVEDADES EMPLEADOS'!F4="BASICO",NÓMINA!H10*DATOS!$F$20,0)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018EDDA-D98A-4AFE-9662-D4759F9AFE82}" name="Tabla12" displayName="Tabla12" ref="A1:AQ51" totalsRowShown="0" headerRowDxfId="79" dataDxfId="78" dataCellStyle="Moneda">
  <autoFilter ref="A1:AQ51" xr:uid="{88C37854-3301-4C29-862D-12CAC1FB407C}"/>
  <tableColumns count="43">
    <tableColumn id="1" xr3:uid="{A28E7F01-350E-4C52-9A34-1CDCAA737694}" name="CEDULA" dataDxfId="77">
      <calculatedColumnFormula>NÓMINA!B10</calculatedColumnFormula>
    </tableColumn>
    <tableColumn id="2" xr3:uid="{D5F3A27B-9765-4612-9ED6-BFEF6F2135CB}" name="NOMBRE" dataDxfId="76">
      <calculatedColumnFormula>NÓMINA!C10</calculatedColumnFormula>
    </tableColumn>
    <tableColumn id="3" xr3:uid="{1555001C-89F7-414D-8D54-D098E85DEE43}" name="CARGO" dataDxfId="75">
      <calculatedColumnFormula>NÓMINA!D10</calculatedColumnFormula>
    </tableColumn>
    <tableColumn id="4" xr3:uid="{FAF6680F-4F16-46B8-8605-CB0B825685C1}" name="Salario Basico" dataDxfId="74" dataCellStyle="Moneda">
      <calculatedColumnFormula>NÓMINA!E10</calculatedColumnFormula>
    </tableColumn>
    <tableColumn id="5" xr3:uid="{B9F6FD36-FCDB-4FB0-9D11-D9E3CFA8D19A}" name="Incapacidad" dataDxfId="73">
      <calculatedColumnFormula>NÓMINA!F10</calculatedColumnFormula>
    </tableColumn>
    <tableColumn id="6" xr3:uid="{19DC19DE-9F59-4CCB-BC7A-61D8EF37B741}" name="Dias" dataDxfId="72">
      <calculatedColumnFormula>NÓMINA!G10</calculatedColumnFormula>
    </tableColumn>
    <tableColumn id="7" xr3:uid="{DE8BD178-26B8-403D-BCDC-A06FAC2243AB}" name="IBC" dataDxfId="71" dataCellStyle="Moneda">
      <calculatedColumnFormula>NÓMINA!H10</calculatedColumnFormula>
    </tableColumn>
    <tableColumn id="8" xr3:uid="{BF5AC43A-A578-449A-9712-7EDD0535F891}" name="Incapacidad2" dataDxfId="70" dataCellStyle="Moneda">
      <calculatedColumnFormula>NÓMINA!I10</calculatedColumnFormula>
    </tableColumn>
    <tableColumn id="9" xr3:uid="{0E6F95A6-04E3-44DB-918B-ED757E20908D}" name="Sueldo" dataDxfId="69" dataCellStyle="Moneda">
      <calculatedColumnFormula>NÓMINA!J10</calculatedColumnFormula>
    </tableColumn>
    <tableColumn id="10" xr3:uid="{59F73ACE-844B-4E40-8DD1-83F341299A67}" name="Auxilio de Transporte" dataDxfId="68" dataCellStyle="Moneda">
      <calculatedColumnFormula>NÓMINA!K10</calculatedColumnFormula>
    </tableColumn>
    <tableColumn id="11" xr3:uid="{A4C0E218-1D53-4D02-8666-512FBA2E8C8F}" name="H.E.Diurna" dataDxfId="67" dataCellStyle="Moneda">
      <calculatedColumnFormula>NÓMINA!L10</calculatedColumnFormula>
    </tableColumn>
    <tableColumn id="12" xr3:uid="{AE3DBE3C-64C2-43D7-B1B5-2E28A96513F2}" name="H.E. Diur. Dom/Fest" dataDxfId="66" dataCellStyle="Moneda">
      <calculatedColumnFormula>NÓMINA!M10</calculatedColumnFormula>
    </tableColumn>
    <tableColumn id="13" xr3:uid="{0D89B5B6-CFEA-42ED-B58F-12F26AA12711}" name="H.E. Noct." dataDxfId="65" dataCellStyle="Moneda">
      <calculatedColumnFormula>NÓMINA!N10</calculatedColumnFormula>
    </tableColumn>
    <tableColumn id="14" xr3:uid="{ED86A861-6B23-4A90-894A-109EE49C27B2}" name="H.E. Noct. Dom/Fest" dataDxfId="64" dataCellStyle="Moneda">
      <calculatedColumnFormula>NÓMINA!O10</calculatedColumnFormula>
    </tableColumn>
    <tableColumn id="15" xr3:uid="{1F6685DD-E186-4B3B-B411-FE6235E3B558}" name="Recargo Noct." dataDxfId="63" dataCellStyle="Moneda">
      <calculatedColumnFormula>NÓMINA!P10</calculatedColumnFormula>
    </tableColumn>
    <tableColumn id="16" xr3:uid="{C41AACC6-35CE-46CC-B758-858E5CC2AC2D}" name="Recargo Noct. Dom/Fest" dataDxfId="62" dataCellStyle="Moneda">
      <calculatedColumnFormula>NÓMINA!Q10</calculatedColumnFormula>
    </tableColumn>
    <tableColumn id="17" xr3:uid="{793B5A2F-A703-4C9B-8D5B-9BAAF075A5B0}" name="Recargo Diurno Dom/Fest" dataDxfId="61" dataCellStyle="Moneda">
      <calculatedColumnFormula>NÓMINA!R10</calculatedColumnFormula>
    </tableColumn>
    <tableColumn id="18" xr3:uid="{9997C0D1-666F-406A-9CC2-686189ED36C3}" name="Total HE y Recargos" dataDxfId="60" dataCellStyle="Moneda">
      <calculatedColumnFormula>NÓMINA!S10</calculatedColumnFormula>
    </tableColumn>
    <tableColumn id="19" xr3:uid="{860B60C7-2FF9-45A3-AE0A-73D4F1013ABE}" name="Comisiones" dataDxfId="59" dataCellStyle="Moneda">
      <calculatedColumnFormula>NÓMINA!T10</calculatedColumnFormula>
    </tableColumn>
    <tableColumn id="20" xr3:uid="{46971336-FD65-43AF-8BF9-EDCC73EDB50A}" name="Bonificaciones" dataDxfId="58" dataCellStyle="Moneda">
      <calculatedColumnFormula>NÓMINA!U10</calculatedColumnFormula>
    </tableColumn>
    <tableColumn id="21" xr3:uid="{82CB43DC-AB30-4A2F-A1E8-9A363EF6B4F0}" name="Total Devengado" dataDxfId="57" dataCellStyle="Moneda">
      <calculatedColumnFormula>NÓMINA!V10</calculatedColumnFormula>
    </tableColumn>
    <tableColumn id="22" xr3:uid="{8536563A-18D6-44F7-B020-8E886FC08A66}" name="Salud" dataDxfId="56" dataCellStyle="Moneda">
      <calculatedColumnFormula>NÓMINA!W10</calculatedColumnFormula>
    </tableColumn>
    <tableColumn id="23" xr3:uid="{772B0A20-682C-4307-A181-44BF9B72A033}" name="Pension" dataDxfId="55" dataCellStyle="Moneda">
      <calculatedColumnFormula>NÓMINA!X10</calculatedColumnFormula>
    </tableColumn>
    <tableColumn id="24" xr3:uid="{5C538C4F-A233-499C-BEA4-403B1A94CE0D}" name="F.S.P." dataDxfId="54" dataCellStyle="Moneda">
      <calculatedColumnFormula>NÓMINA!Y10</calculatedColumnFormula>
    </tableColumn>
    <tableColumn id="25" xr3:uid="{5DD2FF1E-D2BD-4B2F-A99E-21530855B346}" name="Retefuente" dataDxfId="53" dataCellStyle="Moneda">
      <calculatedColumnFormula>NÓMINA!Z10</calculatedColumnFormula>
    </tableColumn>
    <tableColumn id="26" xr3:uid="{E91108A4-8351-42A0-94B4-D659E8A56F3C}" name="Embargos Judiciales" dataDxfId="52" dataCellStyle="Moneda">
      <calculatedColumnFormula>NÓMINA!AA10</calculatedColumnFormula>
    </tableColumn>
    <tableColumn id="27" xr3:uid="{F89ACA64-44CA-4E60-96BB-57EBE6E60ABB}" name="Libranzas" dataDxfId="51" dataCellStyle="Moneda">
      <calculatedColumnFormula>NÓMINA!AB10</calculatedColumnFormula>
    </tableColumn>
    <tableColumn id="28" xr3:uid="{9897288A-3584-4F2C-9A7F-D7661E720CB0}" name="Cooperativas" dataDxfId="50" dataCellStyle="Moneda">
      <calculatedColumnFormula>NÓMINA!AC10</calculatedColumnFormula>
    </tableColumn>
    <tableColumn id="29" xr3:uid="{EFF0BD08-EDC6-4932-88F7-CDE6B09204B8}" name="Otros" dataDxfId="49" dataCellStyle="Moneda">
      <calculatedColumnFormula>NÓMINA!AD10</calculatedColumnFormula>
    </tableColumn>
    <tableColumn id="30" xr3:uid="{D0A8D7F0-CFC9-4BD5-8FB5-E77F75758A70}" name="Total Deducciones" dataDxfId="48" dataCellStyle="Moneda">
      <calculatedColumnFormula>NÓMINA!AE10</calculatedColumnFormula>
    </tableColumn>
    <tableColumn id="31" xr3:uid="{30ABE893-A583-42EB-9D84-D7B6FC9580D2}" name="NETO A PAGAR" dataDxfId="47" dataCellStyle="Moneda">
      <calculatedColumnFormula>NÓMINA!AF10</calculatedColumnFormula>
    </tableColumn>
    <tableColumn id="32" xr3:uid="{9A588255-E14C-4FCA-8119-A5A7211190F8}" name="Parafiscales Salud" dataDxfId="46" dataCellStyle="Moneda">
      <calculatedColumnFormula>PARAFISCALES!F10</calculatedColumnFormula>
    </tableColumn>
    <tableColumn id="33" xr3:uid="{A23F7557-8C90-4C89-B4DE-1B4F6AA1B33F}" name="Parafiscales Pension" dataDxfId="45" dataCellStyle="Moneda">
      <calculatedColumnFormula>PARAFISCALES!G10</calculatedColumnFormula>
    </tableColumn>
    <tableColumn id="34" xr3:uid="{67F5BA16-CDDA-4D53-8BE4-B3EBD96C20DC}" name="Parafiscales ARL" dataDxfId="44" dataCellStyle="Moneda">
      <calculatedColumnFormula>PARAFISCALES!H10</calculatedColumnFormula>
    </tableColumn>
    <tableColumn id="35" xr3:uid="{EB0D1FBA-6570-4B55-BB87-89941A367498}" name="ParafiscalesSENA" dataDxfId="43" dataCellStyle="Moneda">
      <calculatedColumnFormula>PARAFISCALES!I10</calculatedColumnFormula>
    </tableColumn>
    <tableColumn id="36" xr3:uid="{1CE6CF30-9F86-4E3B-8C5B-D62D679AD9A6}" name="Parafiscales ICBF" dataDxfId="42" dataCellStyle="Moneda">
      <calculatedColumnFormula>PARAFISCALES!J10</calculatedColumnFormula>
    </tableColumn>
    <tableColumn id="42" xr3:uid="{E65F1F39-3920-493F-9E3C-D7C37A0EB059}" name="TOTAL PARAFISCALES" dataDxfId="41" dataCellStyle="Moneda">
      <calculatedColumnFormula>SUM(Tabla12[[#This Row],[Parafiscales Salud]:[Parafiscales ICBF]])</calculatedColumnFormula>
    </tableColumn>
    <tableColumn id="37" xr3:uid="{A4D7DDEB-454A-4881-A9AD-0216F589039F}" name="Parafiscales Caja de Compenscion" dataDxfId="40" dataCellStyle="Moneda">
      <calculatedColumnFormula>PARAFISCALES!K10</calculatedColumnFormula>
    </tableColumn>
    <tableColumn id="38" xr3:uid="{9BD037D0-8AE5-42A9-8FEE-88FCE529B510}" name="Provisiones Cesantias" dataDxfId="39" dataCellStyle="Moneda">
      <calculatedColumnFormula>PROVISIONES!E11</calculatedColumnFormula>
    </tableColumn>
    <tableColumn id="39" xr3:uid="{8CAE181D-C6CA-4332-9D64-CECE24EA7765}" name="Provisiones Intereses sobre Cesantias" dataDxfId="38" dataCellStyle="Moneda">
      <calculatedColumnFormula>PROVISIONES!F11</calculatedColumnFormula>
    </tableColumn>
    <tableColumn id="40" xr3:uid="{FE053E5B-9D90-4446-AE23-F47F33CD5B20}" name="Provisiones Primas de Servicios" dataDxfId="37" dataCellStyle="Moneda">
      <calculatedColumnFormula>PROVISIONES!G11</calculatedColumnFormula>
    </tableColumn>
    <tableColumn id="41" xr3:uid="{820C3273-F5E8-473B-BF89-EAE370F1E2D2}" name="Provisiones Vacaciones" dataDxfId="36" dataCellStyle="Moneda">
      <calculatedColumnFormula>PROVISIONES!H11</calculatedColumnFormula>
    </tableColumn>
    <tableColumn id="43" xr3:uid="{1199E579-54FF-4192-9121-CEC864002732}" name="TOTAL SUMA PROVISIONES" dataDxfId="35" dataCellStyle="Moneda">
      <calculatedColumnFormula>SUM(Tabla12[[#This Row],[Provisiones Cesantias]:[Provisiones Vacaciones]])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comments" Target="../comments1.xml"/><Relationship Id="rId4" Type="http://schemas.openxmlformats.org/officeDocument/2006/relationships/table" Target="../tables/table1.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1.x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EB9ED-E90E-4C62-A9D1-37DF2AEBAC3E}">
  <sheetPr codeName="Hoja2">
    <tabColor rgb="FF39A900"/>
  </sheetPr>
  <dimension ref="A1:AE67"/>
  <sheetViews>
    <sheetView zoomScale="55" zoomScaleNormal="55" workbookViewId="0">
      <selection activeCell="W24" sqref="W24"/>
    </sheetView>
  </sheetViews>
  <sheetFormatPr baseColWidth="10" defaultColWidth="0" defaultRowHeight="14.4" zeroHeight="1"/>
  <cols>
    <col min="1" max="5" width="11.44140625" style="154" customWidth="1"/>
    <col min="6" max="6" width="22.33203125" style="154" customWidth="1"/>
    <col min="7" max="7" width="15.44140625" style="154" customWidth="1"/>
    <col min="8" max="12" width="11.44140625" style="154" customWidth="1"/>
    <col min="13" max="13" width="27.44140625" style="154" customWidth="1"/>
    <col min="14" max="14" width="16.6640625" style="154" bestFit="1" customWidth="1"/>
    <col min="15" max="31" width="11.44140625" style="154" customWidth="1"/>
    <col min="32" max="16384" width="11.44140625" style="154" hidden="1"/>
  </cols>
  <sheetData>
    <row r="1" spans="1:29" ht="15" customHeight="1">
      <c r="A1" s="298" t="s">
        <v>208</v>
      </c>
      <c r="B1" s="298"/>
      <c r="C1" s="298"/>
      <c r="D1" s="298"/>
      <c r="E1" s="298"/>
      <c r="F1" s="298"/>
      <c r="G1" s="298"/>
      <c r="H1" s="298"/>
      <c r="I1" s="298"/>
      <c r="J1" s="298"/>
      <c r="K1" s="298"/>
      <c r="L1" s="298"/>
      <c r="M1" s="298"/>
      <c r="N1" s="298"/>
      <c r="O1" s="298"/>
      <c r="P1" s="298"/>
      <c r="Q1" s="298"/>
      <c r="R1" s="298"/>
      <c r="S1" s="298"/>
      <c r="T1" s="298"/>
      <c r="U1" s="298"/>
      <c r="V1" s="298"/>
      <c r="W1" s="298"/>
      <c r="X1" s="298"/>
      <c r="Y1" s="298"/>
      <c r="Z1" s="298"/>
      <c r="AA1" s="298"/>
      <c r="AB1" s="298"/>
      <c r="AC1" s="298"/>
    </row>
    <row r="2" spans="1:29" ht="15" customHeight="1">
      <c r="A2" s="298"/>
      <c r="B2" s="298"/>
      <c r="C2" s="298"/>
      <c r="D2" s="298"/>
      <c r="E2" s="298"/>
      <c r="F2" s="298"/>
      <c r="G2" s="298"/>
      <c r="H2" s="298"/>
      <c r="I2" s="298"/>
      <c r="J2" s="298"/>
      <c r="K2" s="298"/>
      <c r="L2" s="298"/>
      <c r="M2" s="298"/>
      <c r="N2" s="298"/>
      <c r="O2" s="298"/>
      <c r="P2" s="298"/>
      <c r="Q2" s="298"/>
      <c r="R2" s="298"/>
      <c r="S2" s="298"/>
      <c r="T2" s="298"/>
      <c r="U2" s="298"/>
      <c r="V2" s="298"/>
      <c r="W2" s="298"/>
      <c r="X2" s="298"/>
      <c r="Y2" s="298"/>
      <c r="Z2" s="298"/>
      <c r="AA2" s="298"/>
      <c r="AB2" s="298"/>
      <c r="AC2" s="298"/>
    </row>
    <row r="3" spans="1:29" ht="15" customHeight="1">
      <c r="A3" s="298"/>
      <c r="B3" s="298"/>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row>
    <row r="4" spans="1:29" ht="37.5" customHeight="1">
      <c r="A4" s="298"/>
      <c r="B4" s="298"/>
      <c r="C4" s="298"/>
      <c r="D4" s="298"/>
      <c r="E4" s="298"/>
      <c r="F4" s="298"/>
      <c r="G4" s="298"/>
      <c r="H4" s="298"/>
      <c r="I4" s="298"/>
      <c r="J4" s="298"/>
      <c r="K4" s="298"/>
      <c r="L4" s="298"/>
      <c r="M4" s="298"/>
      <c r="N4" s="298"/>
      <c r="O4" s="298"/>
      <c r="P4" s="298"/>
      <c r="Q4" s="298"/>
      <c r="R4" s="298"/>
      <c r="S4" s="298"/>
      <c r="T4" s="298"/>
      <c r="U4" s="298"/>
      <c r="V4" s="298"/>
      <c r="W4" s="298"/>
      <c r="X4" s="298"/>
      <c r="Y4" s="298"/>
      <c r="Z4" s="298"/>
      <c r="AA4" s="298"/>
      <c r="AB4" s="298"/>
      <c r="AC4" s="298"/>
    </row>
    <row r="5" spans="1:29"/>
    <row r="6" spans="1:29"/>
    <row r="7" spans="1:29"/>
    <row r="8" spans="1:29"/>
    <row r="9" spans="1:29"/>
    <row r="10" spans="1:29"/>
    <row r="11" spans="1:29"/>
    <row r="12" spans="1:29"/>
    <row r="13" spans="1:29"/>
    <row r="14" spans="1:29"/>
    <row r="15" spans="1:29"/>
    <row r="16" spans="1:29"/>
    <row r="17" spans="6:10"/>
    <row r="18" spans="6:10"/>
    <row r="19" spans="6:10"/>
    <row r="20" spans="6:10"/>
    <row r="21" spans="6:10"/>
    <row r="22" spans="6:10"/>
    <row r="23" spans="6:10"/>
    <row r="24" spans="6:10"/>
    <row r="25" spans="6:10"/>
    <row r="26" spans="6:10"/>
    <row r="27" spans="6:10"/>
    <row r="28" spans="6:10"/>
    <row r="29" spans="6:10" ht="28.8">
      <c r="F29" s="155"/>
      <c r="G29" s="155"/>
      <c r="H29" s="155"/>
      <c r="I29" s="156"/>
      <c r="J29" s="156"/>
    </row>
    <row r="30" spans="6:10" ht="28.8">
      <c r="F30" s="155"/>
      <c r="G30" s="155"/>
      <c r="H30" s="155"/>
      <c r="I30" s="156"/>
      <c r="J30" s="156"/>
    </row>
    <row r="31" spans="6:10" ht="28.8">
      <c r="F31" s="155"/>
      <c r="G31" s="155"/>
      <c r="H31" s="155"/>
      <c r="I31" s="156"/>
      <c r="J31" s="156"/>
    </row>
    <row r="32" spans="6:10" ht="31.2">
      <c r="F32" s="157"/>
      <c r="G32" s="158"/>
      <c r="H32" s="158"/>
      <c r="I32" s="158"/>
      <c r="J32" s="158"/>
    </row>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sheetData>
  <mergeCells count="1">
    <mergeCell ref="A1:AC4"/>
  </mergeCells>
  <pageMargins left="0.7" right="0.7" top="0.75" bottom="0.75" header="0.3" footer="0.3"/>
  <pageSetup orientation="portrait" horizontalDpi="4294967292"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4F3B0-217D-492B-8443-651D3DEB41DF}">
  <sheetPr codeName="Hoja3">
    <tabColor rgb="FFFF0000"/>
  </sheetPr>
  <dimension ref="A1:J26"/>
  <sheetViews>
    <sheetView topLeftCell="A7" zoomScale="170" zoomScaleNormal="170" workbookViewId="0">
      <selection activeCell="J21" sqref="J21"/>
    </sheetView>
  </sheetViews>
  <sheetFormatPr baseColWidth="10" defaultColWidth="11.44140625" defaultRowHeight="15.6"/>
  <cols>
    <col min="1" max="7" width="11.44140625" style="264"/>
    <col min="8" max="8" width="1.88671875" style="264" customWidth="1"/>
    <col min="9" max="16384" width="11.44140625" style="264"/>
  </cols>
  <sheetData>
    <row r="1" spans="1:10">
      <c r="A1" s="265" t="s">
        <v>273</v>
      </c>
    </row>
    <row r="2" spans="1:10" ht="99.9" customHeight="1">
      <c r="A2" s="299" t="s">
        <v>275</v>
      </c>
      <c r="B2" s="299"/>
      <c r="C2" s="299"/>
      <c r="D2" s="299"/>
      <c r="E2" s="299"/>
      <c r="F2" s="299"/>
      <c r="G2" s="299"/>
      <c r="H2" s="299"/>
    </row>
    <row r="12" spans="1:10">
      <c r="A12" s="300" t="s">
        <v>276</v>
      </c>
      <c r="B12" s="300"/>
      <c r="C12" s="300"/>
      <c r="D12" s="300"/>
      <c r="E12" s="300"/>
      <c r="F12" s="300"/>
      <c r="G12" s="300"/>
    </row>
    <row r="13" spans="1:10" ht="15.9" customHeight="1">
      <c r="A13" s="300"/>
      <c r="B13" s="300"/>
      <c r="C13" s="300"/>
      <c r="D13" s="300"/>
      <c r="E13" s="300"/>
      <c r="F13" s="300"/>
      <c r="G13" s="300"/>
      <c r="H13" s="267"/>
      <c r="I13" s="267"/>
      <c r="J13" s="267"/>
    </row>
    <row r="20" spans="1:7">
      <c r="A20" s="265" t="s">
        <v>277</v>
      </c>
    </row>
    <row r="21" spans="1:7" ht="104.1" customHeight="1">
      <c r="A21" s="299" t="s">
        <v>311</v>
      </c>
      <c r="B21" s="299"/>
      <c r="C21" s="299"/>
      <c r="D21" s="299"/>
      <c r="E21" s="299"/>
      <c r="F21" s="299"/>
      <c r="G21" s="299"/>
    </row>
    <row r="25" spans="1:7">
      <c r="A25" s="265" t="s">
        <v>278</v>
      </c>
    </row>
    <row r="26" spans="1:7">
      <c r="A26" s="299" t="s">
        <v>279</v>
      </c>
      <c r="B26" s="299"/>
      <c r="C26" s="299"/>
      <c r="D26" s="299"/>
      <c r="E26" s="299"/>
      <c r="F26" s="299"/>
      <c r="G26" s="299"/>
    </row>
  </sheetData>
  <mergeCells count="4">
    <mergeCell ref="A2:H2"/>
    <mergeCell ref="A12:G13"/>
    <mergeCell ref="A21:G21"/>
    <mergeCell ref="A26:G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9C63-8DEA-406D-B8CE-33DAC2AB1BBB}">
  <sheetPr codeName="Hoja4">
    <tabColor rgb="FF002060"/>
  </sheetPr>
  <dimension ref="B1:K84"/>
  <sheetViews>
    <sheetView showGridLines="0" topLeftCell="B1" zoomScale="160" zoomScaleNormal="160" workbookViewId="0">
      <selection activeCell="C38" sqref="C38"/>
    </sheetView>
  </sheetViews>
  <sheetFormatPr baseColWidth="10" defaultColWidth="11.44140625" defaultRowHeight="14.4"/>
  <cols>
    <col min="2" max="2" width="33.88671875" customWidth="1"/>
    <col min="3" max="3" width="17.109375" customWidth="1"/>
    <col min="4" max="4" width="5.88671875" customWidth="1"/>
    <col min="5" max="5" width="28.33203125" customWidth="1"/>
    <col min="6" max="6" width="22.109375" customWidth="1"/>
    <col min="7" max="7" width="11.33203125" customWidth="1"/>
    <col min="8" max="8" width="11" customWidth="1"/>
    <col min="11" max="11" width="36.88671875" customWidth="1"/>
  </cols>
  <sheetData>
    <row r="1" spans="2:11">
      <c r="B1" s="301" t="s">
        <v>0</v>
      </c>
      <c r="C1" s="301"/>
      <c r="E1" s="301" t="s">
        <v>1</v>
      </c>
      <c r="F1" s="301"/>
    </row>
    <row r="2" spans="2:11">
      <c r="B2" s="9" t="s">
        <v>2</v>
      </c>
      <c r="C2" s="13" t="s">
        <v>312</v>
      </c>
      <c r="E2" s="11" t="s">
        <v>3</v>
      </c>
      <c r="F2" s="6">
        <v>45536</v>
      </c>
    </row>
    <row r="3" spans="2:11">
      <c r="B3" s="9" t="s">
        <v>4</v>
      </c>
      <c r="C3" s="14">
        <v>1035851332</v>
      </c>
      <c r="E3" s="11" t="s">
        <v>5</v>
      </c>
      <c r="F3" s="6">
        <v>45565</v>
      </c>
    </row>
    <row r="4" spans="2:11" s="1" customFormat="1" ht="12">
      <c r="B4" s="51" t="s">
        <v>6</v>
      </c>
      <c r="C4" s="50" t="s">
        <v>7</v>
      </c>
      <c r="E4" s="113"/>
      <c r="F4" s="113"/>
    </row>
    <row r="5" spans="2:11" s="1" customFormat="1" ht="14.25" customHeight="1">
      <c r="B5" s="3" t="s">
        <v>8</v>
      </c>
      <c r="C5" s="10">
        <v>16900000</v>
      </c>
      <c r="E5" s="41" t="s">
        <v>9</v>
      </c>
      <c r="F5" s="26" t="s">
        <v>7</v>
      </c>
    </row>
    <row r="6" spans="2:11" s="1" customFormat="1" ht="11.4">
      <c r="B6" s="3" t="s">
        <v>10</v>
      </c>
      <c r="C6" s="10">
        <v>1300000</v>
      </c>
      <c r="E6" s="35" t="s">
        <v>11</v>
      </c>
      <c r="F6" s="45">
        <v>0.04</v>
      </c>
    </row>
    <row r="7" spans="2:11" s="1" customFormat="1" ht="11.4">
      <c r="B7" s="3" t="s">
        <v>12</v>
      </c>
      <c r="C7" s="10">
        <v>162000</v>
      </c>
      <c r="E7" s="35" t="s">
        <v>13</v>
      </c>
      <c r="F7" s="47">
        <v>8.5000000000000006E-2</v>
      </c>
    </row>
    <row r="8" spans="2:11" s="1" customFormat="1" ht="11.4">
      <c r="B8" s="3" t="s">
        <v>14</v>
      </c>
      <c r="C8" s="10">
        <f>+C6*2</f>
        <v>2600000</v>
      </c>
      <c r="E8" s="35" t="s">
        <v>15</v>
      </c>
      <c r="F8" s="45">
        <v>0.04</v>
      </c>
    </row>
    <row r="9" spans="2:11" s="1" customFormat="1" ht="11.4">
      <c r="B9" s="3" t="s">
        <v>16</v>
      </c>
      <c r="C9" s="10">
        <f>C6*10</f>
        <v>13000000</v>
      </c>
      <c r="E9" s="37" t="s">
        <v>17</v>
      </c>
      <c r="F9" s="46">
        <v>0.12</v>
      </c>
    </row>
    <row r="10" spans="2:11" s="1" customFormat="1" ht="11.4">
      <c r="B10" s="3" t="s">
        <v>18</v>
      </c>
      <c r="C10" s="10">
        <f>C6/30</f>
        <v>43333.333333333336</v>
      </c>
      <c r="E10" s="113"/>
      <c r="F10" s="113"/>
    </row>
    <row r="11" spans="2:11" s="1" customFormat="1" ht="31.5" customHeight="1">
      <c r="B11" s="41" t="s">
        <v>19</v>
      </c>
      <c r="C11" s="26" t="s">
        <v>7</v>
      </c>
      <c r="E11" s="44" t="s">
        <v>20</v>
      </c>
      <c r="F11" s="26" t="s">
        <v>7</v>
      </c>
    </row>
    <row r="12" spans="2:11" s="1" customFormat="1" ht="11.4">
      <c r="B12" s="35" t="s">
        <v>21</v>
      </c>
      <c r="C12" s="42">
        <v>1.25</v>
      </c>
      <c r="E12" s="35" t="s">
        <v>22</v>
      </c>
      <c r="F12" s="45">
        <v>0.02</v>
      </c>
    </row>
    <row r="13" spans="2:11" s="1" customFormat="1" ht="11.4">
      <c r="B13" s="35" t="s">
        <v>23</v>
      </c>
      <c r="C13" s="42">
        <v>2</v>
      </c>
      <c r="E13" s="35" t="s">
        <v>24</v>
      </c>
      <c r="F13" s="45">
        <v>0.03</v>
      </c>
    </row>
    <row r="14" spans="2:11" s="1" customFormat="1" ht="11.4">
      <c r="B14" s="35" t="s">
        <v>25</v>
      </c>
      <c r="C14" s="42">
        <v>1.75</v>
      </c>
      <c r="E14" s="37" t="s">
        <v>26</v>
      </c>
      <c r="F14" s="46">
        <v>0.04</v>
      </c>
    </row>
    <row r="15" spans="2:11" s="1" customFormat="1" ht="11.4">
      <c r="B15" s="35" t="s">
        <v>27</v>
      </c>
      <c r="C15" s="42">
        <v>2.5</v>
      </c>
      <c r="E15" s="113"/>
      <c r="F15" s="113"/>
    </row>
    <row r="16" spans="2:11" s="1" customFormat="1" ht="30.6">
      <c r="B16" s="35" t="s">
        <v>28</v>
      </c>
      <c r="C16" s="42">
        <v>0.35</v>
      </c>
      <c r="E16" s="44" t="s">
        <v>29</v>
      </c>
      <c r="F16" s="26" t="s">
        <v>30</v>
      </c>
      <c r="G16" s="114" t="s">
        <v>31</v>
      </c>
      <c r="H16" s="114" t="s">
        <v>32</v>
      </c>
      <c r="I16" s="116" t="s">
        <v>33</v>
      </c>
      <c r="J16" s="116" t="s">
        <v>34</v>
      </c>
      <c r="K16" s="116" t="s">
        <v>35</v>
      </c>
    </row>
    <row r="17" spans="2:11" s="1" customFormat="1" ht="11.4">
      <c r="B17" s="35" t="s">
        <v>36</v>
      </c>
      <c r="C17" s="42">
        <v>1.1000000000000001</v>
      </c>
      <c r="E17" s="35" t="s">
        <v>37</v>
      </c>
      <c r="F17" s="47">
        <v>8.3299999999999999E-2</v>
      </c>
      <c r="G17" s="115">
        <v>30</v>
      </c>
      <c r="H17" s="83">
        <v>360</v>
      </c>
      <c r="I17" s="117" t="s">
        <v>38</v>
      </c>
      <c r="J17" s="117" t="s">
        <v>38</v>
      </c>
      <c r="K17" s="86" t="s">
        <v>39</v>
      </c>
    </row>
    <row r="18" spans="2:11" s="1" customFormat="1" ht="11.4">
      <c r="B18" s="37" t="s">
        <v>40</v>
      </c>
      <c r="C18" s="43">
        <v>0.75</v>
      </c>
      <c r="E18" s="35" t="s">
        <v>41</v>
      </c>
      <c r="F18" s="45">
        <v>0.01</v>
      </c>
      <c r="G18" s="115"/>
      <c r="H18" s="83"/>
      <c r="I18" s="118"/>
      <c r="J18" s="118"/>
      <c r="K18" s="86" t="s">
        <v>42</v>
      </c>
    </row>
    <row r="19" spans="2:11" s="1" customFormat="1" ht="11.4">
      <c r="B19" s="113"/>
      <c r="C19" s="113"/>
      <c r="E19" s="35" t="s">
        <v>43</v>
      </c>
      <c r="F19" s="47">
        <v>8.3299999999999999E-2</v>
      </c>
      <c r="G19" s="115">
        <v>30</v>
      </c>
      <c r="H19" s="83">
        <v>180</v>
      </c>
      <c r="I19" s="118"/>
      <c r="J19" s="118"/>
      <c r="K19" s="86" t="s">
        <v>44</v>
      </c>
    </row>
    <row r="20" spans="2:11" s="1" customFormat="1" ht="11.4">
      <c r="B20" s="113"/>
      <c r="C20" s="113"/>
      <c r="E20" s="37" t="s">
        <v>45</v>
      </c>
      <c r="F20" s="48">
        <v>4.1700000000000001E-2</v>
      </c>
      <c r="G20" s="115">
        <v>15</v>
      </c>
      <c r="H20" s="83">
        <v>360</v>
      </c>
      <c r="I20" s="118" t="s">
        <v>38</v>
      </c>
      <c r="J20" s="118" t="s">
        <v>38</v>
      </c>
      <c r="K20" s="86" t="s">
        <v>46</v>
      </c>
    </row>
    <row r="21" spans="2:11" s="1" customFormat="1" ht="24" customHeight="1">
      <c r="B21" s="302" t="s">
        <v>47</v>
      </c>
      <c r="C21" s="302"/>
      <c r="E21" s="34" t="s">
        <v>48</v>
      </c>
      <c r="F21" s="33" t="s">
        <v>49</v>
      </c>
    </row>
    <row r="22" spans="2:11" s="1" customFormat="1" ht="11.4">
      <c r="B22" s="10">
        <v>5200001</v>
      </c>
      <c r="C22" s="12">
        <v>0.01</v>
      </c>
      <c r="E22" s="35" t="s">
        <v>50</v>
      </c>
      <c r="F22" s="36">
        <v>5.2199999999999998E-3</v>
      </c>
    </row>
    <row r="23" spans="2:11" s="1" customFormat="1" ht="11.4">
      <c r="B23" s="10">
        <v>20800000</v>
      </c>
      <c r="C23" s="12">
        <v>0.01</v>
      </c>
      <c r="E23" s="35" t="s">
        <v>51</v>
      </c>
      <c r="F23" s="36">
        <v>1.044E-2</v>
      </c>
    </row>
    <row r="24" spans="2:11" s="1" customFormat="1" ht="11.4">
      <c r="B24" s="10">
        <f>($C$6*16)+1</f>
        <v>20800001</v>
      </c>
      <c r="C24" s="12">
        <v>1.2E-2</v>
      </c>
      <c r="E24" s="35" t="s">
        <v>52</v>
      </c>
      <c r="F24" s="36">
        <v>2.436E-2</v>
      </c>
    </row>
    <row r="25" spans="2:11" s="1" customFormat="1" ht="11.4">
      <c r="B25" s="10">
        <f>($C$6*17)</f>
        <v>22100000</v>
      </c>
      <c r="C25" s="12">
        <v>1.2E-2</v>
      </c>
      <c r="E25" s="35" t="s">
        <v>53</v>
      </c>
      <c r="F25" s="36">
        <v>4.3499999999999997E-2</v>
      </c>
    </row>
    <row r="26" spans="2:11" s="1" customFormat="1" ht="11.4">
      <c r="B26" s="10">
        <f>($C$6*17)+1</f>
        <v>22100001</v>
      </c>
      <c r="C26" s="12">
        <v>1.4E-2</v>
      </c>
      <c r="E26" s="37" t="s">
        <v>54</v>
      </c>
      <c r="F26" s="38">
        <v>6.9599999999999995E-2</v>
      </c>
    </row>
    <row r="27" spans="2:11" s="1" customFormat="1" ht="12" thickBot="1">
      <c r="B27" s="10">
        <f>$C$6*18</f>
        <v>23400000</v>
      </c>
      <c r="C27" s="12">
        <v>1.4E-2</v>
      </c>
      <c r="E27" s="113"/>
      <c r="F27" s="113"/>
    </row>
    <row r="28" spans="2:11" s="1" customFormat="1" ht="11.4">
      <c r="B28" s="10">
        <f>($C$6*18)+1</f>
        <v>23400001</v>
      </c>
      <c r="C28" s="12">
        <v>1.6E-2</v>
      </c>
      <c r="E28" s="124" t="s">
        <v>55</v>
      </c>
      <c r="F28" s="124" t="s">
        <v>56</v>
      </c>
    </row>
    <row r="29" spans="2:11" s="1" customFormat="1" ht="11.4">
      <c r="B29" s="10">
        <f>$C$6*19</f>
        <v>24700000</v>
      </c>
      <c r="C29" s="12">
        <v>1.6E-2</v>
      </c>
      <c r="E29" s="125" t="s">
        <v>57</v>
      </c>
      <c r="F29" s="125" t="s">
        <v>58</v>
      </c>
    </row>
    <row r="30" spans="2:11" s="1" customFormat="1" ht="11.4">
      <c r="B30" s="10">
        <f>($C$6*19)+1</f>
        <v>24700001</v>
      </c>
      <c r="C30" s="12">
        <v>1.7999999999999999E-2</v>
      </c>
      <c r="E30" s="125" t="s">
        <v>59</v>
      </c>
      <c r="F30" s="125" t="s">
        <v>60</v>
      </c>
    </row>
    <row r="31" spans="2:11" s="1" customFormat="1" ht="11.4">
      <c r="B31" s="10">
        <f>$C$6*20</f>
        <v>26000000</v>
      </c>
      <c r="C31" s="12">
        <v>1.7999999999999999E-2</v>
      </c>
      <c r="E31" s="125" t="s">
        <v>61</v>
      </c>
      <c r="F31" s="125" t="s">
        <v>62</v>
      </c>
    </row>
    <row r="32" spans="2:11" s="1" customFormat="1" ht="11.4">
      <c r="B32" s="10">
        <f>($C$6*20)+1</f>
        <v>26000001</v>
      </c>
      <c r="C32" s="12">
        <v>0.02</v>
      </c>
      <c r="E32" s="125" t="s">
        <v>63</v>
      </c>
      <c r="F32" s="125" t="s">
        <v>64</v>
      </c>
    </row>
    <row r="33" spans="2:6" s="1" customFormat="1" ht="12.6" thickBot="1">
      <c r="B33" s="303" t="s">
        <v>65</v>
      </c>
      <c r="C33" s="303"/>
      <c r="E33" s="126"/>
      <c r="F33" s="126" t="s">
        <v>66</v>
      </c>
    </row>
    <row r="34" spans="2:6">
      <c r="B34" s="162" t="s">
        <v>67</v>
      </c>
      <c r="C34" s="163" t="s">
        <v>68</v>
      </c>
    </row>
    <row r="35" spans="2:6">
      <c r="B35" s="159" t="s">
        <v>181</v>
      </c>
      <c r="C35" s="160">
        <v>1300000</v>
      </c>
    </row>
    <row r="36" spans="2:6">
      <c r="B36" s="159" t="s">
        <v>75</v>
      </c>
      <c r="C36" s="161">
        <v>1500000</v>
      </c>
    </row>
    <row r="37" spans="2:6">
      <c r="B37" s="159" t="s">
        <v>182</v>
      </c>
      <c r="C37" s="161">
        <v>1300000</v>
      </c>
    </row>
    <row r="38" spans="2:6">
      <c r="B38" s="159" t="s">
        <v>79</v>
      </c>
      <c r="C38" s="161">
        <v>1420000</v>
      </c>
    </row>
    <row r="39" spans="2:6">
      <c r="B39" s="159" t="s">
        <v>76</v>
      </c>
      <c r="C39" s="161">
        <v>1600000</v>
      </c>
    </row>
    <row r="40" spans="2:6">
      <c r="B40" s="159" t="s">
        <v>81</v>
      </c>
      <c r="C40" s="32">
        <v>1850000</v>
      </c>
    </row>
    <row r="41" spans="2:6">
      <c r="B41" s="159" t="s">
        <v>183</v>
      </c>
      <c r="C41" s="160">
        <v>2000000</v>
      </c>
    </row>
    <row r="42" spans="2:6">
      <c r="B42" s="159" t="s">
        <v>71</v>
      </c>
      <c r="C42" s="160">
        <v>1715000</v>
      </c>
    </row>
    <row r="43" spans="2:6">
      <c r="B43" s="159" t="s">
        <v>69</v>
      </c>
      <c r="C43" s="161">
        <v>1800000</v>
      </c>
    </row>
    <row r="44" spans="2:6">
      <c r="B44" s="159" t="s">
        <v>184</v>
      </c>
      <c r="C44" s="32">
        <v>2300000</v>
      </c>
    </row>
    <row r="45" spans="2:6">
      <c r="B45" s="159" t="s">
        <v>185</v>
      </c>
      <c r="C45" s="32">
        <v>2700000</v>
      </c>
    </row>
    <row r="46" spans="2:6">
      <c r="B46" s="159" t="s">
        <v>186</v>
      </c>
      <c r="C46" s="160">
        <v>15000000</v>
      </c>
    </row>
    <row r="47" spans="2:6">
      <c r="B47" s="159" t="s">
        <v>187</v>
      </c>
      <c r="C47" s="32">
        <v>1900000</v>
      </c>
    </row>
    <row r="48" spans="2:6">
      <c r="B48" s="159" t="s">
        <v>72</v>
      </c>
      <c r="C48" s="32">
        <v>3000000</v>
      </c>
    </row>
    <row r="49" spans="2:3">
      <c r="B49" s="159" t="s">
        <v>77</v>
      </c>
      <c r="C49" s="161">
        <v>1450000</v>
      </c>
    </row>
    <row r="50" spans="2:3">
      <c r="B50" s="159" t="s">
        <v>188</v>
      </c>
      <c r="C50" s="160">
        <v>1550000</v>
      </c>
    </row>
    <row r="51" spans="2:3">
      <c r="B51" s="159" t="s">
        <v>189</v>
      </c>
      <c r="C51" s="32">
        <v>1490000</v>
      </c>
    </row>
    <row r="52" spans="2:3">
      <c r="B52" s="159" t="s">
        <v>190</v>
      </c>
      <c r="C52" s="32">
        <v>1800000</v>
      </c>
    </row>
    <row r="53" spans="2:3">
      <c r="B53" s="159" t="s">
        <v>191</v>
      </c>
      <c r="C53" s="161">
        <v>1395000</v>
      </c>
    </row>
    <row r="54" spans="2:3">
      <c r="B54" s="159" t="s">
        <v>192</v>
      </c>
      <c r="C54" s="161">
        <v>1400000</v>
      </c>
    </row>
    <row r="55" spans="2:3">
      <c r="B55" s="159" t="s">
        <v>74</v>
      </c>
      <c r="C55" s="161">
        <v>2400000</v>
      </c>
    </row>
    <row r="56" spans="2:3">
      <c r="B56" s="159" t="s">
        <v>193</v>
      </c>
      <c r="C56" s="161">
        <v>1500000</v>
      </c>
    </row>
    <row r="57" spans="2:3">
      <c r="B57" s="159" t="s">
        <v>194</v>
      </c>
      <c r="C57" s="32">
        <v>1500000</v>
      </c>
    </row>
    <row r="58" spans="2:3">
      <c r="B58" s="159" t="s">
        <v>195</v>
      </c>
      <c r="C58" s="161">
        <v>2300000</v>
      </c>
    </row>
    <row r="59" spans="2:3">
      <c r="B59" s="159" t="s">
        <v>70</v>
      </c>
      <c r="C59" s="32">
        <v>1450000</v>
      </c>
    </row>
    <row r="60" spans="2:3">
      <c r="B60" s="159" t="s">
        <v>73</v>
      </c>
      <c r="C60" s="32">
        <v>2450000</v>
      </c>
    </row>
    <row r="61" spans="2:3">
      <c r="B61" s="159" t="s">
        <v>196</v>
      </c>
      <c r="C61" s="32">
        <v>1415000</v>
      </c>
    </row>
    <row r="62" spans="2:3">
      <c r="B62" s="159" t="s">
        <v>197</v>
      </c>
      <c r="C62" s="32">
        <v>1360000</v>
      </c>
    </row>
    <row r="63" spans="2:3">
      <c r="B63" s="159" t="s">
        <v>198</v>
      </c>
      <c r="C63" s="32">
        <v>1800000</v>
      </c>
    </row>
    <row r="64" spans="2:3">
      <c r="B64" s="159" t="s">
        <v>199</v>
      </c>
      <c r="C64" s="32">
        <v>1400000</v>
      </c>
    </row>
    <row r="65" spans="2:3">
      <c r="B65" s="159" t="s">
        <v>80</v>
      </c>
      <c r="C65" s="32">
        <v>1690000</v>
      </c>
    </row>
    <row r="66" spans="2:3">
      <c r="B66" s="159" t="s">
        <v>78</v>
      </c>
      <c r="C66" s="32">
        <v>1430000</v>
      </c>
    </row>
    <row r="67" spans="2:3">
      <c r="B67" s="159" t="s">
        <v>200</v>
      </c>
      <c r="C67" s="32">
        <v>1320000</v>
      </c>
    </row>
    <row r="68" spans="2:3">
      <c r="B68" s="159" t="s">
        <v>82</v>
      </c>
      <c r="C68" s="32">
        <v>1500000</v>
      </c>
    </row>
    <row r="69" spans="2:3">
      <c r="B69" s="159" t="s">
        <v>201</v>
      </c>
      <c r="C69" s="32">
        <v>1385000</v>
      </c>
    </row>
    <row r="70" spans="2:3">
      <c r="B70" s="159" t="s">
        <v>202</v>
      </c>
      <c r="C70" s="32">
        <v>1405000</v>
      </c>
    </row>
    <row r="71" spans="2:3">
      <c r="B71" s="159" t="s">
        <v>203</v>
      </c>
      <c r="C71" s="32">
        <v>1400000</v>
      </c>
    </row>
    <row r="72" spans="2:3">
      <c r="B72" s="159" t="s">
        <v>204</v>
      </c>
      <c r="C72" s="32">
        <v>1460000</v>
      </c>
    </row>
    <row r="73" spans="2:3">
      <c r="B73" s="159" t="s">
        <v>205</v>
      </c>
      <c r="C73" s="32">
        <v>2400000</v>
      </c>
    </row>
    <row r="74" spans="2:3">
      <c r="B74" s="159" t="s">
        <v>206</v>
      </c>
      <c r="C74" s="32">
        <v>1560000</v>
      </c>
    </row>
    <row r="75" spans="2:3">
      <c r="B75" s="159"/>
      <c r="C75" s="32"/>
    </row>
    <row r="76" spans="2:3">
      <c r="B76" s="159"/>
      <c r="C76" s="32"/>
    </row>
    <row r="77" spans="2:3">
      <c r="B77" s="159"/>
      <c r="C77" s="32"/>
    </row>
    <row r="78" spans="2:3">
      <c r="B78" s="159"/>
      <c r="C78" s="32"/>
    </row>
    <row r="79" spans="2:3">
      <c r="B79" s="159"/>
      <c r="C79" s="32"/>
    </row>
    <row r="80" spans="2:3">
      <c r="B80" s="159"/>
      <c r="C80" s="32"/>
    </row>
    <row r="81" spans="2:3">
      <c r="B81" s="159"/>
      <c r="C81" s="32"/>
    </row>
    <row r="82" spans="2:3">
      <c r="B82" s="159"/>
      <c r="C82" s="32"/>
    </row>
    <row r="83" spans="2:3">
      <c r="B83" s="159"/>
      <c r="C83" s="161"/>
    </row>
    <row r="84" spans="2:3">
      <c r="B84" s="159"/>
      <c r="C84" s="32"/>
    </row>
  </sheetData>
  <mergeCells count="4">
    <mergeCell ref="B1:C1"/>
    <mergeCell ref="E1:F1"/>
    <mergeCell ref="B21:C21"/>
    <mergeCell ref="B33:C33"/>
  </mergeCells>
  <pageMargins left="0.7" right="0.7" top="0.75" bottom="0.75" header="0.3" footer="0.3"/>
  <pageSetup orientation="portrait" horizontalDpi="4294967292" verticalDpi="0" r:id="rId1"/>
  <drawing r:id="rId2"/>
  <legacyDrawing r:id="rId3"/>
  <tableParts count="6">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C64BF-4B3E-47D7-9C3A-8820DF8679F8}">
  <sheetPr codeName="Hoja5">
    <tabColor rgb="FF00304D"/>
  </sheetPr>
  <dimension ref="A1:J203"/>
  <sheetViews>
    <sheetView showGridLines="0" tabSelected="1" zoomScale="90" zoomScaleNormal="90" workbookViewId="0">
      <selection activeCell="B3" sqref="B3"/>
    </sheetView>
  </sheetViews>
  <sheetFormatPr baseColWidth="10" defaultColWidth="0" defaultRowHeight="14.4" zeroHeight="1"/>
  <cols>
    <col min="1" max="1" width="9.44140625" style="63" customWidth="1"/>
    <col min="2" max="2" width="36.33203125" customWidth="1"/>
    <col min="3" max="3" width="31.88671875" customWidth="1"/>
    <col min="4" max="4" width="16.6640625" style="164" customWidth="1"/>
    <col min="5" max="5" width="23.6640625" style="166" customWidth="1"/>
    <col min="6" max="6" width="24.33203125" style="166" customWidth="1"/>
    <col min="7" max="7" width="26.44140625" style="166" customWidth="1"/>
    <col min="8" max="8" width="20.44140625" style="166" customWidth="1"/>
    <col min="9" max="9" width="20.88671875" customWidth="1"/>
    <col min="10" max="10" width="11.44140625" customWidth="1"/>
    <col min="11" max="16384" width="11.44140625" hidden="1"/>
  </cols>
  <sheetData>
    <row r="1" spans="1:9" ht="68.25" customHeight="1">
      <c r="B1" s="266" t="s">
        <v>274</v>
      </c>
    </row>
    <row r="2" spans="1:9">
      <c r="A2" s="63" t="s">
        <v>136</v>
      </c>
      <c r="B2" s="63" t="s">
        <v>85</v>
      </c>
      <c r="C2" s="63" t="s">
        <v>67</v>
      </c>
      <c r="D2" s="165" t="s">
        <v>68</v>
      </c>
      <c r="E2" s="167" t="s">
        <v>106</v>
      </c>
      <c r="F2" s="167" t="s">
        <v>209</v>
      </c>
      <c r="G2" s="167" t="s">
        <v>210</v>
      </c>
      <c r="H2" s="167" t="s">
        <v>211</v>
      </c>
      <c r="I2" s="63" t="s">
        <v>212</v>
      </c>
    </row>
    <row r="3" spans="1:9">
      <c r="A3" s="63">
        <v>1</v>
      </c>
      <c r="B3" t="s">
        <v>320</v>
      </c>
      <c r="C3" t="s">
        <v>181</v>
      </c>
      <c r="D3" s="164">
        <f>IFERROR(VLOOKUP(Tabla8[[#This Row],[CARGO]],Tabla10[],2,FALSE),0)</f>
        <v>1300000</v>
      </c>
      <c r="E3" s="166">
        <v>45293</v>
      </c>
      <c r="F3" s="166">
        <v>45473</v>
      </c>
      <c r="G3" s="166" t="s">
        <v>57</v>
      </c>
      <c r="H3" s="166">
        <v>45427</v>
      </c>
      <c r="I3" t="s">
        <v>60</v>
      </c>
    </row>
    <row r="4" spans="1:9">
      <c r="A4" s="63">
        <v>2</v>
      </c>
      <c r="B4" t="s">
        <v>313</v>
      </c>
      <c r="C4" t="s">
        <v>81</v>
      </c>
      <c r="D4" s="164">
        <f>IFERROR(VLOOKUP(Tabla8[[#This Row],[CARGO]],Tabla10[],2,FALSE),0)</f>
        <v>1850000</v>
      </c>
      <c r="E4" s="166">
        <v>45294</v>
      </c>
      <c r="F4" s="166">
        <v>45474</v>
      </c>
      <c r="G4" s="166" t="s">
        <v>57</v>
      </c>
      <c r="H4" s="166">
        <v>45442</v>
      </c>
      <c r="I4" t="s">
        <v>58</v>
      </c>
    </row>
    <row r="5" spans="1:9">
      <c r="A5" s="63">
        <v>3</v>
      </c>
      <c r="B5" t="s">
        <v>314</v>
      </c>
      <c r="C5" t="s">
        <v>76</v>
      </c>
      <c r="D5" s="164">
        <f>IFERROR(VLOOKUP(Tabla8[[#This Row],[CARGO]],Tabla10[],2,FALSE),0)</f>
        <v>1600000</v>
      </c>
      <c r="E5" s="166">
        <v>45293</v>
      </c>
      <c r="F5" s="166">
        <v>45473</v>
      </c>
      <c r="G5" s="166" t="s">
        <v>57</v>
      </c>
    </row>
    <row r="6" spans="1:9">
      <c r="A6" s="63">
        <v>4</v>
      </c>
      <c r="B6" t="s">
        <v>315</v>
      </c>
      <c r="C6" t="s">
        <v>181</v>
      </c>
      <c r="D6" s="164">
        <f>IFERROR(VLOOKUP(Tabla8[[#This Row],[CARGO]],Tabla10[],2,FALSE),0)</f>
        <v>1300000</v>
      </c>
      <c r="E6" s="166">
        <v>45293</v>
      </c>
      <c r="F6" s="166">
        <v>45473</v>
      </c>
      <c r="G6" s="166" t="s">
        <v>57</v>
      </c>
    </row>
    <row r="7" spans="1:9">
      <c r="A7" s="63">
        <v>5</v>
      </c>
      <c r="B7" t="s">
        <v>316</v>
      </c>
      <c r="C7" t="s">
        <v>181</v>
      </c>
      <c r="D7" s="164">
        <f>IFERROR(VLOOKUP(Tabla8[[#This Row],[CARGO]],Tabla10[],2,FALSE),0)</f>
        <v>1300000</v>
      </c>
      <c r="E7" s="166">
        <v>45293</v>
      </c>
      <c r="F7" s="166">
        <v>45473</v>
      </c>
      <c r="G7" s="166" t="s">
        <v>57</v>
      </c>
    </row>
    <row r="8" spans="1:9">
      <c r="A8" s="63">
        <v>6</v>
      </c>
      <c r="B8" t="s">
        <v>317</v>
      </c>
      <c r="C8" t="s">
        <v>181</v>
      </c>
      <c r="D8" s="164">
        <f>IFERROR(VLOOKUP(Tabla8[[#This Row],[CARGO]],Tabla10[],2,FALSE),0)</f>
        <v>1300000</v>
      </c>
      <c r="E8" s="166">
        <v>45293</v>
      </c>
      <c r="F8" s="166">
        <v>45473</v>
      </c>
      <c r="G8" s="166" t="s">
        <v>57</v>
      </c>
    </row>
    <row r="9" spans="1:9">
      <c r="A9" s="63">
        <v>7</v>
      </c>
      <c r="B9" t="s">
        <v>318</v>
      </c>
      <c r="C9" t="s">
        <v>183</v>
      </c>
      <c r="D9" s="164">
        <f>IFERROR(VLOOKUP(Tabla8[[#This Row],[CARGO]],Tabla10[],2,FALSE),0)</f>
        <v>2000000</v>
      </c>
      <c r="E9" s="166">
        <v>45293</v>
      </c>
      <c r="F9" s="166">
        <v>45473</v>
      </c>
      <c r="G9" s="166" t="s">
        <v>57</v>
      </c>
    </row>
    <row r="10" spans="1:9">
      <c r="A10" s="63">
        <v>8</v>
      </c>
      <c r="B10" t="s">
        <v>319</v>
      </c>
      <c r="C10" t="s">
        <v>204</v>
      </c>
      <c r="D10" s="164">
        <f>IFERROR(VLOOKUP(Tabla8[[#This Row],[CARGO]],Tabla10[],2,FALSE),0)</f>
        <v>1460000</v>
      </c>
      <c r="E10" s="166">
        <v>45293</v>
      </c>
      <c r="F10" s="166">
        <v>45473</v>
      </c>
      <c r="G10" s="166" t="s">
        <v>57</v>
      </c>
    </row>
    <row r="11" spans="1:9">
      <c r="A11" s="63">
        <v>9</v>
      </c>
      <c r="B11" t="s">
        <v>280</v>
      </c>
      <c r="C11" t="s">
        <v>200</v>
      </c>
      <c r="D11" s="164">
        <f>IFERROR(VLOOKUP(Tabla8[[#This Row],[CARGO]],Tabla10[],2,FALSE),0)</f>
        <v>1320000</v>
      </c>
      <c r="E11" s="166">
        <v>45293</v>
      </c>
      <c r="F11" s="166">
        <v>45473</v>
      </c>
      <c r="G11" s="166" t="s">
        <v>57</v>
      </c>
    </row>
    <row r="12" spans="1:9">
      <c r="A12" s="63">
        <v>10</v>
      </c>
      <c r="B12" t="s">
        <v>281</v>
      </c>
      <c r="C12" t="s">
        <v>182</v>
      </c>
      <c r="D12" s="164">
        <f>IFERROR(VLOOKUP(Tabla8[[#This Row],[CARGO]],Tabla10[],2,FALSE),0)</f>
        <v>1300000</v>
      </c>
      <c r="E12" s="166">
        <v>45293</v>
      </c>
      <c r="F12" s="166">
        <v>45473</v>
      </c>
      <c r="G12" s="166" t="s">
        <v>57</v>
      </c>
    </row>
    <row r="13" spans="1:9">
      <c r="A13" s="63">
        <v>11</v>
      </c>
      <c r="D13" s="164">
        <f>IFERROR(VLOOKUP(Tabla8[[#This Row],[CARGO]],Tabla10[],2,FALSE),0)</f>
        <v>0</v>
      </c>
    </row>
    <row r="14" spans="1:9">
      <c r="A14" s="63">
        <v>12</v>
      </c>
      <c r="D14" s="164">
        <f>IFERROR(VLOOKUP(Tabla8[[#This Row],[CARGO]],Tabla10[],2,FALSE),0)</f>
        <v>0</v>
      </c>
    </row>
    <row r="15" spans="1:9">
      <c r="A15" s="63">
        <v>13</v>
      </c>
      <c r="D15" s="164">
        <f>IFERROR(VLOOKUP(Tabla8[[#This Row],[CARGO]],Tabla10[],2,FALSE),0)</f>
        <v>0</v>
      </c>
    </row>
    <row r="16" spans="1:9">
      <c r="A16" s="63">
        <v>14</v>
      </c>
      <c r="D16" s="164">
        <f>IFERROR(VLOOKUP(Tabla8[[#This Row],[CARGO]],Tabla10[],2,FALSE),0)</f>
        <v>0</v>
      </c>
    </row>
    <row r="17" spans="1:4">
      <c r="A17" s="63">
        <v>15</v>
      </c>
      <c r="D17" s="164">
        <f>IFERROR(VLOOKUP(Tabla8[[#This Row],[CARGO]],Tabla10[],2,FALSE),0)</f>
        <v>0</v>
      </c>
    </row>
    <row r="18" spans="1:4">
      <c r="A18" s="63">
        <v>16</v>
      </c>
      <c r="D18" s="164">
        <f>IFERROR(VLOOKUP(Tabla8[[#This Row],[CARGO]],Tabla10[],2,FALSE),0)</f>
        <v>0</v>
      </c>
    </row>
    <row r="19" spans="1:4">
      <c r="A19" s="63">
        <v>17</v>
      </c>
      <c r="D19" s="164">
        <f>IFERROR(VLOOKUP(Tabla8[[#This Row],[CARGO]],Tabla10[],2,FALSE),0)</f>
        <v>0</v>
      </c>
    </row>
    <row r="20" spans="1:4">
      <c r="A20" s="63">
        <v>18</v>
      </c>
      <c r="D20" s="164">
        <f>IFERROR(VLOOKUP(Tabla8[[#This Row],[CARGO]],Tabla10[],2,FALSE),0)</f>
        <v>0</v>
      </c>
    </row>
    <row r="21" spans="1:4">
      <c r="A21" s="63">
        <v>19</v>
      </c>
      <c r="D21" s="164">
        <f>IFERROR(VLOOKUP(Tabla8[[#This Row],[CARGO]],Tabla10[],2,FALSE),0)</f>
        <v>0</v>
      </c>
    </row>
    <row r="22" spans="1:4">
      <c r="A22" s="63">
        <v>20</v>
      </c>
      <c r="D22" s="164">
        <f>IFERROR(VLOOKUP(Tabla8[[#This Row],[CARGO]],Tabla10[],2,FALSE),0)</f>
        <v>0</v>
      </c>
    </row>
    <row r="23" spans="1:4">
      <c r="A23" s="63">
        <v>21</v>
      </c>
      <c r="D23" s="164">
        <f>IFERROR(VLOOKUP(Tabla8[[#This Row],[CARGO]],Tabla10[],2,FALSE),0)</f>
        <v>0</v>
      </c>
    </row>
    <row r="24" spans="1:4">
      <c r="A24" s="63">
        <v>22</v>
      </c>
      <c r="D24" s="164">
        <f>IFERROR(VLOOKUP(Tabla8[[#This Row],[CARGO]],Tabla10[],2,FALSE),0)</f>
        <v>0</v>
      </c>
    </row>
    <row r="25" spans="1:4">
      <c r="A25" s="63">
        <v>23</v>
      </c>
      <c r="D25" s="164">
        <f>IFERROR(VLOOKUP(Tabla8[[#This Row],[CARGO]],Tabla10[],2,FALSE),0)</f>
        <v>0</v>
      </c>
    </row>
    <row r="26" spans="1:4">
      <c r="A26" s="63">
        <v>24</v>
      </c>
      <c r="D26" s="164">
        <f>IFERROR(VLOOKUP(Tabla8[[#This Row],[CARGO]],Tabla10[],2,FALSE),0)</f>
        <v>0</v>
      </c>
    </row>
    <row r="27" spans="1:4">
      <c r="A27" s="63">
        <v>25</v>
      </c>
      <c r="D27" s="164">
        <f>IFERROR(VLOOKUP(Tabla8[[#This Row],[CARGO]],Tabla10[],2,FALSE),0)</f>
        <v>0</v>
      </c>
    </row>
    <row r="28" spans="1:4">
      <c r="A28" s="63">
        <v>26</v>
      </c>
      <c r="D28" s="164">
        <f>IFERROR(VLOOKUP(Tabla8[[#This Row],[CARGO]],Tabla10[],2,FALSE),0)</f>
        <v>0</v>
      </c>
    </row>
    <row r="29" spans="1:4">
      <c r="A29" s="63">
        <v>27</v>
      </c>
      <c r="D29" s="164">
        <f>IFERROR(VLOOKUP(Tabla8[[#This Row],[CARGO]],Tabla10[],2,FALSE),0)</f>
        <v>0</v>
      </c>
    </row>
    <row r="30" spans="1:4">
      <c r="A30" s="63">
        <v>28</v>
      </c>
      <c r="D30" s="164">
        <f>IFERROR(VLOOKUP(Tabla8[[#This Row],[CARGO]],Tabla10[],2,FALSE),0)</f>
        <v>0</v>
      </c>
    </row>
    <row r="31" spans="1:4">
      <c r="A31" s="63">
        <v>29</v>
      </c>
      <c r="D31" s="164">
        <f>IFERROR(VLOOKUP(Tabla8[[#This Row],[CARGO]],Tabla10[],2,FALSE),0)</f>
        <v>0</v>
      </c>
    </row>
    <row r="32" spans="1:4">
      <c r="A32" s="63">
        <v>30</v>
      </c>
      <c r="D32" s="164">
        <f>IFERROR(VLOOKUP(Tabla8[[#This Row],[CARGO]],Tabla10[],2,FALSE),0)</f>
        <v>0</v>
      </c>
    </row>
    <row r="33" spans="1:4">
      <c r="A33" s="63">
        <v>31</v>
      </c>
      <c r="D33" s="164">
        <f>IFERROR(VLOOKUP(Tabla8[[#This Row],[CARGO]],Tabla10[],2,FALSE),0)</f>
        <v>0</v>
      </c>
    </row>
    <row r="34" spans="1:4">
      <c r="A34" s="63">
        <v>32</v>
      </c>
      <c r="D34" s="164">
        <f>IFERROR(VLOOKUP(Tabla8[[#This Row],[CARGO]],Tabla10[],2,FALSE),0)</f>
        <v>0</v>
      </c>
    </row>
    <row r="35" spans="1:4">
      <c r="A35" s="63">
        <v>33</v>
      </c>
      <c r="D35" s="164">
        <f>IFERROR(VLOOKUP(Tabla8[[#This Row],[CARGO]],Tabla10[],2,FALSE),0)</f>
        <v>0</v>
      </c>
    </row>
    <row r="36" spans="1:4">
      <c r="A36" s="63">
        <v>34</v>
      </c>
      <c r="D36" s="164">
        <f>IFERROR(VLOOKUP(Tabla8[[#This Row],[CARGO]],Tabla10[],2,FALSE),0)</f>
        <v>0</v>
      </c>
    </row>
    <row r="37" spans="1:4">
      <c r="A37" s="63">
        <v>35</v>
      </c>
      <c r="D37" s="164">
        <f>IFERROR(VLOOKUP(Tabla8[[#This Row],[CARGO]],Tabla10[],2,FALSE),0)</f>
        <v>0</v>
      </c>
    </row>
    <row r="38" spans="1:4">
      <c r="A38" s="63">
        <v>36</v>
      </c>
      <c r="D38" s="164">
        <f>IFERROR(VLOOKUP(Tabla8[[#This Row],[CARGO]],Tabla10[],2,FALSE),0)</f>
        <v>0</v>
      </c>
    </row>
    <row r="39" spans="1:4">
      <c r="A39" s="63">
        <v>37</v>
      </c>
      <c r="D39" s="164">
        <f>IFERROR(VLOOKUP(Tabla8[[#This Row],[CARGO]],Tabla10[],2,FALSE),0)</f>
        <v>0</v>
      </c>
    </row>
    <row r="40" spans="1:4">
      <c r="A40" s="63">
        <v>38</v>
      </c>
      <c r="D40" s="164">
        <f>IFERROR(VLOOKUP(Tabla8[[#This Row],[CARGO]],Tabla10[],2,FALSE),0)</f>
        <v>0</v>
      </c>
    </row>
    <row r="41" spans="1:4">
      <c r="A41" s="63">
        <v>39</v>
      </c>
      <c r="D41" s="164">
        <f>IFERROR(VLOOKUP(Tabla8[[#This Row],[CARGO]],Tabla10[],2,FALSE),0)</f>
        <v>0</v>
      </c>
    </row>
    <row r="42" spans="1:4">
      <c r="A42" s="63">
        <v>40</v>
      </c>
      <c r="D42" s="164">
        <f>IFERROR(VLOOKUP(Tabla8[[#This Row],[CARGO]],Tabla10[],2,FALSE),0)</f>
        <v>0</v>
      </c>
    </row>
    <row r="43" spans="1:4">
      <c r="A43" s="63">
        <v>41</v>
      </c>
      <c r="D43" s="164">
        <f>IFERROR(VLOOKUP(Tabla8[[#This Row],[CARGO]],Tabla10[],2,FALSE),0)</f>
        <v>0</v>
      </c>
    </row>
    <row r="44" spans="1:4">
      <c r="A44" s="63">
        <v>42</v>
      </c>
      <c r="D44" s="164">
        <f>IFERROR(VLOOKUP(Tabla8[[#This Row],[CARGO]],Tabla10[],2,FALSE),0)</f>
        <v>0</v>
      </c>
    </row>
    <row r="45" spans="1:4">
      <c r="A45" s="63">
        <v>43</v>
      </c>
      <c r="D45" s="164">
        <f>IFERROR(VLOOKUP(Tabla8[[#This Row],[CARGO]],Tabla10[],2,FALSE),0)</f>
        <v>0</v>
      </c>
    </row>
    <row r="46" spans="1:4">
      <c r="A46" s="63">
        <v>44</v>
      </c>
      <c r="D46" s="164">
        <f>IFERROR(VLOOKUP(Tabla8[[#This Row],[CARGO]],Tabla10[],2,FALSE),0)</f>
        <v>0</v>
      </c>
    </row>
    <row r="47" spans="1:4">
      <c r="A47" s="63">
        <v>45</v>
      </c>
      <c r="D47" s="164">
        <f>IFERROR(VLOOKUP(Tabla8[[#This Row],[CARGO]],Tabla10[],2,FALSE),0)</f>
        <v>0</v>
      </c>
    </row>
    <row r="48" spans="1:4">
      <c r="A48" s="63">
        <v>46</v>
      </c>
      <c r="D48" s="164">
        <f>IFERROR(VLOOKUP(Tabla8[[#This Row],[CARGO]],Tabla10[],2,FALSE),0)</f>
        <v>0</v>
      </c>
    </row>
    <row r="49" spans="1:4">
      <c r="A49" s="63">
        <v>47</v>
      </c>
      <c r="D49" s="164">
        <f>IFERROR(VLOOKUP(Tabla8[[#This Row],[CARGO]],Tabla10[],2,FALSE),0)</f>
        <v>0</v>
      </c>
    </row>
    <row r="50" spans="1:4">
      <c r="A50" s="63">
        <v>48</v>
      </c>
      <c r="D50" s="164">
        <f>IFERROR(VLOOKUP(Tabla8[[#This Row],[CARGO]],Tabla10[],2,FALSE),0)</f>
        <v>0</v>
      </c>
    </row>
    <row r="51" spans="1:4">
      <c r="A51" s="63">
        <v>49</v>
      </c>
      <c r="D51" s="164">
        <f>IFERROR(VLOOKUP(Tabla8[[#This Row],[CARGO]],Tabla10[],2,FALSE),0)</f>
        <v>0</v>
      </c>
    </row>
    <row r="52" spans="1:4">
      <c r="A52" s="63">
        <v>50</v>
      </c>
      <c r="D52" s="164">
        <f>IFERROR(VLOOKUP(Tabla8[[#This Row],[CARGO]],Tabla10[],2,FALSE),0)</f>
        <v>0</v>
      </c>
    </row>
    <row r="53" spans="1:4">
      <c r="A53" s="63">
        <v>51</v>
      </c>
      <c r="D53" s="164">
        <f>IFERROR(VLOOKUP(Tabla8[[#This Row],[CARGO]],Tabla10[],2,FALSE),0)</f>
        <v>0</v>
      </c>
    </row>
    <row r="54" spans="1:4">
      <c r="A54" s="63">
        <v>52</v>
      </c>
      <c r="D54" s="164">
        <f>IFERROR(VLOOKUP(Tabla8[[#This Row],[CARGO]],Tabla10[],2,FALSE),0)</f>
        <v>0</v>
      </c>
    </row>
    <row r="55" spans="1:4">
      <c r="A55" s="63">
        <v>53</v>
      </c>
      <c r="D55" s="164">
        <f>IFERROR(VLOOKUP(Tabla8[[#This Row],[CARGO]],Tabla10[],2,FALSE),0)</f>
        <v>0</v>
      </c>
    </row>
    <row r="56" spans="1:4">
      <c r="A56" s="63">
        <v>54</v>
      </c>
      <c r="D56" s="164">
        <f>IFERROR(VLOOKUP(Tabla8[[#This Row],[CARGO]],Tabla10[],2,FALSE),0)</f>
        <v>0</v>
      </c>
    </row>
    <row r="57" spans="1:4">
      <c r="A57" s="63">
        <v>55</v>
      </c>
      <c r="D57" s="164">
        <f>IFERROR(VLOOKUP(Tabla8[[#This Row],[CARGO]],Tabla10[],2,FALSE),0)</f>
        <v>0</v>
      </c>
    </row>
    <row r="58" spans="1:4">
      <c r="A58" s="63">
        <v>56</v>
      </c>
      <c r="D58" s="164">
        <f>IFERROR(VLOOKUP(Tabla8[[#This Row],[CARGO]],Tabla10[],2,FALSE),0)</f>
        <v>0</v>
      </c>
    </row>
    <row r="59" spans="1:4">
      <c r="A59" s="63">
        <v>57</v>
      </c>
      <c r="D59" s="164">
        <f>IFERROR(VLOOKUP(Tabla8[[#This Row],[CARGO]],Tabla10[],2,FALSE),0)</f>
        <v>0</v>
      </c>
    </row>
    <row r="60" spans="1:4">
      <c r="A60" s="63">
        <v>58</v>
      </c>
      <c r="D60" s="164">
        <f>IFERROR(VLOOKUP(Tabla8[[#This Row],[CARGO]],Tabla10[],2,FALSE),0)</f>
        <v>0</v>
      </c>
    </row>
    <row r="61" spans="1:4">
      <c r="A61" s="63">
        <v>59</v>
      </c>
      <c r="D61" s="164">
        <f>IFERROR(VLOOKUP(Tabla8[[#This Row],[CARGO]],Tabla10[],2,FALSE),0)</f>
        <v>0</v>
      </c>
    </row>
    <row r="62" spans="1:4">
      <c r="A62" s="63">
        <v>60</v>
      </c>
      <c r="D62" s="164">
        <f>IFERROR(VLOOKUP(Tabla8[[#This Row],[CARGO]],Tabla10[],2,FALSE),0)</f>
        <v>0</v>
      </c>
    </row>
    <row r="63" spans="1:4">
      <c r="A63" s="63">
        <v>61</v>
      </c>
      <c r="D63" s="164">
        <f>IFERROR(VLOOKUP(Tabla8[[#This Row],[CARGO]],Tabla10[],2,FALSE),0)</f>
        <v>0</v>
      </c>
    </row>
    <row r="64" spans="1:4">
      <c r="A64" s="63">
        <v>62</v>
      </c>
      <c r="D64" s="164">
        <f>IFERROR(VLOOKUP(Tabla8[[#This Row],[CARGO]],Tabla10[],2,FALSE),0)</f>
        <v>0</v>
      </c>
    </row>
    <row r="65" spans="1:4">
      <c r="A65" s="63">
        <v>63</v>
      </c>
      <c r="D65" s="164">
        <f>IFERROR(VLOOKUP(Tabla8[[#This Row],[CARGO]],Tabla10[],2,FALSE),0)</f>
        <v>0</v>
      </c>
    </row>
    <row r="66" spans="1:4">
      <c r="A66" s="63">
        <v>64</v>
      </c>
      <c r="D66" s="164">
        <f>IFERROR(VLOOKUP(Tabla8[[#This Row],[CARGO]],Tabla10[],2,FALSE),0)</f>
        <v>0</v>
      </c>
    </row>
    <row r="67" spans="1:4">
      <c r="A67" s="63">
        <v>65</v>
      </c>
      <c r="D67" s="164">
        <f>IFERROR(VLOOKUP(Tabla8[[#This Row],[CARGO]],Tabla10[],2,FALSE),0)</f>
        <v>0</v>
      </c>
    </row>
    <row r="68" spans="1:4">
      <c r="A68" s="63">
        <v>66</v>
      </c>
      <c r="D68" s="164">
        <f>IFERROR(VLOOKUP(Tabla8[[#This Row],[CARGO]],Tabla10[],2,FALSE),0)</f>
        <v>0</v>
      </c>
    </row>
    <row r="69" spans="1:4">
      <c r="A69" s="63">
        <v>67</v>
      </c>
      <c r="D69" s="164">
        <f>IFERROR(VLOOKUP(Tabla8[[#This Row],[CARGO]],Tabla10[],2,FALSE),0)</f>
        <v>0</v>
      </c>
    </row>
    <row r="70" spans="1:4">
      <c r="A70" s="63">
        <v>68</v>
      </c>
      <c r="D70" s="164">
        <f>IFERROR(VLOOKUP(Tabla8[[#This Row],[CARGO]],Tabla10[],2,FALSE),0)</f>
        <v>0</v>
      </c>
    </row>
    <row r="71" spans="1:4">
      <c r="A71" s="63">
        <v>69</v>
      </c>
      <c r="D71" s="164">
        <f>IFERROR(VLOOKUP(Tabla8[[#This Row],[CARGO]],Tabla10[],2,FALSE),0)</f>
        <v>0</v>
      </c>
    </row>
    <row r="72" spans="1:4">
      <c r="A72" s="63">
        <v>70</v>
      </c>
      <c r="D72" s="164">
        <f>IFERROR(VLOOKUP(Tabla8[[#This Row],[CARGO]],Tabla10[],2,FALSE),0)</f>
        <v>0</v>
      </c>
    </row>
    <row r="73" spans="1:4">
      <c r="A73" s="63">
        <v>71</v>
      </c>
      <c r="D73" s="164">
        <f>IFERROR(VLOOKUP(Tabla8[[#This Row],[CARGO]],Tabla10[],2,FALSE),0)</f>
        <v>0</v>
      </c>
    </row>
    <row r="74" spans="1:4">
      <c r="A74" s="63">
        <v>72</v>
      </c>
      <c r="D74" s="164">
        <f>IFERROR(VLOOKUP(Tabla8[[#This Row],[CARGO]],Tabla10[],2,FALSE),0)</f>
        <v>0</v>
      </c>
    </row>
    <row r="75" spans="1:4">
      <c r="A75" s="63">
        <v>73</v>
      </c>
      <c r="D75" s="164">
        <f>IFERROR(VLOOKUP(Tabla8[[#This Row],[CARGO]],Tabla10[],2,FALSE),0)</f>
        <v>0</v>
      </c>
    </row>
    <row r="76" spans="1:4">
      <c r="A76" s="63">
        <v>74</v>
      </c>
      <c r="D76" s="164">
        <f>IFERROR(VLOOKUP(Tabla8[[#This Row],[CARGO]],Tabla10[],2,FALSE),0)</f>
        <v>0</v>
      </c>
    </row>
    <row r="77" spans="1:4">
      <c r="A77" s="63">
        <v>75</v>
      </c>
      <c r="D77" s="164">
        <f>IFERROR(VLOOKUP(Tabla8[[#This Row],[CARGO]],Tabla10[],2,FALSE),0)</f>
        <v>0</v>
      </c>
    </row>
    <row r="78" spans="1:4">
      <c r="A78" s="63">
        <v>76</v>
      </c>
      <c r="D78" s="164">
        <f>IFERROR(VLOOKUP(Tabla8[[#This Row],[CARGO]],Tabla10[],2,FALSE),0)</f>
        <v>0</v>
      </c>
    </row>
    <row r="79" spans="1:4">
      <c r="A79" s="63">
        <v>77</v>
      </c>
      <c r="D79" s="164">
        <f>IFERROR(VLOOKUP(Tabla8[[#This Row],[CARGO]],Tabla10[],2,FALSE),0)</f>
        <v>0</v>
      </c>
    </row>
    <row r="80" spans="1:4">
      <c r="A80" s="63">
        <v>78</v>
      </c>
      <c r="D80" s="164">
        <f>IFERROR(VLOOKUP(Tabla8[[#This Row],[CARGO]],Tabla10[],2,FALSE),0)</f>
        <v>0</v>
      </c>
    </row>
    <row r="81" spans="1:4">
      <c r="A81" s="63">
        <v>79</v>
      </c>
      <c r="D81" s="164">
        <f>IFERROR(VLOOKUP(Tabla8[[#This Row],[CARGO]],Tabla10[],2,FALSE),0)</f>
        <v>0</v>
      </c>
    </row>
    <row r="82" spans="1:4">
      <c r="A82" s="63">
        <v>80</v>
      </c>
      <c r="D82" s="164">
        <f>IFERROR(VLOOKUP(Tabla8[[#This Row],[CARGO]],Tabla10[],2,FALSE),0)</f>
        <v>0</v>
      </c>
    </row>
    <row r="83" spans="1:4">
      <c r="A83" s="63">
        <v>81</v>
      </c>
      <c r="D83" s="164">
        <f>IFERROR(VLOOKUP(Tabla8[[#This Row],[CARGO]],Tabla10[],2,FALSE),0)</f>
        <v>0</v>
      </c>
    </row>
    <row r="84" spans="1:4">
      <c r="A84" s="63">
        <v>82</v>
      </c>
      <c r="D84" s="164">
        <f>IFERROR(VLOOKUP(Tabla8[[#This Row],[CARGO]],Tabla10[],2,FALSE),0)</f>
        <v>0</v>
      </c>
    </row>
    <row r="85" spans="1:4">
      <c r="A85" s="63">
        <v>83</v>
      </c>
      <c r="D85" s="164">
        <f>IFERROR(VLOOKUP(Tabla8[[#This Row],[CARGO]],Tabla10[],2,FALSE),0)</f>
        <v>0</v>
      </c>
    </row>
    <row r="86" spans="1:4">
      <c r="A86" s="63">
        <v>84</v>
      </c>
      <c r="D86" s="164">
        <f>IFERROR(VLOOKUP(Tabla8[[#This Row],[CARGO]],Tabla10[],2,FALSE),0)</f>
        <v>0</v>
      </c>
    </row>
    <row r="87" spans="1:4">
      <c r="A87" s="63">
        <v>85</v>
      </c>
      <c r="D87" s="164">
        <f>IFERROR(VLOOKUP(Tabla8[[#This Row],[CARGO]],Tabla10[],2,FALSE),0)</f>
        <v>0</v>
      </c>
    </row>
    <row r="88" spans="1:4">
      <c r="A88" s="63">
        <v>86</v>
      </c>
      <c r="D88" s="164">
        <f>IFERROR(VLOOKUP(Tabla8[[#This Row],[CARGO]],Tabla10[],2,FALSE),0)</f>
        <v>0</v>
      </c>
    </row>
    <row r="89" spans="1:4">
      <c r="A89" s="63">
        <v>87</v>
      </c>
      <c r="D89" s="164">
        <f>IFERROR(VLOOKUP(Tabla8[[#This Row],[CARGO]],Tabla10[],2,FALSE),0)</f>
        <v>0</v>
      </c>
    </row>
    <row r="90" spans="1:4">
      <c r="A90" s="63">
        <v>88</v>
      </c>
      <c r="D90" s="164">
        <f>IFERROR(VLOOKUP(Tabla8[[#This Row],[CARGO]],Tabla10[],2,FALSE),0)</f>
        <v>0</v>
      </c>
    </row>
    <row r="91" spans="1:4">
      <c r="A91" s="63">
        <v>89</v>
      </c>
      <c r="D91" s="164">
        <f>IFERROR(VLOOKUP(Tabla8[[#This Row],[CARGO]],Tabla10[],2,FALSE),0)</f>
        <v>0</v>
      </c>
    </row>
    <row r="92" spans="1:4">
      <c r="A92" s="63">
        <v>90</v>
      </c>
      <c r="D92" s="164">
        <f>IFERROR(VLOOKUP(Tabla8[[#This Row],[CARGO]],Tabla10[],2,FALSE),0)</f>
        <v>0</v>
      </c>
    </row>
    <row r="93" spans="1:4">
      <c r="A93" s="63">
        <v>91</v>
      </c>
      <c r="D93" s="164">
        <f>IFERROR(VLOOKUP(Tabla8[[#This Row],[CARGO]],Tabla10[],2,FALSE),0)</f>
        <v>0</v>
      </c>
    </row>
    <row r="94" spans="1:4">
      <c r="A94" s="63">
        <v>92</v>
      </c>
      <c r="D94" s="164">
        <f>IFERROR(VLOOKUP(Tabla8[[#This Row],[CARGO]],Tabla10[],2,FALSE),0)</f>
        <v>0</v>
      </c>
    </row>
    <row r="95" spans="1:4">
      <c r="A95" s="63">
        <v>93</v>
      </c>
      <c r="D95" s="164">
        <f>IFERROR(VLOOKUP(Tabla8[[#This Row],[CARGO]],Tabla10[],2,FALSE),0)</f>
        <v>0</v>
      </c>
    </row>
    <row r="96" spans="1:4">
      <c r="A96" s="63">
        <v>94</v>
      </c>
      <c r="D96" s="164">
        <f>IFERROR(VLOOKUP(Tabla8[[#This Row],[CARGO]],Tabla10[],2,FALSE),0)</f>
        <v>0</v>
      </c>
    </row>
    <row r="97" spans="1:4">
      <c r="A97" s="63">
        <v>95</v>
      </c>
      <c r="D97" s="164">
        <f>IFERROR(VLOOKUP(Tabla8[[#This Row],[CARGO]],Tabla10[],2,FALSE),0)</f>
        <v>0</v>
      </c>
    </row>
    <row r="98" spans="1:4">
      <c r="A98" s="63">
        <v>96</v>
      </c>
      <c r="D98" s="164">
        <f>IFERROR(VLOOKUP(Tabla8[[#This Row],[CARGO]],Tabla10[],2,FALSE),0)</f>
        <v>0</v>
      </c>
    </row>
    <row r="99" spans="1:4">
      <c r="A99" s="63">
        <v>97</v>
      </c>
      <c r="D99" s="164">
        <f>IFERROR(VLOOKUP(Tabla8[[#This Row],[CARGO]],Tabla10[],2,FALSE),0)</f>
        <v>0</v>
      </c>
    </row>
    <row r="100" spans="1:4">
      <c r="A100" s="63">
        <v>98</v>
      </c>
      <c r="D100" s="164">
        <f>IFERROR(VLOOKUP(Tabla8[[#This Row],[CARGO]],Tabla10[],2,FALSE),0)</f>
        <v>0</v>
      </c>
    </row>
    <row r="101" spans="1:4">
      <c r="A101" s="63">
        <v>99</v>
      </c>
      <c r="D101" s="164">
        <f>IFERROR(VLOOKUP(Tabla8[[#This Row],[CARGO]],Tabla10[],2,FALSE),0)</f>
        <v>0</v>
      </c>
    </row>
    <row r="102" spans="1:4">
      <c r="A102" s="63">
        <v>100</v>
      </c>
      <c r="D102" s="164">
        <f>IFERROR(VLOOKUP(Tabla8[[#This Row],[CARGO]],Tabla10[],2,FALSE),0)</f>
        <v>0</v>
      </c>
    </row>
    <row r="103" spans="1:4">
      <c r="A103" s="63">
        <v>101</v>
      </c>
      <c r="D103" s="164">
        <f>IFERROR(VLOOKUP(Tabla8[[#This Row],[CARGO]],Tabla10[],2,FALSE),0)</f>
        <v>0</v>
      </c>
    </row>
    <row r="104" spans="1:4">
      <c r="A104" s="63">
        <v>102</v>
      </c>
      <c r="D104" s="164">
        <f>IFERROR(VLOOKUP(Tabla8[[#This Row],[CARGO]],Tabla10[],2,FALSE),0)</f>
        <v>0</v>
      </c>
    </row>
    <row r="105" spans="1:4">
      <c r="A105" s="63">
        <v>103</v>
      </c>
      <c r="D105" s="164">
        <f>IFERROR(VLOOKUP(Tabla8[[#This Row],[CARGO]],Tabla10[],2,FALSE),0)</f>
        <v>0</v>
      </c>
    </row>
    <row r="106" spans="1:4">
      <c r="A106" s="63">
        <v>104</v>
      </c>
      <c r="D106" s="164">
        <f>IFERROR(VLOOKUP(Tabla8[[#This Row],[CARGO]],Tabla10[],2,FALSE),0)</f>
        <v>0</v>
      </c>
    </row>
    <row r="107" spans="1:4">
      <c r="A107" s="63">
        <v>105</v>
      </c>
      <c r="D107" s="164">
        <f>IFERROR(VLOOKUP(Tabla8[[#This Row],[CARGO]],Tabla10[],2,FALSE),0)</f>
        <v>0</v>
      </c>
    </row>
    <row r="108" spans="1:4">
      <c r="A108" s="63">
        <v>106</v>
      </c>
      <c r="D108" s="164">
        <f>IFERROR(VLOOKUP(Tabla8[[#This Row],[CARGO]],Tabla10[],2,FALSE),0)</f>
        <v>0</v>
      </c>
    </row>
    <row r="109" spans="1:4">
      <c r="A109" s="63">
        <v>107</v>
      </c>
      <c r="D109" s="164">
        <f>IFERROR(VLOOKUP(Tabla8[[#This Row],[CARGO]],Tabla10[],2,FALSE),0)</f>
        <v>0</v>
      </c>
    </row>
    <row r="110" spans="1:4">
      <c r="A110" s="63">
        <v>108</v>
      </c>
      <c r="D110" s="164">
        <f>IFERROR(VLOOKUP(Tabla8[[#This Row],[CARGO]],Tabla10[],2,FALSE),0)</f>
        <v>0</v>
      </c>
    </row>
    <row r="111" spans="1:4">
      <c r="A111" s="63">
        <v>109</v>
      </c>
      <c r="D111" s="164">
        <f>IFERROR(VLOOKUP(Tabla8[[#This Row],[CARGO]],Tabla10[],2,FALSE),0)</f>
        <v>0</v>
      </c>
    </row>
    <row r="112" spans="1:4">
      <c r="A112" s="63">
        <v>110</v>
      </c>
      <c r="D112" s="164">
        <f>IFERROR(VLOOKUP(Tabla8[[#This Row],[CARGO]],Tabla10[],2,FALSE),0)</f>
        <v>0</v>
      </c>
    </row>
    <row r="113" spans="1:4">
      <c r="A113" s="63">
        <v>111</v>
      </c>
      <c r="D113" s="164">
        <f>IFERROR(VLOOKUP(Tabla8[[#This Row],[CARGO]],Tabla10[],2,FALSE),0)</f>
        <v>0</v>
      </c>
    </row>
    <row r="114" spans="1:4">
      <c r="A114" s="63">
        <v>112</v>
      </c>
      <c r="D114" s="164">
        <f>IFERROR(VLOOKUP(Tabla8[[#This Row],[CARGO]],Tabla10[],2,FALSE),0)</f>
        <v>0</v>
      </c>
    </row>
    <row r="115" spans="1:4">
      <c r="A115" s="63">
        <v>113</v>
      </c>
      <c r="D115" s="164">
        <f>IFERROR(VLOOKUP(Tabla8[[#This Row],[CARGO]],Tabla10[],2,FALSE),0)</f>
        <v>0</v>
      </c>
    </row>
    <row r="116" spans="1:4">
      <c r="A116" s="63">
        <v>114</v>
      </c>
      <c r="D116" s="164">
        <f>IFERROR(VLOOKUP(Tabla8[[#This Row],[CARGO]],Tabla10[],2,FALSE),0)</f>
        <v>0</v>
      </c>
    </row>
    <row r="117" spans="1:4">
      <c r="A117" s="63">
        <v>115</v>
      </c>
      <c r="D117" s="164">
        <f>IFERROR(VLOOKUP(Tabla8[[#This Row],[CARGO]],Tabla10[],2,FALSE),0)</f>
        <v>0</v>
      </c>
    </row>
    <row r="118" spans="1:4">
      <c r="A118" s="63">
        <v>116</v>
      </c>
      <c r="D118" s="164">
        <f>IFERROR(VLOOKUP(Tabla8[[#This Row],[CARGO]],Tabla10[],2,FALSE),0)</f>
        <v>0</v>
      </c>
    </row>
    <row r="119" spans="1:4">
      <c r="A119" s="63">
        <v>117</v>
      </c>
      <c r="D119" s="164">
        <f>IFERROR(VLOOKUP(Tabla8[[#This Row],[CARGO]],Tabla10[],2,FALSE),0)</f>
        <v>0</v>
      </c>
    </row>
    <row r="120" spans="1:4">
      <c r="A120" s="63">
        <v>118</v>
      </c>
      <c r="D120" s="164">
        <f>IFERROR(VLOOKUP(Tabla8[[#This Row],[CARGO]],Tabla10[],2,FALSE),0)</f>
        <v>0</v>
      </c>
    </row>
    <row r="121" spans="1:4">
      <c r="A121" s="63">
        <v>119</v>
      </c>
      <c r="D121" s="164">
        <f>IFERROR(VLOOKUP(Tabla8[[#This Row],[CARGO]],Tabla10[],2,FALSE),0)</f>
        <v>0</v>
      </c>
    </row>
    <row r="122" spans="1:4">
      <c r="A122" s="63">
        <v>120</v>
      </c>
      <c r="D122" s="164">
        <f>IFERROR(VLOOKUP(Tabla8[[#This Row],[CARGO]],Tabla10[],2,FALSE),0)</f>
        <v>0</v>
      </c>
    </row>
    <row r="123" spans="1:4">
      <c r="A123" s="63">
        <v>121</v>
      </c>
      <c r="D123" s="164">
        <f>IFERROR(VLOOKUP(Tabla8[[#This Row],[CARGO]],Tabla10[],2,FALSE),0)</f>
        <v>0</v>
      </c>
    </row>
    <row r="124" spans="1:4">
      <c r="A124" s="63">
        <v>122</v>
      </c>
      <c r="D124" s="164">
        <f>IFERROR(VLOOKUP(Tabla8[[#This Row],[CARGO]],Tabla10[],2,FALSE),0)</f>
        <v>0</v>
      </c>
    </row>
    <row r="125" spans="1:4">
      <c r="A125" s="63">
        <v>123</v>
      </c>
      <c r="D125" s="164">
        <f>IFERROR(VLOOKUP(Tabla8[[#This Row],[CARGO]],Tabla10[],2,FALSE),0)</f>
        <v>0</v>
      </c>
    </row>
    <row r="126" spans="1:4">
      <c r="A126" s="63">
        <v>124</v>
      </c>
      <c r="D126" s="164">
        <f>IFERROR(VLOOKUP(Tabla8[[#This Row],[CARGO]],Tabla10[],2,FALSE),0)</f>
        <v>0</v>
      </c>
    </row>
    <row r="127" spans="1:4">
      <c r="A127" s="63">
        <v>125</v>
      </c>
      <c r="D127" s="164">
        <f>IFERROR(VLOOKUP(Tabla8[[#This Row],[CARGO]],Tabla10[],2,FALSE),0)</f>
        <v>0</v>
      </c>
    </row>
    <row r="128" spans="1:4">
      <c r="A128" s="63">
        <v>126</v>
      </c>
      <c r="D128" s="164">
        <f>IFERROR(VLOOKUP(Tabla8[[#This Row],[CARGO]],Tabla10[],2,FALSE),0)</f>
        <v>0</v>
      </c>
    </row>
    <row r="129" spans="1:4">
      <c r="A129" s="63">
        <v>127</v>
      </c>
      <c r="D129" s="164">
        <f>IFERROR(VLOOKUP(Tabla8[[#This Row],[CARGO]],Tabla10[],2,FALSE),0)</f>
        <v>0</v>
      </c>
    </row>
    <row r="130" spans="1:4">
      <c r="A130" s="63">
        <v>128</v>
      </c>
      <c r="D130" s="164">
        <f>IFERROR(VLOOKUP(Tabla8[[#This Row],[CARGO]],Tabla10[],2,FALSE),0)</f>
        <v>0</v>
      </c>
    </row>
    <row r="131" spans="1:4">
      <c r="A131" s="63">
        <v>129</v>
      </c>
      <c r="D131" s="164">
        <f>IFERROR(VLOOKUP(Tabla8[[#This Row],[CARGO]],Tabla10[],2,FALSE),0)</f>
        <v>0</v>
      </c>
    </row>
    <row r="132" spans="1:4">
      <c r="A132" s="63">
        <v>130</v>
      </c>
      <c r="D132" s="164">
        <f>IFERROR(VLOOKUP(Tabla8[[#This Row],[CARGO]],Tabla10[],2,FALSE),0)</f>
        <v>0</v>
      </c>
    </row>
    <row r="133" spans="1:4">
      <c r="A133" s="63">
        <v>131</v>
      </c>
      <c r="D133" s="164">
        <f>IFERROR(VLOOKUP(Tabla8[[#This Row],[CARGO]],Tabla10[],2,FALSE),0)</f>
        <v>0</v>
      </c>
    </row>
    <row r="134" spans="1:4">
      <c r="A134" s="63">
        <v>132</v>
      </c>
      <c r="D134" s="164">
        <f>IFERROR(VLOOKUP(Tabla8[[#This Row],[CARGO]],Tabla10[],2,FALSE),0)</f>
        <v>0</v>
      </c>
    </row>
    <row r="135" spans="1:4">
      <c r="A135" s="63">
        <v>133</v>
      </c>
      <c r="D135" s="164">
        <f>IFERROR(VLOOKUP(Tabla8[[#This Row],[CARGO]],Tabla10[],2,FALSE),0)</f>
        <v>0</v>
      </c>
    </row>
    <row r="136" spans="1:4">
      <c r="A136" s="63">
        <v>134</v>
      </c>
      <c r="D136" s="164">
        <f>IFERROR(VLOOKUP(Tabla8[[#This Row],[CARGO]],Tabla10[],2,FALSE),0)</f>
        <v>0</v>
      </c>
    </row>
    <row r="137" spans="1:4">
      <c r="A137" s="63">
        <v>135</v>
      </c>
      <c r="D137" s="164">
        <f>IFERROR(VLOOKUP(Tabla8[[#This Row],[CARGO]],Tabla10[],2,FALSE),0)</f>
        <v>0</v>
      </c>
    </row>
    <row r="138" spans="1:4">
      <c r="A138" s="63">
        <v>136</v>
      </c>
      <c r="D138" s="164">
        <f>IFERROR(VLOOKUP(Tabla8[[#This Row],[CARGO]],Tabla10[],2,FALSE),0)</f>
        <v>0</v>
      </c>
    </row>
    <row r="139" spans="1:4">
      <c r="A139" s="63">
        <v>137</v>
      </c>
      <c r="D139" s="164">
        <f>IFERROR(VLOOKUP(Tabla8[[#This Row],[CARGO]],Tabla10[],2,FALSE),0)</f>
        <v>0</v>
      </c>
    </row>
    <row r="140" spans="1:4">
      <c r="A140" s="63">
        <v>138</v>
      </c>
      <c r="D140" s="164">
        <f>IFERROR(VLOOKUP(Tabla8[[#This Row],[CARGO]],Tabla10[],2,FALSE),0)</f>
        <v>0</v>
      </c>
    </row>
    <row r="141" spans="1:4">
      <c r="A141" s="63">
        <v>139</v>
      </c>
      <c r="D141" s="164">
        <f>IFERROR(VLOOKUP(Tabla8[[#This Row],[CARGO]],Tabla10[],2,FALSE),0)</f>
        <v>0</v>
      </c>
    </row>
    <row r="142" spans="1:4">
      <c r="A142" s="63">
        <v>140</v>
      </c>
      <c r="D142" s="164">
        <f>IFERROR(VLOOKUP(Tabla8[[#This Row],[CARGO]],Tabla10[],2,FALSE),0)</f>
        <v>0</v>
      </c>
    </row>
    <row r="143" spans="1:4">
      <c r="A143" s="63">
        <v>141</v>
      </c>
      <c r="D143" s="164">
        <f>IFERROR(VLOOKUP(Tabla8[[#This Row],[CARGO]],Tabla10[],2,FALSE),0)</f>
        <v>0</v>
      </c>
    </row>
    <row r="144" spans="1:4">
      <c r="A144" s="63">
        <v>142</v>
      </c>
      <c r="D144" s="164">
        <f>IFERROR(VLOOKUP(Tabla8[[#This Row],[CARGO]],Tabla10[],2,FALSE),0)</f>
        <v>0</v>
      </c>
    </row>
    <row r="145" spans="1:4">
      <c r="A145" s="63">
        <v>143</v>
      </c>
      <c r="D145" s="164">
        <f>IFERROR(VLOOKUP(Tabla8[[#This Row],[CARGO]],Tabla10[],2,FALSE),0)</f>
        <v>0</v>
      </c>
    </row>
    <row r="146" spans="1:4">
      <c r="A146" s="63">
        <v>144</v>
      </c>
      <c r="D146" s="164">
        <f>IFERROR(VLOOKUP(Tabla8[[#This Row],[CARGO]],Tabla10[],2,FALSE),0)</f>
        <v>0</v>
      </c>
    </row>
    <row r="147" spans="1:4">
      <c r="A147" s="63">
        <v>145</v>
      </c>
      <c r="D147" s="164">
        <f>IFERROR(VLOOKUP(Tabla8[[#This Row],[CARGO]],Tabla10[],2,FALSE),0)</f>
        <v>0</v>
      </c>
    </row>
    <row r="148" spans="1:4">
      <c r="A148" s="63">
        <v>146</v>
      </c>
      <c r="D148" s="164">
        <f>IFERROR(VLOOKUP(Tabla8[[#This Row],[CARGO]],Tabla10[],2,FALSE),0)</f>
        <v>0</v>
      </c>
    </row>
    <row r="149" spans="1:4">
      <c r="A149" s="63">
        <v>147</v>
      </c>
      <c r="D149" s="164">
        <f>IFERROR(VLOOKUP(Tabla8[[#This Row],[CARGO]],Tabla10[],2,FALSE),0)</f>
        <v>0</v>
      </c>
    </row>
    <row r="150" spans="1:4">
      <c r="A150" s="63">
        <v>148</v>
      </c>
      <c r="D150" s="164">
        <f>IFERROR(VLOOKUP(Tabla8[[#This Row],[CARGO]],Tabla10[],2,FALSE),0)</f>
        <v>0</v>
      </c>
    </row>
    <row r="151" spans="1:4">
      <c r="A151" s="63">
        <v>149</v>
      </c>
      <c r="D151" s="164">
        <f>IFERROR(VLOOKUP(Tabla8[[#This Row],[CARGO]],Tabla10[],2,FALSE),0)</f>
        <v>0</v>
      </c>
    </row>
    <row r="152" spans="1:4">
      <c r="A152" s="63">
        <v>150</v>
      </c>
      <c r="D152" s="164">
        <f>IFERROR(VLOOKUP(Tabla8[[#This Row],[CARGO]],Tabla10[],2,FALSE),0)</f>
        <v>0</v>
      </c>
    </row>
    <row r="153" spans="1:4">
      <c r="A153" s="63">
        <v>151</v>
      </c>
      <c r="D153" s="164">
        <f>IFERROR(VLOOKUP(Tabla8[[#This Row],[CARGO]],Tabla10[],2,FALSE),0)</f>
        <v>0</v>
      </c>
    </row>
    <row r="154" spans="1:4">
      <c r="A154" s="63">
        <v>152</v>
      </c>
      <c r="D154" s="164">
        <f>IFERROR(VLOOKUP(Tabla8[[#This Row],[CARGO]],Tabla10[],2,FALSE),0)</f>
        <v>0</v>
      </c>
    </row>
    <row r="155" spans="1:4">
      <c r="A155" s="63">
        <v>153</v>
      </c>
      <c r="D155" s="164">
        <f>IFERROR(VLOOKUP(Tabla8[[#This Row],[CARGO]],Tabla10[],2,FALSE),0)</f>
        <v>0</v>
      </c>
    </row>
    <row r="156" spans="1:4">
      <c r="A156" s="63">
        <v>154</v>
      </c>
      <c r="D156" s="164">
        <f>IFERROR(VLOOKUP(Tabla8[[#This Row],[CARGO]],Tabla10[],2,FALSE),0)</f>
        <v>0</v>
      </c>
    </row>
    <row r="157" spans="1:4">
      <c r="A157" s="63">
        <v>155</v>
      </c>
      <c r="D157" s="164">
        <f>IFERROR(VLOOKUP(Tabla8[[#This Row],[CARGO]],Tabla10[],2,FALSE),0)</f>
        <v>0</v>
      </c>
    </row>
    <row r="158" spans="1:4">
      <c r="A158" s="63">
        <v>156</v>
      </c>
      <c r="D158" s="164">
        <f>IFERROR(VLOOKUP(Tabla8[[#This Row],[CARGO]],Tabla10[],2,FALSE),0)</f>
        <v>0</v>
      </c>
    </row>
    <row r="159" spans="1:4">
      <c r="A159" s="63">
        <v>157</v>
      </c>
      <c r="D159" s="164">
        <f>IFERROR(VLOOKUP(Tabla8[[#This Row],[CARGO]],Tabla10[],2,FALSE),0)</f>
        <v>0</v>
      </c>
    </row>
    <row r="160" spans="1:4">
      <c r="A160" s="63">
        <v>158</v>
      </c>
      <c r="D160" s="164">
        <f>IFERROR(VLOOKUP(Tabla8[[#This Row],[CARGO]],Tabla10[],2,FALSE),0)</f>
        <v>0</v>
      </c>
    </row>
    <row r="161" spans="1:4">
      <c r="A161" s="63">
        <v>159</v>
      </c>
      <c r="D161" s="164">
        <f>IFERROR(VLOOKUP(Tabla8[[#This Row],[CARGO]],Tabla10[],2,FALSE),0)</f>
        <v>0</v>
      </c>
    </row>
    <row r="162" spans="1:4">
      <c r="A162" s="63">
        <v>160</v>
      </c>
      <c r="D162" s="164">
        <f>IFERROR(VLOOKUP(Tabla8[[#This Row],[CARGO]],Tabla10[],2,FALSE),0)</f>
        <v>0</v>
      </c>
    </row>
    <row r="163" spans="1:4">
      <c r="A163" s="63">
        <v>161</v>
      </c>
      <c r="D163" s="164">
        <f>IFERROR(VLOOKUP(Tabla8[[#This Row],[CARGO]],Tabla10[],2,FALSE),0)</f>
        <v>0</v>
      </c>
    </row>
    <row r="164" spans="1:4">
      <c r="A164" s="63">
        <v>162</v>
      </c>
      <c r="D164" s="164">
        <f>IFERROR(VLOOKUP(Tabla8[[#This Row],[CARGO]],Tabla10[],2,FALSE),0)</f>
        <v>0</v>
      </c>
    </row>
    <row r="165" spans="1:4">
      <c r="A165" s="63">
        <v>163</v>
      </c>
      <c r="D165" s="164">
        <f>IFERROR(VLOOKUP(Tabla8[[#This Row],[CARGO]],Tabla10[],2,FALSE),0)</f>
        <v>0</v>
      </c>
    </row>
    <row r="166" spans="1:4">
      <c r="A166" s="63">
        <v>164</v>
      </c>
      <c r="D166" s="164">
        <f>IFERROR(VLOOKUP(Tabla8[[#This Row],[CARGO]],Tabla10[],2,FALSE),0)</f>
        <v>0</v>
      </c>
    </row>
    <row r="167" spans="1:4">
      <c r="A167" s="63">
        <v>165</v>
      </c>
      <c r="D167" s="164">
        <f>IFERROR(VLOOKUP(Tabla8[[#This Row],[CARGO]],Tabla10[],2,FALSE),0)</f>
        <v>0</v>
      </c>
    </row>
    <row r="168" spans="1:4">
      <c r="A168" s="63">
        <v>166</v>
      </c>
      <c r="D168" s="164">
        <f>IFERROR(VLOOKUP(Tabla8[[#This Row],[CARGO]],Tabla10[],2,FALSE),0)</f>
        <v>0</v>
      </c>
    </row>
    <row r="169" spans="1:4">
      <c r="A169" s="63">
        <v>167</v>
      </c>
      <c r="D169" s="164">
        <f>IFERROR(VLOOKUP(Tabla8[[#This Row],[CARGO]],Tabla10[],2,FALSE),0)</f>
        <v>0</v>
      </c>
    </row>
    <row r="170" spans="1:4">
      <c r="A170" s="63">
        <v>168</v>
      </c>
      <c r="D170" s="164">
        <f>IFERROR(VLOOKUP(Tabla8[[#This Row],[CARGO]],Tabla10[],2,FALSE),0)</f>
        <v>0</v>
      </c>
    </row>
    <row r="171" spans="1:4">
      <c r="A171" s="63">
        <v>169</v>
      </c>
      <c r="D171" s="164">
        <f>IFERROR(VLOOKUP(Tabla8[[#This Row],[CARGO]],Tabla10[],2,FALSE),0)</f>
        <v>0</v>
      </c>
    </row>
    <row r="172" spans="1:4">
      <c r="A172" s="63">
        <v>170</v>
      </c>
      <c r="D172" s="164">
        <f>IFERROR(VLOOKUP(Tabla8[[#This Row],[CARGO]],Tabla10[],2,FALSE),0)</f>
        <v>0</v>
      </c>
    </row>
    <row r="173" spans="1:4">
      <c r="A173" s="63">
        <v>171</v>
      </c>
      <c r="D173" s="164">
        <f>IFERROR(VLOOKUP(Tabla8[[#This Row],[CARGO]],Tabla10[],2,FALSE),0)</f>
        <v>0</v>
      </c>
    </row>
    <row r="174" spans="1:4">
      <c r="A174" s="63">
        <v>172</v>
      </c>
      <c r="D174" s="164">
        <f>IFERROR(VLOOKUP(Tabla8[[#This Row],[CARGO]],Tabla10[],2,FALSE),0)</f>
        <v>0</v>
      </c>
    </row>
    <row r="175" spans="1:4">
      <c r="A175" s="63">
        <v>173</v>
      </c>
      <c r="D175" s="164">
        <f>IFERROR(VLOOKUP(Tabla8[[#This Row],[CARGO]],Tabla10[],2,FALSE),0)</f>
        <v>0</v>
      </c>
    </row>
    <row r="176" spans="1:4">
      <c r="A176" s="63">
        <v>174</v>
      </c>
      <c r="D176" s="164">
        <f>IFERROR(VLOOKUP(Tabla8[[#This Row],[CARGO]],Tabla10[],2,FALSE),0)</f>
        <v>0</v>
      </c>
    </row>
    <row r="177" spans="1:4">
      <c r="A177" s="63">
        <v>175</v>
      </c>
      <c r="D177" s="164">
        <f>IFERROR(VLOOKUP(Tabla8[[#This Row],[CARGO]],Tabla10[],2,FALSE),0)</f>
        <v>0</v>
      </c>
    </row>
    <row r="178" spans="1:4">
      <c r="A178" s="63">
        <v>176</v>
      </c>
      <c r="D178" s="164">
        <f>IFERROR(VLOOKUP(Tabla8[[#This Row],[CARGO]],Tabla10[],2,FALSE),0)</f>
        <v>0</v>
      </c>
    </row>
    <row r="179" spans="1:4">
      <c r="A179" s="63">
        <v>177</v>
      </c>
      <c r="D179" s="164">
        <f>IFERROR(VLOOKUP(Tabla8[[#This Row],[CARGO]],Tabla10[],2,FALSE),0)</f>
        <v>0</v>
      </c>
    </row>
    <row r="180" spans="1:4">
      <c r="A180" s="63">
        <v>178</v>
      </c>
      <c r="D180" s="164">
        <f>IFERROR(VLOOKUP(Tabla8[[#This Row],[CARGO]],Tabla10[],2,FALSE),0)</f>
        <v>0</v>
      </c>
    </row>
    <row r="181" spans="1:4">
      <c r="A181" s="63">
        <v>179</v>
      </c>
      <c r="D181" s="164">
        <f>IFERROR(VLOOKUP(Tabla8[[#This Row],[CARGO]],Tabla10[],2,FALSE),0)</f>
        <v>0</v>
      </c>
    </row>
    <row r="182" spans="1:4">
      <c r="A182" s="63">
        <v>180</v>
      </c>
      <c r="D182" s="164">
        <f>IFERROR(VLOOKUP(Tabla8[[#This Row],[CARGO]],Tabla10[],2,FALSE),0)</f>
        <v>0</v>
      </c>
    </row>
    <row r="183" spans="1:4">
      <c r="A183" s="63">
        <v>181</v>
      </c>
      <c r="D183" s="164">
        <f>IFERROR(VLOOKUP(Tabla8[[#This Row],[CARGO]],Tabla10[],2,FALSE),0)</f>
        <v>0</v>
      </c>
    </row>
    <row r="184" spans="1:4">
      <c r="A184" s="63">
        <v>182</v>
      </c>
      <c r="D184" s="164">
        <f>IFERROR(VLOOKUP(Tabla8[[#This Row],[CARGO]],Tabla10[],2,FALSE),0)</f>
        <v>0</v>
      </c>
    </row>
    <row r="185" spans="1:4">
      <c r="A185" s="63">
        <v>183</v>
      </c>
      <c r="D185" s="164">
        <f>IFERROR(VLOOKUP(Tabla8[[#This Row],[CARGO]],Tabla10[],2,FALSE),0)</f>
        <v>0</v>
      </c>
    </row>
    <row r="186" spans="1:4">
      <c r="A186" s="63">
        <v>184</v>
      </c>
      <c r="D186" s="164">
        <f>IFERROR(VLOOKUP(Tabla8[[#This Row],[CARGO]],Tabla10[],2,FALSE),0)</f>
        <v>0</v>
      </c>
    </row>
    <row r="187" spans="1:4">
      <c r="A187" s="63">
        <v>185</v>
      </c>
      <c r="D187" s="164">
        <f>IFERROR(VLOOKUP(Tabla8[[#This Row],[CARGO]],Tabla10[],2,FALSE),0)</f>
        <v>0</v>
      </c>
    </row>
    <row r="188" spans="1:4">
      <c r="A188" s="63">
        <v>186</v>
      </c>
      <c r="D188" s="164">
        <f>IFERROR(VLOOKUP(Tabla8[[#This Row],[CARGO]],Tabla10[],2,FALSE),0)</f>
        <v>0</v>
      </c>
    </row>
    <row r="189" spans="1:4">
      <c r="A189" s="63">
        <v>187</v>
      </c>
      <c r="D189" s="164">
        <f>IFERROR(VLOOKUP(Tabla8[[#This Row],[CARGO]],Tabla10[],2,FALSE),0)</f>
        <v>0</v>
      </c>
    </row>
    <row r="190" spans="1:4">
      <c r="A190" s="63">
        <v>188</v>
      </c>
      <c r="D190" s="164">
        <f>IFERROR(VLOOKUP(Tabla8[[#This Row],[CARGO]],Tabla10[],2,FALSE),0)</f>
        <v>0</v>
      </c>
    </row>
    <row r="191" spans="1:4">
      <c r="A191" s="63">
        <v>189</v>
      </c>
      <c r="D191" s="164">
        <f>IFERROR(VLOOKUP(Tabla8[[#This Row],[CARGO]],Tabla10[],2,FALSE),0)</f>
        <v>0</v>
      </c>
    </row>
    <row r="192" spans="1:4">
      <c r="A192" s="63">
        <v>190</v>
      </c>
      <c r="D192" s="164">
        <f>IFERROR(VLOOKUP(Tabla8[[#This Row],[CARGO]],Tabla10[],2,FALSE),0)</f>
        <v>0</v>
      </c>
    </row>
    <row r="193" spans="1:4">
      <c r="A193" s="63">
        <v>191</v>
      </c>
      <c r="D193" s="164">
        <f>IFERROR(VLOOKUP(Tabla8[[#This Row],[CARGO]],Tabla10[],2,FALSE),0)</f>
        <v>0</v>
      </c>
    </row>
    <row r="194" spans="1:4">
      <c r="A194" s="63">
        <v>192</v>
      </c>
      <c r="D194" s="164">
        <f>IFERROR(VLOOKUP(Tabla8[[#This Row],[CARGO]],Tabla10[],2,FALSE),0)</f>
        <v>0</v>
      </c>
    </row>
    <row r="195" spans="1:4">
      <c r="A195" s="63">
        <v>193</v>
      </c>
      <c r="D195" s="164">
        <f>IFERROR(VLOOKUP(Tabla8[[#This Row],[CARGO]],Tabla10[],2,FALSE),0)</f>
        <v>0</v>
      </c>
    </row>
    <row r="196" spans="1:4">
      <c r="A196" s="63">
        <v>194</v>
      </c>
      <c r="D196" s="164">
        <f>IFERROR(VLOOKUP(Tabla8[[#This Row],[CARGO]],Tabla10[],2,FALSE),0)</f>
        <v>0</v>
      </c>
    </row>
    <row r="197" spans="1:4">
      <c r="A197" s="63">
        <v>195</v>
      </c>
      <c r="D197" s="164">
        <f>IFERROR(VLOOKUP(Tabla8[[#This Row],[CARGO]],Tabla10[],2,FALSE),0)</f>
        <v>0</v>
      </c>
    </row>
    <row r="198" spans="1:4">
      <c r="A198" s="63">
        <v>196</v>
      </c>
      <c r="D198" s="164">
        <f>IFERROR(VLOOKUP(Tabla8[[#This Row],[CARGO]],Tabla10[],2,FALSE),0)</f>
        <v>0</v>
      </c>
    </row>
    <row r="199" spans="1:4">
      <c r="A199" s="63">
        <v>197</v>
      </c>
      <c r="D199" s="164">
        <f>IFERROR(VLOOKUP(Tabla8[[#This Row],[CARGO]],Tabla10[],2,FALSE),0)</f>
        <v>0</v>
      </c>
    </row>
    <row r="200" spans="1:4">
      <c r="A200" s="63">
        <v>198</v>
      </c>
      <c r="D200" s="164">
        <f>IFERROR(VLOOKUP(Tabla8[[#This Row],[CARGO]],Tabla10[],2,FALSE),0)</f>
        <v>0</v>
      </c>
    </row>
    <row r="201" spans="1:4">
      <c r="A201" s="63">
        <v>199</v>
      </c>
      <c r="D201" s="164">
        <f>IFERROR(VLOOKUP(Tabla8[[#This Row],[CARGO]],Tabla10[],2,FALSE),0)</f>
        <v>0</v>
      </c>
    </row>
    <row r="202" spans="1:4">
      <c r="A202" s="63">
        <v>200</v>
      </c>
      <c r="D202" s="164">
        <f>IFERROR(VLOOKUP(Tabla8[[#This Row],[CARGO]],Tabla10[],2,FALSE),0)</f>
        <v>0</v>
      </c>
    </row>
    <row r="203" spans="1:4"/>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3427FA88-A75A-44A5-B1C9-61D42D6B80D5}">
          <x14:formula1>
            <xm:f>DATOS!$B$35:$B$84</xm:f>
          </x14:formula1>
          <xm:sqref>C3:C202</xm:sqref>
        </x14:dataValidation>
        <x14:dataValidation type="list" allowBlank="1" showInputMessage="1" showErrorMessage="1" xr:uid="{4765E8A5-1DF4-4974-BA53-221F8CE9DEA8}">
          <x14:formula1>
            <xm:f>DATOS!$E$29:$E$33</xm:f>
          </x14:formula1>
          <xm:sqref>G3:G12</xm:sqref>
        </x14:dataValidation>
        <x14:dataValidation type="list" allowBlank="1" showInputMessage="1" showErrorMessage="1" xr:uid="{9504DCC6-7100-46D9-B180-51FDDE9E25B8}">
          <x14:formula1>
            <xm:f>DATOS!$F$29:$F$33</xm:f>
          </x14:formula1>
          <xm:sqref>I3:I202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478CE-2E4F-4CE5-AB0E-B50E864796BB}">
  <sheetPr codeName="Hoja6">
    <tabColor rgb="FF002060"/>
  </sheetPr>
  <dimension ref="A1:XFA244"/>
  <sheetViews>
    <sheetView showGridLines="0" topLeftCell="Z1" zoomScaleNormal="100" workbookViewId="0">
      <selection activeCell="I4" sqref="I4:L13"/>
    </sheetView>
  </sheetViews>
  <sheetFormatPr baseColWidth="10" defaultColWidth="0" defaultRowHeight="12" customHeight="1" zeroHeight="1"/>
  <cols>
    <col min="1" max="1" width="3.6640625" style="1" customWidth="1"/>
    <col min="2" max="2" width="14.109375" style="1" customWidth="1"/>
    <col min="3" max="3" width="24.33203125" style="1" customWidth="1"/>
    <col min="4" max="4" width="32" style="1" customWidth="1"/>
    <col min="5" max="5" width="14.6640625" style="171" customWidth="1"/>
    <col min="6" max="6" width="16.109375" style="1" customWidth="1"/>
    <col min="7" max="7" width="16.109375" style="104" customWidth="1"/>
    <col min="8" max="8" width="15.44140625" style="1" customWidth="1"/>
    <col min="9" max="9" width="6.33203125" style="1" customWidth="1"/>
    <col min="10" max="11" width="4.44140625" style="1" customWidth="1"/>
    <col min="12" max="18" width="5.44140625" style="2" customWidth="1"/>
    <col min="19" max="19" width="28" style="1" customWidth="1"/>
    <col min="20" max="20" width="35.6640625" style="1" customWidth="1"/>
    <col min="21" max="21" width="15" style="1" customWidth="1"/>
    <col min="22" max="22" width="19.88671875" style="1" customWidth="1"/>
    <col min="23" max="24" width="15.44140625" style="1" customWidth="1"/>
    <col min="25" max="25" width="15.6640625" style="1" customWidth="1"/>
    <col min="26" max="26" width="18.109375" style="1" customWidth="1"/>
    <col min="27" max="27" width="22.88671875" style="1" customWidth="1"/>
    <col min="28" max="28" width="26.109375" style="1" customWidth="1"/>
    <col min="29" max="29" width="28.88671875" style="1" bestFit="1" customWidth="1"/>
    <col min="30" max="30" width="23.44140625" style="1" customWidth="1"/>
    <col min="31" max="31" width="26" style="1" bestFit="1" customWidth="1"/>
    <col min="32" max="32" width="23.109375" style="1" customWidth="1"/>
    <col min="33" max="33" width="11.44140625" style="1" customWidth="1"/>
    <col min="34" max="16380" width="11.44140625" style="1" hidden="1"/>
    <col min="16381" max="16381" width="6.33203125" style="1" hidden="1"/>
    <col min="16382" max="16384" width="4.88671875" style="1" hidden="1"/>
  </cols>
  <sheetData>
    <row r="1" spans="1:32" ht="37.5" customHeight="1">
      <c r="B1" s="304" t="s">
        <v>83</v>
      </c>
      <c r="C1" s="304"/>
      <c r="D1" s="304"/>
      <c r="E1" s="304"/>
      <c r="F1" s="304"/>
      <c r="G1" s="304"/>
      <c r="H1" s="304"/>
      <c r="I1" s="304"/>
      <c r="J1" s="304"/>
      <c r="K1" s="304"/>
      <c r="L1" s="304"/>
      <c r="M1" s="304"/>
      <c r="N1" s="304"/>
      <c r="O1" s="304"/>
      <c r="P1" s="304"/>
      <c r="Q1" s="304"/>
      <c r="R1" s="304"/>
      <c r="S1" s="304"/>
      <c r="T1" s="304"/>
      <c r="U1" s="304"/>
      <c r="V1" s="304"/>
      <c r="W1" s="304"/>
      <c r="X1" s="304"/>
      <c r="Y1" s="304"/>
      <c r="Z1" s="304"/>
      <c r="AA1" s="304"/>
    </row>
    <row r="2" spans="1:32" ht="36" customHeight="1">
      <c r="B2" s="305"/>
      <c r="C2" s="305"/>
      <c r="D2" s="305"/>
      <c r="E2" s="305"/>
      <c r="F2" s="305"/>
      <c r="G2" s="305"/>
      <c r="H2" s="305"/>
      <c r="I2" s="305"/>
      <c r="J2" s="305"/>
      <c r="K2" s="305"/>
      <c r="L2" s="305"/>
      <c r="M2" s="305"/>
      <c r="N2" s="305"/>
      <c r="O2" s="305"/>
      <c r="P2" s="305"/>
      <c r="Q2" s="305"/>
      <c r="R2" s="305"/>
      <c r="S2" s="305"/>
      <c r="T2" s="305"/>
      <c r="U2" s="305"/>
      <c r="V2" s="305"/>
      <c r="W2" s="305"/>
      <c r="X2" s="305"/>
      <c r="Y2" s="305"/>
      <c r="Z2" s="305"/>
      <c r="AA2" s="305"/>
    </row>
    <row r="3" spans="1:32" ht="92.25" customHeight="1">
      <c r="B3" s="75" t="s">
        <v>84</v>
      </c>
      <c r="C3" s="76" t="s">
        <v>85</v>
      </c>
      <c r="D3" s="76" t="s">
        <v>67</v>
      </c>
      <c r="E3" s="168" t="s">
        <v>86</v>
      </c>
      <c r="F3" s="77" t="s">
        <v>87</v>
      </c>
      <c r="G3" s="77" t="s">
        <v>88</v>
      </c>
      <c r="H3" s="77" t="s">
        <v>89</v>
      </c>
      <c r="I3" s="78" t="s">
        <v>213</v>
      </c>
      <c r="J3" s="78" t="s">
        <v>214</v>
      </c>
      <c r="K3" s="78" t="s">
        <v>215</v>
      </c>
      <c r="L3" s="78" t="s">
        <v>90</v>
      </c>
      <c r="M3" s="78" t="s">
        <v>91</v>
      </c>
      <c r="N3" s="78" t="s">
        <v>92</v>
      </c>
      <c r="O3" s="78" t="s">
        <v>93</v>
      </c>
      <c r="P3" s="78" t="s">
        <v>94</v>
      </c>
      <c r="Q3" s="78" t="s">
        <v>96</v>
      </c>
      <c r="R3" s="78" t="s">
        <v>216</v>
      </c>
      <c r="S3" s="77" t="s">
        <v>97</v>
      </c>
      <c r="T3" s="77" t="s">
        <v>98</v>
      </c>
      <c r="U3" s="76" t="s">
        <v>99</v>
      </c>
      <c r="V3" s="77" t="s">
        <v>100</v>
      </c>
      <c r="W3" s="77" t="s">
        <v>101</v>
      </c>
      <c r="X3" s="77" t="s">
        <v>102</v>
      </c>
      <c r="Y3" s="76" t="s">
        <v>103</v>
      </c>
      <c r="Z3" s="76" t="s">
        <v>104</v>
      </c>
      <c r="AA3" s="79" t="s">
        <v>105</v>
      </c>
      <c r="AB3" s="77" t="s">
        <v>106</v>
      </c>
      <c r="AC3" s="77" t="s">
        <v>107</v>
      </c>
      <c r="AD3" s="77" t="s">
        <v>108</v>
      </c>
      <c r="AE3" s="77" t="s">
        <v>109</v>
      </c>
      <c r="AF3" s="77" t="s">
        <v>110</v>
      </c>
    </row>
    <row r="4" spans="1:32" s="86" customFormat="1" ht="11.4">
      <c r="A4" s="1">
        <v>1</v>
      </c>
      <c r="B4" s="35">
        <v>1</v>
      </c>
      <c r="C4" s="80" t="str">
        <f>IFERROR(VLOOKUP(Tabla9[[#This Row],[CEDULA]],Tabla8[],2,FALSE),0)</f>
        <v>DISNERIS AVEMARIA</v>
      </c>
      <c r="D4" s="80" t="str">
        <f>IFERROR(VLOOKUP(Tabla9[[#This Row],[CEDULA]],Tabla8[],3,FALSE),0)</f>
        <v>Operario de máquinas</v>
      </c>
      <c r="E4" s="169">
        <f>IFERROR(VLOOKUP(Tabla9[[#This Row],[CEDULA]],Tabla8[],4,FALSE),0)</f>
        <v>1300000</v>
      </c>
      <c r="F4" s="81" t="s">
        <v>207</v>
      </c>
      <c r="G4" s="102">
        <v>0</v>
      </c>
      <c r="H4" s="83">
        <f>(30-(Tabla9[[#This Row],[Incapacidad]]+Tabla9[[#This Row],[PERMISO NO REMUNERADO]]+Tabla9[[#This Row],[SIN JUSTA CAUSA]]))-IF(Tabla9[[#This Row],[PERMISO NO REMUNERADO]]&gt;0,1,IF(Tabla9[[#This Row],[SIN JUSTA CAUSA]]&gt;0,1))</f>
        <v>30</v>
      </c>
      <c r="I4" s="83"/>
      <c r="J4" s="83"/>
      <c r="K4" s="83"/>
      <c r="L4" s="84"/>
      <c r="M4" s="84"/>
      <c r="N4" s="84"/>
      <c r="O4" s="84"/>
      <c r="P4" s="84"/>
      <c r="Q4" s="84"/>
      <c r="R4" s="84"/>
      <c r="S4" s="82">
        <v>0</v>
      </c>
      <c r="T4" s="85">
        <v>0</v>
      </c>
      <c r="U4" s="82">
        <v>0</v>
      </c>
      <c r="V4" s="82">
        <v>0</v>
      </c>
      <c r="W4" s="82">
        <v>0</v>
      </c>
      <c r="X4" s="82">
        <v>0</v>
      </c>
      <c r="Y4" s="82">
        <v>0</v>
      </c>
      <c r="Z4" s="82" t="s">
        <v>50</v>
      </c>
      <c r="AA4" s="36">
        <f>IFERROR(VLOOKUP(Z4,Tabla2[],2,FALSE),)</f>
        <v>5.2199999999999998E-3</v>
      </c>
      <c r="AB4" s="119">
        <f>IFERROR(VLOOKUP(Tabla9[[#This Row],[CEDULA]],Tabla8[],5,FALSE),0)</f>
        <v>45293</v>
      </c>
      <c r="AC4" s="119">
        <f>IFERROR(VLOOKUP(Tabla9[[#This Row],[CEDULA]],Tabla8[],6,FALSE),0)</f>
        <v>45473</v>
      </c>
      <c r="AD4" s="119" t="str">
        <f>IFERROR(VLOOKUP(Tabla9[[#This Row],[CEDULA]],Tabla8[],7,FALSE),0)</f>
        <v>Termino fijo inferior a 1 año</v>
      </c>
      <c r="AE4" s="119">
        <f>IFERROR(VLOOKUP(Tabla9[[#This Row],[CEDULA]],Tabla8[],8,FALSE),0)</f>
        <v>45427</v>
      </c>
      <c r="AF4" s="119" t="str">
        <f>IFERROR(VLOOKUP(Tabla9[[#This Row],[CEDULA]],Tabla8[],9,FALSE),0)</f>
        <v>Despido injustificado</v>
      </c>
    </row>
    <row r="5" spans="1:32" s="86" customFormat="1" ht="11.4">
      <c r="A5" s="1">
        <v>2</v>
      </c>
      <c r="B5" s="35">
        <v>2</v>
      </c>
      <c r="C5" s="80" t="str">
        <f>IFERROR(VLOOKUP(Tabla9[[#This Row],[CEDULA]],Tabla8[],2,FALSE),0)</f>
        <v>YILIMAR</v>
      </c>
      <c r="D5" s="80" t="str">
        <f>IFERROR(VLOOKUP(Tabla9[[#This Row],[CEDULA]],Tabla8[],3,FALSE),0)</f>
        <v>Supervisor</v>
      </c>
      <c r="E5" s="169">
        <f>IFERROR(VLOOKUP(Tabla9[[#This Row],[CEDULA]],Tabla8[],4,FALSE),0)</f>
        <v>1850000</v>
      </c>
      <c r="F5" s="81" t="s">
        <v>207</v>
      </c>
      <c r="G5" s="102">
        <v>0</v>
      </c>
      <c r="H5" s="83">
        <f>(30-(Tabla9[[#This Row],[Incapacidad]]+Tabla9[[#This Row],[PERMISO NO REMUNERADO]]+Tabla9[[#This Row],[SIN JUSTA CAUSA]]))-IF(Tabla9[[#This Row],[PERMISO NO REMUNERADO]]&gt;0,1,IF(Tabla9[[#This Row],[SIN JUSTA CAUSA]]&gt;0,1))</f>
        <v>30</v>
      </c>
      <c r="I5" s="83"/>
      <c r="J5" s="83"/>
      <c r="K5" s="83"/>
      <c r="L5" s="84"/>
      <c r="M5" s="84"/>
      <c r="N5" s="84"/>
      <c r="O5" s="84"/>
      <c r="P5" s="84"/>
      <c r="Q5" s="84"/>
      <c r="R5" s="84"/>
      <c r="S5" s="82">
        <v>0</v>
      </c>
      <c r="T5" s="85">
        <v>0</v>
      </c>
      <c r="U5" s="82">
        <v>0</v>
      </c>
      <c r="V5" s="82">
        <v>0</v>
      </c>
      <c r="W5" s="82">
        <v>0</v>
      </c>
      <c r="X5" s="82">
        <v>0</v>
      </c>
      <c r="Y5" s="82">
        <v>0</v>
      </c>
      <c r="Z5" s="82" t="s">
        <v>51</v>
      </c>
      <c r="AA5" s="36">
        <f>IFERROR(VLOOKUP(Z5,Tabla2[],2,FALSE),)</f>
        <v>1.044E-2</v>
      </c>
      <c r="AB5" s="119">
        <f>IFERROR(VLOOKUP(Tabla9[[#This Row],[CEDULA]],Tabla8[],5,FALSE),0)</f>
        <v>45294</v>
      </c>
      <c r="AC5" s="119">
        <f>IFERROR(VLOOKUP(Tabla9[[#This Row],[CEDULA]],Tabla8[],6,FALSE),0)</f>
        <v>45474</v>
      </c>
      <c r="AD5" s="119" t="str">
        <f>IFERROR(VLOOKUP(Tabla9[[#This Row],[CEDULA]],Tabla8[],7,FALSE),0)</f>
        <v>Termino fijo inferior a 1 año</v>
      </c>
      <c r="AE5" s="119">
        <f>IFERROR(VLOOKUP(Tabla9[[#This Row],[CEDULA]],Tabla8[],8,FALSE),0)</f>
        <v>45442</v>
      </c>
      <c r="AF5" s="119" t="str">
        <f>IFERROR(VLOOKUP(Tabla9[[#This Row],[CEDULA]],Tabla8[],9,FALSE),0)</f>
        <v>Renuncia</v>
      </c>
    </row>
    <row r="6" spans="1:32" s="86" customFormat="1" ht="11.4">
      <c r="A6" s="1">
        <v>3</v>
      </c>
      <c r="B6" s="35">
        <v>3</v>
      </c>
      <c r="C6" s="80" t="str">
        <f>IFERROR(VLOOKUP(Tabla9[[#This Row],[CEDULA]],Tabla8[],2,FALSE),0)</f>
        <v>SANDRA</v>
      </c>
      <c r="D6" s="80" t="str">
        <f>IFERROR(VLOOKUP(Tabla9[[#This Row],[CEDULA]],Tabla8[],3,FALSE),0)</f>
        <v>Patinador</v>
      </c>
      <c r="E6" s="169">
        <f>IFERROR(VLOOKUP(Tabla9[[#This Row],[CEDULA]],Tabla8[],4,FALSE),0)</f>
        <v>1600000</v>
      </c>
      <c r="F6" s="81" t="s">
        <v>207</v>
      </c>
      <c r="G6" s="102">
        <v>0</v>
      </c>
      <c r="H6" s="83">
        <f>(30-(Tabla9[[#This Row],[Incapacidad]]+Tabla9[[#This Row],[PERMISO NO REMUNERADO]]+Tabla9[[#This Row],[SIN JUSTA CAUSA]]))-IF(Tabla9[[#This Row],[PERMISO NO REMUNERADO]]&gt;0,1,IF(Tabla9[[#This Row],[SIN JUSTA CAUSA]]&gt;0,1))</f>
        <v>30</v>
      </c>
      <c r="I6" s="83"/>
      <c r="J6" s="83"/>
      <c r="K6" s="83"/>
      <c r="L6" s="84"/>
      <c r="M6" s="84"/>
      <c r="N6" s="84"/>
      <c r="O6" s="84"/>
      <c r="P6" s="84"/>
      <c r="Q6" s="84"/>
      <c r="R6" s="84"/>
      <c r="S6" s="82">
        <v>0</v>
      </c>
      <c r="T6" s="85">
        <v>0</v>
      </c>
      <c r="U6" s="82">
        <v>0</v>
      </c>
      <c r="V6" s="82">
        <v>0</v>
      </c>
      <c r="W6" s="82">
        <v>0</v>
      </c>
      <c r="X6" s="82">
        <v>0</v>
      </c>
      <c r="Y6" s="82">
        <v>0</v>
      </c>
      <c r="Z6" s="82" t="s">
        <v>50</v>
      </c>
      <c r="AA6" s="36">
        <f>IFERROR(VLOOKUP(Z6,Tabla2[],2,FALSE),)</f>
        <v>5.2199999999999998E-3</v>
      </c>
      <c r="AB6" s="119">
        <f>IFERROR(VLOOKUP(Tabla9[[#This Row],[CEDULA]],Tabla8[],5,FALSE),0)</f>
        <v>45293</v>
      </c>
      <c r="AC6" s="119">
        <f>IFERROR(VLOOKUP(Tabla9[[#This Row],[CEDULA]],Tabla8[],6,FALSE),0)</f>
        <v>45473</v>
      </c>
      <c r="AD6" s="119" t="str">
        <f>IFERROR(VLOOKUP(Tabla9[[#This Row],[CEDULA]],Tabla8[],7,FALSE),0)</f>
        <v>Termino fijo inferior a 1 año</v>
      </c>
      <c r="AE6" s="119">
        <v>45468</v>
      </c>
      <c r="AF6" s="119">
        <f>IFERROR(VLOOKUP(Tabla9[[#This Row],[CEDULA]],Tabla8[],9,FALSE),0)</f>
        <v>0</v>
      </c>
    </row>
    <row r="7" spans="1:32" s="86" customFormat="1" ht="11.4">
      <c r="A7" s="1">
        <v>4</v>
      </c>
      <c r="B7" s="35">
        <v>4</v>
      </c>
      <c r="C7" s="80" t="str">
        <f>IFERROR(VLOOKUP(Tabla9[[#This Row],[CEDULA]],Tabla8[],2,FALSE),0)</f>
        <v>DUVAN</v>
      </c>
      <c r="D7" s="80" t="str">
        <f>IFERROR(VLOOKUP(Tabla9[[#This Row],[CEDULA]],Tabla8[],3,FALSE),0)</f>
        <v>Operario de máquinas</v>
      </c>
      <c r="E7" s="169">
        <f>IFERROR(VLOOKUP(Tabla9[[#This Row],[CEDULA]],Tabla8[],4,FALSE),0)</f>
        <v>1300000</v>
      </c>
      <c r="F7" s="81" t="s">
        <v>207</v>
      </c>
      <c r="G7" s="102">
        <v>0</v>
      </c>
      <c r="H7" s="83">
        <f>(30-(Tabla9[[#This Row],[Incapacidad]]+Tabla9[[#This Row],[PERMISO NO REMUNERADO]]+Tabla9[[#This Row],[SIN JUSTA CAUSA]]))-IF(Tabla9[[#This Row],[PERMISO NO REMUNERADO]]&gt;0,1,IF(Tabla9[[#This Row],[SIN JUSTA CAUSA]]&gt;0,1))</f>
        <v>30</v>
      </c>
      <c r="I7" s="83"/>
      <c r="J7" s="83"/>
      <c r="K7" s="83"/>
      <c r="L7" s="84"/>
      <c r="M7" s="84"/>
      <c r="N7" s="84"/>
      <c r="O7" s="84"/>
      <c r="P7" s="84"/>
      <c r="Q7" s="84"/>
      <c r="R7" s="84"/>
      <c r="S7" s="82">
        <v>0</v>
      </c>
      <c r="T7" s="85">
        <v>0</v>
      </c>
      <c r="U7" s="82">
        <v>0</v>
      </c>
      <c r="V7" s="82">
        <v>0</v>
      </c>
      <c r="W7" s="82">
        <v>0</v>
      </c>
      <c r="X7" s="82">
        <v>0</v>
      </c>
      <c r="Y7" s="82">
        <v>0</v>
      </c>
      <c r="Z7" s="82" t="s">
        <v>50</v>
      </c>
      <c r="AA7" s="36">
        <f>IFERROR(VLOOKUP(Z7,Tabla2[],2,FALSE),)</f>
        <v>5.2199999999999998E-3</v>
      </c>
      <c r="AB7" s="119">
        <f>IFERROR(VLOOKUP(Tabla9[[#This Row],[CEDULA]],Tabla8[],5,FALSE),0)</f>
        <v>45293</v>
      </c>
      <c r="AC7" s="119">
        <f>IFERROR(VLOOKUP(Tabla9[[#This Row],[CEDULA]],Tabla8[],6,FALSE),0)</f>
        <v>45473</v>
      </c>
      <c r="AD7" s="119" t="str">
        <f>IFERROR(VLOOKUP(Tabla9[[#This Row],[CEDULA]],Tabla8[],7,FALSE),0)</f>
        <v>Termino fijo inferior a 1 año</v>
      </c>
      <c r="AE7" s="119">
        <f>IFERROR(VLOOKUP(Tabla9[[#This Row],[CEDULA]],Tabla8[],8,FALSE),0)</f>
        <v>0</v>
      </c>
      <c r="AF7" s="119">
        <f>IFERROR(VLOOKUP(Tabla9[[#This Row],[CEDULA]],Tabla8[],9,FALSE),0)</f>
        <v>0</v>
      </c>
    </row>
    <row r="8" spans="1:32" s="86" customFormat="1" ht="11.4">
      <c r="A8" s="1">
        <v>5</v>
      </c>
      <c r="B8" s="35">
        <v>5</v>
      </c>
      <c r="C8" s="80" t="str">
        <f>IFERROR(VLOOKUP(Tabla9[[#This Row],[CEDULA]],Tabla8[],2,FALSE),0)</f>
        <v>NEICER</v>
      </c>
      <c r="D8" s="80" t="str">
        <f>IFERROR(VLOOKUP(Tabla9[[#This Row],[CEDULA]],Tabla8[],3,FALSE),0)</f>
        <v>Operario de máquinas</v>
      </c>
      <c r="E8" s="169">
        <f>IFERROR(VLOOKUP(Tabla9[[#This Row],[CEDULA]],Tabla8[],4,FALSE),0)</f>
        <v>1300000</v>
      </c>
      <c r="F8" s="81" t="s">
        <v>207</v>
      </c>
      <c r="G8" s="102">
        <v>0</v>
      </c>
      <c r="H8" s="83">
        <f>(30-(Tabla9[[#This Row],[Incapacidad]]+Tabla9[[#This Row],[PERMISO NO REMUNERADO]]+Tabla9[[#This Row],[SIN JUSTA CAUSA]]))-IF(Tabla9[[#This Row],[PERMISO NO REMUNERADO]]&gt;0,1,IF(Tabla9[[#This Row],[SIN JUSTA CAUSA]]&gt;0,1))</f>
        <v>30</v>
      </c>
      <c r="I8" s="83"/>
      <c r="J8" s="83"/>
      <c r="K8" s="83"/>
      <c r="L8" s="84"/>
      <c r="M8" s="84"/>
      <c r="N8" s="84"/>
      <c r="O8" s="84"/>
      <c r="P8" s="84"/>
      <c r="Q8" s="84"/>
      <c r="R8" s="84"/>
      <c r="S8" s="82">
        <v>0</v>
      </c>
      <c r="T8" s="85">
        <v>0</v>
      </c>
      <c r="U8" s="82">
        <v>0</v>
      </c>
      <c r="V8" s="82">
        <v>0</v>
      </c>
      <c r="W8" s="82">
        <v>0</v>
      </c>
      <c r="X8" s="82">
        <v>0</v>
      </c>
      <c r="Y8" s="82">
        <v>0</v>
      </c>
      <c r="Z8" s="82" t="s">
        <v>50</v>
      </c>
      <c r="AA8" s="36">
        <f>IFERROR(VLOOKUP(Z8,Tabla2[],2,FALSE),)</f>
        <v>5.2199999999999998E-3</v>
      </c>
      <c r="AB8" s="119">
        <f>IFERROR(VLOOKUP(Tabla9[[#This Row],[CEDULA]],Tabla8[],5,FALSE),0)</f>
        <v>45293</v>
      </c>
      <c r="AC8" s="119">
        <f>IFERROR(VLOOKUP(Tabla9[[#This Row],[CEDULA]],Tabla8[],6,FALSE),0)</f>
        <v>45473</v>
      </c>
      <c r="AD8" s="119" t="str">
        <f>IFERROR(VLOOKUP(Tabla9[[#This Row],[CEDULA]],Tabla8[],7,FALSE),0)</f>
        <v>Termino fijo inferior a 1 año</v>
      </c>
      <c r="AE8" s="119">
        <f>IFERROR(VLOOKUP(Tabla9[[#This Row],[CEDULA]],Tabla8[],8,FALSE),0)</f>
        <v>0</v>
      </c>
      <c r="AF8" s="119">
        <f>IFERROR(VLOOKUP(Tabla9[[#This Row],[CEDULA]],Tabla8[],9,FALSE),0)</f>
        <v>0</v>
      </c>
    </row>
    <row r="9" spans="1:32" s="86" customFormat="1" ht="11.4">
      <c r="A9" s="1">
        <v>6</v>
      </c>
      <c r="B9" s="35">
        <v>6</v>
      </c>
      <c r="C9" s="80" t="str">
        <f>IFERROR(VLOOKUP(Tabla9[[#This Row],[CEDULA]],Tabla8[],2,FALSE),0)</f>
        <v>BRAYAN</v>
      </c>
      <c r="D9" s="80" t="str">
        <f>IFERROR(VLOOKUP(Tabla9[[#This Row],[CEDULA]],Tabla8[],3,FALSE),0)</f>
        <v>Operario de máquinas</v>
      </c>
      <c r="E9" s="169">
        <f>IFERROR(VLOOKUP(Tabla9[[#This Row],[CEDULA]],Tabla8[],4,FALSE),0)</f>
        <v>1300000</v>
      </c>
      <c r="F9" s="81" t="s">
        <v>207</v>
      </c>
      <c r="G9" s="102">
        <v>0</v>
      </c>
      <c r="H9" s="83">
        <f>(30-(Tabla9[[#This Row],[Incapacidad]]+Tabla9[[#This Row],[PERMISO NO REMUNERADO]]+Tabla9[[#This Row],[SIN JUSTA CAUSA]]))-IF(Tabla9[[#This Row],[PERMISO NO REMUNERADO]]&gt;0,1,IF(Tabla9[[#This Row],[SIN JUSTA CAUSA]]&gt;0,1))</f>
        <v>30</v>
      </c>
      <c r="I9" s="83"/>
      <c r="J9" s="83"/>
      <c r="K9" s="83"/>
      <c r="L9" s="84"/>
      <c r="M9" s="84"/>
      <c r="N9" s="84"/>
      <c r="O9" s="84"/>
      <c r="P9" s="84"/>
      <c r="Q9" s="84"/>
      <c r="R9" s="84"/>
      <c r="S9" s="82">
        <v>0</v>
      </c>
      <c r="T9" s="85">
        <v>0</v>
      </c>
      <c r="U9" s="82">
        <v>0</v>
      </c>
      <c r="V9" s="82">
        <v>0</v>
      </c>
      <c r="W9" s="82">
        <v>0</v>
      </c>
      <c r="X9" s="82">
        <v>0</v>
      </c>
      <c r="Y9" s="82">
        <v>0</v>
      </c>
      <c r="Z9" s="82" t="s">
        <v>50</v>
      </c>
      <c r="AA9" s="36">
        <f>IFERROR(VLOOKUP(Z9,Tabla2[],2,FALSE),)</f>
        <v>5.2199999999999998E-3</v>
      </c>
      <c r="AB9" s="119">
        <f>IFERROR(VLOOKUP(Tabla9[[#This Row],[CEDULA]],Tabla8[],5,FALSE),0)</f>
        <v>45293</v>
      </c>
      <c r="AC9" s="119">
        <f>IFERROR(VLOOKUP(Tabla9[[#This Row],[CEDULA]],Tabla8[],6,FALSE),0)</f>
        <v>45473</v>
      </c>
      <c r="AD9" s="119" t="str">
        <f>IFERROR(VLOOKUP(Tabla9[[#This Row],[CEDULA]],Tabla8[],7,FALSE),0)</f>
        <v>Termino fijo inferior a 1 año</v>
      </c>
      <c r="AE9" s="119">
        <f>IFERROR(VLOOKUP(Tabla9[[#This Row],[CEDULA]],Tabla8[],8,FALSE),0)</f>
        <v>0</v>
      </c>
      <c r="AF9" s="119">
        <f>IFERROR(VLOOKUP(Tabla9[[#This Row],[CEDULA]],Tabla8[],9,FALSE),0)</f>
        <v>0</v>
      </c>
    </row>
    <row r="10" spans="1:32" s="86" customFormat="1" ht="11.4">
      <c r="A10" s="1">
        <v>7</v>
      </c>
      <c r="B10" s="87">
        <v>7</v>
      </c>
      <c r="C10" s="80" t="str">
        <f>IFERROR(VLOOKUP(Tabla9[[#This Row],[CEDULA]],Tabla8[],2,FALSE),0)</f>
        <v>YASMÍN</v>
      </c>
      <c r="D10" s="80" t="str">
        <f>IFERROR(VLOOKUP(Tabla9[[#This Row],[CEDULA]],Tabla8[],3,FALSE),0)</f>
        <v>Jefe de Calidad</v>
      </c>
      <c r="E10" s="169">
        <f>IFERROR(VLOOKUP(Tabla9[[#This Row],[CEDULA]],Tabla8[],4,FALSE),0)</f>
        <v>2000000</v>
      </c>
      <c r="F10" s="81" t="s">
        <v>207</v>
      </c>
      <c r="G10" s="102">
        <v>0</v>
      </c>
      <c r="H10" s="83">
        <f>(30-(Tabla9[[#This Row],[Incapacidad]]+Tabla9[[#This Row],[PERMISO NO REMUNERADO]]+Tabla9[[#This Row],[SIN JUSTA CAUSA]]))-IF(Tabla9[[#This Row],[PERMISO NO REMUNERADO]]&gt;0,1,IF(Tabla9[[#This Row],[SIN JUSTA CAUSA]]&gt;0,1))</f>
        <v>30</v>
      </c>
      <c r="I10" s="83"/>
      <c r="J10" s="83"/>
      <c r="K10" s="83"/>
      <c r="L10" s="84"/>
      <c r="M10" s="84"/>
      <c r="N10" s="84"/>
      <c r="O10" s="84"/>
      <c r="P10" s="84"/>
      <c r="Q10" s="84"/>
      <c r="R10" s="84"/>
      <c r="S10" s="82">
        <v>0</v>
      </c>
      <c r="T10" s="85">
        <v>0</v>
      </c>
      <c r="U10" s="82">
        <v>0</v>
      </c>
      <c r="V10" s="82">
        <v>0</v>
      </c>
      <c r="W10" s="82">
        <v>0</v>
      </c>
      <c r="X10" s="82">
        <v>0</v>
      </c>
      <c r="Y10" s="82">
        <v>0</v>
      </c>
      <c r="Z10" s="82" t="s">
        <v>50</v>
      </c>
      <c r="AA10" s="36">
        <f>IFERROR(VLOOKUP(Z10,Tabla2[],2,FALSE),)</f>
        <v>5.2199999999999998E-3</v>
      </c>
      <c r="AB10" s="119">
        <f>IFERROR(VLOOKUP(Tabla9[[#This Row],[CEDULA]],Tabla8[],5,FALSE),0)</f>
        <v>45293</v>
      </c>
      <c r="AC10" s="119">
        <f>IFERROR(VLOOKUP(Tabla9[[#This Row],[CEDULA]],Tabla8[],6,FALSE),0)</f>
        <v>45473</v>
      </c>
      <c r="AD10" s="119" t="str">
        <f>IFERROR(VLOOKUP(Tabla9[[#This Row],[CEDULA]],Tabla8[],7,FALSE),0)</f>
        <v>Termino fijo inferior a 1 año</v>
      </c>
      <c r="AE10" s="119">
        <f>IFERROR(VLOOKUP(Tabla9[[#This Row],[CEDULA]],Tabla8[],8,FALSE),0)</f>
        <v>0</v>
      </c>
      <c r="AF10" s="119">
        <f>IFERROR(VLOOKUP(Tabla9[[#This Row],[CEDULA]],Tabla8[],9,FALSE),0)</f>
        <v>0</v>
      </c>
    </row>
    <row r="11" spans="1:32" s="86" customFormat="1" ht="11.4">
      <c r="A11" s="1">
        <v>8</v>
      </c>
      <c r="B11" s="87">
        <v>8</v>
      </c>
      <c r="C11" s="80" t="str">
        <f>IFERROR(VLOOKUP(Tabla9[[#This Row],[CEDULA]],Tabla8[],2,FALSE),0)</f>
        <v>JOSE</v>
      </c>
      <c r="D11" s="80" t="str">
        <f>IFERROR(VLOOKUP(Tabla9[[#This Row],[CEDULA]],Tabla8[],3,FALSE),0)</f>
        <v>Planchador</v>
      </c>
      <c r="E11" s="169">
        <f>IFERROR(VLOOKUP(Tabla9[[#This Row],[CEDULA]],Tabla8[],4,FALSE),0)</f>
        <v>1460000</v>
      </c>
      <c r="F11" s="81" t="s">
        <v>207</v>
      </c>
      <c r="G11" s="102">
        <v>0</v>
      </c>
      <c r="H11" s="83">
        <f>(30-(Tabla9[[#This Row],[Incapacidad]]+Tabla9[[#This Row],[PERMISO NO REMUNERADO]]+Tabla9[[#This Row],[SIN JUSTA CAUSA]]))-IF(Tabla9[[#This Row],[PERMISO NO REMUNERADO]]&gt;0,1,IF(Tabla9[[#This Row],[SIN JUSTA CAUSA]]&gt;0,1))</f>
        <v>30</v>
      </c>
      <c r="I11" s="83"/>
      <c r="J11" s="83"/>
      <c r="K11" s="83"/>
      <c r="L11" s="84"/>
      <c r="M11" s="84"/>
      <c r="N11" s="84"/>
      <c r="O11" s="84"/>
      <c r="P11" s="84"/>
      <c r="Q11" s="84"/>
      <c r="R11" s="84"/>
      <c r="S11" s="82">
        <v>0</v>
      </c>
      <c r="T11" s="85">
        <v>0</v>
      </c>
      <c r="U11" s="82">
        <v>0</v>
      </c>
      <c r="V11" s="82">
        <v>0</v>
      </c>
      <c r="W11" s="82">
        <v>0</v>
      </c>
      <c r="X11" s="82">
        <v>0</v>
      </c>
      <c r="Y11" s="82">
        <v>0</v>
      </c>
      <c r="Z11" s="82" t="s">
        <v>50</v>
      </c>
      <c r="AA11" s="36">
        <f>IFERROR(VLOOKUP(Z11,Tabla2[],2,FALSE),)</f>
        <v>5.2199999999999998E-3</v>
      </c>
      <c r="AB11" s="119">
        <f>IFERROR(VLOOKUP(Tabla9[[#This Row],[CEDULA]],Tabla8[],5,FALSE),0)</f>
        <v>45293</v>
      </c>
      <c r="AC11" s="119">
        <f>IFERROR(VLOOKUP(Tabla9[[#This Row],[CEDULA]],Tabla8[],6,FALSE),0)</f>
        <v>45473</v>
      </c>
      <c r="AD11" s="119" t="str">
        <f>IFERROR(VLOOKUP(Tabla9[[#This Row],[CEDULA]],Tabla8[],7,FALSE),0)</f>
        <v>Termino fijo inferior a 1 año</v>
      </c>
      <c r="AE11" s="119">
        <f>IFERROR(VLOOKUP(Tabla9[[#This Row],[CEDULA]],Tabla8[],8,FALSE),0)</f>
        <v>0</v>
      </c>
      <c r="AF11" s="119">
        <f>IFERROR(VLOOKUP(Tabla9[[#This Row],[CEDULA]],Tabla8[],9,FALSE),0)</f>
        <v>0</v>
      </c>
    </row>
    <row r="12" spans="1:32" s="86" customFormat="1" ht="11.4">
      <c r="A12" s="1">
        <v>9</v>
      </c>
      <c r="B12" s="87">
        <v>9</v>
      </c>
      <c r="C12" s="80" t="str">
        <f>IFERROR(VLOOKUP(Tabla9[[#This Row],[CEDULA]],Tabla8[],2,FALSE),0)</f>
        <v>RIGOBERTO URAN PEÑA</v>
      </c>
      <c r="D12" s="80" t="str">
        <f>IFERROR(VLOOKUP(Tabla9[[#This Row],[CEDULA]],Tabla8[],3,FALSE),0)</f>
        <v>Servicios Generales</v>
      </c>
      <c r="E12" s="169">
        <f>IFERROR(VLOOKUP(Tabla9[[#This Row],[CEDULA]],Tabla8[],4,FALSE),0)</f>
        <v>1320000</v>
      </c>
      <c r="F12" s="81" t="s">
        <v>207</v>
      </c>
      <c r="G12" s="102">
        <v>0</v>
      </c>
      <c r="H12" s="83">
        <f>(30-(Tabla9[[#This Row],[Incapacidad]]+Tabla9[[#This Row],[PERMISO NO REMUNERADO]]+Tabla9[[#This Row],[SIN JUSTA CAUSA]]))-IF(Tabla9[[#This Row],[PERMISO NO REMUNERADO]]&gt;0,1,IF(Tabla9[[#This Row],[SIN JUSTA CAUSA]]&gt;0,1))</f>
        <v>30</v>
      </c>
      <c r="I12" s="83"/>
      <c r="J12" s="83"/>
      <c r="K12" s="83"/>
      <c r="L12" s="84"/>
      <c r="M12" s="84"/>
      <c r="N12" s="84"/>
      <c r="O12" s="84"/>
      <c r="P12" s="84"/>
      <c r="Q12" s="84"/>
      <c r="R12" s="84"/>
      <c r="S12" s="82">
        <v>0</v>
      </c>
      <c r="T12" s="85">
        <v>0</v>
      </c>
      <c r="U12" s="82">
        <v>0</v>
      </c>
      <c r="V12" s="82">
        <v>0</v>
      </c>
      <c r="W12" s="82">
        <v>0</v>
      </c>
      <c r="X12" s="82">
        <v>0</v>
      </c>
      <c r="Y12" s="82">
        <v>0</v>
      </c>
      <c r="Z12" s="82" t="s">
        <v>50</v>
      </c>
      <c r="AA12" s="36">
        <f>IFERROR(VLOOKUP(Z12,Tabla2[],2,FALSE),)</f>
        <v>5.2199999999999998E-3</v>
      </c>
      <c r="AB12" s="119">
        <f>IFERROR(VLOOKUP(Tabla9[[#This Row],[CEDULA]],Tabla8[],5,FALSE),0)</f>
        <v>45293</v>
      </c>
      <c r="AC12" s="119">
        <f>IFERROR(VLOOKUP(Tabla9[[#This Row],[CEDULA]],Tabla8[],6,FALSE),0)</f>
        <v>45473</v>
      </c>
      <c r="AD12" s="119" t="str">
        <f>IFERROR(VLOOKUP(Tabla9[[#This Row],[CEDULA]],Tabla8[],7,FALSE),0)</f>
        <v>Termino fijo inferior a 1 año</v>
      </c>
      <c r="AE12" s="119">
        <f>IFERROR(VLOOKUP(Tabla9[[#This Row],[CEDULA]],Tabla8[],8,FALSE),0)</f>
        <v>0</v>
      </c>
      <c r="AF12" s="119">
        <f>IFERROR(VLOOKUP(Tabla9[[#This Row],[CEDULA]],Tabla8[],9,FALSE),0)</f>
        <v>0</v>
      </c>
    </row>
    <row r="13" spans="1:32" s="86" customFormat="1" ht="11.4">
      <c r="A13" s="1">
        <v>10</v>
      </c>
      <c r="B13" s="87">
        <v>10</v>
      </c>
      <c r="C13" s="80" t="str">
        <f>IFERROR(VLOOKUP(Tabla9[[#This Row],[CEDULA]],Tabla8[],2,FALSE),0)</f>
        <v>RENÉ HIGUITA SUAZA</v>
      </c>
      <c r="D13" s="80" t="str">
        <f>IFERROR(VLOOKUP(Tabla9[[#This Row],[CEDULA]],Tabla8[],3,FALSE),0)</f>
        <v>Operarios manuales</v>
      </c>
      <c r="E13" s="169">
        <f>IFERROR(VLOOKUP(Tabla9[[#This Row],[CEDULA]],Tabla8[],4,FALSE),0)</f>
        <v>1300000</v>
      </c>
      <c r="F13" s="81" t="s">
        <v>207</v>
      </c>
      <c r="G13" s="102">
        <v>0</v>
      </c>
      <c r="H13" s="83">
        <f>(30-(Tabla9[[#This Row],[Incapacidad]]+Tabla9[[#This Row],[PERMISO NO REMUNERADO]]+Tabla9[[#This Row],[SIN JUSTA CAUSA]]))-IF(Tabla9[[#This Row],[PERMISO NO REMUNERADO]]&gt;0,1,IF(Tabla9[[#This Row],[SIN JUSTA CAUSA]]&gt;0,1))</f>
        <v>30</v>
      </c>
      <c r="I13" s="83"/>
      <c r="J13" s="83"/>
      <c r="K13" s="83"/>
      <c r="L13" s="84"/>
      <c r="M13" s="84"/>
      <c r="N13" s="84"/>
      <c r="O13" s="84"/>
      <c r="P13" s="84"/>
      <c r="Q13" s="84"/>
      <c r="R13" s="84"/>
      <c r="S13" s="82">
        <v>0</v>
      </c>
      <c r="T13" s="85">
        <v>0</v>
      </c>
      <c r="U13" s="82">
        <v>0</v>
      </c>
      <c r="V13" s="82">
        <v>0</v>
      </c>
      <c r="W13" s="82">
        <v>0</v>
      </c>
      <c r="X13" s="82">
        <v>0</v>
      </c>
      <c r="Y13" s="82">
        <v>0</v>
      </c>
      <c r="Z13" s="82" t="s">
        <v>50</v>
      </c>
      <c r="AA13" s="36">
        <f>IFERROR(VLOOKUP(Z13,Tabla2[],2,FALSE),)</f>
        <v>5.2199999999999998E-3</v>
      </c>
      <c r="AB13" s="119">
        <f>IFERROR(VLOOKUP(Tabla9[[#This Row],[CEDULA]],Tabla8[],5,FALSE),0)</f>
        <v>45293</v>
      </c>
      <c r="AC13" s="119">
        <f>IFERROR(VLOOKUP(Tabla9[[#This Row],[CEDULA]],Tabla8[],6,FALSE),0)</f>
        <v>45473</v>
      </c>
      <c r="AD13" s="119" t="str">
        <f>IFERROR(VLOOKUP(Tabla9[[#This Row],[CEDULA]],Tabla8[],7,FALSE),0)</f>
        <v>Termino fijo inferior a 1 año</v>
      </c>
      <c r="AE13" s="119">
        <f>IFERROR(VLOOKUP(Tabla9[[#This Row],[CEDULA]],Tabla8[],8,FALSE),0)</f>
        <v>0</v>
      </c>
      <c r="AF13" s="119">
        <f>IFERROR(VLOOKUP(Tabla9[[#This Row],[CEDULA]],Tabla8[],9,FALSE),0)</f>
        <v>0</v>
      </c>
    </row>
    <row r="14" spans="1:32" s="86" customFormat="1" ht="11.4">
      <c r="A14" s="1">
        <v>11</v>
      </c>
      <c r="B14" s="30"/>
      <c r="C14" s="80">
        <f>IFERROR(VLOOKUP(Tabla9[[#This Row],[CEDULA]],Tabla8[],2,FALSE),0)</f>
        <v>0</v>
      </c>
      <c r="D14" s="80">
        <f>IFERROR(VLOOKUP(Tabla9[[#This Row],[CEDULA]],Tabla8[],3,FALSE),0)</f>
        <v>0</v>
      </c>
      <c r="E14" s="169">
        <f>IFERROR(VLOOKUP(Tabla9[[#This Row],[CEDULA]],Tabla8[],4,FALSE),0)</f>
        <v>0</v>
      </c>
      <c r="F14" s="81"/>
      <c r="G14" s="102"/>
      <c r="H14" s="83"/>
      <c r="I14" s="83"/>
      <c r="J14" s="83"/>
      <c r="K14" s="83"/>
      <c r="L14" s="84"/>
      <c r="M14" s="84"/>
      <c r="N14" s="84"/>
      <c r="O14" s="84"/>
      <c r="P14" s="84"/>
      <c r="Q14" s="84"/>
      <c r="R14" s="84"/>
      <c r="S14" s="82">
        <v>0</v>
      </c>
      <c r="T14" s="85">
        <v>0</v>
      </c>
      <c r="U14" s="82">
        <v>0</v>
      </c>
      <c r="V14" s="82">
        <v>0</v>
      </c>
      <c r="W14" s="82">
        <v>0</v>
      </c>
      <c r="X14" s="82">
        <v>0</v>
      </c>
      <c r="Y14" s="82">
        <v>0</v>
      </c>
      <c r="Z14" s="82"/>
      <c r="AA14" s="36">
        <f>IFERROR(VLOOKUP(Z14,Tabla2[],2,FALSE),)</f>
        <v>0</v>
      </c>
      <c r="AB14" s="119">
        <f>IFERROR(VLOOKUP(Tabla9[[#This Row],[CEDULA]],Tabla8[],5,FALSE),0)</f>
        <v>0</v>
      </c>
      <c r="AC14" s="119">
        <f>IFERROR(VLOOKUP(Tabla9[[#This Row],[CEDULA]],Tabla8[],6,FALSE),0)</f>
        <v>0</v>
      </c>
      <c r="AD14" s="119">
        <f>IFERROR(VLOOKUP(Tabla9[[#This Row],[CEDULA]],Tabla8[],7,FALSE),0)</f>
        <v>0</v>
      </c>
      <c r="AE14" s="119">
        <f>IFERROR(VLOOKUP(Tabla9[[#This Row],[CEDULA]],Tabla8[],8,FALSE),0)</f>
        <v>0</v>
      </c>
      <c r="AF14" s="119">
        <f>IFERROR(VLOOKUP(Tabla9[[#This Row],[CEDULA]],Tabla8[],9,FALSE),0)</f>
        <v>0</v>
      </c>
    </row>
    <row r="15" spans="1:32" s="86" customFormat="1" ht="11.4">
      <c r="A15" s="1">
        <v>12</v>
      </c>
      <c r="B15" s="30"/>
      <c r="C15" s="80">
        <f>IFERROR(VLOOKUP(Tabla9[[#This Row],[CEDULA]],Tabla8[],2,FALSE),0)</f>
        <v>0</v>
      </c>
      <c r="D15" s="80">
        <f>IFERROR(VLOOKUP(Tabla9[[#This Row],[CEDULA]],Tabla8[],3,FALSE),0)</f>
        <v>0</v>
      </c>
      <c r="E15" s="169">
        <f>IFERROR(VLOOKUP(Tabla9[[#This Row],[CEDULA]],Tabla8[],4,FALSE),0)</f>
        <v>0</v>
      </c>
      <c r="F15" s="81"/>
      <c r="G15" s="102"/>
      <c r="H15" s="83"/>
      <c r="I15" s="83"/>
      <c r="J15" s="83"/>
      <c r="K15" s="83"/>
      <c r="L15" s="84"/>
      <c r="M15" s="84"/>
      <c r="N15" s="84"/>
      <c r="O15" s="84"/>
      <c r="P15" s="84"/>
      <c r="Q15" s="84"/>
      <c r="R15" s="84"/>
      <c r="S15" s="82">
        <v>0</v>
      </c>
      <c r="T15" s="85">
        <v>0</v>
      </c>
      <c r="U15" s="82">
        <v>0</v>
      </c>
      <c r="V15" s="82">
        <v>0</v>
      </c>
      <c r="W15" s="82">
        <v>0</v>
      </c>
      <c r="X15" s="82">
        <v>0</v>
      </c>
      <c r="Y15" s="82">
        <v>0</v>
      </c>
      <c r="Z15" s="82"/>
      <c r="AA15" s="36">
        <f>IFERROR(VLOOKUP(Z15,Tabla2[],2,FALSE),)</f>
        <v>0</v>
      </c>
      <c r="AB15" s="119">
        <f>IFERROR(VLOOKUP(Tabla9[[#This Row],[CEDULA]],Tabla8[],5,FALSE),0)</f>
        <v>0</v>
      </c>
      <c r="AC15" s="119">
        <f>IFERROR(VLOOKUP(Tabla9[[#This Row],[CEDULA]],Tabla8[],6,FALSE),0)</f>
        <v>0</v>
      </c>
      <c r="AD15" s="119">
        <f>IFERROR(VLOOKUP(Tabla9[[#This Row],[CEDULA]],Tabla8[],7,FALSE),0)</f>
        <v>0</v>
      </c>
      <c r="AE15" s="119">
        <f>IFERROR(VLOOKUP(Tabla9[[#This Row],[CEDULA]],Tabla8[],8,FALSE),0)</f>
        <v>0</v>
      </c>
      <c r="AF15" s="119">
        <f>IFERROR(VLOOKUP(Tabla9[[#This Row],[CEDULA]],Tabla8[],9,FALSE),0)</f>
        <v>0</v>
      </c>
    </row>
    <row r="16" spans="1:32" s="86" customFormat="1" ht="11.4">
      <c r="A16" s="1">
        <v>13</v>
      </c>
      <c r="B16" s="30"/>
      <c r="C16" s="80">
        <f>IFERROR(VLOOKUP(Tabla9[[#This Row],[CEDULA]],Tabla8[],2,FALSE),0)</f>
        <v>0</v>
      </c>
      <c r="D16" s="80">
        <f>IFERROR(VLOOKUP(Tabla9[[#This Row],[CEDULA]],Tabla8[],3,FALSE),0)</f>
        <v>0</v>
      </c>
      <c r="E16" s="169">
        <f>IFERROR(VLOOKUP(Tabla9[[#This Row],[CEDULA]],Tabla8[],4,FALSE),0)</f>
        <v>0</v>
      </c>
      <c r="F16" s="81"/>
      <c r="G16" s="102"/>
      <c r="H16" s="83"/>
      <c r="I16" s="83"/>
      <c r="J16" s="83"/>
      <c r="K16" s="83"/>
      <c r="L16" s="84"/>
      <c r="M16" s="84"/>
      <c r="N16" s="84"/>
      <c r="O16" s="84"/>
      <c r="P16" s="84"/>
      <c r="Q16" s="84"/>
      <c r="R16" s="84"/>
      <c r="S16" s="82">
        <v>0</v>
      </c>
      <c r="T16" s="85">
        <v>0</v>
      </c>
      <c r="U16" s="82">
        <v>0</v>
      </c>
      <c r="V16" s="82">
        <v>0</v>
      </c>
      <c r="W16" s="82">
        <v>0</v>
      </c>
      <c r="X16" s="82">
        <v>0</v>
      </c>
      <c r="Y16" s="82">
        <v>0</v>
      </c>
      <c r="Z16" s="82"/>
      <c r="AA16" s="36">
        <f>IFERROR(VLOOKUP(Z16,Tabla2[],2,FALSE),)</f>
        <v>0</v>
      </c>
      <c r="AB16" s="119">
        <f>IFERROR(VLOOKUP(Tabla9[[#This Row],[CEDULA]],Tabla8[],5,FALSE),0)</f>
        <v>0</v>
      </c>
      <c r="AC16" s="119">
        <f>IFERROR(VLOOKUP(Tabla9[[#This Row],[CEDULA]],Tabla8[],6,FALSE),0)</f>
        <v>0</v>
      </c>
      <c r="AD16" s="119">
        <f>IFERROR(VLOOKUP(Tabla9[[#This Row],[CEDULA]],Tabla8[],7,FALSE),0)</f>
        <v>0</v>
      </c>
      <c r="AE16" s="119">
        <f>IFERROR(VLOOKUP(Tabla9[[#This Row],[CEDULA]],Tabla8[],8,FALSE),0)</f>
        <v>0</v>
      </c>
      <c r="AF16" s="119">
        <f>IFERROR(VLOOKUP(Tabla9[[#This Row],[CEDULA]],Tabla8[],9,FALSE),0)</f>
        <v>0</v>
      </c>
    </row>
    <row r="17" spans="1:32" s="86" customFormat="1" ht="11.4">
      <c r="A17" s="1">
        <v>14</v>
      </c>
      <c r="B17" s="30"/>
      <c r="C17" s="80">
        <f>IFERROR(VLOOKUP(Tabla9[[#This Row],[CEDULA]],Tabla8[],2,FALSE),0)</f>
        <v>0</v>
      </c>
      <c r="D17" s="80">
        <f>IFERROR(VLOOKUP(Tabla9[[#This Row],[CEDULA]],Tabla8[],3,FALSE),0)</f>
        <v>0</v>
      </c>
      <c r="E17" s="169">
        <f>IFERROR(VLOOKUP(Tabla9[[#This Row],[CEDULA]],Tabla8[],4,FALSE),0)</f>
        <v>0</v>
      </c>
      <c r="F17" s="81"/>
      <c r="G17" s="102"/>
      <c r="H17" s="83"/>
      <c r="I17" s="83"/>
      <c r="J17" s="83"/>
      <c r="K17" s="83"/>
      <c r="L17" s="84"/>
      <c r="M17" s="84"/>
      <c r="N17" s="84"/>
      <c r="O17" s="84"/>
      <c r="P17" s="84"/>
      <c r="Q17" s="84"/>
      <c r="R17" s="84"/>
      <c r="S17" s="82">
        <v>0</v>
      </c>
      <c r="T17" s="85">
        <v>0</v>
      </c>
      <c r="U17" s="82">
        <v>0</v>
      </c>
      <c r="V17" s="82">
        <v>0</v>
      </c>
      <c r="W17" s="82">
        <v>0</v>
      </c>
      <c r="X17" s="82">
        <v>0</v>
      </c>
      <c r="Y17" s="82">
        <v>0</v>
      </c>
      <c r="Z17" s="82"/>
      <c r="AA17" s="36">
        <f>IFERROR(VLOOKUP(Z17,Tabla2[],2,FALSE),)</f>
        <v>0</v>
      </c>
      <c r="AB17" s="119">
        <f>IFERROR(VLOOKUP(Tabla9[[#This Row],[CEDULA]],Tabla8[],5,FALSE),0)</f>
        <v>0</v>
      </c>
      <c r="AC17" s="119">
        <f>IFERROR(VLOOKUP(Tabla9[[#This Row],[CEDULA]],Tabla8[],6,FALSE),0)</f>
        <v>0</v>
      </c>
      <c r="AD17" s="119">
        <f>IFERROR(VLOOKUP(Tabla9[[#This Row],[CEDULA]],Tabla8[],7,FALSE),0)</f>
        <v>0</v>
      </c>
      <c r="AE17" s="119">
        <f>IFERROR(VLOOKUP(Tabla9[[#This Row],[CEDULA]],Tabla8[],8,FALSE),0)</f>
        <v>0</v>
      </c>
      <c r="AF17" s="119">
        <f>IFERROR(VLOOKUP(Tabla9[[#This Row],[CEDULA]],Tabla8[],9,FALSE),0)</f>
        <v>0</v>
      </c>
    </row>
    <row r="18" spans="1:32" s="86" customFormat="1" ht="11.4">
      <c r="A18" s="1">
        <v>15</v>
      </c>
      <c r="B18" s="30"/>
      <c r="C18" s="80">
        <f>IFERROR(VLOOKUP(Tabla9[[#This Row],[CEDULA]],Tabla8[],2,FALSE),0)</f>
        <v>0</v>
      </c>
      <c r="D18" s="80">
        <f>IFERROR(VLOOKUP(Tabla9[[#This Row],[CEDULA]],Tabla8[],3,FALSE),0)</f>
        <v>0</v>
      </c>
      <c r="E18" s="169">
        <f>IFERROR(VLOOKUP(Tabla9[[#This Row],[CEDULA]],Tabla8[],4,FALSE),0)</f>
        <v>0</v>
      </c>
      <c r="F18" s="81"/>
      <c r="G18" s="102"/>
      <c r="H18" s="83"/>
      <c r="I18" s="83"/>
      <c r="J18" s="83"/>
      <c r="K18" s="83"/>
      <c r="L18" s="84"/>
      <c r="M18" s="84"/>
      <c r="N18" s="84"/>
      <c r="O18" s="84"/>
      <c r="P18" s="84"/>
      <c r="Q18" s="84"/>
      <c r="R18" s="84"/>
      <c r="S18" s="82">
        <v>0</v>
      </c>
      <c r="T18" s="85">
        <v>0</v>
      </c>
      <c r="U18" s="82">
        <v>0</v>
      </c>
      <c r="V18" s="82">
        <v>0</v>
      </c>
      <c r="W18" s="82">
        <v>0</v>
      </c>
      <c r="X18" s="82">
        <v>0</v>
      </c>
      <c r="Y18" s="82">
        <v>0</v>
      </c>
      <c r="Z18" s="82"/>
      <c r="AA18" s="36">
        <f>IFERROR(VLOOKUP(Z18,Tabla2[],2,FALSE),)</f>
        <v>0</v>
      </c>
      <c r="AB18" s="119">
        <f>IFERROR(VLOOKUP(Tabla9[[#This Row],[CEDULA]],Tabla8[],5,FALSE),0)</f>
        <v>0</v>
      </c>
      <c r="AC18" s="119">
        <f>IFERROR(VLOOKUP(Tabla9[[#This Row],[CEDULA]],Tabla8[],6,FALSE),0)</f>
        <v>0</v>
      </c>
      <c r="AD18" s="119">
        <f>IFERROR(VLOOKUP(Tabla9[[#This Row],[CEDULA]],Tabla8[],7,FALSE),0)</f>
        <v>0</v>
      </c>
      <c r="AE18" s="119">
        <f>IFERROR(VLOOKUP(Tabla9[[#This Row],[CEDULA]],Tabla8[],8,FALSE),0)</f>
        <v>0</v>
      </c>
      <c r="AF18" s="119">
        <f>IFERROR(VLOOKUP(Tabla9[[#This Row],[CEDULA]],Tabla8[],9,FALSE),0)</f>
        <v>0</v>
      </c>
    </row>
    <row r="19" spans="1:32" s="86" customFormat="1" ht="11.4">
      <c r="A19" s="1">
        <v>16</v>
      </c>
      <c r="B19" s="30"/>
      <c r="C19" s="80">
        <f>IFERROR(VLOOKUP(Tabla9[[#This Row],[CEDULA]],Tabla8[],2,FALSE),0)</f>
        <v>0</v>
      </c>
      <c r="D19" s="80">
        <f>IFERROR(VLOOKUP(Tabla9[[#This Row],[CEDULA]],Tabla8[],3,FALSE),0)</f>
        <v>0</v>
      </c>
      <c r="E19" s="169">
        <f>IFERROR(VLOOKUP(Tabla9[[#This Row],[CEDULA]],Tabla8[],4,FALSE),0)</f>
        <v>0</v>
      </c>
      <c r="F19" s="81"/>
      <c r="G19" s="102"/>
      <c r="H19" s="83"/>
      <c r="I19" s="83"/>
      <c r="J19" s="83"/>
      <c r="K19" s="83"/>
      <c r="L19" s="84"/>
      <c r="M19" s="84"/>
      <c r="N19" s="84"/>
      <c r="O19" s="84"/>
      <c r="P19" s="84"/>
      <c r="Q19" s="84"/>
      <c r="R19" s="84"/>
      <c r="S19" s="82">
        <v>0</v>
      </c>
      <c r="T19" s="85">
        <v>0</v>
      </c>
      <c r="U19" s="82">
        <v>0</v>
      </c>
      <c r="V19" s="82">
        <v>0</v>
      </c>
      <c r="W19" s="82">
        <v>0</v>
      </c>
      <c r="X19" s="82">
        <v>0</v>
      </c>
      <c r="Y19" s="82">
        <v>0</v>
      </c>
      <c r="Z19" s="82"/>
      <c r="AA19" s="36">
        <f>IFERROR(VLOOKUP(Z19,Tabla2[],2,FALSE),)</f>
        <v>0</v>
      </c>
      <c r="AB19" s="119">
        <f>IFERROR(VLOOKUP(Tabla9[[#This Row],[CEDULA]],Tabla8[],5,FALSE),0)</f>
        <v>0</v>
      </c>
      <c r="AC19" s="119">
        <f>IFERROR(VLOOKUP(Tabla9[[#This Row],[CEDULA]],Tabla8[],6,FALSE),0)</f>
        <v>0</v>
      </c>
      <c r="AD19" s="119">
        <f>IFERROR(VLOOKUP(Tabla9[[#This Row],[CEDULA]],Tabla8[],7,FALSE),0)</f>
        <v>0</v>
      </c>
      <c r="AE19" s="119">
        <f>IFERROR(VLOOKUP(Tabla9[[#This Row],[CEDULA]],Tabla8[],8,FALSE),0)</f>
        <v>0</v>
      </c>
      <c r="AF19" s="119">
        <f>IFERROR(VLOOKUP(Tabla9[[#This Row],[CEDULA]],Tabla8[],9,FALSE),0)</f>
        <v>0</v>
      </c>
    </row>
    <row r="20" spans="1:32" s="86" customFormat="1" ht="11.4">
      <c r="A20" s="1">
        <v>17</v>
      </c>
      <c r="B20" s="30"/>
      <c r="C20" s="80">
        <f>IFERROR(VLOOKUP(Tabla9[[#This Row],[CEDULA]],Tabla8[],2,FALSE),0)</f>
        <v>0</v>
      </c>
      <c r="D20" s="80">
        <f>IFERROR(VLOOKUP(Tabla9[[#This Row],[CEDULA]],Tabla8[],3,FALSE),0)</f>
        <v>0</v>
      </c>
      <c r="E20" s="169">
        <f>IFERROR(VLOOKUP(Tabla9[[#This Row],[CEDULA]],Tabla8[],4,FALSE),0)</f>
        <v>0</v>
      </c>
      <c r="F20" s="81"/>
      <c r="G20" s="102"/>
      <c r="H20" s="83"/>
      <c r="I20" s="83"/>
      <c r="J20" s="83"/>
      <c r="K20" s="83"/>
      <c r="L20" s="84"/>
      <c r="M20" s="84"/>
      <c r="N20" s="84"/>
      <c r="O20" s="84"/>
      <c r="P20" s="84"/>
      <c r="Q20" s="84"/>
      <c r="R20" s="84"/>
      <c r="S20" s="82">
        <v>0</v>
      </c>
      <c r="T20" s="85">
        <v>0</v>
      </c>
      <c r="U20" s="82">
        <v>0</v>
      </c>
      <c r="V20" s="82">
        <v>0</v>
      </c>
      <c r="W20" s="82">
        <v>0</v>
      </c>
      <c r="X20" s="82">
        <v>0</v>
      </c>
      <c r="Y20" s="82">
        <v>0</v>
      </c>
      <c r="Z20" s="82"/>
      <c r="AA20" s="36">
        <f>IFERROR(VLOOKUP(Z20,Tabla2[],2,FALSE),)</f>
        <v>0</v>
      </c>
      <c r="AB20" s="119">
        <f>IFERROR(VLOOKUP(Tabla9[[#This Row],[CEDULA]],Tabla8[],5,FALSE),0)</f>
        <v>0</v>
      </c>
      <c r="AC20" s="119">
        <f>IFERROR(VLOOKUP(Tabla9[[#This Row],[CEDULA]],Tabla8[],6,FALSE),0)</f>
        <v>0</v>
      </c>
      <c r="AD20" s="119">
        <f>IFERROR(VLOOKUP(Tabla9[[#This Row],[CEDULA]],Tabla8[],7,FALSE),0)</f>
        <v>0</v>
      </c>
      <c r="AE20" s="119">
        <f>IFERROR(VLOOKUP(Tabla9[[#This Row],[CEDULA]],Tabla8[],8,FALSE),0)</f>
        <v>0</v>
      </c>
      <c r="AF20" s="119">
        <f>IFERROR(VLOOKUP(Tabla9[[#This Row],[CEDULA]],Tabla8[],9,FALSE),0)</f>
        <v>0</v>
      </c>
    </row>
    <row r="21" spans="1:32" s="86" customFormat="1" ht="11.4">
      <c r="A21" s="1">
        <v>18</v>
      </c>
      <c r="B21" s="30"/>
      <c r="C21" s="80">
        <f>IFERROR(VLOOKUP(Tabla9[[#This Row],[CEDULA]],Tabla8[],2,FALSE),0)</f>
        <v>0</v>
      </c>
      <c r="D21" s="80">
        <f>IFERROR(VLOOKUP(Tabla9[[#This Row],[CEDULA]],Tabla8[],3,FALSE),0)</f>
        <v>0</v>
      </c>
      <c r="E21" s="169">
        <f>IFERROR(VLOOKUP(Tabla9[[#This Row],[CEDULA]],Tabla8[],4,FALSE),0)</f>
        <v>0</v>
      </c>
      <c r="F21" s="81"/>
      <c r="G21" s="102"/>
      <c r="H21" s="83"/>
      <c r="I21" s="83"/>
      <c r="J21" s="83"/>
      <c r="K21" s="83"/>
      <c r="L21" s="84"/>
      <c r="M21" s="84"/>
      <c r="N21" s="84"/>
      <c r="O21" s="84"/>
      <c r="P21" s="84"/>
      <c r="Q21" s="84"/>
      <c r="R21" s="84"/>
      <c r="S21" s="82">
        <v>0</v>
      </c>
      <c r="T21" s="85">
        <v>0</v>
      </c>
      <c r="U21" s="82">
        <v>0</v>
      </c>
      <c r="V21" s="82">
        <v>0</v>
      </c>
      <c r="W21" s="82">
        <v>0</v>
      </c>
      <c r="X21" s="82">
        <v>0</v>
      </c>
      <c r="Y21" s="82">
        <v>0</v>
      </c>
      <c r="Z21" s="82"/>
      <c r="AA21" s="36">
        <f>IFERROR(VLOOKUP(Z21,Tabla2[],2,FALSE),)</f>
        <v>0</v>
      </c>
      <c r="AB21" s="119">
        <f>IFERROR(VLOOKUP(Tabla9[[#This Row],[CEDULA]],Tabla8[],5,FALSE),0)</f>
        <v>0</v>
      </c>
      <c r="AC21" s="119">
        <f>IFERROR(VLOOKUP(Tabla9[[#This Row],[CEDULA]],Tabla8[],6,FALSE),0)</f>
        <v>0</v>
      </c>
      <c r="AD21" s="119">
        <f>IFERROR(VLOOKUP(Tabla9[[#This Row],[CEDULA]],Tabla8[],7,FALSE),0)</f>
        <v>0</v>
      </c>
      <c r="AE21" s="119">
        <f>IFERROR(VLOOKUP(Tabla9[[#This Row],[CEDULA]],Tabla8[],8,FALSE),0)</f>
        <v>0</v>
      </c>
      <c r="AF21" s="119">
        <f>IFERROR(VLOOKUP(Tabla9[[#This Row],[CEDULA]],Tabla8[],9,FALSE),0)</f>
        <v>0</v>
      </c>
    </row>
    <row r="22" spans="1:32" s="86" customFormat="1" ht="11.4">
      <c r="A22" s="1">
        <v>19</v>
      </c>
      <c r="B22" s="30"/>
      <c r="C22" s="80">
        <f>IFERROR(VLOOKUP(Tabla9[[#This Row],[CEDULA]],Tabla8[],2,FALSE),0)</f>
        <v>0</v>
      </c>
      <c r="D22" s="80">
        <f>IFERROR(VLOOKUP(Tabla9[[#This Row],[CEDULA]],Tabla8[],3,FALSE),0)</f>
        <v>0</v>
      </c>
      <c r="E22" s="169">
        <f>IFERROR(VLOOKUP(Tabla9[[#This Row],[CEDULA]],Tabla8[],4,FALSE),0)</f>
        <v>0</v>
      </c>
      <c r="F22" s="81"/>
      <c r="G22" s="102"/>
      <c r="H22" s="83"/>
      <c r="I22" s="83"/>
      <c r="J22" s="83"/>
      <c r="K22" s="83"/>
      <c r="L22" s="84"/>
      <c r="M22" s="84"/>
      <c r="N22" s="84"/>
      <c r="O22" s="84"/>
      <c r="P22" s="84"/>
      <c r="Q22" s="84"/>
      <c r="R22" s="84"/>
      <c r="S22" s="82">
        <v>0</v>
      </c>
      <c r="T22" s="85">
        <v>0</v>
      </c>
      <c r="U22" s="82">
        <v>0</v>
      </c>
      <c r="V22" s="82">
        <v>0</v>
      </c>
      <c r="W22" s="82">
        <v>0</v>
      </c>
      <c r="X22" s="82">
        <v>0</v>
      </c>
      <c r="Y22" s="82">
        <v>0</v>
      </c>
      <c r="Z22" s="82"/>
      <c r="AA22" s="36">
        <f>IFERROR(VLOOKUP(Z22,Tabla2[],2,FALSE),)</f>
        <v>0</v>
      </c>
      <c r="AB22" s="119">
        <f>IFERROR(VLOOKUP(Tabla9[[#This Row],[CEDULA]],Tabla8[],5,FALSE),0)</f>
        <v>0</v>
      </c>
      <c r="AC22" s="119">
        <f>IFERROR(VLOOKUP(Tabla9[[#This Row],[CEDULA]],Tabla8[],6,FALSE),0)</f>
        <v>0</v>
      </c>
      <c r="AD22" s="119">
        <f>IFERROR(VLOOKUP(Tabla9[[#This Row],[CEDULA]],Tabla8[],7,FALSE),0)</f>
        <v>0</v>
      </c>
      <c r="AE22" s="119">
        <f>IFERROR(VLOOKUP(Tabla9[[#This Row],[CEDULA]],Tabla8[],8,FALSE),0)</f>
        <v>0</v>
      </c>
      <c r="AF22" s="119">
        <f>IFERROR(VLOOKUP(Tabla9[[#This Row],[CEDULA]],Tabla8[],9,FALSE),0)</f>
        <v>0</v>
      </c>
    </row>
    <row r="23" spans="1:32" s="86" customFormat="1" ht="11.4">
      <c r="A23" s="1">
        <v>20</v>
      </c>
      <c r="B23" s="30"/>
      <c r="C23" s="80">
        <f>IFERROR(VLOOKUP(Tabla9[[#This Row],[CEDULA]],Tabla8[],2,FALSE),0)</f>
        <v>0</v>
      </c>
      <c r="D23" s="80">
        <f>IFERROR(VLOOKUP(Tabla9[[#This Row],[CEDULA]],Tabla8[],3,FALSE),0)</f>
        <v>0</v>
      </c>
      <c r="E23" s="169">
        <f>IFERROR(VLOOKUP(Tabla9[[#This Row],[CEDULA]],Tabla8[],4,FALSE),0)</f>
        <v>0</v>
      </c>
      <c r="F23" s="81"/>
      <c r="G23" s="102"/>
      <c r="H23" s="83"/>
      <c r="I23" s="83"/>
      <c r="J23" s="83"/>
      <c r="K23" s="83"/>
      <c r="L23" s="84"/>
      <c r="M23" s="84"/>
      <c r="N23" s="84"/>
      <c r="O23" s="84"/>
      <c r="P23" s="84"/>
      <c r="Q23" s="84"/>
      <c r="R23" s="84"/>
      <c r="S23" s="82">
        <v>0</v>
      </c>
      <c r="T23" s="85">
        <v>0</v>
      </c>
      <c r="U23" s="82">
        <v>0</v>
      </c>
      <c r="V23" s="82">
        <v>0</v>
      </c>
      <c r="W23" s="82">
        <v>0</v>
      </c>
      <c r="X23" s="82">
        <v>0</v>
      </c>
      <c r="Y23" s="82">
        <v>0</v>
      </c>
      <c r="Z23" s="82"/>
      <c r="AA23" s="36">
        <f>IFERROR(VLOOKUP(Z23,Tabla2[],2,FALSE),)</f>
        <v>0</v>
      </c>
      <c r="AB23" s="119">
        <f>IFERROR(VLOOKUP(Tabla9[[#This Row],[CEDULA]],Tabla8[],5,FALSE),0)</f>
        <v>0</v>
      </c>
      <c r="AC23" s="119">
        <f>IFERROR(VLOOKUP(Tabla9[[#This Row],[CEDULA]],Tabla8[],6,FALSE),0)</f>
        <v>0</v>
      </c>
      <c r="AD23" s="119">
        <f>IFERROR(VLOOKUP(Tabla9[[#This Row],[CEDULA]],Tabla8[],7,FALSE),0)</f>
        <v>0</v>
      </c>
      <c r="AE23" s="119">
        <f>IFERROR(VLOOKUP(Tabla9[[#This Row],[CEDULA]],Tabla8[],8,FALSE),0)</f>
        <v>0</v>
      </c>
      <c r="AF23" s="119">
        <f>IFERROR(VLOOKUP(Tabla9[[#This Row],[CEDULA]],Tabla8[],9,FALSE),0)</f>
        <v>0</v>
      </c>
    </row>
    <row r="24" spans="1:32" s="86" customFormat="1" ht="11.4">
      <c r="A24" s="1">
        <v>21</v>
      </c>
      <c r="B24" s="30"/>
      <c r="C24" s="80">
        <f>IFERROR(VLOOKUP(Tabla9[[#This Row],[CEDULA]],Tabla8[],2,FALSE),0)</f>
        <v>0</v>
      </c>
      <c r="D24" s="80">
        <f>IFERROR(VLOOKUP(Tabla9[[#This Row],[CEDULA]],Tabla8[],3,FALSE),0)</f>
        <v>0</v>
      </c>
      <c r="E24" s="169">
        <f>IFERROR(VLOOKUP(Tabla9[[#This Row],[CEDULA]],Tabla8[],4,FALSE),0)</f>
        <v>0</v>
      </c>
      <c r="F24" s="81"/>
      <c r="G24" s="102"/>
      <c r="H24" s="83"/>
      <c r="I24" s="83"/>
      <c r="J24" s="83"/>
      <c r="K24" s="83"/>
      <c r="L24" s="84"/>
      <c r="M24" s="84"/>
      <c r="N24" s="84"/>
      <c r="O24" s="84"/>
      <c r="P24" s="84"/>
      <c r="Q24" s="84"/>
      <c r="R24" s="84"/>
      <c r="S24" s="82">
        <v>0</v>
      </c>
      <c r="T24" s="85">
        <v>0</v>
      </c>
      <c r="U24" s="82">
        <v>0</v>
      </c>
      <c r="V24" s="82">
        <v>0</v>
      </c>
      <c r="W24" s="82">
        <v>0</v>
      </c>
      <c r="X24" s="82">
        <v>0</v>
      </c>
      <c r="Y24" s="82">
        <v>0</v>
      </c>
      <c r="Z24" s="82"/>
      <c r="AA24" s="36">
        <f>IFERROR(VLOOKUP(Z24,Tabla2[],2,FALSE),)</f>
        <v>0</v>
      </c>
      <c r="AB24" s="119">
        <f>IFERROR(VLOOKUP(Tabla9[[#This Row],[CEDULA]],Tabla8[],5,FALSE),0)</f>
        <v>0</v>
      </c>
      <c r="AC24" s="119">
        <f>IFERROR(VLOOKUP(Tabla9[[#This Row],[CEDULA]],Tabla8[],6,FALSE),0)</f>
        <v>0</v>
      </c>
      <c r="AD24" s="119">
        <f>IFERROR(VLOOKUP(Tabla9[[#This Row],[CEDULA]],Tabla8[],7,FALSE),0)</f>
        <v>0</v>
      </c>
      <c r="AE24" s="119">
        <f>IFERROR(VLOOKUP(Tabla9[[#This Row],[CEDULA]],Tabla8[],8,FALSE),0)</f>
        <v>0</v>
      </c>
      <c r="AF24" s="119">
        <f>IFERROR(VLOOKUP(Tabla9[[#This Row],[CEDULA]],Tabla8[],9,FALSE),0)</f>
        <v>0</v>
      </c>
    </row>
    <row r="25" spans="1:32" s="86" customFormat="1" ht="11.4">
      <c r="A25" s="1">
        <v>22</v>
      </c>
      <c r="B25" s="30"/>
      <c r="C25" s="80">
        <f>IFERROR(VLOOKUP(Tabla9[[#This Row],[CEDULA]],Tabla8[],2,FALSE),0)</f>
        <v>0</v>
      </c>
      <c r="D25" s="80">
        <f>IFERROR(VLOOKUP(Tabla9[[#This Row],[CEDULA]],Tabla8[],3,FALSE),0)</f>
        <v>0</v>
      </c>
      <c r="E25" s="169">
        <f>IFERROR(VLOOKUP(Tabla9[[#This Row],[CEDULA]],Tabla8[],4,FALSE),0)</f>
        <v>0</v>
      </c>
      <c r="F25" s="81"/>
      <c r="G25" s="102"/>
      <c r="H25" s="83"/>
      <c r="I25" s="83"/>
      <c r="J25" s="83"/>
      <c r="K25" s="83"/>
      <c r="L25" s="84"/>
      <c r="M25" s="84"/>
      <c r="N25" s="84"/>
      <c r="O25" s="84"/>
      <c r="P25" s="84"/>
      <c r="Q25" s="84"/>
      <c r="R25" s="84"/>
      <c r="S25" s="82">
        <v>0</v>
      </c>
      <c r="T25" s="85">
        <v>0</v>
      </c>
      <c r="U25" s="82">
        <v>0</v>
      </c>
      <c r="V25" s="82">
        <v>0</v>
      </c>
      <c r="W25" s="82">
        <v>0</v>
      </c>
      <c r="X25" s="82">
        <v>0</v>
      </c>
      <c r="Y25" s="82">
        <v>0</v>
      </c>
      <c r="Z25" s="82"/>
      <c r="AA25" s="36">
        <f>IFERROR(VLOOKUP(Z25,Tabla2[],2,FALSE),)</f>
        <v>0</v>
      </c>
      <c r="AB25" s="119">
        <f>IFERROR(VLOOKUP(Tabla9[[#This Row],[CEDULA]],Tabla8[],5,FALSE),0)</f>
        <v>0</v>
      </c>
      <c r="AC25" s="119">
        <f>IFERROR(VLOOKUP(Tabla9[[#This Row],[CEDULA]],Tabla8[],6,FALSE),0)</f>
        <v>0</v>
      </c>
      <c r="AD25" s="119">
        <f>IFERROR(VLOOKUP(Tabla9[[#This Row],[CEDULA]],Tabla8[],7,FALSE),0)</f>
        <v>0</v>
      </c>
      <c r="AE25" s="119">
        <f>IFERROR(VLOOKUP(Tabla9[[#This Row],[CEDULA]],Tabla8[],8,FALSE),0)</f>
        <v>0</v>
      </c>
      <c r="AF25" s="119">
        <f>IFERROR(VLOOKUP(Tabla9[[#This Row],[CEDULA]],Tabla8[],9,FALSE),0)</f>
        <v>0</v>
      </c>
    </row>
    <row r="26" spans="1:32" s="86" customFormat="1" ht="11.4">
      <c r="A26" s="1">
        <v>23</v>
      </c>
      <c r="B26" s="30"/>
      <c r="C26" s="80">
        <f>IFERROR(VLOOKUP(Tabla9[[#This Row],[CEDULA]],Tabla8[],2,FALSE),0)</f>
        <v>0</v>
      </c>
      <c r="D26" s="80">
        <f>IFERROR(VLOOKUP(Tabla9[[#This Row],[CEDULA]],Tabla8[],3,FALSE),0)</f>
        <v>0</v>
      </c>
      <c r="E26" s="169">
        <f>IFERROR(VLOOKUP(Tabla9[[#This Row],[CEDULA]],Tabla8[],4,FALSE),0)</f>
        <v>0</v>
      </c>
      <c r="F26" s="81"/>
      <c r="G26" s="102"/>
      <c r="H26" s="83"/>
      <c r="I26" s="83"/>
      <c r="J26" s="83"/>
      <c r="K26" s="83"/>
      <c r="L26" s="84"/>
      <c r="M26" s="84"/>
      <c r="N26" s="84"/>
      <c r="O26" s="84"/>
      <c r="P26" s="84"/>
      <c r="Q26" s="84"/>
      <c r="R26" s="84"/>
      <c r="S26" s="82">
        <v>0</v>
      </c>
      <c r="T26" s="85">
        <v>0</v>
      </c>
      <c r="U26" s="82">
        <v>0</v>
      </c>
      <c r="V26" s="82">
        <v>0</v>
      </c>
      <c r="W26" s="82">
        <v>0</v>
      </c>
      <c r="X26" s="82">
        <v>0</v>
      </c>
      <c r="Y26" s="82">
        <v>0</v>
      </c>
      <c r="Z26" s="82"/>
      <c r="AA26" s="36">
        <f>IFERROR(VLOOKUP(Z26,Tabla2[],2,FALSE),)</f>
        <v>0</v>
      </c>
      <c r="AB26" s="119">
        <f>IFERROR(VLOOKUP(Tabla9[[#This Row],[CEDULA]],Tabla8[],5,FALSE),0)</f>
        <v>0</v>
      </c>
      <c r="AC26" s="119">
        <f>IFERROR(VLOOKUP(Tabla9[[#This Row],[CEDULA]],Tabla8[],6,FALSE),0)</f>
        <v>0</v>
      </c>
      <c r="AD26" s="119">
        <f>IFERROR(VLOOKUP(Tabla9[[#This Row],[CEDULA]],Tabla8[],7,FALSE),0)</f>
        <v>0</v>
      </c>
      <c r="AE26" s="119">
        <f>IFERROR(VLOOKUP(Tabla9[[#This Row],[CEDULA]],Tabla8[],8,FALSE),0)</f>
        <v>0</v>
      </c>
      <c r="AF26" s="119">
        <f>IFERROR(VLOOKUP(Tabla9[[#This Row],[CEDULA]],Tabla8[],9,FALSE),0)</f>
        <v>0</v>
      </c>
    </row>
    <row r="27" spans="1:32" s="86" customFormat="1" ht="11.4">
      <c r="A27" s="1">
        <v>24</v>
      </c>
      <c r="B27" s="30"/>
      <c r="C27" s="80">
        <f>IFERROR(VLOOKUP(Tabla9[[#This Row],[CEDULA]],Tabla8[],2,FALSE),0)</f>
        <v>0</v>
      </c>
      <c r="D27" s="80">
        <f>IFERROR(VLOOKUP(Tabla9[[#This Row],[CEDULA]],Tabla8[],3,FALSE),0)</f>
        <v>0</v>
      </c>
      <c r="E27" s="169">
        <f>IFERROR(VLOOKUP(Tabla9[[#This Row],[CEDULA]],Tabla8[],4,FALSE),0)</f>
        <v>0</v>
      </c>
      <c r="F27" s="81"/>
      <c r="G27" s="102"/>
      <c r="H27" s="83"/>
      <c r="I27" s="83"/>
      <c r="J27" s="83"/>
      <c r="K27" s="83"/>
      <c r="L27" s="84"/>
      <c r="M27" s="84"/>
      <c r="N27" s="84"/>
      <c r="O27" s="84"/>
      <c r="P27" s="84"/>
      <c r="Q27" s="84"/>
      <c r="R27" s="84"/>
      <c r="S27" s="82">
        <v>0</v>
      </c>
      <c r="T27" s="85">
        <v>0</v>
      </c>
      <c r="U27" s="82">
        <v>0</v>
      </c>
      <c r="V27" s="82">
        <v>0</v>
      </c>
      <c r="W27" s="82">
        <v>0</v>
      </c>
      <c r="X27" s="82">
        <v>0</v>
      </c>
      <c r="Y27" s="82">
        <v>0</v>
      </c>
      <c r="Z27" s="82"/>
      <c r="AA27" s="36">
        <f>IFERROR(VLOOKUP(Z27,Tabla2[],2,FALSE),)</f>
        <v>0</v>
      </c>
      <c r="AB27" s="119">
        <f>IFERROR(VLOOKUP(Tabla9[[#This Row],[CEDULA]],Tabla8[],5,FALSE),0)</f>
        <v>0</v>
      </c>
      <c r="AC27" s="119">
        <f>IFERROR(VLOOKUP(Tabla9[[#This Row],[CEDULA]],Tabla8[],6,FALSE),0)</f>
        <v>0</v>
      </c>
      <c r="AD27" s="119">
        <f>IFERROR(VLOOKUP(Tabla9[[#This Row],[CEDULA]],Tabla8[],7,FALSE),0)</f>
        <v>0</v>
      </c>
      <c r="AE27" s="119">
        <f>IFERROR(VLOOKUP(Tabla9[[#This Row],[CEDULA]],Tabla8[],8,FALSE),0)</f>
        <v>0</v>
      </c>
      <c r="AF27" s="119">
        <f>IFERROR(VLOOKUP(Tabla9[[#This Row],[CEDULA]],Tabla8[],9,FALSE),0)</f>
        <v>0</v>
      </c>
    </row>
    <row r="28" spans="1:32" s="86" customFormat="1" ht="11.4">
      <c r="A28" s="1">
        <v>25</v>
      </c>
      <c r="B28" s="30"/>
      <c r="C28" s="80">
        <f>IFERROR(VLOOKUP(Tabla9[[#This Row],[CEDULA]],Tabla8[],2,FALSE),0)</f>
        <v>0</v>
      </c>
      <c r="D28" s="80">
        <f>IFERROR(VLOOKUP(Tabla9[[#This Row],[CEDULA]],Tabla8[],3,FALSE),0)</f>
        <v>0</v>
      </c>
      <c r="E28" s="169">
        <f>IFERROR(VLOOKUP(Tabla9[[#This Row],[CEDULA]],Tabla8[],4,FALSE),0)</f>
        <v>0</v>
      </c>
      <c r="F28" s="81"/>
      <c r="G28" s="102"/>
      <c r="H28" s="83"/>
      <c r="I28" s="83"/>
      <c r="J28" s="83"/>
      <c r="K28" s="83"/>
      <c r="L28" s="84"/>
      <c r="M28" s="84"/>
      <c r="N28" s="84"/>
      <c r="O28" s="84"/>
      <c r="P28" s="84"/>
      <c r="Q28" s="84"/>
      <c r="R28" s="84"/>
      <c r="S28" s="82">
        <v>0</v>
      </c>
      <c r="T28" s="85">
        <v>0</v>
      </c>
      <c r="U28" s="82">
        <v>0</v>
      </c>
      <c r="V28" s="82">
        <v>0</v>
      </c>
      <c r="W28" s="82">
        <v>0</v>
      </c>
      <c r="X28" s="82">
        <v>0</v>
      </c>
      <c r="Y28" s="82">
        <v>0</v>
      </c>
      <c r="Z28" s="82"/>
      <c r="AA28" s="36">
        <f>IFERROR(VLOOKUP(Z28,Tabla2[],2,FALSE),)</f>
        <v>0</v>
      </c>
      <c r="AB28" s="119">
        <f>IFERROR(VLOOKUP(Tabla9[[#This Row],[CEDULA]],Tabla8[],5,FALSE),0)</f>
        <v>0</v>
      </c>
      <c r="AC28" s="119">
        <f>IFERROR(VLOOKUP(Tabla9[[#This Row],[CEDULA]],Tabla8[],6,FALSE),0)</f>
        <v>0</v>
      </c>
      <c r="AD28" s="119">
        <f>IFERROR(VLOOKUP(Tabla9[[#This Row],[CEDULA]],Tabla8[],7,FALSE),0)</f>
        <v>0</v>
      </c>
      <c r="AE28" s="119">
        <f>IFERROR(VLOOKUP(Tabla9[[#This Row],[CEDULA]],Tabla8[],8,FALSE),0)</f>
        <v>0</v>
      </c>
      <c r="AF28" s="119">
        <f>IFERROR(VLOOKUP(Tabla9[[#This Row],[CEDULA]],Tabla8[],9,FALSE),0)</f>
        <v>0</v>
      </c>
    </row>
    <row r="29" spans="1:32" s="86" customFormat="1" ht="11.4">
      <c r="A29" s="1">
        <v>26</v>
      </c>
      <c r="B29" s="30"/>
      <c r="C29" s="80">
        <f>IFERROR(VLOOKUP(Tabla9[[#This Row],[CEDULA]],Tabla8[],2,FALSE),0)</f>
        <v>0</v>
      </c>
      <c r="D29" s="80">
        <f>IFERROR(VLOOKUP(Tabla9[[#This Row],[CEDULA]],Tabla8[],3,FALSE),0)</f>
        <v>0</v>
      </c>
      <c r="E29" s="169">
        <f>IFERROR(VLOOKUP(Tabla9[[#This Row],[CEDULA]],Tabla8[],4,FALSE),0)</f>
        <v>0</v>
      </c>
      <c r="F29" s="81"/>
      <c r="G29" s="102"/>
      <c r="H29" s="81"/>
      <c r="I29" s="81"/>
      <c r="J29" s="81"/>
      <c r="K29" s="81"/>
      <c r="L29" s="84"/>
      <c r="M29" s="84"/>
      <c r="N29" s="84"/>
      <c r="O29" s="84"/>
      <c r="P29" s="84"/>
      <c r="Q29" s="84"/>
      <c r="R29" s="84"/>
      <c r="S29" s="82">
        <v>0</v>
      </c>
      <c r="T29" s="85">
        <v>0</v>
      </c>
      <c r="U29" s="82">
        <v>0</v>
      </c>
      <c r="V29" s="82">
        <v>0</v>
      </c>
      <c r="W29" s="82">
        <v>0</v>
      </c>
      <c r="X29" s="82">
        <v>0</v>
      </c>
      <c r="Y29" s="82">
        <v>0</v>
      </c>
      <c r="Z29" s="82"/>
      <c r="AA29" s="36">
        <f>IFERROR(VLOOKUP(Z29,Tabla2[],2,FALSE),)</f>
        <v>0</v>
      </c>
      <c r="AB29" s="119">
        <f>IFERROR(VLOOKUP(Tabla9[[#This Row],[CEDULA]],Tabla8[],5,FALSE),0)</f>
        <v>0</v>
      </c>
      <c r="AC29" s="119">
        <f>IFERROR(VLOOKUP(Tabla9[[#This Row],[CEDULA]],Tabla8[],6,FALSE),0)</f>
        <v>0</v>
      </c>
      <c r="AD29" s="119">
        <f>IFERROR(VLOOKUP(Tabla9[[#This Row],[CEDULA]],Tabla8[],7,FALSE),0)</f>
        <v>0</v>
      </c>
      <c r="AE29" s="119">
        <f>IFERROR(VLOOKUP(Tabla9[[#This Row],[CEDULA]],Tabla8[],8,FALSE),0)</f>
        <v>0</v>
      </c>
      <c r="AF29" s="119">
        <f>IFERROR(VLOOKUP(Tabla9[[#This Row],[CEDULA]],Tabla8[],9,FALSE),0)</f>
        <v>0</v>
      </c>
    </row>
    <row r="30" spans="1:32" s="86" customFormat="1" ht="11.4">
      <c r="A30" s="1">
        <v>27</v>
      </c>
      <c r="B30" s="30"/>
      <c r="C30" s="80">
        <f>IFERROR(VLOOKUP(Tabla9[[#This Row],[CEDULA]],Tabla8[],2,FALSE),0)</f>
        <v>0</v>
      </c>
      <c r="D30" s="80">
        <f>IFERROR(VLOOKUP(Tabla9[[#This Row],[CEDULA]],Tabla8[],3,FALSE),0)</f>
        <v>0</v>
      </c>
      <c r="E30" s="169">
        <f>IFERROR(VLOOKUP(Tabla9[[#This Row],[CEDULA]],Tabla8[],4,FALSE),0)</f>
        <v>0</v>
      </c>
      <c r="F30" s="81"/>
      <c r="G30" s="102"/>
      <c r="H30" s="81"/>
      <c r="I30" s="81"/>
      <c r="J30" s="81"/>
      <c r="K30" s="81"/>
      <c r="L30" s="84"/>
      <c r="M30" s="84"/>
      <c r="N30" s="84"/>
      <c r="O30" s="84"/>
      <c r="P30" s="84"/>
      <c r="Q30" s="84"/>
      <c r="R30" s="84"/>
      <c r="S30" s="82">
        <v>0</v>
      </c>
      <c r="T30" s="85">
        <v>0</v>
      </c>
      <c r="U30" s="82">
        <v>0</v>
      </c>
      <c r="V30" s="82">
        <v>0</v>
      </c>
      <c r="W30" s="82">
        <v>0</v>
      </c>
      <c r="X30" s="82">
        <v>0</v>
      </c>
      <c r="Y30" s="82">
        <v>0</v>
      </c>
      <c r="Z30" s="82"/>
      <c r="AA30" s="36">
        <f>IFERROR(VLOOKUP(Z30,Tabla2[],2,FALSE),)</f>
        <v>0</v>
      </c>
      <c r="AB30" s="119">
        <f>IFERROR(VLOOKUP(Tabla9[[#This Row],[CEDULA]],Tabla8[],5,FALSE),0)</f>
        <v>0</v>
      </c>
      <c r="AC30" s="119">
        <f>IFERROR(VLOOKUP(Tabla9[[#This Row],[CEDULA]],Tabla8[],6,FALSE),0)</f>
        <v>0</v>
      </c>
      <c r="AD30" s="119">
        <f>IFERROR(VLOOKUP(Tabla9[[#This Row],[CEDULA]],Tabla8[],7,FALSE),0)</f>
        <v>0</v>
      </c>
      <c r="AE30" s="119">
        <f>IFERROR(VLOOKUP(Tabla9[[#This Row],[CEDULA]],Tabla8[],8,FALSE),0)</f>
        <v>0</v>
      </c>
      <c r="AF30" s="119">
        <f>IFERROR(VLOOKUP(Tabla9[[#This Row],[CEDULA]],Tabla8[],9,FALSE),0)</f>
        <v>0</v>
      </c>
    </row>
    <row r="31" spans="1:32" s="86" customFormat="1" ht="11.4">
      <c r="A31" s="1">
        <v>28</v>
      </c>
      <c r="B31" s="30"/>
      <c r="C31" s="80">
        <f>IFERROR(VLOOKUP(Tabla9[[#This Row],[CEDULA]],Tabla8[],2,FALSE),0)</f>
        <v>0</v>
      </c>
      <c r="D31" s="80">
        <f>IFERROR(VLOOKUP(Tabla9[[#This Row],[CEDULA]],Tabla8[],3,FALSE),0)</f>
        <v>0</v>
      </c>
      <c r="E31" s="169">
        <f>IFERROR(VLOOKUP(Tabla9[[#This Row],[CEDULA]],Tabla8[],4,FALSE),0)</f>
        <v>0</v>
      </c>
      <c r="F31" s="81"/>
      <c r="G31" s="102"/>
      <c r="H31" s="81"/>
      <c r="I31" s="81"/>
      <c r="J31" s="81"/>
      <c r="K31" s="81"/>
      <c r="L31" s="84"/>
      <c r="M31" s="84"/>
      <c r="N31" s="84"/>
      <c r="O31" s="84"/>
      <c r="P31" s="84"/>
      <c r="Q31" s="84"/>
      <c r="R31" s="84"/>
      <c r="S31" s="82">
        <v>0</v>
      </c>
      <c r="T31" s="85">
        <v>0</v>
      </c>
      <c r="U31" s="82">
        <v>0</v>
      </c>
      <c r="V31" s="82">
        <v>0</v>
      </c>
      <c r="W31" s="82">
        <v>0</v>
      </c>
      <c r="X31" s="82">
        <v>0</v>
      </c>
      <c r="Y31" s="82">
        <v>0</v>
      </c>
      <c r="Z31" s="82"/>
      <c r="AA31" s="36">
        <f>IFERROR(VLOOKUP(Z31,Tabla2[],2,FALSE),)</f>
        <v>0</v>
      </c>
      <c r="AB31" s="119">
        <f>IFERROR(VLOOKUP(Tabla9[[#This Row],[CEDULA]],Tabla8[],5,FALSE),0)</f>
        <v>0</v>
      </c>
      <c r="AC31" s="119">
        <f>IFERROR(VLOOKUP(Tabla9[[#This Row],[CEDULA]],Tabla8[],6,FALSE),0)</f>
        <v>0</v>
      </c>
      <c r="AD31" s="119">
        <f>IFERROR(VLOOKUP(Tabla9[[#This Row],[CEDULA]],Tabla8[],7,FALSE),0)</f>
        <v>0</v>
      </c>
      <c r="AE31" s="119">
        <f>IFERROR(VLOOKUP(Tabla9[[#This Row],[CEDULA]],Tabla8[],8,FALSE),0)</f>
        <v>0</v>
      </c>
      <c r="AF31" s="119">
        <f>IFERROR(VLOOKUP(Tabla9[[#This Row],[CEDULA]],Tabla8[],9,FALSE),0)</f>
        <v>0</v>
      </c>
    </row>
    <row r="32" spans="1:32" s="86" customFormat="1" ht="11.4">
      <c r="A32" s="1">
        <v>29</v>
      </c>
      <c r="B32" s="30"/>
      <c r="C32" s="80">
        <f>IFERROR(VLOOKUP(Tabla9[[#This Row],[CEDULA]],Tabla8[],2,FALSE),0)</f>
        <v>0</v>
      </c>
      <c r="D32" s="80">
        <f>IFERROR(VLOOKUP(Tabla9[[#This Row],[CEDULA]],Tabla8[],3,FALSE),0)</f>
        <v>0</v>
      </c>
      <c r="E32" s="169">
        <f>IFERROR(VLOOKUP(Tabla9[[#This Row],[CEDULA]],Tabla8[],4,FALSE),0)</f>
        <v>0</v>
      </c>
      <c r="F32" s="81"/>
      <c r="G32" s="102"/>
      <c r="H32" s="81"/>
      <c r="I32" s="81"/>
      <c r="J32" s="81"/>
      <c r="K32" s="81"/>
      <c r="L32" s="84"/>
      <c r="M32" s="84"/>
      <c r="N32" s="84"/>
      <c r="O32" s="84"/>
      <c r="P32" s="84"/>
      <c r="Q32" s="84"/>
      <c r="R32" s="84"/>
      <c r="S32" s="82">
        <v>0</v>
      </c>
      <c r="T32" s="85">
        <v>0</v>
      </c>
      <c r="U32" s="82">
        <v>0</v>
      </c>
      <c r="V32" s="82">
        <v>0</v>
      </c>
      <c r="W32" s="82">
        <v>0</v>
      </c>
      <c r="X32" s="82">
        <v>0</v>
      </c>
      <c r="Y32" s="82">
        <v>0</v>
      </c>
      <c r="Z32" s="82"/>
      <c r="AA32" s="36">
        <f>IFERROR(VLOOKUP(Z32,Tabla2[],2,FALSE),)</f>
        <v>0</v>
      </c>
      <c r="AB32" s="119">
        <f>IFERROR(VLOOKUP(Tabla9[[#This Row],[CEDULA]],Tabla8[],5,FALSE),0)</f>
        <v>0</v>
      </c>
      <c r="AC32" s="119">
        <f>IFERROR(VLOOKUP(Tabla9[[#This Row],[CEDULA]],Tabla8[],6,FALSE),0)</f>
        <v>0</v>
      </c>
      <c r="AD32" s="119">
        <f>IFERROR(VLOOKUP(Tabla9[[#This Row],[CEDULA]],Tabla8[],7,FALSE),0)</f>
        <v>0</v>
      </c>
      <c r="AE32" s="119">
        <f>IFERROR(VLOOKUP(Tabla9[[#This Row],[CEDULA]],Tabla8[],8,FALSE),0)</f>
        <v>0</v>
      </c>
      <c r="AF32" s="119">
        <f>IFERROR(VLOOKUP(Tabla9[[#This Row],[CEDULA]],Tabla8[],9,FALSE),0)</f>
        <v>0</v>
      </c>
    </row>
    <row r="33" spans="1:32" s="86" customFormat="1" ht="11.4">
      <c r="A33" s="1">
        <v>30</v>
      </c>
      <c r="B33" s="30"/>
      <c r="C33" s="80">
        <f>IFERROR(VLOOKUP(Tabla9[[#This Row],[CEDULA]],Tabla8[],2,FALSE),0)</f>
        <v>0</v>
      </c>
      <c r="D33" s="80">
        <f>IFERROR(VLOOKUP(Tabla9[[#This Row],[CEDULA]],Tabla8[],3,FALSE),0)</f>
        <v>0</v>
      </c>
      <c r="E33" s="169">
        <f>IFERROR(VLOOKUP(Tabla9[[#This Row],[CEDULA]],Tabla8[],4,FALSE),0)</f>
        <v>0</v>
      </c>
      <c r="F33" s="81"/>
      <c r="G33" s="102"/>
      <c r="H33" s="81"/>
      <c r="I33" s="81"/>
      <c r="J33" s="81"/>
      <c r="K33" s="81"/>
      <c r="L33" s="84"/>
      <c r="M33" s="84"/>
      <c r="N33" s="84"/>
      <c r="O33" s="84"/>
      <c r="P33" s="84"/>
      <c r="Q33" s="84"/>
      <c r="R33" s="84"/>
      <c r="S33" s="82">
        <v>0</v>
      </c>
      <c r="T33" s="85">
        <v>0</v>
      </c>
      <c r="U33" s="82">
        <v>0</v>
      </c>
      <c r="V33" s="82">
        <v>0</v>
      </c>
      <c r="W33" s="82">
        <v>0</v>
      </c>
      <c r="X33" s="82">
        <v>0</v>
      </c>
      <c r="Y33" s="82">
        <v>0</v>
      </c>
      <c r="Z33" s="82"/>
      <c r="AA33" s="36">
        <f>IFERROR(VLOOKUP(Z33,Tabla2[],2,FALSE),)</f>
        <v>0</v>
      </c>
      <c r="AB33" s="119">
        <f>IFERROR(VLOOKUP(Tabla9[[#This Row],[CEDULA]],Tabla8[],5,FALSE),0)</f>
        <v>0</v>
      </c>
      <c r="AC33" s="119">
        <f>IFERROR(VLOOKUP(Tabla9[[#This Row],[CEDULA]],Tabla8[],6,FALSE),0)</f>
        <v>0</v>
      </c>
      <c r="AD33" s="119">
        <f>IFERROR(VLOOKUP(Tabla9[[#This Row],[CEDULA]],Tabla8[],7,FALSE),0)</f>
        <v>0</v>
      </c>
      <c r="AE33" s="119">
        <f>IFERROR(VLOOKUP(Tabla9[[#This Row],[CEDULA]],Tabla8[],8,FALSE),0)</f>
        <v>0</v>
      </c>
      <c r="AF33" s="119">
        <f>IFERROR(VLOOKUP(Tabla9[[#This Row],[CEDULA]],Tabla8[],9,FALSE),0)</f>
        <v>0</v>
      </c>
    </row>
    <row r="34" spans="1:32" s="86" customFormat="1" ht="11.4">
      <c r="A34" s="1">
        <v>31</v>
      </c>
      <c r="B34" s="30"/>
      <c r="C34" s="80">
        <f>IFERROR(VLOOKUP(Tabla9[[#This Row],[CEDULA]],Tabla8[],2,FALSE),0)</f>
        <v>0</v>
      </c>
      <c r="D34" s="80">
        <f>IFERROR(VLOOKUP(Tabla9[[#This Row],[CEDULA]],Tabla8[],3,FALSE),0)</f>
        <v>0</v>
      </c>
      <c r="E34" s="169">
        <f>IFERROR(VLOOKUP(Tabla9[[#This Row],[CEDULA]],Tabla8[],4,FALSE),0)</f>
        <v>0</v>
      </c>
      <c r="F34" s="81"/>
      <c r="G34" s="102"/>
      <c r="H34" s="81"/>
      <c r="I34" s="81"/>
      <c r="J34" s="81"/>
      <c r="K34" s="81"/>
      <c r="L34" s="84"/>
      <c r="M34" s="84"/>
      <c r="N34" s="84"/>
      <c r="O34" s="84"/>
      <c r="P34" s="84"/>
      <c r="Q34" s="84"/>
      <c r="R34" s="84"/>
      <c r="S34" s="82">
        <v>0</v>
      </c>
      <c r="T34" s="85">
        <v>0</v>
      </c>
      <c r="U34" s="82">
        <v>0</v>
      </c>
      <c r="V34" s="82">
        <v>0</v>
      </c>
      <c r="W34" s="82">
        <v>0</v>
      </c>
      <c r="X34" s="82">
        <v>0</v>
      </c>
      <c r="Y34" s="82">
        <v>0</v>
      </c>
      <c r="Z34" s="82"/>
      <c r="AA34" s="36">
        <f>IFERROR(VLOOKUP(Z34,Tabla2[],2,FALSE),)</f>
        <v>0</v>
      </c>
      <c r="AB34" s="119">
        <f>IFERROR(VLOOKUP(Tabla9[[#This Row],[CEDULA]],Tabla8[],5,FALSE),0)</f>
        <v>0</v>
      </c>
      <c r="AC34" s="119">
        <f>IFERROR(VLOOKUP(Tabla9[[#This Row],[CEDULA]],Tabla8[],6,FALSE),0)</f>
        <v>0</v>
      </c>
      <c r="AD34" s="119">
        <f>IFERROR(VLOOKUP(Tabla9[[#This Row],[CEDULA]],Tabla8[],7,FALSE),0)</f>
        <v>0</v>
      </c>
      <c r="AE34" s="119">
        <f>IFERROR(VLOOKUP(Tabla9[[#This Row],[CEDULA]],Tabla8[],8,FALSE),0)</f>
        <v>0</v>
      </c>
      <c r="AF34" s="119">
        <f>IFERROR(VLOOKUP(Tabla9[[#This Row],[CEDULA]],Tabla8[],9,FALSE),0)</f>
        <v>0</v>
      </c>
    </row>
    <row r="35" spans="1:32" s="86" customFormat="1" ht="11.4">
      <c r="A35" s="1">
        <v>32</v>
      </c>
      <c r="B35" s="30"/>
      <c r="C35" s="80">
        <f>IFERROR(VLOOKUP(Tabla9[[#This Row],[CEDULA]],Tabla8[],2,FALSE),0)</f>
        <v>0</v>
      </c>
      <c r="D35" s="80">
        <f>IFERROR(VLOOKUP(Tabla9[[#This Row],[CEDULA]],Tabla8[],3,FALSE),0)</f>
        <v>0</v>
      </c>
      <c r="E35" s="169">
        <f>IFERROR(VLOOKUP(Tabla9[[#This Row],[CEDULA]],Tabla8[],4,FALSE),0)</f>
        <v>0</v>
      </c>
      <c r="F35" s="81"/>
      <c r="G35" s="102"/>
      <c r="H35" s="81"/>
      <c r="I35" s="81"/>
      <c r="J35" s="81"/>
      <c r="K35" s="81"/>
      <c r="L35" s="84"/>
      <c r="M35" s="84"/>
      <c r="N35" s="84"/>
      <c r="O35" s="84"/>
      <c r="P35" s="84"/>
      <c r="Q35" s="84"/>
      <c r="R35" s="84"/>
      <c r="S35" s="82">
        <v>0</v>
      </c>
      <c r="T35" s="85">
        <v>0</v>
      </c>
      <c r="U35" s="82">
        <v>0</v>
      </c>
      <c r="V35" s="82">
        <v>0</v>
      </c>
      <c r="W35" s="82">
        <v>0</v>
      </c>
      <c r="X35" s="82">
        <v>0</v>
      </c>
      <c r="Y35" s="82">
        <v>0</v>
      </c>
      <c r="Z35" s="82"/>
      <c r="AA35" s="36">
        <f>IFERROR(VLOOKUP(Z35,Tabla2[],2,FALSE),)</f>
        <v>0</v>
      </c>
      <c r="AB35" s="119">
        <f>IFERROR(VLOOKUP(Tabla9[[#This Row],[CEDULA]],Tabla8[],5,FALSE),0)</f>
        <v>0</v>
      </c>
      <c r="AC35" s="119">
        <f>IFERROR(VLOOKUP(Tabla9[[#This Row],[CEDULA]],Tabla8[],6,FALSE),0)</f>
        <v>0</v>
      </c>
      <c r="AD35" s="119">
        <f>IFERROR(VLOOKUP(Tabla9[[#This Row],[CEDULA]],Tabla8[],7,FALSE),0)</f>
        <v>0</v>
      </c>
      <c r="AE35" s="119">
        <f>IFERROR(VLOOKUP(Tabla9[[#This Row],[CEDULA]],Tabla8[],8,FALSE),0)</f>
        <v>0</v>
      </c>
      <c r="AF35" s="119">
        <f>IFERROR(VLOOKUP(Tabla9[[#This Row],[CEDULA]],Tabla8[],9,FALSE),0)</f>
        <v>0</v>
      </c>
    </row>
    <row r="36" spans="1:32" s="86" customFormat="1" ht="11.4">
      <c r="A36" s="1">
        <v>33</v>
      </c>
      <c r="B36" s="30"/>
      <c r="C36" s="80">
        <f>IFERROR(VLOOKUP(Tabla9[[#This Row],[CEDULA]],Tabla8[],2,FALSE),0)</f>
        <v>0</v>
      </c>
      <c r="D36" s="80">
        <f>IFERROR(VLOOKUP(Tabla9[[#This Row],[CEDULA]],Tabla8[],3,FALSE),0)</f>
        <v>0</v>
      </c>
      <c r="E36" s="169">
        <f>IFERROR(VLOOKUP(Tabla9[[#This Row],[CEDULA]],Tabla8[],4,FALSE),0)</f>
        <v>0</v>
      </c>
      <c r="F36" s="81"/>
      <c r="G36" s="102"/>
      <c r="H36" s="81"/>
      <c r="I36" s="81"/>
      <c r="J36" s="81"/>
      <c r="K36" s="81"/>
      <c r="L36" s="84"/>
      <c r="M36" s="84"/>
      <c r="N36" s="84"/>
      <c r="O36" s="84"/>
      <c r="P36" s="84"/>
      <c r="Q36" s="84"/>
      <c r="R36" s="84"/>
      <c r="S36" s="82">
        <v>0</v>
      </c>
      <c r="T36" s="85">
        <v>0</v>
      </c>
      <c r="U36" s="82">
        <v>0</v>
      </c>
      <c r="V36" s="82">
        <v>0</v>
      </c>
      <c r="W36" s="82">
        <v>0</v>
      </c>
      <c r="X36" s="82">
        <v>0</v>
      </c>
      <c r="Y36" s="82">
        <v>0</v>
      </c>
      <c r="Z36" s="82"/>
      <c r="AA36" s="36">
        <f>IFERROR(VLOOKUP(Z36,Tabla2[],2,FALSE),)</f>
        <v>0</v>
      </c>
      <c r="AB36" s="119">
        <f>IFERROR(VLOOKUP(Tabla9[[#This Row],[CEDULA]],Tabla8[],5,FALSE),0)</f>
        <v>0</v>
      </c>
      <c r="AC36" s="119">
        <f>IFERROR(VLOOKUP(Tabla9[[#This Row],[CEDULA]],Tabla8[],6,FALSE),0)</f>
        <v>0</v>
      </c>
      <c r="AD36" s="119">
        <f>IFERROR(VLOOKUP(Tabla9[[#This Row],[CEDULA]],Tabla8[],7,FALSE),0)</f>
        <v>0</v>
      </c>
      <c r="AE36" s="119">
        <f>IFERROR(VLOOKUP(Tabla9[[#This Row],[CEDULA]],Tabla8[],8,FALSE),0)</f>
        <v>0</v>
      </c>
      <c r="AF36" s="119">
        <f>IFERROR(VLOOKUP(Tabla9[[#This Row],[CEDULA]],Tabla8[],9,FALSE),0)</f>
        <v>0</v>
      </c>
    </row>
    <row r="37" spans="1:32" s="86" customFormat="1" ht="11.4">
      <c r="A37" s="1">
        <v>34</v>
      </c>
      <c r="B37" s="30"/>
      <c r="C37" s="80">
        <f>IFERROR(VLOOKUP(Tabla9[[#This Row],[CEDULA]],Tabla8[],2,FALSE),0)</f>
        <v>0</v>
      </c>
      <c r="D37" s="80">
        <f>IFERROR(VLOOKUP(Tabla9[[#This Row],[CEDULA]],Tabla8[],3,FALSE),0)</f>
        <v>0</v>
      </c>
      <c r="E37" s="169">
        <f>IFERROR(VLOOKUP(Tabla9[[#This Row],[CEDULA]],Tabla8[],4,FALSE),0)</f>
        <v>0</v>
      </c>
      <c r="F37" s="81"/>
      <c r="G37" s="102"/>
      <c r="H37" s="81"/>
      <c r="I37" s="81"/>
      <c r="J37" s="81"/>
      <c r="K37" s="81"/>
      <c r="L37" s="84"/>
      <c r="M37" s="84"/>
      <c r="N37" s="84"/>
      <c r="O37" s="84"/>
      <c r="P37" s="84"/>
      <c r="Q37" s="84"/>
      <c r="R37" s="84"/>
      <c r="S37" s="82">
        <v>0</v>
      </c>
      <c r="T37" s="85">
        <v>0</v>
      </c>
      <c r="U37" s="82">
        <v>0</v>
      </c>
      <c r="V37" s="82">
        <v>0</v>
      </c>
      <c r="W37" s="82">
        <v>0</v>
      </c>
      <c r="X37" s="82">
        <v>0</v>
      </c>
      <c r="Y37" s="82">
        <v>0</v>
      </c>
      <c r="Z37" s="82"/>
      <c r="AA37" s="36">
        <f>IFERROR(VLOOKUP(Z37,Tabla2[],2,FALSE),)</f>
        <v>0</v>
      </c>
      <c r="AB37" s="119">
        <f>IFERROR(VLOOKUP(Tabla9[[#This Row],[CEDULA]],Tabla8[],5,FALSE),0)</f>
        <v>0</v>
      </c>
      <c r="AC37" s="119">
        <f>IFERROR(VLOOKUP(Tabla9[[#This Row],[CEDULA]],Tabla8[],6,FALSE),0)</f>
        <v>0</v>
      </c>
      <c r="AD37" s="119">
        <f>IFERROR(VLOOKUP(Tabla9[[#This Row],[CEDULA]],Tabla8[],7,FALSE),0)</f>
        <v>0</v>
      </c>
      <c r="AE37" s="119">
        <f>IFERROR(VLOOKUP(Tabla9[[#This Row],[CEDULA]],Tabla8[],8,FALSE),0)</f>
        <v>0</v>
      </c>
      <c r="AF37" s="119">
        <f>IFERROR(VLOOKUP(Tabla9[[#This Row],[CEDULA]],Tabla8[],9,FALSE),0)</f>
        <v>0</v>
      </c>
    </row>
    <row r="38" spans="1:32" s="86" customFormat="1" ht="11.4">
      <c r="A38" s="1">
        <v>35</v>
      </c>
      <c r="B38" s="30"/>
      <c r="C38" s="80">
        <f>IFERROR(VLOOKUP(Tabla9[[#This Row],[CEDULA]],Tabla8[],2,FALSE),0)</f>
        <v>0</v>
      </c>
      <c r="D38" s="80">
        <f>IFERROR(VLOOKUP(Tabla9[[#This Row],[CEDULA]],Tabla8[],3,FALSE),0)</f>
        <v>0</v>
      </c>
      <c r="E38" s="169">
        <f>IFERROR(VLOOKUP(Tabla9[[#This Row],[CEDULA]],Tabla8[],4,FALSE),0)</f>
        <v>0</v>
      </c>
      <c r="F38" s="81"/>
      <c r="G38" s="102"/>
      <c r="H38" s="81"/>
      <c r="I38" s="81"/>
      <c r="J38" s="81"/>
      <c r="K38" s="81"/>
      <c r="L38" s="84"/>
      <c r="M38" s="84"/>
      <c r="N38" s="84"/>
      <c r="O38" s="84"/>
      <c r="P38" s="84"/>
      <c r="Q38" s="84"/>
      <c r="R38" s="84"/>
      <c r="S38" s="82">
        <v>0</v>
      </c>
      <c r="T38" s="85">
        <v>0</v>
      </c>
      <c r="U38" s="82">
        <v>0</v>
      </c>
      <c r="V38" s="82">
        <v>0</v>
      </c>
      <c r="W38" s="82">
        <v>0</v>
      </c>
      <c r="X38" s="82">
        <v>0</v>
      </c>
      <c r="Y38" s="82">
        <v>0</v>
      </c>
      <c r="Z38" s="82"/>
      <c r="AA38" s="36">
        <f>IFERROR(VLOOKUP(Z38,Tabla2[],2,FALSE),)</f>
        <v>0</v>
      </c>
      <c r="AB38" s="119">
        <f>IFERROR(VLOOKUP(Tabla9[[#This Row],[CEDULA]],Tabla8[],5,FALSE),0)</f>
        <v>0</v>
      </c>
      <c r="AC38" s="119">
        <f>IFERROR(VLOOKUP(Tabla9[[#This Row],[CEDULA]],Tabla8[],6,FALSE),0)</f>
        <v>0</v>
      </c>
      <c r="AD38" s="119">
        <f>IFERROR(VLOOKUP(Tabla9[[#This Row],[CEDULA]],Tabla8[],7,FALSE),0)</f>
        <v>0</v>
      </c>
      <c r="AE38" s="119">
        <f>IFERROR(VLOOKUP(Tabla9[[#This Row],[CEDULA]],Tabla8[],8,FALSE),0)</f>
        <v>0</v>
      </c>
      <c r="AF38" s="119">
        <f>IFERROR(VLOOKUP(Tabla9[[#This Row],[CEDULA]],Tabla8[],9,FALSE),0)</f>
        <v>0</v>
      </c>
    </row>
    <row r="39" spans="1:32" s="86" customFormat="1" ht="11.4">
      <c r="A39" s="1">
        <v>36</v>
      </c>
      <c r="B39" s="30"/>
      <c r="C39" s="80">
        <f>IFERROR(VLOOKUP(Tabla9[[#This Row],[CEDULA]],Tabla8[],2,FALSE),0)</f>
        <v>0</v>
      </c>
      <c r="D39" s="80">
        <f>IFERROR(VLOOKUP(Tabla9[[#This Row],[CEDULA]],Tabla8[],3,FALSE),0)</f>
        <v>0</v>
      </c>
      <c r="E39" s="169">
        <f>IFERROR(VLOOKUP(Tabla9[[#This Row],[CEDULA]],Tabla8[],4,FALSE),0)</f>
        <v>0</v>
      </c>
      <c r="F39" s="81"/>
      <c r="G39" s="102"/>
      <c r="H39" s="81"/>
      <c r="I39" s="81"/>
      <c r="J39" s="81"/>
      <c r="K39" s="81"/>
      <c r="L39" s="84"/>
      <c r="M39" s="84"/>
      <c r="N39" s="84"/>
      <c r="O39" s="84"/>
      <c r="P39" s="84"/>
      <c r="Q39" s="84"/>
      <c r="R39" s="84"/>
      <c r="S39" s="82">
        <v>0</v>
      </c>
      <c r="T39" s="85">
        <v>0</v>
      </c>
      <c r="U39" s="82">
        <v>0</v>
      </c>
      <c r="V39" s="82">
        <v>0</v>
      </c>
      <c r="W39" s="82">
        <v>0</v>
      </c>
      <c r="X39" s="82">
        <v>0</v>
      </c>
      <c r="Y39" s="82">
        <v>0</v>
      </c>
      <c r="Z39" s="82"/>
      <c r="AA39" s="36">
        <f>IFERROR(VLOOKUP(Z39,Tabla2[],2,FALSE),)</f>
        <v>0</v>
      </c>
      <c r="AB39" s="119">
        <f>IFERROR(VLOOKUP(Tabla9[[#This Row],[CEDULA]],Tabla8[],5,FALSE),0)</f>
        <v>0</v>
      </c>
      <c r="AC39" s="119">
        <f>IFERROR(VLOOKUP(Tabla9[[#This Row],[CEDULA]],Tabla8[],6,FALSE),0)</f>
        <v>0</v>
      </c>
      <c r="AD39" s="119">
        <f>IFERROR(VLOOKUP(Tabla9[[#This Row],[CEDULA]],Tabla8[],7,FALSE),0)</f>
        <v>0</v>
      </c>
      <c r="AE39" s="119">
        <f>IFERROR(VLOOKUP(Tabla9[[#This Row],[CEDULA]],Tabla8[],8,FALSE),0)</f>
        <v>0</v>
      </c>
      <c r="AF39" s="119">
        <f>IFERROR(VLOOKUP(Tabla9[[#This Row],[CEDULA]],Tabla8[],9,FALSE),0)</f>
        <v>0</v>
      </c>
    </row>
    <row r="40" spans="1:32" s="86" customFormat="1" ht="11.4">
      <c r="A40" s="1">
        <v>37</v>
      </c>
      <c r="B40" s="30"/>
      <c r="C40" s="80">
        <f>IFERROR(VLOOKUP(Tabla9[[#This Row],[CEDULA]],Tabla8[],2,FALSE),0)</f>
        <v>0</v>
      </c>
      <c r="D40" s="80">
        <f>IFERROR(VLOOKUP(Tabla9[[#This Row],[CEDULA]],Tabla8[],3,FALSE),0)</f>
        <v>0</v>
      </c>
      <c r="E40" s="169">
        <f>IFERROR(VLOOKUP(Tabla9[[#This Row],[CEDULA]],Tabla8[],4,FALSE),0)</f>
        <v>0</v>
      </c>
      <c r="F40" s="81"/>
      <c r="G40" s="102"/>
      <c r="H40" s="81"/>
      <c r="I40" s="81"/>
      <c r="J40" s="81"/>
      <c r="K40" s="81"/>
      <c r="L40" s="84"/>
      <c r="M40" s="84"/>
      <c r="N40" s="84"/>
      <c r="O40" s="84"/>
      <c r="P40" s="84"/>
      <c r="Q40" s="84"/>
      <c r="R40" s="84"/>
      <c r="S40" s="82">
        <v>0</v>
      </c>
      <c r="T40" s="85">
        <v>0</v>
      </c>
      <c r="U40" s="82">
        <v>0</v>
      </c>
      <c r="V40" s="82">
        <v>0</v>
      </c>
      <c r="W40" s="82">
        <v>0</v>
      </c>
      <c r="X40" s="82">
        <v>0</v>
      </c>
      <c r="Y40" s="82">
        <v>0</v>
      </c>
      <c r="Z40" s="82"/>
      <c r="AA40" s="36">
        <f>IFERROR(VLOOKUP(Z40,Tabla2[],2,FALSE),)</f>
        <v>0</v>
      </c>
      <c r="AB40" s="119">
        <f>IFERROR(VLOOKUP(Tabla9[[#This Row],[CEDULA]],Tabla8[],5,FALSE),0)</f>
        <v>0</v>
      </c>
      <c r="AC40" s="119">
        <f>IFERROR(VLOOKUP(Tabla9[[#This Row],[CEDULA]],Tabla8[],6,FALSE),0)</f>
        <v>0</v>
      </c>
      <c r="AD40" s="119">
        <f>IFERROR(VLOOKUP(Tabla9[[#This Row],[CEDULA]],Tabla8[],7,FALSE),0)</f>
        <v>0</v>
      </c>
      <c r="AE40" s="119">
        <f>IFERROR(VLOOKUP(Tabla9[[#This Row],[CEDULA]],Tabla8[],8,FALSE),0)</f>
        <v>0</v>
      </c>
      <c r="AF40" s="119">
        <f>IFERROR(VLOOKUP(Tabla9[[#This Row],[CEDULA]],Tabla8[],9,FALSE),0)</f>
        <v>0</v>
      </c>
    </row>
    <row r="41" spans="1:32" s="86" customFormat="1" ht="11.4">
      <c r="A41" s="1">
        <v>38</v>
      </c>
      <c r="B41" s="30"/>
      <c r="C41" s="80">
        <f>IFERROR(VLOOKUP(Tabla9[[#This Row],[CEDULA]],Tabla8[],2,FALSE),0)</f>
        <v>0</v>
      </c>
      <c r="D41" s="80">
        <f>IFERROR(VLOOKUP(Tabla9[[#This Row],[CEDULA]],Tabla8[],3,FALSE),0)</f>
        <v>0</v>
      </c>
      <c r="E41" s="169">
        <f>IFERROR(VLOOKUP(Tabla9[[#This Row],[CEDULA]],Tabla8[],4,FALSE),0)</f>
        <v>0</v>
      </c>
      <c r="F41" s="81"/>
      <c r="G41" s="102"/>
      <c r="H41" s="81"/>
      <c r="I41" s="81"/>
      <c r="J41" s="81"/>
      <c r="K41" s="81"/>
      <c r="L41" s="84"/>
      <c r="M41" s="84"/>
      <c r="N41" s="84"/>
      <c r="O41" s="84"/>
      <c r="P41" s="84"/>
      <c r="Q41" s="84"/>
      <c r="R41" s="84"/>
      <c r="S41" s="82">
        <v>0</v>
      </c>
      <c r="T41" s="85">
        <v>0</v>
      </c>
      <c r="U41" s="82">
        <v>0</v>
      </c>
      <c r="V41" s="82">
        <v>0</v>
      </c>
      <c r="W41" s="82">
        <v>0</v>
      </c>
      <c r="X41" s="82">
        <v>0</v>
      </c>
      <c r="Y41" s="82">
        <v>0</v>
      </c>
      <c r="Z41" s="82"/>
      <c r="AA41" s="36">
        <f>IFERROR(VLOOKUP(Z41,Tabla2[],2,FALSE),)</f>
        <v>0</v>
      </c>
      <c r="AB41" s="119">
        <f>IFERROR(VLOOKUP(Tabla9[[#This Row],[CEDULA]],Tabla8[],5,FALSE),0)</f>
        <v>0</v>
      </c>
      <c r="AC41" s="119">
        <f>IFERROR(VLOOKUP(Tabla9[[#This Row],[CEDULA]],Tabla8[],6,FALSE),0)</f>
        <v>0</v>
      </c>
      <c r="AD41" s="119">
        <f>IFERROR(VLOOKUP(Tabla9[[#This Row],[CEDULA]],Tabla8[],7,FALSE),0)</f>
        <v>0</v>
      </c>
      <c r="AE41" s="119">
        <f>IFERROR(VLOOKUP(Tabla9[[#This Row],[CEDULA]],Tabla8[],8,FALSE),0)</f>
        <v>0</v>
      </c>
      <c r="AF41" s="119">
        <f>IFERROR(VLOOKUP(Tabla9[[#This Row],[CEDULA]],Tabla8[],9,FALSE),0)</f>
        <v>0</v>
      </c>
    </row>
    <row r="42" spans="1:32" s="86" customFormat="1" ht="11.4">
      <c r="A42" s="1">
        <v>39</v>
      </c>
      <c r="B42" s="30"/>
      <c r="C42" s="80">
        <f>IFERROR(VLOOKUP(Tabla9[[#This Row],[CEDULA]],Tabla8[],2,FALSE),0)</f>
        <v>0</v>
      </c>
      <c r="D42" s="80">
        <f>IFERROR(VLOOKUP(Tabla9[[#This Row],[CEDULA]],Tabla8[],3,FALSE),0)</f>
        <v>0</v>
      </c>
      <c r="E42" s="169">
        <f>IFERROR(VLOOKUP(Tabla9[[#This Row],[CEDULA]],Tabla8[],4,FALSE),0)</f>
        <v>0</v>
      </c>
      <c r="F42" s="81"/>
      <c r="G42" s="102"/>
      <c r="H42" s="81"/>
      <c r="I42" s="81"/>
      <c r="J42" s="81"/>
      <c r="K42" s="81"/>
      <c r="L42" s="84"/>
      <c r="M42" s="84"/>
      <c r="N42" s="84"/>
      <c r="O42" s="84"/>
      <c r="P42" s="84"/>
      <c r="Q42" s="84"/>
      <c r="R42" s="84"/>
      <c r="S42" s="82">
        <v>0</v>
      </c>
      <c r="T42" s="85">
        <v>0</v>
      </c>
      <c r="U42" s="82">
        <v>0</v>
      </c>
      <c r="V42" s="82">
        <v>0</v>
      </c>
      <c r="W42" s="82">
        <v>0</v>
      </c>
      <c r="X42" s="82">
        <v>0</v>
      </c>
      <c r="Y42" s="82">
        <v>0</v>
      </c>
      <c r="Z42" s="82"/>
      <c r="AA42" s="36">
        <f>IFERROR(VLOOKUP(Z42,Tabla2[],2,FALSE),)</f>
        <v>0</v>
      </c>
      <c r="AB42" s="119">
        <f>IFERROR(VLOOKUP(Tabla9[[#This Row],[CEDULA]],Tabla8[],5,FALSE),0)</f>
        <v>0</v>
      </c>
      <c r="AC42" s="119">
        <f>IFERROR(VLOOKUP(Tabla9[[#This Row],[CEDULA]],Tabla8[],6,FALSE),0)</f>
        <v>0</v>
      </c>
      <c r="AD42" s="119">
        <f>IFERROR(VLOOKUP(Tabla9[[#This Row],[CEDULA]],Tabla8[],7,FALSE),0)</f>
        <v>0</v>
      </c>
      <c r="AE42" s="119">
        <f>IFERROR(VLOOKUP(Tabla9[[#This Row],[CEDULA]],Tabla8[],8,FALSE),0)</f>
        <v>0</v>
      </c>
      <c r="AF42" s="119">
        <f>IFERROR(VLOOKUP(Tabla9[[#This Row],[CEDULA]],Tabla8[],9,FALSE),0)</f>
        <v>0</v>
      </c>
    </row>
    <row r="43" spans="1:32" s="86" customFormat="1" ht="11.4">
      <c r="A43" s="1">
        <v>40</v>
      </c>
      <c r="B43" s="30"/>
      <c r="C43" s="80">
        <f>IFERROR(VLOOKUP(Tabla9[[#This Row],[CEDULA]],Tabla8[],2,FALSE),0)</f>
        <v>0</v>
      </c>
      <c r="D43" s="80">
        <f>IFERROR(VLOOKUP(Tabla9[[#This Row],[CEDULA]],Tabla8[],3,FALSE),0)</f>
        <v>0</v>
      </c>
      <c r="E43" s="169">
        <f>IFERROR(VLOOKUP(Tabla9[[#This Row],[CEDULA]],Tabla8[],4,FALSE),0)</f>
        <v>0</v>
      </c>
      <c r="F43" s="81"/>
      <c r="G43" s="102"/>
      <c r="H43" s="81"/>
      <c r="I43" s="81"/>
      <c r="J43" s="81"/>
      <c r="K43" s="81"/>
      <c r="L43" s="84"/>
      <c r="M43" s="84"/>
      <c r="N43" s="84"/>
      <c r="O43" s="84"/>
      <c r="P43" s="84"/>
      <c r="Q43" s="84"/>
      <c r="R43" s="84"/>
      <c r="S43" s="82">
        <v>0</v>
      </c>
      <c r="T43" s="85">
        <v>0</v>
      </c>
      <c r="U43" s="82">
        <v>0</v>
      </c>
      <c r="V43" s="82">
        <v>0</v>
      </c>
      <c r="W43" s="82">
        <v>0</v>
      </c>
      <c r="X43" s="82">
        <v>0</v>
      </c>
      <c r="Y43" s="82">
        <v>0</v>
      </c>
      <c r="Z43" s="82"/>
      <c r="AA43" s="36">
        <f>IFERROR(VLOOKUP(Z43,Tabla2[],2,FALSE),)</f>
        <v>0</v>
      </c>
      <c r="AB43" s="119">
        <f>IFERROR(VLOOKUP(Tabla9[[#This Row],[CEDULA]],Tabla8[],5,FALSE),0)</f>
        <v>0</v>
      </c>
      <c r="AC43" s="119">
        <f>IFERROR(VLOOKUP(Tabla9[[#This Row],[CEDULA]],Tabla8[],6,FALSE),0)</f>
        <v>0</v>
      </c>
      <c r="AD43" s="119">
        <f>IFERROR(VLOOKUP(Tabla9[[#This Row],[CEDULA]],Tabla8[],7,FALSE),0)</f>
        <v>0</v>
      </c>
      <c r="AE43" s="119">
        <f>IFERROR(VLOOKUP(Tabla9[[#This Row],[CEDULA]],Tabla8[],8,FALSE),0)</f>
        <v>0</v>
      </c>
      <c r="AF43" s="119">
        <f>IFERROR(VLOOKUP(Tabla9[[#This Row],[CEDULA]],Tabla8[],9,FALSE),0)</f>
        <v>0</v>
      </c>
    </row>
    <row r="44" spans="1:32" s="86" customFormat="1" ht="11.4">
      <c r="A44" s="1">
        <v>41</v>
      </c>
      <c r="B44" s="30"/>
      <c r="C44" s="80">
        <f>IFERROR(VLOOKUP(Tabla9[[#This Row],[CEDULA]],Tabla8[],2,FALSE),0)</f>
        <v>0</v>
      </c>
      <c r="D44" s="80">
        <f>IFERROR(VLOOKUP(Tabla9[[#This Row],[CEDULA]],Tabla8[],3,FALSE),0)</f>
        <v>0</v>
      </c>
      <c r="E44" s="169">
        <f>IFERROR(VLOOKUP(Tabla9[[#This Row],[CEDULA]],Tabla8[],4,FALSE),0)</f>
        <v>0</v>
      </c>
      <c r="F44" s="81"/>
      <c r="G44" s="102"/>
      <c r="H44" s="81"/>
      <c r="I44" s="81"/>
      <c r="J44" s="81"/>
      <c r="K44" s="81"/>
      <c r="L44" s="84"/>
      <c r="M44" s="84"/>
      <c r="N44" s="84"/>
      <c r="O44" s="84"/>
      <c r="P44" s="84"/>
      <c r="Q44" s="84"/>
      <c r="R44" s="84"/>
      <c r="S44" s="82">
        <v>0</v>
      </c>
      <c r="T44" s="85">
        <v>0</v>
      </c>
      <c r="U44" s="82">
        <v>0</v>
      </c>
      <c r="V44" s="82">
        <v>0</v>
      </c>
      <c r="W44" s="82">
        <v>0</v>
      </c>
      <c r="X44" s="82">
        <v>0</v>
      </c>
      <c r="Y44" s="82">
        <v>0</v>
      </c>
      <c r="Z44" s="82"/>
      <c r="AA44" s="36">
        <f>IFERROR(VLOOKUP(Z44,Tabla2[],2,FALSE),)</f>
        <v>0</v>
      </c>
      <c r="AB44" s="119">
        <f>IFERROR(VLOOKUP(Tabla9[[#This Row],[CEDULA]],Tabla8[],5,FALSE),0)</f>
        <v>0</v>
      </c>
      <c r="AC44" s="119">
        <f>IFERROR(VLOOKUP(Tabla9[[#This Row],[CEDULA]],Tabla8[],6,FALSE),0)</f>
        <v>0</v>
      </c>
      <c r="AD44" s="119">
        <f>IFERROR(VLOOKUP(Tabla9[[#This Row],[CEDULA]],Tabla8[],7,FALSE),0)</f>
        <v>0</v>
      </c>
      <c r="AE44" s="119">
        <f>IFERROR(VLOOKUP(Tabla9[[#This Row],[CEDULA]],Tabla8[],8,FALSE),0)</f>
        <v>0</v>
      </c>
      <c r="AF44" s="119">
        <f>IFERROR(VLOOKUP(Tabla9[[#This Row],[CEDULA]],Tabla8[],9,FALSE),0)</f>
        <v>0</v>
      </c>
    </row>
    <row r="45" spans="1:32" s="86" customFormat="1" ht="11.4">
      <c r="A45" s="1">
        <v>42</v>
      </c>
      <c r="B45" s="30"/>
      <c r="C45" s="80">
        <f>IFERROR(VLOOKUP(Tabla9[[#This Row],[CEDULA]],Tabla8[],2,FALSE),0)</f>
        <v>0</v>
      </c>
      <c r="D45" s="80">
        <f>IFERROR(VLOOKUP(Tabla9[[#This Row],[CEDULA]],Tabla8[],3,FALSE),0)</f>
        <v>0</v>
      </c>
      <c r="E45" s="169">
        <f>IFERROR(VLOOKUP(Tabla9[[#This Row],[CEDULA]],Tabla8[],4,FALSE),0)</f>
        <v>0</v>
      </c>
      <c r="F45" s="81"/>
      <c r="G45" s="102"/>
      <c r="H45" s="81"/>
      <c r="I45" s="81"/>
      <c r="J45" s="81"/>
      <c r="K45" s="81"/>
      <c r="L45" s="84"/>
      <c r="M45" s="84"/>
      <c r="N45" s="84"/>
      <c r="O45" s="84"/>
      <c r="P45" s="84"/>
      <c r="Q45" s="84"/>
      <c r="R45" s="84"/>
      <c r="S45" s="82">
        <v>0</v>
      </c>
      <c r="T45" s="85">
        <v>0</v>
      </c>
      <c r="U45" s="82">
        <v>0</v>
      </c>
      <c r="V45" s="82">
        <v>0</v>
      </c>
      <c r="W45" s="82">
        <v>0</v>
      </c>
      <c r="X45" s="82">
        <v>0</v>
      </c>
      <c r="Y45" s="82">
        <v>0</v>
      </c>
      <c r="Z45" s="82"/>
      <c r="AA45" s="36">
        <f>IFERROR(VLOOKUP(Z45,Tabla2[],2,FALSE),)</f>
        <v>0</v>
      </c>
      <c r="AB45" s="119">
        <f>IFERROR(VLOOKUP(Tabla9[[#This Row],[CEDULA]],Tabla8[],5,FALSE),0)</f>
        <v>0</v>
      </c>
      <c r="AC45" s="119">
        <f>IFERROR(VLOOKUP(Tabla9[[#This Row],[CEDULA]],Tabla8[],6,FALSE),0)</f>
        <v>0</v>
      </c>
      <c r="AD45" s="119">
        <f>IFERROR(VLOOKUP(Tabla9[[#This Row],[CEDULA]],Tabla8[],7,FALSE),0)</f>
        <v>0</v>
      </c>
      <c r="AE45" s="119">
        <f>IFERROR(VLOOKUP(Tabla9[[#This Row],[CEDULA]],Tabla8[],8,FALSE),0)</f>
        <v>0</v>
      </c>
      <c r="AF45" s="119">
        <f>IFERROR(VLOOKUP(Tabla9[[#This Row],[CEDULA]],Tabla8[],9,FALSE),0)</f>
        <v>0</v>
      </c>
    </row>
    <row r="46" spans="1:32" s="86" customFormat="1" ht="11.4">
      <c r="A46" s="1">
        <v>43</v>
      </c>
      <c r="B46" s="30"/>
      <c r="C46" s="80">
        <f>IFERROR(VLOOKUP(Tabla9[[#This Row],[CEDULA]],Tabla8[],2,FALSE),0)</f>
        <v>0</v>
      </c>
      <c r="D46" s="80">
        <f>IFERROR(VLOOKUP(Tabla9[[#This Row],[CEDULA]],Tabla8[],3,FALSE),0)</f>
        <v>0</v>
      </c>
      <c r="E46" s="169">
        <f>IFERROR(VLOOKUP(Tabla9[[#This Row],[CEDULA]],Tabla8[],4,FALSE),0)</f>
        <v>0</v>
      </c>
      <c r="F46" s="81"/>
      <c r="G46" s="102"/>
      <c r="H46" s="81"/>
      <c r="I46" s="81"/>
      <c r="J46" s="81"/>
      <c r="K46" s="81"/>
      <c r="L46" s="84"/>
      <c r="M46" s="84"/>
      <c r="N46" s="84"/>
      <c r="O46" s="84"/>
      <c r="P46" s="84"/>
      <c r="Q46" s="84"/>
      <c r="R46" s="84"/>
      <c r="S46" s="82">
        <v>0</v>
      </c>
      <c r="T46" s="85">
        <v>0</v>
      </c>
      <c r="U46" s="82">
        <v>0</v>
      </c>
      <c r="V46" s="82">
        <v>0</v>
      </c>
      <c r="W46" s="82">
        <v>0</v>
      </c>
      <c r="X46" s="82">
        <v>0</v>
      </c>
      <c r="Y46" s="82">
        <v>0</v>
      </c>
      <c r="Z46" s="82"/>
      <c r="AA46" s="36">
        <f>IFERROR(VLOOKUP(Z46,Tabla2[],2,FALSE),)</f>
        <v>0</v>
      </c>
      <c r="AB46" s="119">
        <f>IFERROR(VLOOKUP(Tabla9[[#This Row],[CEDULA]],Tabla8[],5,FALSE),0)</f>
        <v>0</v>
      </c>
      <c r="AC46" s="119">
        <f>IFERROR(VLOOKUP(Tabla9[[#This Row],[CEDULA]],Tabla8[],6,FALSE),0)</f>
        <v>0</v>
      </c>
      <c r="AD46" s="119">
        <f>IFERROR(VLOOKUP(Tabla9[[#This Row],[CEDULA]],Tabla8[],7,FALSE),0)</f>
        <v>0</v>
      </c>
      <c r="AE46" s="119">
        <f>IFERROR(VLOOKUP(Tabla9[[#This Row],[CEDULA]],Tabla8[],8,FALSE),0)</f>
        <v>0</v>
      </c>
      <c r="AF46" s="119">
        <f>IFERROR(VLOOKUP(Tabla9[[#This Row],[CEDULA]],Tabla8[],9,FALSE),0)</f>
        <v>0</v>
      </c>
    </row>
    <row r="47" spans="1:32" s="86" customFormat="1" ht="11.4">
      <c r="A47" s="1">
        <v>44</v>
      </c>
      <c r="B47" s="30"/>
      <c r="C47" s="80">
        <f>IFERROR(VLOOKUP(Tabla9[[#This Row],[CEDULA]],Tabla8[],2,FALSE),0)</f>
        <v>0</v>
      </c>
      <c r="D47" s="80">
        <f>IFERROR(VLOOKUP(Tabla9[[#This Row],[CEDULA]],Tabla8[],3,FALSE),0)</f>
        <v>0</v>
      </c>
      <c r="E47" s="169">
        <f>IFERROR(VLOOKUP(Tabla9[[#This Row],[CEDULA]],Tabla8[],4,FALSE),0)</f>
        <v>0</v>
      </c>
      <c r="F47" s="81"/>
      <c r="G47" s="102"/>
      <c r="H47" s="81"/>
      <c r="I47" s="81"/>
      <c r="J47" s="81"/>
      <c r="K47" s="81"/>
      <c r="L47" s="84"/>
      <c r="M47" s="84"/>
      <c r="N47" s="84"/>
      <c r="O47" s="84"/>
      <c r="P47" s="84"/>
      <c r="Q47" s="84"/>
      <c r="R47" s="84"/>
      <c r="S47" s="82">
        <v>0</v>
      </c>
      <c r="T47" s="85">
        <v>0</v>
      </c>
      <c r="U47" s="82">
        <v>0</v>
      </c>
      <c r="V47" s="82">
        <v>0</v>
      </c>
      <c r="W47" s="82">
        <v>0</v>
      </c>
      <c r="X47" s="82">
        <v>0</v>
      </c>
      <c r="Y47" s="82">
        <v>0</v>
      </c>
      <c r="Z47" s="82"/>
      <c r="AA47" s="36">
        <f>IFERROR(VLOOKUP(Z47,Tabla2[],2,FALSE),)</f>
        <v>0</v>
      </c>
      <c r="AB47" s="119">
        <f>IFERROR(VLOOKUP(Tabla9[[#This Row],[CEDULA]],Tabla8[],5,FALSE),0)</f>
        <v>0</v>
      </c>
      <c r="AC47" s="119">
        <f>IFERROR(VLOOKUP(Tabla9[[#This Row],[CEDULA]],Tabla8[],6,FALSE),0)</f>
        <v>0</v>
      </c>
      <c r="AD47" s="119">
        <f>IFERROR(VLOOKUP(Tabla9[[#This Row],[CEDULA]],Tabla8[],7,FALSE),0)</f>
        <v>0</v>
      </c>
      <c r="AE47" s="119">
        <f>IFERROR(VLOOKUP(Tabla9[[#This Row],[CEDULA]],Tabla8[],8,FALSE),0)</f>
        <v>0</v>
      </c>
      <c r="AF47" s="119">
        <f>IFERROR(VLOOKUP(Tabla9[[#This Row],[CEDULA]],Tabla8[],9,FALSE),0)</f>
        <v>0</v>
      </c>
    </row>
    <row r="48" spans="1:32" s="86" customFormat="1" ht="11.4">
      <c r="A48" s="1">
        <v>45</v>
      </c>
      <c r="B48" s="30"/>
      <c r="C48" s="80">
        <f>IFERROR(VLOOKUP(Tabla9[[#This Row],[CEDULA]],Tabla8[],2,FALSE),0)</f>
        <v>0</v>
      </c>
      <c r="D48" s="80">
        <f>IFERROR(VLOOKUP(Tabla9[[#This Row],[CEDULA]],Tabla8[],3,FALSE),0)</f>
        <v>0</v>
      </c>
      <c r="E48" s="169">
        <f>IFERROR(VLOOKUP(Tabla9[[#This Row],[CEDULA]],Tabla8[],4,FALSE),0)</f>
        <v>0</v>
      </c>
      <c r="F48" s="81"/>
      <c r="G48" s="102"/>
      <c r="H48" s="81"/>
      <c r="I48" s="81"/>
      <c r="J48" s="81"/>
      <c r="K48" s="81"/>
      <c r="L48" s="84"/>
      <c r="M48" s="84"/>
      <c r="N48" s="84"/>
      <c r="O48" s="84"/>
      <c r="P48" s="84"/>
      <c r="Q48" s="84"/>
      <c r="R48" s="84"/>
      <c r="S48" s="82">
        <v>0</v>
      </c>
      <c r="T48" s="85">
        <v>0</v>
      </c>
      <c r="U48" s="82">
        <v>0</v>
      </c>
      <c r="V48" s="82">
        <v>0</v>
      </c>
      <c r="W48" s="82">
        <v>0</v>
      </c>
      <c r="X48" s="82">
        <v>0</v>
      </c>
      <c r="Y48" s="82">
        <v>0</v>
      </c>
      <c r="Z48" s="82"/>
      <c r="AA48" s="36">
        <f>IFERROR(VLOOKUP(Z48,Tabla2[],2,FALSE),)</f>
        <v>0</v>
      </c>
      <c r="AB48" s="119">
        <f>IFERROR(VLOOKUP(Tabla9[[#This Row],[CEDULA]],Tabla8[],5,FALSE),0)</f>
        <v>0</v>
      </c>
      <c r="AC48" s="119">
        <f>IFERROR(VLOOKUP(Tabla9[[#This Row],[CEDULA]],Tabla8[],6,FALSE),0)</f>
        <v>0</v>
      </c>
      <c r="AD48" s="119">
        <f>IFERROR(VLOOKUP(Tabla9[[#This Row],[CEDULA]],Tabla8[],7,FALSE),0)</f>
        <v>0</v>
      </c>
      <c r="AE48" s="119">
        <f>IFERROR(VLOOKUP(Tabla9[[#This Row],[CEDULA]],Tabla8[],8,FALSE),0)</f>
        <v>0</v>
      </c>
      <c r="AF48" s="119">
        <f>IFERROR(VLOOKUP(Tabla9[[#This Row],[CEDULA]],Tabla8[],9,FALSE),0)</f>
        <v>0</v>
      </c>
    </row>
    <row r="49" spans="1:32" s="86" customFormat="1" ht="11.4">
      <c r="A49" s="1">
        <v>46</v>
      </c>
      <c r="B49" s="30"/>
      <c r="C49" s="80">
        <f>IFERROR(VLOOKUP(Tabla9[[#This Row],[CEDULA]],Tabla8[],2,FALSE),0)</f>
        <v>0</v>
      </c>
      <c r="D49" s="80">
        <f>IFERROR(VLOOKUP(Tabla9[[#This Row],[CEDULA]],Tabla8[],3,FALSE),0)</f>
        <v>0</v>
      </c>
      <c r="E49" s="169">
        <f>IFERROR(VLOOKUP(Tabla9[[#This Row],[CEDULA]],Tabla8[],4,FALSE),0)</f>
        <v>0</v>
      </c>
      <c r="F49" s="81"/>
      <c r="G49" s="102"/>
      <c r="H49" s="81"/>
      <c r="I49" s="81"/>
      <c r="J49" s="81"/>
      <c r="K49" s="81"/>
      <c r="L49" s="84"/>
      <c r="M49" s="84"/>
      <c r="N49" s="84"/>
      <c r="O49" s="84"/>
      <c r="P49" s="84"/>
      <c r="Q49" s="84"/>
      <c r="R49" s="84"/>
      <c r="S49" s="82">
        <v>0</v>
      </c>
      <c r="T49" s="85">
        <v>0</v>
      </c>
      <c r="U49" s="82">
        <v>0</v>
      </c>
      <c r="V49" s="82">
        <v>0</v>
      </c>
      <c r="W49" s="82">
        <v>0</v>
      </c>
      <c r="X49" s="82">
        <v>0</v>
      </c>
      <c r="Y49" s="82">
        <v>0</v>
      </c>
      <c r="Z49" s="82"/>
      <c r="AA49" s="36">
        <f>IFERROR(VLOOKUP(Z49,Tabla2[],2,FALSE),)</f>
        <v>0</v>
      </c>
      <c r="AB49" s="119">
        <f>IFERROR(VLOOKUP(Tabla9[[#This Row],[CEDULA]],Tabla8[],5,FALSE),0)</f>
        <v>0</v>
      </c>
      <c r="AC49" s="119">
        <f>IFERROR(VLOOKUP(Tabla9[[#This Row],[CEDULA]],Tabla8[],6,FALSE),0)</f>
        <v>0</v>
      </c>
      <c r="AD49" s="119">
        <f>IFERROR(VLOOKUP(Tabla9[[#This Row],[CEDULA]],Tabla8[],7,FALSE),0)</f>
        <v>0</v>
      </c>
      <c r="AE49" s="119">
        <f>IFERROR(VLOOKUP(Tabla9[[#This Row],[CEDULA]],Tabla8[],8,FALSE),0)</f>
        <v>0</v>
      </c>
      <c r="AF49" s="119">
        <f>IFERROR(VLOOKUP(Tabla9[[#This Row],[CEDULA]],Tabla8[],9,FALSE),0)</f>
        <v>0</v>
      </c>
    </row>
    <row r="50" spans="1:32" s="86" customFormat="1" ht="11.4">
      <c r="A50" s="1">
        <v>47</v>
      </c>
      <c r="B50" s="30"/>
      <c r="C50" s="80">
        <f>IFERROR(VLOOKUP(Tabla9[[#This Row],[CEDULA]],Tabla8[],2,FALSE),0)</f>
        <v>0</v>
      </c>
      <c r="D50" s="80">
        <f>IFERROR(VLOOKUP(Tabla9[[#This Row],[CEDULA]],Tabla8[],3,FALSE),0)</f>
        <v>0</v>
      </c>
      <c r="E50" s="169">
        <f>IFERROR(VLOOKUP(Tabla9[[#This Row],[CEDULA]],Tabla8[],4,FALSE),0)</f>
        <v>0</v>
      </c>
      <c r="F50" s="81"/>
      <c r="G50" s="102"/>
      <c r="H50" s="81"/>
      <c r="I50" s="81"/>
      <c r="J50" s="81"/>
      <c r="K50" s="81"/>
      <c r="L50" s="84"/>
      <c r="M50" s="84"/>
      <c r="N50" s="84"/>
      <c r="O50" s="84"/>
      <c r="P50" s="84"/>
      <c r="Q50" s="84"/>
      <c r="R50" s="84"/>
      <c r="S50" s="82">
        <v>0</v>
      </c>
      <c r="T50" s="85">
        <v>0</v>
      </c>
      <c r="U50" s="82">
        <v>0</v>
      </c>
      <c r="V50" s="82">
        <v>0</v>
      </c>
      <c r="W50" s="82">
        <v>0</v>
      </c>
      <c r="X50" s="82">
        <v>0</v>
      </c>
      <c r="Y50" s="82">
        <v>0</v>
      </c>
      <c r="Z50" s="82"/>
      <c r="AA50" s="36">
        <f>IFERROR(VLOOKUP(Z50,Tabla2[],2,FALSE),)</f>
        <v>0</v>
      </c>
      <c r="AB50" s="119">
        <f>IFERROR(VLOOKUP(Tabla9[[#This Row],[CEDULA]],Tabla8[],5,FALSE),0)</f>
        <v>0</v>
      </c>
      <c r="AC50" s="119">
        <f>IFERROR(VLOOKUP(Tabla9[[#This Row],[CEDULA]],Tabla8[],6,FALSE),0)</f>
        <v>0</v>
      </c>
      <c r="AD50" s="119">
        <f>IFERROR(VLOOKUP(Tabla9[[#This Row],[CEDULA]],Tabla8[],7,FALSE),0)</f>
        <v>0</v>
      </c>
      <c r="AE50" s="119">
        <f>IFERROR(VLOOKUP(Tabla9[[#This Row],[CEDULA]],Tabla8[],8,FALSE),0)</f>
        <v>0</v>
      </c>
      <c r="AF50" s="119">
        <f>IFERROR(VLOOKUP(Tabla9[[#This Row],[CEDULA]],Tabla8[],9,FALSE),0)</f>
        <v>0</v>
      </c>
    </row>
    <row r="51" spans="1:32" s="86" customFormat="1" ht="11.4">
      <c r="A51" s="1">
        <v>48</v>
      </c>
      <c r="B51" s="30"/>
      <c r="C51" s="80">
        <f>IFERROR(VLOOKUP(Tabla9[[#This Row],[CEDULA]],Tabla8[],2,FALSE),0)</f>
        <v>0</v>
      </c>
      <c r="D51" s="80">
        <f>IFERROR(VLOOKUP(Tabla9[[#This Row],[CEDULA]],Tabla8[],3,FALSE),0)</f>
        <v>0</v>
      </c>
      <c r="E51" s="169">
        <f>IFERROR(VLOOKUP(Tabla9[[#This Row],[CEDULA]],Tabla8[],4,FALSE),0)</f>
        <v>0</v>
      </c>
      <c r="F51" s="81"/>
      <c r="G51" s="102"/>
      <c r="H51" s="81"/>
      <c r="I51" s="81"/>
      <c r="J51" s="81"/>
      <c r="K51" s="81"/>
      <c r="L51" s="84"/>
      <c r="M51" s="84"/>
      <c r="N51" s="84"/>
      <c r="O51" s="84"/>
      <c r="P51" s="84"/>
      <c r="Q51" s="84"/>
      <c r="R51" s="84"/>
      <c r="S51" s="82">
        <v>0</v>
      </c>
      <c r="T51" s="85">
        <v>0</v>
      </c>
      <c r="U51" s="82">
        <v>0</v>
      </c>
      <c r="V51" s="82">
        <v>0</v>
      </c>
      <c r="W51" s="82">
        <v>0</v>
      </c>
      <c r="X51" s="82">
        <v>0</v>
      </c>
      <c r="Y51" s="82">
        <v>0</v>
      </c>
      <c r="Z51" s="82"/>
      <c r="AA51" s="36">
        <f>IFERROR(VLOOKUP(Z51,Tabla2[],2,FALSE),)</f>
        <v>0</v>
      </c>
      <c r="AB51" s="119">
        <f>IFERROR(VLOOKUP(Tabla9[[#This Row],[CEDULA]],Tabla8[],5,FALSE),0)</f>
        <v>0</v>
      </c>
      <c r="AC51" s="119">
        <f>IFERROR(VLOOKUP(Tabla9[[#This Row],[CEDULA]],Tabla8[],6,FALSE),0)</f>
        <v>0</v>
      </c>
      <c r="AD51" s="119">
        <f>IFERROR(VLOOKUP(Tabla9[[#This Row],[CEDULA]],Tabla8[],7,FALSE),0)</f>
        <v>0</v>
      </c>
      <c r="AE51" s="119">
        <f>IFERROR(VLOOKUP(Tabla9[[#This Row],[CEDULA]],Tabla8[],8,FALSE),0)</f>
        <v>0</v>
      </c>
      <c r="AF51" s="119">
        <f>IFERROR(VLOOKUP(Tabla9[[#This Row],[CEDULA]],Tabla8[],9,FALSE),0)</f>
        <v>0</v>
      </c>
    </row>
    <row r="52" spans="1:32" s="86" customFormat="1" ht="11.4">
      <c r="A52" s="1">
        <v>49</v>
      </c>
      <c r="B52" s="30"/>
      <c r="C52" s="80">
        <f>IFERROR(VLOOKUP(Tabla9[[#This Row],[CEDULA]],Tabla8[],2,FALSE),0)</f>
        <v>0</v>
      </c>
      <c r="D52" s="80">
        <f>IFERROR(VLOOKUP(Tabla9[[#This Row],[CEDULA]],Tabla8[],3,FALSE),0)</f>
        <v>0</v>
      </c>
      <c r="E52" s="169">
        <f>IFERROR(VLOOKUP(Tabla9[[#This Row],[CEDULA]],Tabla8[],4,FALSE),0)</f>
        <v>0</v>
      </c>
      <c r="F52" s="81"/>
      <c r="G52" s="102"/>
      <c r="H52" s="81"/>
      <c r="I52" s="81"/>
      <c r="J52" s="81"/>
      <c r="K52" s="81"/>
      <c r="L52" s="84"/>
      <c r="M52" s="84"/>
      <c r="N52" s="84"/>
      <c r="O52" s="84"/>
      <c r="P52" s="84"/>
      <c r="Q52" s="84"/>
      <c r="R52" s="84"/>
      <c r="S52" s="82">
        <v>0</v>
      </c>
      <c r="T52" s="85">
        <v>0</v>
      </c>
      <c r="U52" s="82">
        <v>0</v>
      </c>
      <c r="V52" s="82">
        <v>0</v>
      </c>
      <c r="W52" s="82">
        <v>0</v>
      </c>
      <c r="X52" s="82">
        <v>0</v>
      </c>
      <c r="Y52" s="82">
        <v>0</v>
      </c>
      <c r="Z52" s="82"/>
      <c r="AA52" s="36">
        <f>IFERROR(VLOOKUP(Z52,Tabla2[],2,FALSE),)</f>
        <v>0</v>
      </c>
      <c r="AB52" s="119">
        <f>IFERROR(VLOOKUP(Tabla9[[#This Row],[CEDULA]],Tabla8[],5,FALSE),0)</f>
        <v>0</v>
      </c>
      <c r="AC52" s="119">
        <f>IFERROR(VLOOKUP(Tabla9[[#This Row],[CEDULA]],Tabla8[],6,FALSE),0)</f>
        <v>0</v>
      </c>
      <c r="AD52" s="119">
        <f>IFERROR(VLOOKUP(Tabla9[[#This Row],[CEDULA]],Tabla8[],7,FALSE),0)</f>
        <v>0</v>
      </c>
      <c r="AE52" s="119">
        <f>IFERROR(VLOOKUP(Tabla9[[#This Row],[CEDULA]],Tabla8[],8,FALSE),0)</f>
        <v>0</v>
      </c>
      <c r="AF52" s="119">
        <f>IFERROR(VLOOKUP(Tabla9[[#This Row],[CEDULA]],Tabla8[],9,FALSE),0)</f>
        <v>0</v>
      </c>
    </row>
    <row r="53" spans="1:32" s="86" customFormat="1" ht="11.4">
      <c r="A53" s="1">
        <v>50</v>
      </c>
      <c r="B53" s="31"/>
      <c r="C53" s="80">
        <f>IFERROR(VLOOKUP(Tabla9[[#This Row],[CEDULA]],Tabla8[],2,FALSE),0)</f>
        <v>0</v>
      </c>
      <c r="D53" s="80">
        <f>IFERROR(VLOOKUP(Tabla9[[#This Row],[CEDULA]],Tabla8[],3,FALSE),0)</f>
        <v>0</v>
      </c>
      <c r="E53" s="169">
        <f>IFERROR(VLOOKUP(Tabla9[[#This Row],[CEDULA]],Tabla8[],4,FALSE),0)</f>
        <v>0</v>
      </c>
      <c r="F53" s="88"/>
      <c r="G53" s="102"/>
      <c r="H53" s="88"/>
      <c r="I53" s="88"/>
      <c r="J53" s="88"/>
      <c r="K53" s="88"/>
      <c r="L53" s="90"/>
      <c r="M53" s="90"/>
      <c r="N53" s="90"/>
      <c r="O53" s="90"/>
      <c r="P53" s="90"/>
      <c r="Q53" s="90"/>
      <c r="R53" s="90"/>
      <c r="S53" s="89">
        <v>0</v>
      </c>
      <c r="T53" s="91">
        <v>0</v>
      </c>
      <c r="U53" s="82">
        <v>0</v>
      </c>
      <c r="V53" s="82">
        <v>0</v>
      </c>
      <c r="W53" s="82">
        <v>0</v>
      </c>
      <c r="X53" s="82">
        <v>0</v>
      </c>
      <c r="Y53" s="82">
        <v>0</v>
      </c>
      <c r="Z53" s="89"/>
      <c r="AA53" s="38">
        <f>IFERROR(VLOOKUP(Z53,Tabla2[],2,FALSE),)</f>
        <v>0</v>
      </c>
      <c r="AB53" s="119">
        <f>IFERROR(VLOOKUP(Tabla9[[#This Row],[CEDULA]],Tabla8[],5,FALSE),0)</f>
        <v>0</v>
      </c>
      <c r="AC53" s="119">
        <f>IFERROR(VLOOKUP(Tabla9[[#This Row],[CEDULA]],Tabla8[],6,FALSE),0)</f>
        <v>0</v>
      </c>
      <c r="AD53" s="119">
        <f>IFERROR(VLOOKUP(Tabla9[[#This Row],[CEDULA]],Tabla8[],7,FALSE),0)</f>
        <v>0</v>
      </c>
      <c r="AE53" s="119">
        <f>IFERROR(VLOOKUP(Tabla9[[#This Row],[CEDULA]],Tabla8[],8,FALSE),0)</f>
        <v>0</v>
      </c>
      <c r="AF53" s="119">
        <f>IFERROR(VLOOKUP(Tabla9[[#This Row],[CEDULA]],Tabla8[],9,FALSE),0)</f>
        <v>0</v>
      </c>
    </row>
    <row r="54" spans="1:32" s="86" customFormat="1" ht="11.4">
      <c r="A54" s="1"/>
      <c r="E54" s="170"/>
      <c r="G54" s="103"/>
    </row>
    <row r="55" spans="1:32" s="86" customFormat="1" ht="11.4">
      <c r="A55" s="1"/>
      <c r="E55" s="170"/>
      <c r="G55" s="103"/>
    </row>
    <row r="56" spans="1:32" s="86" customFormat="1" ht="11.4">
      <c r="A56" s="1"/>
      <c r="E56" s="170"/>
      <c r="G56" s="103"/>
    </row>
    <row r="57" spans="1:32" s="86" customFormat="1" ht="11.4">
      <c r="A57" s="1"/>
      <c r="E57" s="170"/>
      <c r="G57" s="103"/>
    </row>
    <row r="58" spans="1:32" s="86" customFormat="1" ht="11.4">
      <c r="A58" s="1"/>
      <c r="E58" s="170"/>
      <c r="G58" s="103"/>
    </row>
    <row r="59" spans="1:32" s="86" customFormat="1" ht="11.4">
      <c r="A59" s="1"/>
      <c r="E59" s="170"/>
      <c r="G59" s="103"/>
    </row>
    <row r="60" spans="1:32" s="86" customFormat="1" ht="11.4">
      <c r="A60" s="1"/>
      <c r="E60" s="170"/>
      <c r="G60" s="103"/>
    </row>
    <row r="61" spans="1:32" s="86" customFormat="1" ht="11.4" hidden="1">
      <c r="A61" s="1"/>
      <c r="E61" s="170"/>
      <c r="G61" s="103"/>
    </row>
    <row r="62" spans="1:32" s="86" customFormat="1" ht="11.4" hidden="1">
      <c r="A62" s="1"/>
      <c r="E62" s="170"/>
      <c r="G62" s="103"/>
    </row>
    <row r="63" spans="1:32" s="86" customFormat="1" ht="11.4" hidden="1">
      <c r="A63" s="1"/>
      <c r="E63" s="170"/>
      <c r="G63" s="103"/>
    </row>
    <row r="64" spans="1:32" s="86" customFormat="1" ht="11.4" hidden="1">
      <c r="A64" s="1"/>
      <c r="E64" s="170"/>
      <c r="G64" s="103"/>
    </row>
    <row r="65" spans="1:7" s="86" customFormat="1" ht="11.4" hidden="1">
      <c r="A65" s="1"/>
      <c r="E65" s="170"/>
      <c r="G65" s="103"/>
    </row>
    <row r="66" spans="1:7" s="86" customFormat="1" ht="11.4" hidden="1">
      <c r="A66" s="1"/>
      <c r="E66" s="170"/>
      <c r="G66" s="103"/>
    </row>
    <row r="67" spans="1:7" s="86" customFormat="1" ht="11.4" hidden="1">
      <c r="A67" s="1"/>
      <c r="E67" s="170"/>
      <c r="G67" s="103"/>
    </row>
    <row r="68" spans="1:7" s="86" customFormat="1" ht="11.4" hidden="1">
      <c r="A68" s="1"/>
      <c r="E68" s="170"/>
      <c r="G68" s="103"/>
    </row>
    <row r="69" spans="1:7" s="86" customFormat="1" ht="11.4" hidden="1">
      <c r="A69" s="1"/>
      <c r="E69" s="170"/>
      <c r="G69" s="103"/>
    </row>
    <row r="70" spans="1:7" s="86" customFormat="1" ht="11.4" hidden="1">
      <c r="A70" s="1"/>
      <c r="E70" s="170"/>
      <c r="G70" s="103"/>
    </row>
    <row r="71" spans="1:7" s="86" customFormat="1" ht="11.4" hidden="1">
      <c r="A71" s="1"/>
      <c r="E71" s="170"/>
      <c r="G71" s="103"/>
    </row>
    <row r="72" spans="1:7" s="86" customFormat="1" ht="11.4" hidden="1">
      <c r="A72" s="1"/>
      <c r="E72" s="170"/>
      <c r="G72" s="103"/>
    </row>
    <row r="73" spans="1:7" s="86" customFormat="1" ht="11.4" hidden="1">
      <c r="A73" s="1"/>
      <c r="E73" s="170"/>
      <c r="G73" s="103"/>
    </row>
    <row r="74" spans="1:7" s="86" customFormat="1" ht="11.4" hidden="1">
      <c r="A74" s="1"/>
      <c r="E74" s="170"/>
      <c r="G74" s="103"/>
    </row>
    <row r="75" spans="1:7" s="86" customFormat="1" ht="11.4" hidden="1">
      <c r="A75" s="1"/>
      <c r="E75" s="170"/>
      <c r="G75" s="103"/>
    </row>
    <row r="76" spans="1:7" s="86" customFormat="1" ht="11.4" hidden="1">
      <c r="A76" s="1"/>
      <c r="E76" s="170"/>
      <c r="G76" s="103"/>
    </row>
    <row r="77" spans="1:7" s="86" customFormat="1" ht="11.4" hidden="1">
      <c r="A77" s="1"/>
      <c r="E77" s="170"/>
      <c r="G77" s="103"/>
    </row>
    <row r="78" spans="1:7" s="86" customFormat="1" ht="11.4" hidden="1">
      <c r="A78" s="1"/>
      <c r="E78" s="170"/>
      <c r="G78" s="103"/>
    </row>
    <row r="79" spans="1:7" s="86" customFormat="1" ht="11.4" hidden="1">
      <c r="A79" s="1"/>
      <c r="E79" s="170"/>
      <c r="G79" s="103"/>
    </row>
    <row r="80" spans="1:7" s="86" customFormat="1" ht="11.4" hidden="1">
      <c r="A80" s="1"/>
      <c r="E80" s="170"/>
      <c r="G80" s="103"/>
    </row>
    <row r="81" spans="1:18" s="86" customFormat="1" ht="11.4" hidden="1">
      <c r="A81" s="1"/>
      <c r="E81" s="170"/>
      <c r="G81" s="103"/>
    </row>
    <row r="82" spans="1:18" s="86" customFormat="1" ht="11.4" hidden="1">
      <c r="A82" s="1"/>
      <c r="E82" s="170"/>
      <c r="G82" s="103"/>
    </row>
    <row r="83" spans="1:18" s="86" customFormat="1" ht="11.4" hidden="1">
      <c r="A83" s="1"/>
      <c r="E83" s="170"/>
      <c r="G83" s="103"/>
    </row>
    <row r="84" spans="1:18" s="86" customFormat="1" ht="11.4" hidden="1">
      <c r="A84" s="1"/>
      <c r="E84" s="170"/>
      <c r="G84" s="103"/>
    </row>
    <row r="85" spans="1:18" s="86" customFormat="1" ht="11.4" hidden="1">
      <c r="A85" s="1"/>
      <c r="E85" s="170"/>
      <c r="G85" s="103"/>
    </row>
    <row r="86" spans="1:18" s="86" customFormat="1" ht="11.4" hidden="1">
      <c r="A86" s="1"/>
      <c r="E86" s="170"/>
      <c r="G86" s="103"/>
    </row>
    <row r="87" spans="1:18" s="86" customFormat="1" ht="11.4" hidden="1">
      <c r="A87" s="1"/>
      <c r="E87" s="170"/>
      <c r="G87" s="103"/>
    </row>
    <row r="88" spans="1:18" s="86" customFormat="1" ht="11.4" hidden="1">
      <c r="A88" s="1"/>
      <c r="E88" s="170"/>
      <c r="G88" s="103"/>
    </row>
    <row r="89" spans="1:18" s="86" customFormat="1" ht="11.4" hidden="1">
      <c r="A89" s="1"/>
      <c r="E89" s="170"/>
      <c r="G89" s="103"/>
    </row>
    <row r="90" spans="1:18" s="86" customFormat="1" ht="11.4" hidden="1">
      <c r="A90" s="1"/>
      <c r="E90" s="170"/>
      <c r="G90" s="103"/>
    </row>
    <row r="91" spans="1:18" s="86" customFormat="1" ht="11.4" hidden="1">
      <c r="A91" s="1"/>
      <c r="E91" s="170"/>
      <c r="G91" s="103"/>
    </row>
    <row r="92" spans="1:18" ht="11.4" hidden="1">
      <c r="L92" s="1"/>
      <c r="M92" s="1"/>
      <c r="N92" s="1"/>
      <c r="O92" s="1"/>
      <c r="P92" s="1"/>
      <c r="Q92" s="1"/>
      <c r="R92" s="1"/>
    </row>
    <row r="93" spans="1:18" ht="11.4" hidden="1">
      <c r="L93" s="1"/>
      <c r="M93" s="1"/>
      <c r="N93" s="1"/>
      <c r="O93" s="1"/>
      <c r="P93" s="1"/>
      <c r="Q93" s="1"/>
      <c r="R93" s="1"/>
    </row>
    <row r="94" spans="1:18" ht="11.4" hidden="1">
      <c r="L94" s="1"/>
      <c r="M94" s="1"/>
      <c r="N94" s="1"/>
      <c r="O94" s="1"/>
      <c r="P94" s="1"/>
      <c r="Q94" s="1"/>
      <c r="R94" s="1"/>
    </row>
    <row r="95" spans="1:18" ht="11.4" hidden="1">
      <c r="L95" s="1"/>
      <c r="M95" s="1"/>
      <c r="N95" s="1"/>
      <c r="O95" s="1"/>
      <c r="P95" s="1"/>
      <c r="Q95" s="1"/>
      <c r="R95" s="1"/>
    </row>
    <row r="96" spans="1:18" ht="11.4" hidden="1">
      <c r="L96" s="1"/>
      <c r="M96" s="1"/>
      <c r="N96" s="1"/>
      <c r="O96" s="1"/>
      <c r="P96" s="1"/>
      <c r="Q96" s="1"/>
      <c r="R96" s="1"/>
    </row>
    <row r="97" spans="12:18" ht="11.4" hidden="1">
      <c r="L97" s="1"/>
      <c r="M97" s="1"/>
      <c r="N97" s="1"/>
      <c r="O97" s="1"/>
      <c r="P97" s="1"/>
      <c r="Q97" s="1"/>
      <c r="R97" s="1"/>
    </row>
    <row r="98" spans="12:18" ht="11.4" hidden="1">
      <c r="L98" s="1"/>
      <c r="M98" s="1"/>
      <c r="N98" s="1"/>
      <c r="O98" s="1"/>
      <c r="P98" s="1"/>
      <c r="Q98" s="1"/>
      <c r="R98" s="1"/>
    </row>
    <row r="99" spans="12:18" ht="11.4" hidden="1">
      <c r="L99" s="1"/>
      <c r="M99" s="1"/>
      <c r="N99" s="1"/>
      <c r="O99" s="1"/>
      <c r="P99" s="1"/>
      <c r="Q99" s="1"/>
      <c r="R99" s="1"/>
    </row>
    <row r="100" spans="12:18" ht="11.4" hidden="1">
      <c r="L100" s="1"/>
      <c r="M100" s="1"/>
      <c r="N100" s="1"/>
      <c r="O100" s="1"/>
      <c r="P100" s="1"/>
      <c r="Q100" s="1"/>
      <c r="R100" s="1"/>
    </row>
    <row r="101" spans="12:18" ht="11.4" hidden="1">
      <c r="L101" s="1"/>
      <c r="M101" s="1"/>
      <c r="N101" s="1"/>
      <c r="O101" s="1"/>
      <c r="P101" s="1"/>
      <c r="Q101" s="1"/>
      <c r="R101" s="1"/>
    </row>
    <row r="102" spans="12:18" ht="11.4" hidden="1">
      <c r="L102" s="1"/>
      <c r="M102" s="1"/>
      <c r="N102" s="1"/>
      <c r="O102" s="1"/>
      <c r="P102" s="1"/>
      <c r="Q102" s="1"/>
      <c r="R102" s="1"/>
    </row>
    <row r="103" spans="12:18" ht="11.4" hidden="1">
      <c r="L103" s="1"/>
      <c r="M103" s="1"/>
      <c r="N103" s="1"/>
      <c r="O103" s="1"/>
      <c r="P103" s="1"/>
      <c r="Q103" s="1"/>
      <c r="R103" s="1"/>
    </row>
    <row r="104" spans="12:18" ht="11.4" hidden="1">
      <c r="L104" s="1"/>
      <c r="M104" s="1"/>
      <c r="N104" s="1"/>
      <c r="O104" s="1"/>
      <c r="P104" s="1"/>
      <c r="Q104" s="1"/>
      <c r="R104" s="1"/>
    </row>
    <row r="105" spans="12:18" ht="11.4" hidden="1">
      <c r="L105" s="1"/>
      <c r="M105" s="1"/>
      <c r="N105" s="1"/>
      <c r="O105" s="1"/>
      <c r="P105" s="1"/>
      <c r="Q105" s="1"/>
      <c r="R105" s="1"/>
    </row>
    <row r="106" spans="12:18" ht="11.4" hidden="1">
      <c r="L106" s="1"/>
      <c r="M106" s="1"/>
      <c r="N106" s="1"/>
      <c r="O106" s="1"/>
      <c r="P106" s="1"/>
      <c r="Q106" s="1"/>
      <c r="R106" s="1"/>
    </row>
    <row r="107" spans="12:18" ht="11.4" hidden="1">
      <c r="L107" s="1"/>
      <c r="M107" s="1"/>
      <c r="N107" s="1"/>
      <c r="O107" s="1"/>
      <c r="P107" s="1"/>
      <c r="Q107" s="1"/>
      <c r="R107" s="1"/>
    </row>
    <row r="108" spans="12:18" ht="11.4" hidden="1">
      <c r="L108" s="1"/>
      <c r="M108" s="1"/>
      <c r="N108" s="1"/>
      <c r="O108" s="1"/>
      <c r="P108" s="1"/>
      <c r="Q108" s="1"/>
      <c r="R108" s="1"/>
    </row>
    <row r="109" spans="12:18" ht="11.4" hidden="1">
      <c r="L109" s="1"/>
      <c r="M109" s="1"/>
      <c r="N109" s="1"/>
      <c r="O109" s="1"/>
      <c r="P109" s="1"/>
      <c r="Q109" s="1"/>
      <c r="R109" s="1"/>
    </row>
    <row r="110" spans="12:18" ht="11.4" hidden="1">
      <c r="L110" s="1"/>
      <c r="M110" s="1"/>
      <c r="N110" s="1"/>
      <c r="O110" s="1"/>
      <c r="P110" s="1"/>
      <c r="Q110" s="1"/>
      <c r="R110" s="1"/>
    </row>
    <row r="111" spans="12:18" ht="11.4" hidden="1">
      <c r="L111" s="1"/>
      <c r="M111" s="1"/>
      <c r="N111" s="1"/>
      <c r="O111" s="1"/>
      <c r="P111" s="1"/>
      <c r="Q111" s="1"/>
      <c r="R111" s="1"/>
    </row>
    <row r="112" spans="12:18" ht="11.4" hidden="1">
      <c r="L112" s="1"/>
      <c r="M112" s="1"/>
      <c r="N112" s="1"/>
      <c r="O112" s="1"/>
      <c r="P112" s="1"/>
      <c r="Q112" s="1"/>
      <c r="R112" s="1"/>
    </row>
    <row r="113" spans="12:18" ht="11.4" hidden="1">
      <c r="L113" s="1"/>
      <c r="M113" s="1"/>
      <c r="N113" s="1"/>
      <c r="O113" s="1"/>
      <c r="P113" s="1"/>
      <c r="Q113" s="1"/>
      <c r="R113" s="1"/>
    </row>
    <row r="114" spans="12:18" ht="11.4" hidden="1">
      <c r="L114" s="1"/>
      <c r="M114" s="1"/>
      <c r="N114" s="1"/>
      <c r="O114" s="1"/>
      <c r="P114" s="1"/>
      <c r="Q114" s="1"/>
      <c r="R114" s="1"/>
    </row>
    <row r="115" spans="12:18" ht="11.4" hidden="1">
      <c r="L115" s="1"/>
      <c r="M115" s="1"/>
      <c r="N115" s="1"/>
      <c r="O115" s="1"/>
      <c r="P115" s="1"/>
      <c r="Q115" s="1"/>
      <c r="R115" s="1"/>
    </row>
    <row r="116" spans="12:18" ht="11.4" hidden="1">
      <c r="L116" s="1"/>
      <c r="M116" s="1"/>
      <c r="N116" s="1"/>
      <c r="O116" s="1"/>
      <c r="P116" s="1"/>
      <c r="Q116" s="1"/>
      <c r="R116" s="1"/>
    </row>
    <row r="117" spans="12:18" ht="11.4" hidden="1">
      <c r="L117" s="1"/>
      <c r="M117" s="1"/>
      <c r="N117" s="1"/>
      <c r="O117" s="1"/>
      <c r="P117" s="1"/>
      <c r="Q117" s="1"/>
      <c r="R117" s="1"/>
    </row>
    <row r="118" spans="12:18" ht="11.4" hidden="1">
      <c r="L118" s="1"/>
      <c r="M118" s="1"/>
      <c r="N118" s="1"/>
      <c r="O118" s="1"/>
      <c r="P118" s="1"/>
      <c r="Q118" s="1"/>
      <c r="R118" s="1"/>
    </row>
    <row r="119" spans="12:18" ht="11.4" hidden="1">
      <c r="L119" s="1"/>
      <c r="M119" s="1"/>
      <c r="N119" s="1"/>
      <c r="O119" s="1"/>
      <c r="P119" s="1"/>
      <c r="Q119" s="1"/>
      <c r="R119" s="1"/>
    </row>
    <row r="120" spans="12:18" ht="11.4" hidden="1">
      <c r="L120" s="1"/>
      <c r="M120" s="1"/>
      <c r="N120" s="1"/>
      <c r="O120" s="1"/>
      <c r="P120" s="1"/>
      <c r="Q120" s="1"/>
      <c r="R120" s="1"/>
    </row>
    <row r="121" spans="12:18" ht="11.4" hidden="1">
      <c r="L121" s="1"/>
      <c r="M121" s="1"/>
      <c r="N121" s="1"/>
      <c r="O121" s="1"/>
      <c r="P121" s="1"/>
      <c r="Q121" s="1"/>
      <c r="R121" s="1"/>
    </row>
    <row r="122" spans="12:18" ht="11.4" hidden="1">
      <c r="L122" s="1"/>
      <c r="M122" s="1"/>
      <c r="N122" s="1"/>
      <c r="O122" s="1"/>
      <c r="P122" s="1"/>
      <c r="Q122" s="1"/>
      <c r="R122" s="1"/>
    </row>
    <row r="123" spans="12:18" ht="11.4" hidden="1">
      <c r="L123" s="1"/>
      <c r="M123" s="1"/>
      <c r="N123" s="1"/>
      <c r="O123" s="1"/>
      <c r="P123" s="1"/>
      <c r="Q123" s="1"/>
      <c r="R123" s="1"/>
    </row>
    <row r="124" spans="12:18" ht="11.4" hidden="1">
      <c r="L124" s="1"/>
      <c r="M124" s="1"/>
      <c r="N124" s="1"/>
      <c r="O124" s="1"/>
      <c r="P124" s="1"/>
      <c r="Q124" s="1"/>
      <c r="R124" s="1"/>
    </row>
    <row r="125" spans="12:18" ht="11.4" hidden="1">
      <c r="L125" s="1"/>
      <c r="M125" s="1"/>
      <c r="N125" s="1"/>
      <c r="O125" s="1"/>
      <c r="P125" s="1"/>
      <c r="Q125" s="1"/>
      <c r="R125" s="1"/>
    </row>
    <row r="126" spans="12:18" ht="11.4" hidden="1">
      <c r="L126" s="1"/>
      <c r="M126" s="1"/>
      <c r="N126" s="1"/>
      <c r="O126" s="1"/>
      <c r="P126" s="1"/>
      <c r="Q126" s="1"/>
      <c r="R126" s="1"/>
    </row>
    <row r="127" spans="12:18" ht="11.4" hidden="1">
      <c r="L127" s="1"/>
      <c r="M127" s="1"/>
      <c r="N127" s="1"/>
      <c r="O127" s="1"/>
      <c r="P127" s="1"/>
      <c r="Q127" s="1"/>
      <c r="R127" s="1"/>
    </row>
    <row r="128" spans="12:18" ht="11.4" hidden="1">
      <c r="L128" s="1"/>
      <c r="M128" s="1"/>
      <c r="N128" s="1"/>
      <c r="O128" s="1"/>
      <c r="P128" s="1"/>
      <c r="Q128" s="1"/>
      <c r="R128" s="1"/>
    </row>
    <row r="129" spans="12:18" ht="11.4" hidden="1">
      <c r="L129" s="1"/>
      <c r="M129" s="1"/>
      <c r="N129" s="1"/>
      <c r="O129" s="1"/>
      <c r="P129" s="1"/>
      <c r="Q129" s="1"/>
      <c r="R129" s="1"/>
    </row>
    <row r="130" spans="12:18" ht="11.4" hidden="1">
      <c r="L130" s="1"/>
      <c r="M130" s="1"/>
      <c r="N130" s="1"/>
      <c r="O130" s="1"/>
      <c r="P130" s="1"/>
      <c r="Q130" s="1"/>
      <c r="R130" s="1"/>
    </row>
    <row r="131" spans="12:18" ht="11.4" hidden="1">
      <c r="L131" s="1"/>
      <c r="M131" s="1"/>
      <c r="N131" s="1"/>
      <c r="O131" s="1"/>
      <c r="P131" s="1"/>
      <c r="Q131" s="1"/>
      <c r="R131" s="1"/>
    </row>
    <row r="132" spans="12:18" ht="11.4" hidden="1">
      <c r="L132" s="1"/>
      <c r="M132" s="1"/>
      <c r="N132" s="1"/>
      <c r="O132" s="1"/>
      <c r="P132" s="1"/>
      <c r="Q132" s="1"/>
      <c r="R132" s="1"/>
    </row>
    <row r="133" spans="12:18" ht="11.4" hidden="1">
      <c r="L133" s="1"/>
      <c r="M133" s="1"/>
      <c r="N133" s="1"/>
      <c r="O133" s="1"/>
      <c r="P133" s="1"/>
      <c r="Q133" s="1"/>
      <c r="R133" s="1"/>
    </row>
    <row r="134" spans="12:18" ht="11.4" hidden="1">
      <c r="L134" s="1"/>
      <c r="M134" s="1"/>
      <c r="N134" s="1"/>
      <c r="O134" s="1"/>
      <c r="P134" s="1"/>
      <c r="Q134" s="1"/>
      <c r="R134" s="1"/>
    </row>
    <row r="135" spans="12:18" ht="11.4" hidden="1">
      <c r="L135" s="1"/>
      <c r="M135" s="1"/>
      <c r="N135" s="1"/>
      <c r="O135" s="1"/>
      <c r="P135" s="1"/>
      <c r="Q135" s="1"/>
      <c r="R135" s="1"/>
    </row>
    <row r="136" spans="12:18" ht="11.4" hidden="1">
      <c r="L136" s="1"/>
      <c r="M136" s="1"/>
      <c r="N136" s="1"/>
      <c r="O136" s="1"/>
      <c r="P136" s="1"/>
      <c r="Q136" s="1"/>
      <c r="R136" s="1"/>
    </row>
    <row r="137" spans="12:18" ht="11.4" hidden="1">
      <c r="L137" s="1"/>
      <c r="M137" s="1"/>
      <c r="N137" s="1"/>
      <c r="O137" s="1"/>
      <c r="P137" s="1"/>
      <c r="Q137" s="1"/>
      <c r="R137" s="1"/>
    </row>
    <row r="138" spans="12:18" ht="11.4" hidden="1">
      <c r="L138" s="1"/>
      <c r="M138" s="1"/>
      <c r="N138" s="1"/>
      <c r="O138" s="1"/>
      <c r="P138" s="1"/>
      <c r="Q138" s="1"/>
      <c r="R138" s="1"/>
    </row>
    <row r="139" spans="12:18" ht="11.4" hidden="1">
      <c r="L139" s="1"/>
      <c r="M139" s="1"/>
      <c r="N139" s="1"/>
      <c r="O139" s="1"/>
      <c r="P139" s="1"/>
      <c r="Q139" s="1"/>
      <c r="R139" s="1"/>
    </row>
    <row r="140" spans="12:18" ht="11.4" hidden="1">
      <c r="L140" s="1"/>
      <c r="M140" s="1"/>
      <c r="N140" s="1"/>
      <c r="O140" s="1"/>
      <c r="P140" s="1"/>
      <c r="Q140" s="1"/>
      <c r="R140" s="1"/>
    </row>
    <row r="141" spans="12:18" ht="11.4" hidden="1">
      <c r="L141" s="1"/>
      <c r="M141" s="1"/>
      <c r="N141" s="1"/>
      <c r="O141" s="1"/>
      <c r="P141" s="1"/>
      <c r="Q141" s="1"/>
      <c r="R141" s="1"/>
    </row>
    <row r="142" spans="12:18" ht="11.4" hidden="1">
      <c r="L142" s="1"/>
      <c r="M142" s="1"/>
      <c r="N142" s="1"/>
      <c r="O142" s="1"/>
      <c r="P142" s="1"/>
      <c r="Q142" s="1"/>
      <c r="R142" s="1"/>
    </row>
    <row r="143" spans="12:18" ht="11.4" hidden="1">
      <c r="L143" s="1"/>
      <c r="M143" s="1"/>
      <c r="N143" s="1"/>
      <c r="O143" s="1"/>
      <c r="P143" s="1"/>
      <c r="Q143" s="1"/>
      <c r="R143" s="1"/>
    </row>
    <row r="144" spans="12:18" ht="11.4" hidden="1">
      <c r="L144" s="1"/>
      <c r="M144" s="1"/>
      <c r="N144" s="1"/>
      <c r="O144" s="1"/>
      <c r="P144" s="1"/>
      <c r="Q144" s="1"/>
      <c r="R144" s="1"/>
    </row>
    <row r="145" spans="12:18" ht="11.4" hidden="1">
      <c r="L145" s="1"/>
      <c r="M145" s="1"/>
      <c r="N145" s="1"/>
      <c r="O145" s="1"/>
      <c r="P145" s="1"/>
      <c r="Q145" s="1"/>
      <c r="R145" s="1"/>
    </row>
    <row r="146" spans="12:18" ht="11.4" hidden="1">
      <c r="L146" s="1"/>
      <c r="M146" s="1"/>
      <c r="N146" s="1"/>
      <c r="O146" s="1"/>
      <c r="P146" s="1"/>
      <c r="Q146" s="1"/>
      <c r="R146" s="1"/>
    </row>
    <row r="147" spans="12:18" ht="11.4" hidden="1">
      <c r="L147" s="1"/>
      <c r="M147" s="1"/>
      <c r="N147" s="1"/>
      <c r="O147" s="1"/>
      <c r="P147" s="1"/>
      <c r="Q147" s="1"/>
      <c r="R147" s="1"/>
    </row>
    <row r="148" spans="12:18" ht="11.4" hidden="1">
      <c r="L148" s="1"/>
      <c r="M148" s="1"/>
      <c r="N148" s="1"/>
      <c r="O148" s="1"/>
      <c r="P148" s="1"/>
      <c r="Q148" s="1"/>
      <c r="R148" s="1"/>
    </row>
    <row r="149" spans="12:18" ht="11.4" hidden="1">
      <c r="L149" s="1"/>
      <c r="M149" s="1"/>
      <c r="N149" s="1"/>
      <c r="O149" s="1"/>
      <c r="P149" s="1"/>
      <c r="Q149" s="1"/>
      <c r="R149" s="1"/>
    </row>
    <row r="150" spans="12:18" ht="11.4" hidden="1">
      <c r="L150" s="1"/>
      <c r="M150" s="1"/>
      <c r="N150" s="1"/>
      <c r="O150" s="1"/>
      <c r="P150" s="1"/>
      <c r="Q150" s="1"/>
      <c r="R150" s="1"/>
    </row>
    <row r="151" spans="12:18" ht="11.4" hidden="1">
      <c r="L151" s="1"/>
      <c r="M151" s="1"/>
      <c r="N151" s="1"/>
      <c r="O151" s="1"/>
      <c r="P151" s="1"/>
      <c r="Q151" s="1"/>
      <c r="R151" s="1"/>
    </row>
    <row r="152" spans="12:18" ht="11.4" hidden="1">
      <c r="L152" s="1"/>
      <c r="M152" s="1"/>
      <c r="N152" s="1"/>
      <c r="O152" s="1"/>
      <c r="P152" s="1"/>
      <c r="Q152" s="1"/>
      <c r="R152" s="1"/>
    </row>
    <row r="153" spans="12:18" ht="11.4" hidden="1">
      <c r="L153" s="1"/>
      <c r="M153" s="1"/>
      <c r="N153" s="1"/>
      <c r="O153" s="1"/>
      <c r="P153" s="1"/>
      <c r="Q153" s="1"/>
      <c r="R153" s="1"/>
    </row>
    <row r="154" spans="12:18" ht="11.4" hidden="1">
      <c r="L154" s="1"/>
      <c r="M154" s="1"/>
      <c r="N154" s="1"/>
      <c r="O154" s="1"/>
      <c r="P154" s="1"/>
      <c r="Q154" s="1"/>
      <c r="R154" s="1"/>
    </row>
    <row r="155" spans="12:18" ht="11.4" hidden="1">
      <c r="L155" s="1"/>
      <c r="M155" s="1"/>
      <c r="N155" s="1"/>
      <c r="O155" s="1"/>
      <c r="P155" s="1"/>
      <c r="Q155" s="1"/>
      <c r="R155" s="1"/>
    </row>
    <row r="156" spans="12:18" ht="11.4" hidden="1">
      <c r="L156" s="1"/>
      <c r="M156" s="1"/>
      <c r="N156" s="1"/>
      <c r="O156" s="1"/>
      <c r="P156" s="1"/>
      <c r="Q156" s="1"/>
      <c r="R156" s="1"/>
    </row>
    <row r="157" spans="12:18" ht="11.4" hidden="1">
      <c r="L157" s="1"/>
      <c r="M157" s="1"/>
      <c r="N157" s="1"/>
      <c r="O157" s="1"/>
      <c r="P157" s="1"/>
      <c r="Q157" s="1"/>
      <c r="R157" s="1"/>
    </row>
    <row r="158" spans="12:18" ht="11.4" hidden="1">
      <c r="L158" s="1"/>
      <c r="M158" s="1"/>
      <c r="N158" s="1"/>
      <c r="O158" s="1"/>
      <c r="P158" s="1"/>
      <c r="Q158" s="1"/>
      <c r="R158" s="1"/>
    </row>
    <row r="159" spans="12:18" ht="11.4" hidden="1">
      <c r="L159" s="1"/>
      <c r="M159" s="1"/>
      <c r="N159" s="1"/>
      <c r="O159" s="1"/>
      <c r="P159" s="1"/>
      <c r="Q159" s="1"/>
      <c r="R159" s="1"/>
    </row>
    <row r="160" spans="12:18" ht="11.4" hidden="1">
      <c r="L160" s="1"/>
      <c r="M160" s="1"/>
      <c r="N160" s="1"/>
      <c r="O160" s="1"/>
      <c r="P160" s="1"/>
      <c r="Q160" s="1"/>
      <c r="R160" s="1"/>
    </row>
    <row r="161" spans="12:18" ht="11.4" hidden="1">
      <c r="L161" s="1"/>
      <c r="M161" s="1"/>
      <c r="N161" s="1"/>
      <c r="O161" s="1"/>
      <c r="P161" s="1"/>
      <c r="Q161" s="1"/>
      <c r="R161" s="1"/>
    </row>
    <row r="162" spans="12:18" ht="11.4" hidden="1">
      <c r="L162" s="1"/>
      <c r="M162" s="1"/>
      <c r="N162" s="1"/>
      <c r="O162" s="1"/>
      <c r="P162" s="1"/>
      <c r="Q162" s="1"/>
      <c r="R162" s="1"/>
    </row>
    <row r="163" spans="12:18" ht="11.4" hidden="1">
      <c r="L163" s="1"/>
      <c r="M163" s="1"/>
      <c r="N163" s="1"/>
      <c r="O163" s="1"/>
      <c r="P163" s="1"/>
      <c r="Q163" s="1"/>
      <c r="R163" s="1"/>
    </row>
    <row r="164" spans="12:18" ht="11.4" hidden="1">
      <c r="L164" s="1"/>
      <c r="M164" s="1"/>
      <c r="N164" s="1"/>
      <c r="O164" s="1"/>
      <c r="P164" s="1"/>
      <c r="Q164" s="1"/>
      <c r="R164" s="1"/>
    </row>
    <row r="165" spans="12:18" ht="11.4" hidden="1">
      <c r="L165" s="1"/>
      <c r="M165" s="1"/>
      <c r="N165" s="1"/>
      <c r="O165" s="1"/>
      <c r="P165" s="1"/>
      <c r="Q165" s="1"/>
      <c r="R165" s="1"/>
    </row>
    <row r="166" spans="12:18" ht="11.4" hidden="1">
      <c r="L166" s="1"/>
      <c r="M166" s="1"/>
      <c r="N166" s="1"/>
      <c r="O166" s="1"/>
      <c r="P166" s="1"/>
      <c r="Q166" s="1"/>
      <c r="R166" s="1"/>
    </row>
    <row r="167" spans="12:18" ht="11.4" hidden="1">
      <c r="L167" s="1"/>
      <c r="M167" s="1"/>
      <c r="N167" s="1"/>
      <c r="O167" s="1"/>
      <c r="P167" s="1"/>
      <c r="Q167" s="1"/>
      <c r="R167" s="1"/>
    </row>
    <row r="168" spans="12:18" ht="11.4" hidden="1">
      <c r="L168" s="1"/>
      <c r="M168" s="1"/>
      <c r="N168" s="1"/>
      <c r="O168" s="1"/>
      <c r="P168" s="1"/>
      <c r="Q168" s="1"/>
      <c r="R168" s="1"/>
    </row>
    <row r="169" spans="12:18" ht="11.4" hidden="1">
      <c r="L169" s="1"/>
      <c r="M169" s="1"/>
      <c r="N169" s="1"/>
      <c r="O169" s="1"/>
      <c r="P169" s="1"/>
      <c r="Q169" s="1"/>
      <c r="R169" s="1"/>
    </row>
    <row r="170" spans="12:18" ht="11.4" hidden="1">
      <c r="L170" s="1"/>
      <c r="M170" s="1"/>
      <c r="N170" s="1"/>
      <c r="O170" s="1"/>
      <c r="P170" s="1"/>
      <c r="Q170" s="1"/>
      <c r="R170" s="1"/>
    </row>
    <row r="171" spans="12:18" ht="11.4" hidden="1">
      <c r="L171" s="1"/>
      <c r="M171" s="1"/>
      <c r="N171" s="1"/>
      <c r="O171" s="1"/>
      <c r="P171" s="1"/>
      <c r="Q171" s="1"/>
      <c r="R171" s="1"/>
    </row>
    <row r="172" spans="12:18" ht="11.4" hidden="1">
      <c r="L172" s="1"/>
      <c r="M172" s="1"/>
      <c r="N172" s="1"/>
      <c r="O172" s="1"/>
      <c r="P172" s="1"/>
      <c r="Q172" s="1"/>
      <c r="R172" s="1"/>
    </row>
    <row r="173" spans="12:18" ht="11.4" hidden="1">
      <c r="L173" s="1"/>
      <c r="M173" s="1"/>
      <c r="N173" s="1"/>
      <c r="O173" s="1"/>
      <c r="P173" s="1"/>
      <c r="Q173" s="1"/>
      <c r="R173" s="1"/>
    </row>
    <row r="174" spans="12:18" ht="11.4" hidden="1">
      <c r="L174" s="1"/>
      <c r="M174" s="1"/>
      <c r="N174" s="1"/>
      <c r="O174" s="1"/>
      <c r="P174" s="1"/>
      <c r="Q174" s="1"/>
      <c r="R174" s="1"/>
    </row>
    <row r="175" spans="12:18" ht="11.4" hidden="1">
      <c r="L175" s="1"/>
      <c r="M175" s="1"/>
      <c r="N175" s="1"/>
      <c r="O175" s="1"/>
      <c r="P175" s="1"/>
      <c r="Q175" s="1"/>
      <c r="R175" s="1"/>
    </row>
    <row r="176" spans="12:18" ht="11.4" hidden="1">
      <c r="L176" s="1"/>
      <c r="M176" s="1"/>
      <c r="N176" s="1"/>
      <c r="O176" s="1"/>
      <c r="P176" s="1"/>
      <c r="Q176" s="1"/>
      <c r="R176" s="1"/>
    </row>
    <row r="177" spans="12:18" ht="11.4" hidden="1">
      <c r="L177" s="1"/>
      <c r="M177" s="1"/>
      <c r="N177" s="1"/>
      <c r="O177" s="1"/>
      <c r="P177" s="1"/>
      <c r="Q177" s="1"/>
      <c r="R177" s="1"/>
    </row>
    <row r="178" spans="12:18" ht="11.4" hidden="1">
      <c r="L178" s="1"/>
      <c r="M178" s="1"/>
      <c r="N178" s="1"/>
      <c r="O178" s="1"/>
      <c r="P178" s="1"/>
      <c r="Q178" s="1"/>
      <c r="R178" s="1"/>
    </row>
    <row r="179" spans="12:18" ht="11.4" hidden="1">
      <c r="L179" s="1"/>
      <c r="M179" s="1"/>
      <c r="N179" s="1"/>
      <c r="O179" s="1"/>
      <c r="P179" s="1"/>
      <c r="Q179" s="1"/>
      <c r="R179" s="1"/>
    </row>
    <row r="180" spans="12:18" ht="11.4" hidden="1">
      <c r="L180" s="1"/>
      <c r="M180" s="1"/>
      <c r="N180" s="1"/>
      <c r="O180" s="1"/>
      <c r="P180" s="1"/>
      <c r="Q180" s="1"/>
      <c r="R180" s="1"/>
    </row>
    <row r="181" spans="12:18" ht="11.4" hidden="1">
      <c r="L181" s="1"/>
      <c r="M181" s="1"/>
      <c r="N181" s="1"/>
      <c r="O181" s="1"/>
      <c r="P181" s="1"/>
      <c r="Q181" s="1"/>
      <c r="R181" s="1"/>
    </row>
    <row r="182" spans="12:18" ht="11.4" hidden="1">
      <c r="L182" s="1"/>
      <c r="M182" s="1"/>
      <c r="N182" s="1"/>
      <c r="O182" s="1"/>
      <c r="P182" s="1"/>
      <c r="Q182" s="1"/>
      <c r="R182" s="1"/>
    </row>
    <row r="183" spans="12:18" ht="11.4" hidden="1">
      <c r="L183" s="1"/>
      <c r="M183" s="1"/>
      <c r="N183" s="1"/>
      <c r="O183" s="1"/>
      <c r="P183" s="1"/>
      <c r="Q183" s="1"/>
      <c r="R183" s="1"/>
    </row>
    <row r="184" spans="12:18" ht="11.4" hidden="1">
      <c r="L184" s="1"/>
      <c r="M184" s="1"/>
      <c r="N184" s="1"/>
      <c r="O184" s="1"/>
      <c r="P184" s="1"/>
      <c r="Q184" s="1"/>
      <c r="R184" s="1"/>
    </row>
    <row r="185" spans="12:18" ht="11.4" hidden="1">
      <c r="L185" s="1"/>
      <c r="M185" s="1"/>
      <c r="N185" s="1"/>
      <c r="O185" s="1"/>
      <c r="P185" s="1"/>
      <c r="Q185" s="1"/>
      <c r="R185" s="1"/>
    </row>
    <row r="186" spans="12:18" ht="11.4" hidden="1">
      <c r="L186" s="1"/>
      <c r="M186" s="1"/>
      <c r="N186" s="1"/>
      <c r="O186" s="1"/>
      <c r="P186" s="1"/>
      <c r="Q186" s="1"/>
      <c r="R186" s="1"/>
    </row>
    <row r="187" spans="12:18" ht="11.4" hidden="1">
      <c r="L187" s="1"/>
      <c r="M187" s="1"/>
      <c r="N187" s="1"/>
      <c r="O187" s="1"/>
      <c r="P187" s="1"/>
      <c r="Q187" s="1"/>
      <c r="R187" s="1"/>
    </row>
    <row r="188" spans="12:18" ht="11.4" hidden="1">
      <c r="L188" s="1"/>
      <c r="M188" s="1"/>
      <c r="N188" s="1"/>
      <c r="O188" s="1"/>
      <c r="P188" s="1"/>
      <c r="Q188" s="1"/>
      <c r="R188" s="1"/>
    </row>
    <row r="189" spans="12:18" ht="11.4" hidden="1">
      <c r="L189" s="1"/>
      <c r="M189" s="1"/>
      <c r="N189" s="1"/>
      <c r="O189" s="1"/>
      <c r="P189" s="1"/>
      <c r="Q189" s="1"/>
      <c r="R189" s="1"/>
    </row>
    <row r="190" spans="12:18" ht="11.4" hidden="1">
      <c r="L190" s="1"/>
      <c r="M190" s="1"/>
      <c r="N190" s="1"/>
      <c r="O190" s="1"/>
      <c r="P190" s="1"/>
      <c r="Q190" s="1"/>
      <c r="R190" s="1"/>
    </row>
    <row r="191" spans="12:18" ht="11.4" hidden="1">
      <c r="L191" s="1"/>
      <c r="M191" s="1"/>
      <c r="N191" s="1"/>
      <c r="O191" s="1"/>
      <c r="P191" s="1"/>
      <c r="Q191" s="1"/>
      <c r="R191" s="1"/>
    </row>
    <row r="192" spans="12:18" ht="11.4" hidden="1">
      <c r="L192" s="1"/>
      <c r="M192" s="1"/>
      <c r="N192" s="1"/>
      <c r="O192" s="1"/>
      <c r="P192" s="1"/>
      <c r="Q192" s="1"/>
      <c r="R192" s="1"/>
    </row>
    <row r="193" spans="12:18" ht="11.4" hidden="1">
      <c r="L193" s="1"/>
      <c r="M193" s="1"/>
      <c r="N193" s="1"/>
      <c r="O193" s="1"/>
      <c r="P193" s="1"/>
      <c r="Q193" s="1"/>
      <c r="R193" s="1"/>
    </row>
    <row r="194" spans="12:18" ht="11.4" hidden="1">
      <c r="L194" s="1"/>
      <c r="M194" s="1"/>
      <c r="N194" s="1"/>
      <c r="O194" s="1"/>
      <c r="P194" s="1"/>
      <c r="Q194" s="1"/>
      <c r="R194" s="1"/>
    </row>
    <row r="195" spans="12:18" ht="11.4" hidden="1">
      <c r="L195" s="1"/>
      <c r="M195" s="1"/>
      <c r="N195" s="1"/>
      <c r="O195" s="1"/>
      <c r="P195" s="1"/>
      <c r="Q195" s="1"/>
      <c r="R195" s="1"/>
    </row>
    <row r="196" spans="12:18" ht="11.4" hidden="1">
      <c r="L196" s="1"/>
      <c r="M196" s="1"/>
      <c r="N196" s="1"/>
      <c r="O196" s="1"/>
      <c r="P196" s="1"/>
      <c r="Q196" s="1"/>
      <c r="R196" s="1"/>
    </row>
    <row r="197" spans="12:18" ht="11.4" hidden="1">
      <c r="L197" s="1"/>
      <c r="M197" s="1"/>
      <c r="N197" s="1"/>
      <c r="O197" s="1"/>
      <c r="P197" s="1"/>
      <c r="Q197" s="1"/>
      <c r="R197" s="1"/>
    </row>
    <row r="198" spans="12:18" ht="11.4" hidden="1">
      <c r="L198" s="1"/>
      <c r="M198" s="1"/>
      <c r="N198" s="1"/>
      <c r="O198" s="1"/>
      <c r="P198" s="1"/>
      <c r="Q198" s="1"/>
      <c r="R198" s="1"/>
    </row>
    <row r="199" spans="12:18" ht="11.4" hidden="1">
      <c r="L199" s="1"/>
      <c r="M199" s="1"/>
      <c r="N199" s="1"/>
      <c r="O199" s="1"/>
      <c r="P199" s="1"/>
      <c r="Q199" s="1"/>
      <c r="R199" s="1"/>
    </row>
    <row r="200" spans="12:18" ht="11.4" hidden="1">
      <c r="L200" s="1"/>
      <c r="M200" s="1"/>
      <c r="N200" s="1"/>
      <c r="O200" s="1"/>
      <c r="P200" s="1"/>
      <c r="Q200" s="1"/>
      <c r="R200" s="1"/>
    </row>
    <row r="201" spans="12:18" ht="11.4" hidden="1">
      <c r="L201" s="1"/>
      <c r="M201" s="1"/>
      <c r="N201" s="1"/>
      <c r="O201" s="1"/>
      <c r="P201" s="1"/>
      <c r="Q201" s="1"/>
      <c r="R201" s="1"/>
    </row>
    <row r="202" spans="12:18" ht="11.4" hidden="1">
      <c r="L202" s="1"/>
      <c r="M202" s="1"/>
      <c r="N202" s="1"/>
      <c r="O202" s="1"/>
      <c r="P202" s="1"/>
      <c r="Q202" s="1"/>
      <c r="R202" s="1"/>
    </row>
    <row r="203" spans="12:18" ht="11.4" hidden="1">
      <c r="L203" s="1"/>
      <c r="M203" s="1"/>
      <c r="N203" s="1"/>
      <c r="O203" s="1"/>
      <c r="P203" s="1"/>
      <c r="Q203" s="1"/>
      <c r="R203" s="1"/>
    </row>
    <row r="204" spans="12:18" ht="11.4" hidden="1">
      <c r="L204" s="1"/>
      <c r="M204" s="1"/>
      <c r="N204" s="1"/>
      <c r="O204" s="1"/>
      <c r="P204" s="1"/>
      <c r="Q204" s="1"/>
      <c r="R204" s="1"/>
    </row>
    <row r="205" spans="12:18" ht="11.4" hidden="1">
      <c r="L205" s="1"/>
      <c r="M205" s="1"/>
      <c r="N205" s="1"/>
      <c r="O205" s="1"/>
      <c r="P205" s="1"/>
      <c r="Q205" s="1"/>
      <c r="R205" s="1"/>
    </row>
    <row r="206" spans="12:18" ht="11.4" hidden="1">
      <c r="L206" s="1"/>
      <c r="M206" s="1"/>
      <c r="N206" s="1"/>
      <c r="O206" s="1"/>
      <c r="P206" s="1"/>
      <c r="Q206" s="1"/>
      <c r="R206" s="1"/>
    </row>
    <row r="207" spans="12:18" ht="11.4" hidden="1">
      <c r="L207" s="1"/>
      <c r="M207" s="1"/>
      <c r="N207" s="1"/>
      <c r="O207" s="1"/>
      <c r="P207" s="1"/>
      <c r="Q207" s="1"/>
      <c r="R207" s="1"/>
    </row>
    <row r="208" spans="12:18" ht="11.4" hidden="1">
      <c r="L208" s="1"/>
      <c r="M208" s="1"/>
      <c r="N208" s="1"/>
      <c r="O208" s="1"/>
      <c r="P208" s="1"/>
      <c r="Q208" s="1"/>
      <c r="R208" s="1"/>
    </row>
    <row r="209" spans="12:18" ht="11.4" hidden="1">
      <c r="L209" s="1"/>
      <c r="M209" s="1"/>
      <c r="N209" s="1"/>
      <c r="O209" s="1"/>
      <c r="P209" s="1"/>
      <c r="Q209" s="1"/>
      <c r="R209" s="1"/>
    </row>
    <row r="210" spans="12:18" ht="11.4" hidden="1">
      <c r="L210" s="1"/>
      <c r="M210" s="1"/>
      <c r="N210" s="1"/>
      <c r="O210" s="1"/>
      <c r="P210" s="1"/>
      <c r="Q210" s="1"/>
      <c r="R210" s="1"/>
    </row>
    <row r="211" spans="12:18" ht="11.4" hidden="1">
      <c r="L211" s="1"/>
      <c r="M211" s="1"/>
      <c r="N211" s="1"/>
      <c r="O211" s="1"/>
      <c r="P211" s="1"/>
      <c r="Q211" s="1"/>
      <c r="R211" s="1"/>
    </row>
    <row r="212" spans="12:18" ht="11.4" hidden="1">
      <c r="L212" s="1"/>
      <c r="M212" s="1"/>
      <c r="N212" s="1"/>
      <c r="O212" s="1"/>
      <c r="P212" s="1"/>
      <c r="Q212" s="1"/>
      <c r="R212" s="1"/>
    </row>
    <row r="213" spans="12:18" ht="11.4" hidden="1">
      <c r="L213" s="1"/>
      <c r="M213" s="1"/>
      <c r="N213" s="1"/>
      <c r="O213" s="1"/>
      <c r="P213" s="1"/>
      <c r="Q213" s="1"/>
      <c r="R213" s="1"/>
    </row>
    <row r="214" spans="12:18" ht="11.4" hidden="1">
      <c r="L214" s="1"/>
      <c r="M214" s="1"/>
      <c r="N214" s="1"/>
      <c r="O214" s="1"/>
      <c r="P214" s="1"/>
      <c r="Q214" s="1"/>
      <c r="R214" s="1"/>
    </row>
    <row r="215" spans="12:18" ht="11.4" hidden="1">
      <c r="L215" s="1"/>
      <c r="M215" s="1"/>
      <c r="N215" s="1"/>
      <c r="O215" s="1"/>
      <c r="P215" s="1"/>
      <c r="Q215" s="1"/>
      <c r="R215" s="1"/>
    </row>
    <row r="216" spans="12:18" ht="11.4" hidden="1">
      <c r="L216" s="1"/>
      <c r="M216" s="1"/>
      <c r="N216" s="1"/>
      <c r="O216" s="1"/>
      <c r="P216" s="1"/>
      <c r="Q216" s="1"/>
      <c r="R216" s="1"/>
    </row>
    <row r="217" spans="12:18" ht="11.4" hidden="1">
      <c r="L217" s="1"/>
      <c r="M217" s="1"/>
      <c r="N217" s="1"/>
      <c r="O217" s="1"/>
      <c r="P217" s="1"/>
      <c r="Q217" s="1"/>
      <c r="R217" s="1"/>
    </row>
    <row r="218" spans="12:18" ht="11.4" hidden="1">
      <c r="L218" s="1"/>
      <c r="M218" s="1"/>
      <c r="N218" s="1"/>
      <c r="O218" s="1"/>
      <c r="P218" s="1"/>
      <c r="Q218" s="1"/>
      <c r="R218" s="1"/>
    </row>
    <row r="219" spans="12:18" ht="11.4" hidden="1">
      <c r="L219" s="1"/>
      <c r="M219" s="1"/>
      <c r="N219" s="1"/>
      <c r="O219" s="1"/>
      <c r="P219" s="1"/>
      <c r="Q219" s="1"/>
      <c r="R219" s="1"/>
    </row>
    <row r="220" spans="12:18" ht="11.4" hidden="1">
      <c r="L220" s="1"/>
      <c r="M220" s="1"/>
      <c r="N220" s="1"/>
      <c r="O220" s="1"/>
      <c r="P220" s="1"/>
      <c r="Q220" s="1"/>
      <c r="R220" s="1"/>
    </row>
    <row r="221" spans="12:18" ht="11.4" hidden="1">
      <c r="L221" s="1"/>
      <c r="M221" s="1"/>
      <c r="N221" s="1"/>
      <c r="O221" s="1"/>
      <c r="P221" s="1"/>
      <c r="Q221" s="1"/>
      <c r="R221" s="1"/>
    </row>
    <row r="222" spans="12:18" ht="11.4" hidden="1">
      <c r="L222" s="1"/>
      <c r="M222" s="1"/>
      <c r="N222" s="1"/>
      <c r="O222" s="1"/>
      <c r="P222" s="1"/>
      <c r="Q222" s="1"/>
      <c r="R222" s="1"/>
    </row>
    <row r="223" spans="12:18" ht="11.4" hidden="1">
      <c r="L223" s="1"/>
      <c r="M223" s="1"/>
      <c r="N223" s="1"/>
      <c r="O223" s="1"/>
      <c r="P223" s="1"/>
      <c r="Q223" s="1"/>
      <c r="R223" s="1"/>
    </row>
    <row r="224" spans="12:18" ht="11.4" hidden="1">
      <c r="L224" s="1"/>
      <c r="M224" s="1"/>
      <c r="N224" s="1"/>
      <c r="O224" s="1"/>
      <c r="P224" s="1"/>
      <c r="Q224" s="1"/>
      <c r="R224" s="1"/>
    </row>
    <row r="225" spans="12:18" ht="11.4" hidden="1">
      <c r="L225" s="1"/>
      <c r="M225" s="1"/>
      <c r="N225" s="1"/>
      <c r="O225" s="1"/>
      <c r="P225" s="1"/>
      <c r="Q225" s="1"/>
      <c r="R225" s="1"/>
    </row>
    <row r="226" spans="12:18" ht="11.4" hidden="1">
      <c r="L226" s="1"/>
      <c r="M226" s="1"/>
      <c r="N226" s="1"/>
      <c r="O226" s="1"/>
      <c r="P226" s="1"/>
      <c r="Q226" s="1"/>
      <c r="R226" s="1"/>
    </row>
    <row r="227" spans="12:18" ht="11.4" hidden="1">
      <c r="L227" s="1"/>
      <c r="M227" s="1"/>
      <c r="N227" s="1"/>
      <c r="O227" s="1"/>
      <c r="P227" s="1"/>
      <c r="Q227" s="1"/>
      <c r="R227" s="1"/>
    </row>
    <row r="228" spans="12:18" ht="11.4" hidden="1">
      <c r="L228" s="1"/>
      <c r="M228" s="1"/>
      <c r="N228" s="1"/>
      <c r="O228" s="1"/>
      <c r="P228" s="1"/>
      <c r="Q228" s="1"/>
      <c r="R228" s="1"/>
    </row>
    <row r="229" spans="12:18" ht="11.4" hidden="1">
      <c r="L229" s="1"/>
      <c r="M229" s="1"/>
      <c r="N229" s="1"/>
      <c r="O229" s="1"/>
      <c r="P229" s="1"/>
      <c r="Q229" s="1"/>
      <c r="R229" s="1"/>
    </row>
    <row r="230" spans="12:18" ht="11.4" hidden="1">
      <c r="L230" s="1"/>
      <c r="M230" s="1"/>
      <c r="N230" s="1"/>
      <c r="O230" s="1"/>
      <c r="P230" s="1"/>
      <c r="Q230" s="1"/>
      <c r="R230" s="1"/>
    </row>
    <row r="231" spans="12:18" ht="11.4" hidden="1">
      <c r="L231" s="1"/>
      <c r="M231" s="1"/>
      <c r="N231" s="1"/>
      <c r="O231" s="1"/>
      <c r="P231" s="1"/>
      <c r="Q231" s="1"/>
      <c r="R231" s="1"/>
    </row>
    <row r="232" spans="12:18" ht="11.4" hidden="1">
      <c r="L232" s="1"/>
      <c r="M232" s="1"/>
      <c r="N232" s="1"/>
      <c r="O232" s="1"/>
      <c r="P232" s="1"/>
      <c r="Q232" s="1"/>
      <c r="R232" s="1"/>
    </row>
    <row r="233" spans="12:18" ht="11.4" hidden="1">
      <c r="L233" s="1"/>
      <c r="M233" s="1"/>
      <c r="N233" s="1"/>
      <c r="O233" s="1"/>
      <c r="P233" s="1"/>
      <c r="Q233" s="1"/>
      <c r="R233" s="1"/>
    </row>
    <row r="234" spans="12:18" ht="11.4" hidden="1">
      <c r="L234" s="1"/>
      <c r="M234" s="1"/>
      <c r="N234" s="1"/>
      <c r="O234" s="1"/>
      <c r="P234" s="1"/>
      <c r="Q234" s="1"/>
      <c r="R234" s="1"/>
    </row>
    <row r="235" spans="12:18" ht="11.4" hidden="1">
      <c r="L235" s="1"/>
      <c r="M235" s="1"/>
      <c r="N235" s="1"/>
      <c r="O235" s="1"/>
      <c r="P235" s="1"/>
      <c r="Q235" s="1"/>
      <c r="R235" s="1"/>
    </row>
    <row r="236" spans="12:18" ht="11.4" hidden="1">
      <c r="L236" s="1"/>
      <c r="M236" s="1"/>
      <c r="N236" s="1"/>
      <c r="O236" s="1"/>
      <c r="P236" s="1"/>
      <c r="Q236" s="1"/>
      <c r="R236" s="1"/>
    </row>
    <row r="237" spans="12:18" ht="11.4" hidden="1">
      <c r="L237" s="1"/>
      <c r="M237" s="1"/>
      <c r="N237" s="1"/>
      <c r="O237" s="1"/>
      <c r="P237" s="1"/>
      <c r="Q237" s="1"/>
      <c r="R237" s="1"/>
    </row>
    <row r="238" spans="12:18" ht="11.4" hidden="1">
      <c r="L238" s="1"/>
      <c r="M238" s="1"/>
      <c r="N238" s="1"/>
      <c r="O238" s="1"/>
      <c r="P238" s="1"/>
      <c r="Q238" s="1"/>
      <c r="R238" s="1"/>
    </row>
    <row r="239" spans="12:18" ht="11.4" hidden="1">
      <c r="L239" s="1"/>
      <c r="M239" s="1"/>
      <c r="N239" s="1"/>
      <c r="O239" s="1"/>
      <c r="P239" s="1"/>
      <c r="Q239" s="1"/>
      <c r="R239" s="1"/>
    </row>
    <row r="240" spans="12:18" ht="11.4" hidden="1">
      <c r="L240" s="1"/>
      <c r="M240" s="1"/>
      <c r="N240" s="1"/>
      <c r="O240" s="1"/>
      <c r="P240" s="1"/>
      <c r="Q240" s="1"/>
      <c r="R240" s="1"/>
    </row>
    <row r="241" spans="5:18" ht="11.4" hidden="1">
      <c r="L241" s="1"/>
      <c r="M241" s="1"/>
      <c r="N241" s="1"/>
      <c r="O241" s="1"/>
      <c r="P241" s="1"/>
      <c r="Q241" s="1"/>
      <c r="R241" s="1"/>
    </row>
    <row r="242" spans="5:18" ht="11.4" hidden="1">
      <c r="E242" s="172"/>
      <c r="F242" s="2"/>
      <c r="G242" s="105"/>
      <c r="H242" s="2"/>
      <c r="I242" s="2"/>
      <c r="J242" s="2"/>
      <c r="K242" s="2"/>
      <c r="P242" s="1"/>
      <c r="Q242" s="1"/>
      <c r="R242" s="1"/>
    </row>
    <row r="243" spans="5:18" ht="11.4" hidden="1">
      <c r="E243" s="172"/>
      <c r="F243" s="2"/>
      <c r="G243" s="105"/>
      <c r="H243" s="2"/>
      <c r="I243" s="2"/>
      <c r="J243" s="2"/>
      <c r="K243" s="2"/>
      <c r="P243" s="1"/>
      <c r="Q243" s="1"/>
      <c r="R243" s="1"/>
    </row>
    <row r="244" spans="5:18" ht="11.4" hidden="1">
      <c r="E244" s="172"/>
      <c r="F244" s="2"/>
      <c r="G244" s="105"/>
      <c r="H244" s="2"/>
      <c r="I244" s="2"/>
      <c r="J244" s="2"/>
      <c r="K244" s="2"/>
      <c r="P244" s="1"/>
      <c r="Q244" s="1"/>
      <c r="R244" s="1"/>
    </row>
  </sheetData>
  <mergeCells count="1">
    <mergeCell ref="B1:AA2"/>
  </mergeCells>
  <dataValidations count="1">
    <dataValidation type="list" allowBlank="1" showInputMessage="1" showErrorMessage="1" sqref="F4:F53" xr:uid="{EED40A5E-8F9F-4A58-8D23-DCB5101B3B39}">
      <formula1>"Basico,Integral"</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316BC08-BBD4-4053-B7C2-CB60FA60DA72}">
          <x14:formula1>
            <xm:f>DATOS!$E$22:$E$26</xm:f>
          </x14:formula1>
          <xm:sqref>Z4:Z53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36C9-5C0D-4252-9CD1-371DD5076225}">
  <sheetPr codeName="Hoja7">
    <tabColor rgb="FF75F04A"/>
  </sheetPr>
  <dimension ref="A2:AO63"/>
  <sheetViews>
    <sheetView showGridLines="0" zoomScale="140" zoomScaleNormal="140" workbookViewId="0">
      <pane xSplit="3" topLeftCell="D1" activePane="topRight" state="frozen"/>
      <selection pane="topRight" activeCell="D13" sqref="D13"/>
    </sheetView>
  </sheetViews>
  <sheetFormatPr baseColWidth="10" defaultColWidth="0" defaultRowHeight="12"/>
  <cols>
    <col min="1" max="1" width="3.109375" style="4" customWidth="1"/>
    <col min="2" max="3" width="28" style="4" customWidth="1"/>
    <col min="4" max="4" width="19.6640625" style="4" customWidth="1"/>
    <col min="5" max="5" width="17.44140625" style="5" customWidth="1"/>
    <col min="6" max="6" width="13.44140625" style="5" customWidth="1"/>
    <col min="7" max="7" width="9.44140625" style="4" customWidth="1"/>
    <col min="8" max="8" width="14.6640625" style="39" customWidth="1"/>
    <col min="9" max="10" width="15" style="5" customWidth="1"/>
    <col min="11" max="11" width="21.33203125" style="5" customWidth="1"/>
    <col min="12" max="12" width="12.33203125" style="5" customWidth="1"/>
    <col min="13" max="13" width="19.109375" style="5" customWidth="1"/>
    <col min="14" max="14" width="11.44140625" style="5" customWidth="1"/>
    <col min="15" max="15" width="19.44140625" style="5" customWidth="1"/>
    <col min="16" max="16" width="15.44140625" style="5" customWidth="1"/>
    <col min="17" max="17" width="23.44140625" style="5" customWidth="1"/>
    <col min="18" max="18" width="24.44140625" style="5" customWidth="1"/>
    <col min="19" max="19" width="20.109375" style="5" customWidth="1"/>
    <col min="20" max="20" width="14.109375" style="5" customWidth="1"/>
    <col min="21" max="21" width="16" style="5" customWidth="1"/>
    <col min="22" max="22" width="17.44140625" style="5" customWidth="1"/>
    <col min="23" max="24" width="12.6640625" style="5" customWidth="1"/>
    <col min="25" max="25" width="14.44140625" style="5" customWidth="1"/>
    <col min="26" max="26" width="15.109375" style="5" customWidth="1"/>
    <col min="27" max="27" width="21" style="5" customWidth="1"/>
    <col min="28" max="28" width="14.44140625" style="5" customWidth="1"/>
    <col min="29" max="29" width="15.33203125" style="5" customWidth="1"/>
    <col min="30" max="30" width="17.44140625" style="5" customWidth="1"/>
    <col min="31" max="31" width="19" style="5" customWidth="1"/>
    <col min="32" max="32" width="24.33203125" style="5" customWidth="1"/>
    <col min="33" max="34" width="11.44140625" style="4" customWidth="1"/>
    <col min="35" max="41" width="0" style="4" hidden="1" customWidth="1"/>
    <col min="42" max="16384" width="11.44140625" style="4" hidden="1"/>
  </cols>
  <sheetData>
    <row r="2" spans="1:32" ht="25.2">
      <c r="B2" s="306" t="str">
        <f>DATOS!C2</f>
        <v>EDICAR</v>
      </c>
      <c r="C2" s="306"/>
      <c r="D2" s="306"/>
    </row>
    <row r="3" spans="1:32">
      <c r="B3" s="313" t="s">
        <v>111</v>
      </c>
      <c r="C3" s="314"/>
      <c r="D3" s="15">
        <f>DATOS!C3</f>
        <v>1035851332</v>
      </c>
    </row>
    <row r="4" spans="1:32" ht="17.399999999999999">
      <c r="B4" s="313" t="s">
        <v>112</v>
      </c>
      <c r="C4" s="314"/>
      <c r="D4" s="62">
        <v>1</v>
      </c>
    </row>
    <row r="5" spans="1:32">
      <c r="B5" s="311" t="s">
        <v>3</v>
      </c>
      <c r="C5" s="312"/>
      <c r="D5" s="6">
        <v>45536</v>
      </c>
    </row>
    <row r="6" spans="1:32">
      <c r="B6" s="311" t="s">
        <v>5</v>
      </c>
      <c r="C6" s="312"/>
      <c r="D6" s="6">
        <v>45565</v>
      </c>
      <c r="E6" s="7"/>
      <c r="F6" s="7"/>
    </row>
    <row r="8" spans="1:32" ht="12" customHeight="1">
      <c r="B8" s="106" t="s">
        <v>113</v>
      </c>
      <c r="C8" s="107"/>
      <c r="D8" s="107"/>
      <c r="E8" s="107"/>
      <c r="F8" s="107"/>
      <c r="G8" s="107"/>
      <c r="H8" s="108"/>
      <c r="I8" s="97"/>
      <c r="J8" s="97" t="s">
        <v>114</v>
      </c>
      <c r="K8" s="98"/>
      <c r="L8" s="98"/>
      <c r="M8" s="98"/>
      <c r="N8" s="98"/>
      <c r="O8" s="98"/>
      <c r="P8" s="98"/>
      <c r="Q8" s="98"/>
      <c r="R8" s="98"/>
      <c r="S8" s="98"/>
      <c r="T8" s="98"/>
      <c r="U8" s="98"/>
      <c r="V8" s="99"/>
      <c r="W8" s="307" t="s">
        <v>115</v>
      </c>
      <c r="X8" s="308"/>
      <c r="Y8" s="308"/>
      <c r="Z8" s="308"/>
      <c r="AA8" s="308"/>
      <c r="AB8" s="308"/>
      <c r="AC8" s="308"/>
      <c r="AD8" s="308"/>
      <c r="AE8" s="308"/>
      <c r="AF8" s="16"/>
    </row>
    <row r="9" spans="1:32">
      <c r="B9" s="52" t="s">
        <v>84</v>
      </c>
      <c r="C9" s="17" t="s">
        <v>85</v>
      </c>
      <c r="D9" s="17" t="s">
        <v>67</v>
      </c>
      <c r="E9" s="18" t="s">
        <v>116</v>
      </c>
      <c r="F9" s="109" t="s">
        <v>88</v>
      </c>
      <c r="G9" s="19" t="s">
        <v>117</v>
      </c>
      <c r="H9" s="20" t="s">
        <v>118</v>
      </c>
      <c r="I9" s="21" t="s">
        <v>119</v>
      </c>
      <c r="J9" s="21" t="s">
        <v>120</v>
      </c>
      <c r="K9" s="22" t="s">
        <v>12</v>
      </c>
      <c r="L9" s="22" t="s">
        <v>121</v>
      </c>
      <c r="M9" s="22" t="s">
        <v>91</v>
      </c>
      <c r="N9" s="22" t="s">
        <v>92</v>
      </c>
      <c r="O9" s="22" t="s">
        <v>93</v>
      </c>
      <c r="P9" s="22" t="s">
        <v>94</v>
      </c>
      <c r="Q9" s="22" t="s">
        <v>95</v>
      </c>
      <c r="R9" s="22" t="s">
        <v>96</v>
      </c>
      <c r="S9" s="22" t="s">
        <v>122</v>
      </c>
      <c r="T9" s="22" t="s">
        <v>123</v>
      </c>
      <c r="U9" s="22" t="s">
        <v>99</v>
      </c>
      <c r="V9" s="22" t="s">
        <v>124</v>
      </c>
      <c r="W9" s="22" t="s">
        <v>125</v>
      </c>
      <c r="X9" s="22" t="s">
        <v>126</v>
      </c>
      <c r="Y9" s="22" t="s">
        <v>127</v>
      </c>
      <c r="Z9" s="22" t="s">
        <v>128</v>
      </c>
      <c r="AA9" s="22" t="s">
        <v>100</v>
      </c>
      <c r="AB9" s="22" t="s">
        <v>101</v>
      </c>
      <c r="AC9" s="22" t="s">
        <v>102</v>
      </c>
      <c r="AD9" s="22" t="s">
        <v>103</v>
      </c>
      <c r="AE9" s="22" t="s">
        <v>129</v>
      </c>
      <c r="AF9" s="53" t="s">
        <v>130</v>
      </c>
    </row>
    <row r="10" spans="1:32">
      <c r="A10" s="4">
        <v>1</v>
      </c>
      <c r="B10" s="55">
        <f>'NOVEDADES EMPLEADOS'!B4</f>
        <v>1</v>
      </c>
      <c r="C10" s="56" t="str">
        <f>'NOVEDADES EMPLEADOS'!C4</f>
        <v>DISNERIS AVEMARIA</v>
      </c>
      <c r="D10" s="57" t="str">
        <f>IFERROR(VLOOKUP(B10,'NOVEDADES EMPLEADOS'!$B$3:$D$53,3,FALSE),0)</f>
        <v>Operario de máquinas</v>
      </c>
      <c r="E10" s="58">
        <f>IFERROR(VLOOKUP(B10,'NOVEDADES EMPLEADOS'!$B$3:$E$53,4,FALSE),)</f>
        <v>1300000</v>
      </c>
      <c r="F10" s="59">
        <f>'NOVEDADES EMPLEADOS'!G4</f>
        <v>0</v>
      </c>
      <c r="G10" s="59">
        <f>'NOVEDADES EMPLEADOS'!H4</f>
        <v>30</v>
      </c>
      <c r="H10" s="40">
        <f>Tabla7[[#This Row],[Sueldo]]+Tabla7[[#This Row],[Incapacidad2]]+Tabla7[[#This Row],[Total HE y Recargos]]+Tabla7[[#This Row],[Comisiones]]+Tabla7[[#This Row],[Bonificaciones]]</f>
        <v>1300000</v>
      </c>
      <c r="I10" s="60">
        <f>IF((Tabla7[[#This Row],[Salario Basico]]/30)*66.66%&lt;DATOS!$C$10,DATOS!$C$10*Tabla7[[#This Row],[Incapacidad]],((Tabla7[[#This Row],[Salario Basico]]/30)*66.66%)*Tabla7[[#This Row],[Incapacidad]])</f>
        <v>0</v>
      </c>
      <c r="J10" s="60">
        <f>IFERROR(E10/30*G10,0)</f>
        <v>1300000</v>
      </c>
      <c r="K10" s="61">
        <f>(IF(AND(E10+T10&lt;=DATOS!$C$8,J10+T10&gt;0),DATOS!$C$7,0)/30)*(G10-'NOVEDADES EMPLEADOS'!I4)</f>
        <v>162000</v>
      </c>
      <c r="L10" s="61">
        <f>IFERROR(($E10/230)*'NOVEDADES EMPLEADOS'!L4,)*DATOS!$C$12</f>
        <v>0</v>
      </c>
      <c r="M10" s="58">
        <f>IFERROR(($E10/230)*'NOVEDADES EMPLEADOS'!M4,)*DATOS!$C$13</f>
        <v>0</v>
      </c>
      <c r="N10" s="61">
        <f>IFERROR(($E10/230)*'NOVEDADES EMPLEADOS'!N4,)*DATOS!$C$14</f>
        <v>0</v>
      </c>
      <c r="O10" s="61">
        <f>IFERROR(($E10/230)*'NOVEDADES EMPLEADOS'!O4,)*DATOS!$C$15</f>
        <v>0</v>
      </c>
      <c r="P10" s="61">
        <f>IFERROR(($E10/230)*'NOVEDADES EMPLEADOS'!P4,)*DATOS!$C$16</f>
        <v>0</v>
      </c>
      <c r="Q10" s="61">
        <f>IFERROR(($E10/230)*'NOVEDADES EMPLEADOS'!Q4,)*DATOS!$C$17</f>
        <v>0</v>
      </c>
      <c r="R10" s="61">
        <f>IFERROR(($E10/230)*'NOVEDADES EMPLEADOS'!R4,)*DATOS!$C$18</f>
        <v>0</v>
      </c>
      <c r="S10" s="61">
        <f>SUM(L10:R10)</f>
        <v>0</v>
      </c>
      <c r="T10" s="61">
        <f>'NOVEDADES EMPLEADOS'!S4*'NOVEDADES EMPLEADOS'!T4</f>
        <v>0</v>
      </c>
      <c r="U10" s="61">
        <f>'NOVEDADES EMPLEADOS'!U4</f>
        <v>0</v>
      </c>
      <c r="V10" s="49">
        <f>(H10+K10)</f>
        <v>1462000</v>
      </c>
      <c r="W10" s="61">
        <f>H10*DATOS!$F$6</f>
        <v>52000</v>
      </c>
      <c r="X10" s="61">
        <f>H10*DATOS!$F$8</f>
        <v>52000</v>
      </c>
      <c r="Y10" s="61">
        <f>IF(AND(E10&gt;=DATOS!$B$22,E10&lt;=DATOS!$B$23),NÓMINA!V10*DATOS!$C$22,IF(AND(E10&gt;=DATOS!$B$24,E10&lt;=DATOS!B25),NÓMINA!V10*DATOS!$C$24,IF(AND(E10&gt;=DATOS!$B$26,E10&lt;=DATOS!$B$27),NÓMINA!V10*DATOS!$C$27,IF(AND(E10&gt;=DATOS!$B$28,E10&lt;=DATOS!$B$29),NÓMINA!V10*DATOS!$C$29,IF(AND(E10&gt;=DATOS!$B$30,E10&lt;=DATOS!$B$31),NÓMINA!V10*DATOS!$C$31,IF(AND(E10&gt;=DATOS!$B$32),NÓMINA!V10*DATOS!$C$32,0))))))</f>
        <v>0</v>
      </c>
      <c r="Z10" s="61"/>
      <c r="AA10" s="61">
        <f>'NOVEDADES EMPLEADOS'!V4</f>
        <v>0</v>
      </c>
      <c r="AB10" s="61">
        <f>'NOVEDADES EMPLEADOS'!W4</f>
        <v>0</v>
      </c>
      <c r="AC10" s="61">
        <f>'NOVEDADES EMPLEADOS'!X4</f>
        <v>0</v>
      </c>
      <c r="AD10" s="61">
        <f>'NOVEDADES EMPLEADOS'!Y4</f>
        <v>0</v>
      </c>
      <c r="AE10" s="49">
        <f>SUM(W10:AD10)</f>
        <v>104000</v>
      </c>
      <c r="AF10" s="54">
        <f>V10-AE10</f>
        <v>1358000</v>
      </c>
    </row>
    <row r="11" spans="1:32">
      <c r="A11" s="4">
        <v>2</v>
      </c>
      <c r="B11" s="55">
        <f>'NOVEDADES EMPLEADOS'!B5</f>
        <v>2</v>
      </c>
      <c r="C11" s="56" t="str">
        <f>'NOVEDADES EMPLEADOS'!C5</f>
        <v>YILIMAR</v>
      </c>
      <c r="D11" s="57" t="str">
        <f>IFERROR(VLOOKUP(B11,'NOVEDADES EMPLEADOS'!$B$3:$D$53,3,FALSE),0)</f>
        <v>Supervisor</v>
      </c>
      <c r="E11" s="58">
        <f>IFERROR(VLOOKUP(B11,'NOVEDADES EMPLEADOS'!$B$3:$E$53,4,FALSE),)</f>
        <v>1850000</v>
      </c>
      <c r="F11" s="59">
        <f>'NOVEDADES EMPLEADOS'!G5</f>
        <v>0</v>
      </c>
      <c r="G11" s="59">
        <f>'NOVEDADES EMPLEADOS'!H5</f>
        <v>30</v>
      </c>
      <c r="H11" s="40">
        <f>Tabla7[[#This Row],[Sueldo]]+Tabla7[[#This Row],[Incapacidad2]]+Tabla7[[#This Row],[Total HE y Recargos]]+Tabla7[[#This Row],[Comisiones]]+Tabla7[[#This Row],[Bonificaciones]]</f>
        <v>1850000</v>
      </c>
      <c r="I11" s="60">
        <f>IF((Tabla7[[#This Row],[Salario Basico]]/30)*66.66%&lt;DATOS!$C$10,DATOS!$C$10*Tabla7[[#This Row],[Incapacidad]],((Tabla7[[#This Row],[Salario Basico]]/30)*66.66%)*Tabla7[[#This Row],[Incapacidad]])</f>
        <v>0</v>
      </c>
      <c r="J11" s="60">
        <f t="shared" ref="J11:J59" si="0">IFERROR(E11/30*G11,0)</f>
        <v>1850000</v>
      </c>
      <c r="K11" s="61">
        <f>(IF(AND(E11+T11&lt;=DATOS!$C$8,J11+T11&gt;0),DATOS!$C$7,0)/30)*(G11-'NOVEDADES EMPLEADOS'!I5)</f>
        <v>162000</v>
      </c>
      <c r="L11" s="61">
        <f>IFERROR(($E11/230)*'NOVEDADES EMPLEADOS'!L5,)*DATOS!$C$12</f>
        <v>0</v>
      </c>
      <c r="M11" s="58">
        <f>IFERROR(($E11/230)*'NOVEDADES EMPLEADOS'!M5,)*DATOS!$C$13</f>
        <v>0</v>
      </c>
      <c r="N11" s="61">
        <f>IFERROR(($E11/230)*'NOVEDADES EMPLEADOS'!N5,)*DATOS!$C$14</f>
        <v>0</v>
      </c>
      <c r="O11" s="61">
        <f>IFERROR(($E11/230)*'NOVEDADES EMPLEADOS'!O5,)*DATOS!$C$15</f>
        <v>0</v>
      </c>
      <c r="P11" s="61">
        <f>IFERROR(($E11/230)*'NOVEDADES EMPLEADOS'!P5,)*DATOS!$C$16</f>
        <v>0</v>
      </c>
      <c r="Q11" s="61">
        <f>IFERROR(($E11/230)*'NOVEDADES EMPLEADOS'!Q5,)*DATOS!$C$17</f>
        <v>0</v>
      </c>
      <c r="R11" s="61">
        <f>IFERROR(($E11/230)*'NOVEDADES EMPLEADOS'!R5,)*DATOS!$C$18</f>
        <v>0</v>
      </c>
      <c r="S11" s="61">
        <f t="shared" ref="S11:S59" si="1">SUM(L11:R11)</f>
        <v>0</v>
      </c>
      <c r="T11" s="61">
        <f>'NOVEDADES EMPLEADOS'!S5*'NOVEDADES EMPLEADOS'!T5</f>
        <v>0</v>
      </c>
      <c r="U11" s="61">
        <f>'NOVEDADES EMPLEADOS'!U5</f>
        <v>0</v>
      </c>
      <c r="V11" s="49">
        <f t="shared" ref="V11:V14" si="2">(H11+K11)</f>
        <v>2012000</v>
      </c>
      <c r="W11" s="61">
        <f>H11*DATOS!$F$6</f>
        <v>74000</v>
      </c>
      <c r="X11" s="61">
        <f>H11*DATOS!$F$8</f>
        <v>74000</v>
      </c>
      <c r="Y11" s="61">
        <f>IF(AND(E11&gt;=DATOS!$B$22,E11&lt;=DATOS!$B$23),NÓMINA!V11*DATOS!$C$22,IF(AND(E11&gt;=DATOS!$B$24,E11&lt;=DATOS!B26),NÓMINA!V11*DATOS!$C$24,IF(AND(E11&gt;=DATOS!$B$26,E11&lt;=DATOS!$B$27),NÓMINA!V11*DATOS!$C$27,IF(AND(E11&gt;=DATOS!$B$28,E11&lt;=DATOS!$B$29),NÓMINA!V11*DATOS!$C$29,IF(AND(E11&gt;=DATOS!$B$30,E11&lt;=DATOS!$B$31),NÓMINA!V11*DATOS!$C$31,IF(AND(E11&gt;=DATOS!$B$32),NÓMINA!V11*DATOS!$C$32,0))))))</f>
        <v>0</v>
      </c>
      <c r="Z11" s="61"/>
      <c r="AA11" s="61">
        <f>'NOVEDADES EMPLEADOS'!V5</f>
        <v>0</v>
      </c>
      <c r="AB11" s="61">
        <f>'NOVEDADES EMPLEADOS'!W5</f>
        <v>0</v>
      </c>
      <c r="AC11" s="61">
        <f>'NOVEDADES EMPLEADOS'!X5</f>
        <v>0</v>
      </c>
      <c r="AD11" s="61">
        <f>'NOVEDADES EMPLEADOS'!Y5</f>
        <v>0</v>
      </c>
      <c r="AE11" s="49">
        <f t="shared" ref="AE11:AE59" si="3">SUM(W11:AD11)</f>
        <v>148000</v>
      </c>
      <c r="AF11" s="54">
        <f t="shared" ref="AF11:AF19" si="4">V11-AE11</f>
        <v>1864000</v>
      </c>
    </row>
    <row r="12" spans="1:32">
      <c r="A12" s="4">
        <v>3</v>
      </c>
      <c r="B12" s="55">
        <f>'NOVEDADES EMPLEADOS'!B6</f>
        <v>3</v>
      </c>
      <c r="C12" s="56" t="str">
        <f>'NOVEDADES EMPLEADOS'!C6</f>
        <v>SANDRA</v>
      </c>
      <c r="D12" s="57" t="str">
        <f>IFERROR(VLOOKUP(B12,'NOVEDADES EMPLEADOS'!$B$3:$D$53,3,FALSE),0)</f>
        <v>Patinador</v>
      </c>
      <c r="E12" s="58">
        <f>IFERROR(VLOOKUP(B12,'NOVEDADES EMPLEADOS'!$B$3:$E$53,4,FALSE),)</f>
        <v>1600000</v>
      </c>
      <c r="F12" s="59">
        <f>'NOVEDADES EMPLEADOS'!G6</f>
        <v>0</v>
      </c>
      <c r="G12" s="59">
        <f>'NOVEDADES EMPLEADOS'!H6</f>
        <v>30</v>
      </c>
      <c r="H12" s="40">
        <f>Tabla7[[#This Row],[Sueldo]]+Tabla7[[#This Row],[Incapacidad2]]+Tabla7[[#This Row],[Total HE y Recargos]]+Tabla7[[#This Row],[Comisiones]]+Tabla7[[#This Row],[Bonificaciones]]</f>
        <v>1600000</v>
      </c>
      <c r="I12" s="60">
        <f>IF((Tabla7[[#This Row],[Salario Basico]]/30)*66.66%&lt;DATOS!$C$10,DATOS!$C$10*Tabla7[[#This Row],[Incapacidad]],((Tabla7[[#This Row],[Salario Basico]]/30)*66.66%)*Tabla7[[#This Row],[Incapacidad]])</f>
        <v>0</v>
      </c>
      <c r="J12" s="60">
        <f t="shared" si="0"/>
        <v>1600000</v>
      </c>
      <c r="K12" s="61">
        <f>(IF(AND(E12+T12&lt;=DATOS!$C$8,J12+T12&gt;0),DATOS!$C$7,0)/30)*(G12-'NOVEDADES EMPLEADOS'!I6)</f>
        <v>162000</v>
      </c>
      <c r="L12" s="61">
        <f>IFERROR(($E12/230)*'NOVEDADES EMPLEADOS'!L6,)*DATOS!$C$12</f>
        <v>0</v>
      </c>
      <c r="M12" s="58">
        <f>IFERROR(($E12/230)*'NOVEDADES EMPLEADOS'!M6,)*DATOS!$C$13</f>
        <v>0</v>
      </c>
      <c r="N12" s="61">
        <f>IFERROR(($E12/230)*'NOVEDADES EMPLEADOS'!N6,)*DATOS!$C$14</f>
        <v>0</v>
      </c>
      <c r="O12" s="61">
        <f>IFERROR(($E12/230)*'NOVEDADES EMPLEADOS'!O6,)*DATOS!$C$15</f>
        <v>0</v>
      </c>
      <c r="P12" s="61">
        <f>IFERROR(($E12/230)*'NOVEDADES EMPLEADOS'!P6,)*DATOS!$C$16</f>
        <v>0</v>
      </c>
      <c r="Q12" s="61">
        <f>IFERROR(($E12/230)*'NOVEDADES EMPLEADOS'!Q6,)*DATOS!$C$17</f>
        <v>0</v>
      </c>
      <c r="R12" s="61">
        <f>IFERROR(($E12/230)*'NOVEDADES EMPLEADOS'!R6,)*DATOS!$C$18</f>
        <v>0</v>
      </c>
      <c r="S12" s="61">
        <f t="shared" si="1"/>
        <v>0</v>
      </c>
      <c r="T12" s="61">
        <f>'NOVEDADES EMPLEADOS'!S6*'NOVEDADES EMPLEADOS'!T6</f>
        <v>0</v>
      </c>
      <c r="U12" s="61">
        <f>'NOVEDADES EMPLEADOS'!U6</f>
        <v>0</v>
      </c>
      <c r="V12" s="49">
        <f t="shared" si="2"/>
        <v>1762000</v>
      </c>
      <c r="W12" s="61">
        <f>H12*DATOS!$F$6</f>
        <v>64000</v>
      </c>
      <c r="X12" s="61">
        <f>H12*DATOS!$F$8</f>
        <v>64000</v>
      </c>
      <c r="Y12" s="61">
        <f>IF(AND(E12&gt;=DATOS!$B$22,E12&lt;=DATOS!$B$23),NÓMINA!V12*DATOS!$C$22,IF(AND(E12&gt;=DATOS!$B$24,E12&lt;=DATOS!B27),NÓMINA!V12*DATOS!$C$24,IF(AND(E12&gt;=DATOS!$B$26,E12&lt;=DATOS!$B$27),NÓMINA!V12*DATOS!$C$27,IF(AND(E12&gt;=DATOS!$B$28,E12&lt;=DATOS!$B$29),NÓMINA!V12*DATOS!$C$29,IF(AND(E12&gt;=DATOS!$B$30,E12&lt;=DATOS!$B$31),NÓMINA!V12*DATOS!$C$31,IF(AND(E12&gt;=DATOS!$B$32),NÓMINA!V12*DATOS!$C$32,0))))))</f>
        <v>0</v>
      </c>
      <c r="Z12" s="61"/>
      <c r="AA12" s="61">
        <f>'NOVEDADES EMPLEADOS'!V6</f>
        <v>0</v>
      </c>
      <c r="AB12" s="61">
        <f>'NOVEDADES EMPLEADOS'!W6</f>
        <v>0</v>
      </c>
      <c r="AC12" s="61">
        <f>'NOVEDADES EMPLEADOS'!X6</f>
        <v>0</v>
      </c>
      <c r="AD12" s="61">
        <f>'NOVEDADES EMPLEADOS'!Y6</f>
        <v>0</v>
      </c>
      <c r="AE12" s="49">
        <f t="shared" si="3"/>
        <v>128000</v>
      </c>
      <c r="AF12" s="54">
        <f t="shared" si="4"/>
        <v>1634000</v>
      </c>
    </row>
    <row r="13" spans="1:32">
      <c r="A13" s="4">
        <v>4</v>
      </c>
      <c r="B13" s="55">
        <f>'NOVEDADES EMPLEADOS'!B7</f>
        <v>4</v>
      </c>
      <c r="C13" s="56" t="str">
        <f>'NOVEDADES EMPLEADOS'!C7</f>
        <v>DUVAN</v>
      </c>
      <c r="D13" s="57" t="str">
        <f>IFERROR(VLOOKUP(B13,'NOVEDADES EMPLEADOS'!$B$3:$D$53,3,FALSE),0)</f>
        <v>Operario de máquinas</v>
      </c>
      <c r="E13" s="58">
        <f>IFERROR(VLOOKUP(B13,'NOVEDADES EMPLEADOS'!$B$3:$E$53,4,FALSE),)</f>
        <v>1300000</v>
      </c>
      <c r="F13" s="59">
        <f>'NOVEDADES EMPLEADOS'!G7</f>
        <v>0</v>
      </c>
      <c r="G13" s="59">
        <f>'NOVEDADES EMPLEADOS'!H7</f>
        <v>30</v>
      </c>
      <c r="H13" s="40">
        <f>Tabla7[[#This Row],[Sueldo]]+Tabla7[[#This Row],[Incapacidad2]]+Tabla7[[#This Row],[Total HE y Recargos]]+Tabla7[[#This Row],[Comisiones]]+Tabla7[[#This Row],[Bonificaciones]]</f>
        <v>1300000</v>
      </c>
      <c r="I13" s="60">
        <f>IF((Tabla7[[#This Row],[Salario Basico]]/30)*66.66%&lt;DATOS!$C$10,DATOS!$C$10*Tabla7[[#This Row],[Incapacidad]],((Tabla7[[#This Row],[Salario Basico]]/30)*66.66%)*Tabla7[[#This Row],[Incapacidad]])</f>
        <v>0</v>
      </c>
      <c r="J13" s="60">
        <f t="shared" si="0"/>
        <v>1300000</v>
      </c>
      <c r="K13" s="61">
        <f>(IF(AND(E13+T13&lt;=DATOS!$C$8,J13+T13&gt;0),DATOS!$C$7,0)/30)*(G13-'NOVEDADES EMPLEADOS'!I7)</f>
        <v>162000</v>
      </c>
      <c r="L13" s="61">
        <f>IFERROR(($E13/230)*'NOVEDADES EMPLEADOS'!L7,)*DATOS!$C$12</f>
        <v>0</v>
      </c>
      <c r="M13" s="58">
        <f>IFERROR(($E13/230)*'NOVEDADES EMPLEADOS'!M7,)*DATOS!$C$13</f>
        <v>0</v>
      </c>
      <c r="N13" s="61">
        <f>IFERROR(($E13/230)*'NOVEDADES EMPLEADOS'!N7,)*DATOS!$C$14</f>
        <v>0</v>
      </c>
      <c r="O13" s="61">
        <f>IFERROR(($E13/230)*'NOVEDADES EMPLEADOS'!O7,)*DATOS!$C$15</f>
        <v>0</v>
      </c>
      <c r="P13" s="61">
        <f>IFERROR(($E13/230)*'NOVEDADES EMPLEADOS'!P7,)*DATOS!$C$16</f>
        <v>0</v>
      </c>
      <c r="Q13" s="61">
        <f>IFERROR(($E13/230)*'NOVEDADES EMPLEADOS'!Q7,)*DATOS!$C$17</f>
        <v>0</v>
      </c>
      <c r="R13" s="61">
        <f>IFERROR(($E13/230)*'NOVEDADES EMPLEADOS'!R7,)*DATOS!$C$18</f>
        <v>0</v>
      </c>
      <c r="S13" s="61">
        <f t="shared" si="1"/>
        <v>0</v>
      </c>
      <c r="T13" s="61">
        <f>'NOVEDADES EMPLEADOS'!S7*'NOVEDADES EMPLEADOS'!T7</f>
        <v>0</v>
      </c>
      <c r="U13" s="61">
        <f>'NOVEDADES EMPLEADOS'!U7</f>
        <v>0</v>
      </c>
      <c r="V13" s="49">
        <f t="shared" si="2"/>
        <v>1462000</v>
      </c>
      <c r="W13" s="61">
        <f>H13*DATOS!$F$6</f>
        <v>52000</v>
      </c>
      <c r="X13" s="61">
        <f>H13*DATOS!$F$8</f>
        <v>52000</v>
      </c>
      <c r="Y13" s="61">
        <f>IF(AND(E13&gt;=DATOS!$B$22,E13&lt;=DATOS!$B$23),NÓMINA!V13*DATOS!$C$22,IF(AND(E13&gt;=DATOS!$B$24,E13&lt;=DATOS!B28),NÓMINA!V13*DATOS!$C$24,IF(AND(E13&gt;=DATOS!$B$26,E13&lt;=DATOS!$B$27),NÓMINA!V13*DATOS!$C$27,IF(AND(E13&gt;=DATOS!$B$28,E13&lt;=DATOS!$B$29),NÓMINA!V13*DATOS!$C$29,IF(AND(E13&gt;=DATOS!$B$30,E13&lt;=DATOS!$B$31),NÓMINA!V13*DATOS!$C$31,IF(AND(E13&gt;=DATOS!$B$32),NÓMINA!V13*DATOS!$C$32,0))))))</f>
        <v>0</v>
      </c>
      <c r="Z13" s="61"/>
      <c r="AA13" s="61">
        <f>'NOVEDADES EMPLEADOS'!V7</f>
        <v>0</v>
      </c>
      <c r="AB13" s="61">
        <f>'NOVEDADES EMPLEADOS'!W7</f>
        <v>0</v>
      </c>
      <c r="AC13" s="61">
        <f>'NOVEDADES EMPLEADOS'!X7</f>
        <v>0</v>
      </c>
      <c r="AD13" s="61">
        <f>'NOVEDADES EMPLEADOS'!Y7</f>
        <v>0</v>
      </c>
      <c r="AE13" s="49">
        <f t="shared" si="3"/>
        <v>104000</v>
      </c>
      <c r="AF13" s="54">
        <f t="shared" si="4"/>
        <v>1358000</v>
      </c>
    </row>
    <row r="14" spans="1:32">
      <c r="A14" s="4">
        <v>5</v>
      </c>
      <c r="B14" s="55">
        <f>'NOVEDADES EMPLEADOS'!B8</f>
        <v>5</v>
      </c>
      <c r="C14" s="56" t="str">
        <f>'NOVEDADES EMPLEADOS'!C8</f>
        <v>NEICER</v>
      </c>
      <c r="D14" s="57" t="str">
        <f>IFERROR(VLOOKUP(B14,'NOVEDADES EMPLEADOS'!$B$3:$D$53,3,FALSE),0)</f>
        <v>Operario de máquinas</v>
      </c>
      <c r="E14" s="58">
        <f>IFERROR(VLOOKUP(B14,'NOVEDADES EMPLEADOS'!$B$3:$E$53,4,FALSE),)</f>
        <v>1300000</v>
      </c>
      <c r="F14" s="59">
        <f>'NOVEDADES EMPLEADOS'!G8</f>
        <v>0</v>
      </c>
      <c r="G14" s="59">
        <f>'NOVEDADES EMPLEADOS'!H8</f>
        <v>30</v>
      </c>
      <c r="H14" s="40">
        <f>Tabla7[[#This Row],[Sueldo]]+Tabla7[[#This Row],[Incapacidad2]]+Tabla7[[#This Row],[Total HE y Recargos]]+Tabla7[[#This Row],[Comisiones]]+Tabla7[[#This Row],[Bonificaciones]]</f>
        <v>1300000</v>
      </c>
      <c r="I14" s="60">
        <f>IF((Tabla7[[#This Row],[Salario Basico]]/30)*66.66%&lt;DATOS!$C$10,DATOS!$C$10*Tabla7[[#This Row],[Incapacidad]],((Tabla7[[#This Row],[Salario Basico]]/30)*66.66%)*Tabla7[[#This Row],[Incapacidad]])</f>
        <v>0</v>
      </c>
      <c r="J14" s="60">
        <f t="shared" si="0"/>
        <v>1300000</v>
      </c>
      <c r="K14" s="61">
        <f>(IF(AND(E14+T14&lt;=DATOS!$C$8,J14+T14&gt;0),DATOS!$C$7,0)/30)*(G14-'NOVEDADES EMPLEADOS'!I8)</f>
        <v>162000</v>
      </c>
      <c r="L14" s="61">
        <f>IFERROR(($E14/230)*'NOVEDADES EMPLEADOS'!L8,)*DATOS!$C$12</f>
        <v>0</v>
      </c>
      <c r="M14" s="58">
        <f>IFERROR(($E14/230)*'NOVEDADES EMPLEADOS'!M8,)*DATOS!$C$13</f>
        <v>0</v>
      </c>
      <c r="N14" s="61">
        <f>IFERROR(($E14/230)*'NOVEDADES EMPLEADOS'!N8,)*DATOS!$C$14</f>
        <v>0</v>
      </c>
      <c r="O14" s="61">
        <f>IFERROR(($E14/230)*'NOVEDADES EMPLEADOS'!O8,)*DATOS!$C$15</f>
        <v>0</v>
      </c>
      <c r="P14" s="61">
        <f>IFERROR(($E14/230)*'NOVEDADES EMPLEADOS'!P8,)*DATOS!$C$16</f>
        <v>0</v>
      </c>
      <c r="Q14" s="61">
        <f>IFERROR(($E14/230)*'NOVEDADES EMPLEADOS'!Q8,)*DATOS!$C$17</f>
        <v>0</v>
      </c>
      <c r="R14" s="61">
        <f>IFERROR(($E14/230)*'NOVEDADES EMPLEADOS'!R8,)*DATOS!$C$18</f>
        <v>0</v>
      </c>
      <c r="S14" s="61">
        <f t="shared" si="1"/>
        <v>0</v>
      </c>
      <c r="T14" s="61">
        <f>'NOVEDADES EMPLEADOS'!S8*'NOVEDADES EMPLEADOS'!T8</f>
        <v>0</v>
      </c>
      <c r="U14" s="61">
        <f>'NOVEDADES EMPLEADOS'!U8</f>
        <v>0</v>
      </c>
      <c r="V14" s="49">
        <f t="shared" si="2"/>
        <v>1462000</v>
      </c>
      <c r="W14" s="61">
        <f>H14*DATOS!$F$6</f>
        <v>52000</v>
      </c>
      <c r="X14" s="61">
        <f>H14*DATOS!$F$8</f>
        <v>52000</v>
      </c>
      <c r="Y14" s="61">
        <f>IF(AND(E14&gt;=DATOS!$B$22,E14&lt;=DATOS!$B$23),NÓMINA!V14*DATOS!$C$22,IF(AND(E14&gt;=DATOS!$B$24,E14&lt;=DATOS!B29),NÓMINA!V14*DATOS!$C$24,IF(AND(E14&gt;=DATOS!$B$26,E14&lt;=DATOS!$B$27),NÓMINA!V14*DATOS!$C$27,IF(AND(E14&gt;=DATOS!$B$28,E14&lt;=DATOS!$B$29),NÓMINA!V14*DATOS!$C$29,IF(AND(E14&gt;=DATOS!$B$30,E14&lt;=DATOS!$B$31),NÓMINA!V14*DATOS!$C$31,IF(AND(E14&gt;=DATOS!$B$32),NÓMINA!V14*DATOS!$C$32,0))))))</f>
        <v>0</v>
      </c>
      <c r="Z14" s="61"/>
      <c r="AA14" s="61">
        <f>'NOVEDADES EMPLEADOS'!V8</f>
        <v>0</v>
      </c>
      <c r="AB14" s="61">
        <f>'NOVEDADES EMPLEADOS'!W8</f>
        <v>0</v>
      </c>
      <c r="AC14" s="61">
        <f>'NOVEDADES EMPLEADOS'!X8</f>
        <v>0</v>
      </c>
      <c r="AD14" s="61">
        <f>'NOVEDADES EMPLEADOS'!Y8</f>
        <v>0</v>
      </c>
      <c r="AE14" s="49">
        <f t="shared" si="3"/>
        <v>104000</v>
      </c>
      <c r="AF14" s="54">
        <f t="shared" si="4"/>
        <v>1358000</v>
      </c>
    </row>
    <row r="15" spans="1:32">
      <c r="A15" s="4">
        <v>6</v>
      </c>
      <c r="B15" s="55">
        <f>'NOVEDADES EMPLEADOS'!B9</f>
        <v>6</v>
      </c>
      <c r="C15" s="56" t="str">
        <f>'NOVEDADES EMPLEADOS'!C9</f>
        <v>BRAYAN</v>
      </c>
      <c r="D15" s="57" t="str">
        <f>IFERROR(VLOOKUP(B15,'NOVEDADES EMPLEADOS'!$B$3:$D$53,3,FALSE),0)</f>
        <v>Operario de máquinas</v>
      </c>
      <c r="E15" s="58">
        <f>IFERROR(VLOOKUP(B15,'NOVEDADES EMPLEADOS'!$B$3:$E$53,4,FALSE),)</f>
        <v>1300000</v>
      </c>
      <c r="F15" s="59">
        <f>'NOVEDADES EMPLEADOS'!G9</f>
        <v>0</v>
      </c>
      <c r="G15" s="59">
        <f>'NOVEDADES EMPLEADOS'!H9</f>
        <v>30</v>
      </c>
      <c r="H15" s="40">
        <f>Tabla7[[#This Row],[Sueldo]]+Tabla7[[#This Row],[Incapacidad2]]+Tabla7[[#This Row],[Total HE y Recargos]]+Tabla7[[#This Row],[Comisiones]]+Tabla7[[#This Row],[Bonificaciones]]</f>
        <v>1300000</v>
      </c>
      <c r="I15" s="60">
        <f>IF((Tabla7[[#This Row],[Salario Basico]]/30)*66.66%&lt;DATOS!$C$10,DATOS!$C$10*Tabla7[[#This Row],[Incapacidad]],((Tabla7[[#This Row],[Salario Basico]]/30)*66.66%)*Tabla7[[#This Row],[Incapacidad]])</f>
        <v>0</v>
      </c>
      <c r="J15" s="60">
        <f t="shared" si="0"/>
        <v>1300000</v>
      </c>
      <c r="K15" s="61">
        <f>(IF(AND(E15+T15&lt;=DATOS!$C$8,J15+T15&gt;0),DATOS!$C$7,0)/30)*(G15-'NOVEDADES EMPLEADOS'!I9)</f>
        <v>162000</v>
      </c>
      <c r="L15" s="61">
        <f>IFERROR(($E15/230)*'NOVEDADES EMPLEADOS'!L9,)*DATOS!$C$12</f>
        <v>0</v>
      </c>
      <c r="M15" s="58">
        <f>IFERROR(($E15/230)*'NOVEDADES EMPLEADOS'!M9,)*DATOS!$C$13</f>
        <v>0</v>
      </c>
      <c r="N15" s="61">
        <f>IFERROR(($E15/230)*'NOVEDADES EMPLEADOS'!N9,)*DATOS!$C$14</f>
        <v>0</v>
      </c>
      <c r="O15" s="61">
        <f>IFERROR(($E15/230)*'NOVEDADES EMPLEADOS'!O9,)*DATOS!$C$15</f>
        <v>0</v>
      </c>
      <c r="P15" s="61">
        <f>IFERROR(($E15/230)*'NOVEDADES EMPLEADOS'!P9,)*DATOS!$C$16</f>
        <v>0</v>
      </c>
      <c r="Q15" s="61">
        <f>IFERROR(($E15/230)*'NOVEDADES EMPLEADOS'!Q9,)*DATOS!$C$17</f>
        <v>0</v>
      </c>
      <c r="R15" s="61">
        <f>IFERROR(($E15/230)*'NOVEDADES EMPLEADOS'!R9,)*DATOS!$C$18</f>
        <v>0</v>
      </c>
      <c r="S15" s="61">
        <f t="shared" si="1"/>
        <v>0</v>
      </c>
      <c r="T15" s="61">
        <f>'NOVEDADES EMPLEADOS'!S9*'NOVEDADES EMPLEADOS'!T9</f>
        <v>0</v>
      </c>
      <c r="U15" s="61">
        <f>'NOVEDADES EMPLEADOS'!U9</f>
        <v>0</v>
      </c>
      <c r="V15" s="49">
        <f t="shared" ref="V15:V59" si="5">(H15+K15)</f>
        <v>1462000</v>
      </c>
      <c r="W15" s="61">
        <f>H15*DATOS!$F$6</f>
        <v>52000</v>
      </c>
      <c r="X15" s="61">
        <f>H15*DATOS!$F$8</f>
        <v>52000</v>
      </c>
      <c r="Y15" s="61">
        <f>IF(AND(E15&gt;=DATOS!$B$22,E15&lt;=DATOS!$B$23),NÓMINA!V15*DATOS!$C$22,IF(AND(E15&gt;=DATOS!$B$24,E15&lt;=DATOS!B30),NÓMINA!V15*DATOS!$C$24,IF(AND(E15&gt;=DATOS!$B$26,E15&lt;=DATOS!$B$27),NÓMINA!V15*DATOS!$C$27,IF(AND(E15&gt;=DATOS!$B$28,E15&lt;=DATOS!$B$29),NÓMINA!V15*DATOS!$C$29,IF(AND(E15&gt;=DATOS!$B$30,E15&lt;=DATOS!$B$31),NÓMINA!V15*DATOS!$C$31,IF(AND(E15&gt;=DATOS!$B$32),NÓMINA!V15*DATOS!$C$32,0))))))</f>
        <v>0</v>
      </c>
      <c r="Z15" s="61"/>
      <c r="AA15" s="61">
        <f>'NOVEDADES EMPLEADOS'!V9</f>
        <v>0</v>
      </c>
      <c r="AB15" s="61">
        <f>'NOVEDADES EMPLEADOS'!W9</f>
        <v>0</v>
      </c>
      <c r="AC15" s="61">
        <f>'NOVEDADES EMPLEADOS'!X9</f>
        <v>0</v>
      </c>
      <c r="AD15" s="61">
        <f>'NOVEDADES EMPLEADOS'!Y9</f>
        <v>0</v>
      </c>
      <c r="AE15" s="49">
        <f t="shared" si="3"/>
        <v>104000</v>
      </c>
      <c r="AF15" s="54">
        <f t="shared" si="4"/>
        <v>1358000</v>
      </c>
    </row>
    <row r="16" spans="1:32">
      <c r="A16" s="4">
        <v>7</v>
      </c>
      <c r="B16" s="55">
        <f>'NOVEDADES EMPLEADOS'!B10</f>
        <v>7</v>
      </c>
      <c r="C16" s="56" t="str">
        <f>'NOVEDADES EMPLEADOS'!C10</f>
        <v>YASMÍN</v>
      </c>
      <c r="D16" s="57" t="str">
        <f>IFERROR(VLOOKUP(B16,'NOVEDADES EMPLEADOS'!$B$3:$D$53,3,FALSE),0)</f>
        <v>Jefe de Calidad</v>
      </c>
      <c r="E16" s="58">
        <f>IFERROR(VLOOKUP(B16,'NOVEDADES EMPLEADOS'!$B$3:$E$53,4,FALSE),)</f>
        <v>2000000</v>
      </c>
      <c r="F16" s="59">
        <f>'NOVEDADES EMPLEADOS'!G10</f>
        <v>0</v>
      </c>
      <c r="G16" s="59">
        <f>'NOVEDADES EMPLEADOS'!H10</f>
        <v>30</v>
      </c>
      <c r="H16" s="40">
        <f>Tabla7[[#This Row],[Sueldo]]+Tabla7[[#This Row],[Incapacidad2]]+Tabla7[[#This Row],[Total HE y Recargos]]+Tabla7[[#This Row],[Comisiones]]+Tabla7[[#This Row],[Bonificaciones]]</f>
        <v>2000000.0000000002</v>
      </c>
      <c r="I16" s="60">
        <f>IF((Tabla7[[#This Row],[Salario Basico]]/30)*66.66%&lt;DATOS!$C$10,DATOS!$C$10*Tabla7[[#This Row],[Incapacidad]],((Tabla7[[#This Row],[Salario Basico]]/30)*66.66%)*Tabla7[[#This Row],[Incapacidad]])</f>
        <v>0</v>
      </c>
      <c r="J16" s="60">
        <f t="shared" si="0"/>
        <v>2000000.0000000002</v>
      </c>
      <c r="K16" s="61">
        <f>(IF(AND(E16+T16&lt;=DATOS!$C$8,J16+T16&gt;0),DATOS!$C$7,0)/30)*(G16-'NOVEDADES EMPLEADOS'!I10)</f>
        <v>162000</v>
      </c>
      <c r="L16" s="61">
        <f>IFERROR(($E16/230)*'NOVEDADES EMPLEADOS'!L10,)*DATOS!$C$12</f>
        <v>0</v>
      </c>
      <c r="M16" s="58">
        <f>IFERROR(($E16/230)*'NOVEDADES EMPLEADOS'!M10,)*DATOS!$C$13</f>
        <v>0</v>
      </c>
      <c r="N16" s="61">
        <f>IFERROR(($E16/230)*'NOVEDADES EMPLEADOS'!N10,)*DATOS!$C$14</f>
        <v>0</v>
      </c>
      <c r="O16" s="61">
        <f>IFERROR(($E16/230)*'NOVEDADES EMPLEADOS'!O10,)*DATOS!$C$15</f>
        <v>0</v>
      </c>
      <c r="P16" s="61">
        <f>IFERROR(($E16/230)*'NOVEDADES EMPLEADOS'!P10,)*DATOS!$C$16</f>
        <v>0</v>
      </c>
      <c r="Q16" s="61">
        <f>IFERROR(($E16/230)*'NOVEDADES EMPLEADOS'!Q10,)*DATOS!$C$17</f>
        <v>0</v>
      </c>
      <c r="R16" s="61">
        <f>IFERROR(($E16/230)*'NOVEDADES EMPLEADOS'!R10,)*DATOS!$C$18</f>
        <v>0</v>
      </c>
      <c r="S16" s="61">
        <f t="shared" si="1"/>
        <v>0</v>
      </c>
      <c r="T16" s="61">
        <f>'NOVEDADES EMPLEADOS'!S10*'NOVEDADES EMPLEADOS'!T10</f>
        <v>0</v>
      </c>
      <c r="U16" s="61">
        <f>'NOVEDADES EMPLEADOS'!U10</f>
        <v>0</v>
      </c>
      <c r="V16" s="49">
        <f t="shared" si="5"/>
        <v>2162000</v>
      </c>
      <c r="W16" s="61">
        <f>H16*DATOS!$F$6</f>
        <v>80000.000000000015</v>
      </c>
      <c r="X16" s="61">
        <f>H16*DATOS!$F$8</f>
        <v>80000.000000000015</v>
      </c>
      <c r="Y16" s="61">
        <f>IF(AND(E16&gt;=DATOS!$B$22,E16&lt;=DATOS!$B$23),NÓMINA!V16*DATOS!$C$22,IF(AND(E16&gt;=DATOS!$B$24,E16&lt;=DATOS!B31),NÓMINA!V16*DATOS!$C$24,IF(AND(E16&gt;=DATOS!$B$26,E16&lt;=DATOS!$B$27),NÓMINA!V16*DATOS!$C$27,IF(AND(E16&gt;=DATOS!$B$28,E16&lt;=DATOS!$B$29),NÓMINA!V16*DATOS!$C$29,IF(AND(E16&gt;=DATOS!$B$30,E16&lt;=DATOS!$B$31),NÓMINA!V16*DATOS!$C$31,IF(AND(E16&gt;=DATOS!$B$32),NÓMINA!V16*DATOS!$C$32,0))))))</f>
        <v>0</v>
      </c>
      <c r="Z16" s="61"/>
      <c r="AA16" s="61">
        <f>'NOVEDADES EMPLEADOS'!V10</f>
        <v>0</v>
      </c>
      <c r="AB16" s="61">
        <f>'NOVEDADES EMPLEADOS'!W10</f>
        <v>0</v>
      </c>
      <c r="AC16" s="61">
        <f>'NOVEDADES EMPLEADOS'!X10</f>
        <v>0</v>
      </c>
      <c r="AD16" s="61">
        <f>'NOVEDADES EMPLEADOS'!Y10</f>
        <v>0</v>
      </c>
      <c r="AE16" s="49">
        <f t="shared" si="3"/>
        <v>160000.00000000003</v>
      </c>
      <c r="AF16" s="54">
        <f t="shared" si="4"/>
        <v>2002000</v>
      </c>
    </row>
    <row r="17" spans="1:32">
      <c r="A17" s="4">
        <v>8</v>
      </c>
      <c r="B17" s="55">
        <f>'NOVEDADES EMPLEADOS'!B11</f>
        <v>8</v>
      </c>
      <c r="C17" s="56" t="str">
        <f>'NOVEDADES EMPLEADOS'!C11</f>
        <v>JOSE</v>
      </c>
      <c r="D17" s="57" t="str">
        <f>IFERROR(VLOOKUP(B17,'NOVEDADES EMPLEADOS'!$B$3:$D$53,3,FALSE),0)</f>
        <v>Planchador</v>
      </c>
      <c r="E17" s="58">
        <f>IFERROR(VLOOKUP(B17,'NOVEDADES EMPLEADOS'!$B$3:$E$53,4,FALSE),)</f>
        <v>1460000</v>
      </c>
      <c r="F17" s="59">
        <f>'NOVEDADES EMPLEADOS'!G11</f>
        <v>0</v>
      </c>
      <c r="G17" s="59">
        <f>'NOVEDADES EMPLEADOS'!H11</f>
        <v>30</v>
      </c>
      <c r="H17" s="40">
        <f>Tabla7[[#This Row],[Sueldo]]+Tabla7[[#This Row],[Incapacidad2]]+Tabla7[[#This Row],[Total HE y Recargos]]+Tabla7[[#This Row],[Comisiones]]+Tabla7[[#This Row],[Bonificaciones]]</f>
        <v>1460000</v>
      </c>
      <c r="I17" s="60">
        <f>IF((Tabla7[[#This Row],[Salario Basico]]/30)*66.66%&lt;DATOS!$C$10,DATOS!$C$10*Tabla7[[#This Row],[Incapacidad]],((Tabla7[[#This Row],[Salario Basico]]/30)*66.66%)*Tabla7[[#This Row],[Incapacidad]])</f>
        <v>0</v>
      </c>
      <c r="J17" s="60">
        <f t="shared" si="0"/>
        <v>1460000</v>
      </c>
      <c r="K17" s="61">
        <f>(IF(AND(E17+T17&lt;=DATOS!$C$8,J17+T17&gt;0),DATOS!$C$7,0)/30)*(G17-'NOVEDADES EMPLEADOS'!I11)</f>
        <v>162000</v>
      </c>
      <c r="L17" s="61">
        <f>IFERROR(($E17/230)*'NOVEDADES EMPLEADOS'!L11,)*DATOS!$C$12</f>
        <v>0</v>
      </c>
      <c r="M17" s="58">
        <f>IFERROR(($E17/230)*'NOVEDADES EMPLEADOS'!M11,)*DATOS!$C$13</f>
        <v>0</v>
      </c>
      <c r="N17" s="61">
        <f>IFERROR(($E17/230)*'NOVEDADES EMPLEADOS'!N11,)*DATOS!$C$14</f>
        <v>0</v>
      </c>
      <c r="O17" s="61">
        <f>IFERROR(($E17/230)*'NOVEDADES EMPLEADOS'!O11,)*DATOS!$C$15</f>
        <v>0</v>
      </c>
      <c r="P17" s="61">
        <f>IFERROR(($E17/230)*'NOVEDADES EMPLEADOS'!P11,)*DATOS!$C$16</f>
        <v>0</v>
      </c>
      <c r="Q17" s="61">
        <f>IFERROR(($E17/230)*'NOVEDADES EMPLEADOS'!Q11,)*DATOS!$C$17</f>
        <v>0</v>
      </c>
      <c r="R17" s="61">
        <f>IFERROR(($E17/230)*'NOVEDADES EMPLEADOS'!R11,)*DATOS!$C$18</f>
        <v>0</v>
      </c>
      <c r="S17" s="61">
        <f t="shared" si="1"/>
        <v>0</v>
      </c>
      <c r="T17" s="61">
        <f>'NOVEDADES EMPLEADOS'!S11*'NOVEDADES EMPLEADOS'!T11</f>
        <v>0</v>
      </c>
      <c r="U17" s="61">
        <f>'NOVEDADES EMPLEADOS'!U11</f>
        <v>0</v>
      </c>
      <c r="V17" s="49">
        <f t="shared" si="5"/>
        <v>1622000</v>
      </c>
      <c r="W17" s="61">
        <f>H17*DATOS!$F$6</f>
        <v>58400</v>
      </c>
      <c r="X17" s="61">
        <f>H17*DATOS!$F$8</f>
        <v>58400</v>
      </c>
      <c r="Y17" s="61">
        <f>IF(AND(E17&gt;=DATOS!$B$22,E17&lt;=DATOS!$B$23),NÓMINA!V17*DATOS!$C$22,IF(AND(E17&gt;=DATOS!$B$24,E17&lt;=DATOS!B32),NÓMINA!V17*DATOS!$C$24,IF(AND(E17&gt;=DATOS!$B$26,E17&lt;=DATOS!$B$27),NÓMINA!V17*DATOS!$C$27,IF(AND(E17&gt;=DATOS!$B$28,E17&lt;=DATOS!$B$29),NÓMINA!V17*DATOS!$C$29,IF(AND(E17&gt;=DATOS!$B$30,E17&lt;=DATOS!$B$31),NÓMINA!V17*DATOS!$C$31,IF(AND(E17&gt;=DATOS!$B$32),NÓMINA!V17*DATOS!$C$32,0))))))</f>
        <v>0</v>
      </c>
      <c r="Z17" s="61"/>
      <c r="AA17" s="61">
        <f>'NOVEDADES EMPLEADOS'!V11</f>
        <v>0</v>
      </c>
      <c r="AB17" s="61">
        <f>'NOVEDADES EMPLEADOS'!W11</f>
        <v>0</v>
      </c>
      <c r="AC17" s="61">
        <f>'NOVEDADES EMPLEADOS'!X11</f>
        <v>0</v>
      </c>
      <c r="AD17" s="61">
        <f>'NOVEDADES EMPLEADOS'!Y11</f>
        <v>0</v>
      </c>
      <c r="AE17" s="49">
        <f t="shared" si="3"/>
        <v>116800</v>
      </c>
      <c r="AF17" s="54">
        <f t="shared" si="4"/>
        <v>1505200</v>
      </c>
    </row>
    <row r="18" spans="1:32">
      <c r="A18" s="4">
        <v>9</v>
      </c>
      <c r="B18" s="55">
        <f>'NOVEDADES EMPLEADOS'!B12</f>
        <v>9</v>
      </c>
      <c r="C18" s="56" t="str">
        <f>'NOVEDADES EMPLEADOS'!C12</f>
        <v>RIGOBERTO URAN PEÑA</v>
      </c>
      <c r="D18" s="57" t="str">
        <f>IFERROR(VLOOKUP(B18,'NOVEDADES EMPLEADOS'!$B$3:$D$53,3,FALSE),)</f>
        <v>Servicios Generales</v>
      </c>
      <c r="E18" s="58">
        <f>IFERROR(VLOOKUP(B18,'NOVEDADES EMPLEADOS'!$B$3:$E$53,4,FALSE),)</f>
        <v>1320000</v>
      </c>
      <c r="F18" s="59">
        <f>'NOVEDADES EMPLEADOS'!G12</f>
        <v>0</v>
      </c>
      <c r="G18" s="59">
        <f>'NOVEDADES EMPLEADOS'!H12</f>
        <v>30</v>
      </c>
      <c r="H18" s="40">
        <f>Tabla7[[#This Row],[Sueldo]]+Tabla7[[#This Row],[Incapacidad2]]+Tabla7[[#This Row],[Total HE y Recargos]]+Tabla7[[#This Row],[Comisiones]]+Tabla7[[#This Row],[Bonificaciones]]</f>
        <v>1320000</v>
      </c>
      <c r="I18" s="60">
        <f>IF((Tabla7[[#This Row],[Salario Basico]]/30)*66.66%&lt;DATOS!$C$10,DATOS!$C$10*Tabla7[[#This Row],[Incapacidad]],((Tabla7[[#This Row],[Salario Basico]]/30)*66.66%)*Tabla7[[#This Row],[Incapacidad]])</f>
        <v>0</v>
      </c>
      <c r="J18" s="60">
        <f t="shared" si="0"/>
        <v>1320000</v>
      </c>
      <c r="K18" s="61">
        <f>(IF(AND(E18+T18&lt;=DATOS!$C$8,J18+T18&gt;0),DATOS!$C$7,0)/30)*(G18-'NOVEDADES EMPLEADOS'!I12)</f>
        <v>162000</v>
      </c>
      <c r="L18" s="61">
        <f>IFERROR(($E18/230)*'NOVEDADES EMPLEADOS'!L12,)*DATOS!$C$12</f>
        <v>0</v>
      </c>
      <c r="M18" s="58">
        <f>IFERROR(($E18/230)*'NOVEDADES EMPLEADOS'!M12,)*DATOS!$C$13</f>
        <v>0</v>
      </c>
      <c r="N18" s="61">
        <f>IFERROR(($E18/230)*'NOVEDADES EMPLEADOS'!N12,)*DATOS!$C$14</f>
        <v>0</v>
      </c>
      <c r="O18" s="61">
        <f>IFERROR(($E18/230)*'NOVEDADES EMPLEADOS'!O12,)*DATOS!$C$15</f>
        <v>0</v>
      </c>
      <c r="P18" s="61">
        <f>IFERROR(($E18/230)*'NOVEDADES EMPLEADOS'!P12,)*DATOS!$C$16</f>
        <v>0</v>
      </c>
      <c r="Q18" s="61">
        <f>IFERROR(($E18/230)*'NOVEDADES EMPLEADOS'!Q12,)*DATOS!$C$17</f>
        <v>0</v>
      </c>
      <c r="R18" s="61">
        <f>IFERROR(($E18/230)*'NOVEDADES EMPLEADOS'!R12,)*DATOS!$C$18</f>
        <v>0</v>
      </c>
      <c r="S18" s="61">
        <f t="shared" si="1"/>
        <v>0</v>
      </c>
      <c r="T18" s="61">
        <f>'NOVEDADES EMPLEADOS'!S12*'NOVEDADES EMPLEADOS'!T12</f>
        <v>0</v>
      </c>
      <c r="U18" s="61">
        <f>'NOVEDADES EMPLEADOS'!U12</f>
        <v>0</v>
      </c>
      <c r="V18" s="49">
        <f t="shared" si="5"/>
        <v>1482000</v>
      </c>
      <c r="W18" s="61">
        <f>H18*DATOS!$F$6</f>
        <v>52800</v>
      </c>
      <c r="X18" s="61">
        <f>H18*DATOS!$F$8</f>
        <v>52800</v>
      </c>
      <c r="Y18" s="61">
        <f>IF(AND(E18&gt;=DATOS!$B$22,E18&lt;=DATOS!$B$23),NÓMINA!V18*DATOS!$C$22,IF(AND(E18&gt;=DATOS!$B$24,E18&lt;=DATOS!B33),NÓMINA!V18*DATOS!$C$24,IF(AND(E18&gt;=DATOS!$B$26,E18&lt;=DATOS!$B$27),NÓMINA!V18*DATOS!$C$27,IF(AND(E18&gt;=DATOS!$B$28,E18&lt;=DATOS!$B$29),NÓMINA!V18*DATOS!$C$29,IF(AND(E18&gt;=DATOS!$B$30,E18&lt;=DATOS!$B$31),NÓMINA!V18*DATOS!$C$31,IF(AND(E18&gt;=DATOS!$B$32),NÓMINA!V18*DATOS!$C$32,0))))))</f>
        <v>0</v>
      </c>
      <c r="Z18" s="61"/>
      <c r="AA18" s="61">
        <f>'NOVEDADES EMPLEADOS'!V12</f>
        <v>0</v>
      </c>
      <c r="AB18" s="61">
        <f>'NOVEDADES EMPLEADOS'!W12</f>
        <v>0</v>
      </c>
      <c r="AC18" s="61">
        <f>'NOVEDADES EMPLEADOS'!X12</f>
        <v>0</v>
      </c>
      <c r="AD18" s="61">
        <f>'NOVEDADES EMPLEADOS'!Y12</f>
        <v>0</v>
      </c>
      <c r="AE18" s="49">
        <f t="shared" si="3"/>
        <v>105600</v>
      </c>
      <c r="AF18" s="54">
        <f t="shared" si="4"/>
        <v>1376400</v>
      </c>
    </row>
    <row r="19" spans="1:32">
      <c r="A19" s="4">
        <v>10</v>
      </c>
      <c r="B19" s="55">
        <f>'NOVEDADES EMPLEADOS'!B13</f>
        <v>10</v>
      </c>
      <c r="C19" s="56" t="str">
        <f>'NOVEDADES EMPLEADOS'!C13</f>
        <v>RENÉ HIGUITA SUAZA</v>
      </c>
      <c r="D19" s="57" t="str">
        <f>IFERROR(VLOOKUP(B19,'NOVEDADES EMPLEADOS'!$B$3:$D$53,3,FALSE),0)</f>
        <v>Operarios manuales</v>
      </c>
      <c r="E19" s="58">
        <f>IFERROR(VLOOKUP(B19,'NOVEDADES EMPLEADOS'!$B$3:$E$53,4,FALSE),)</f>
        <v>1300000</v>
      </c>
      <c r="F19" s="59">
        <f>'NOVEDADES EMPLEADOS'!G13</f>
        <v>0</v>
      </c>
      <c r="G19" s="59">
        <f>'NOVEDADES EMPLEADOS'!H13</f>
        <v>30</v>
      </c>
      <c r="H19" s="40">
        <f>Tabla7[[#This Row],[Sueldo]]+Tabla7[[#This Row],[Incapacidad2]]+Tabla7[[#This Row],[Total HE y Recargos]]+Tabla7[[#This Row],[Comisiones]]+Tabla7[[#This Row],[Bonificaciones]]</f>
        <v>1300000</v>
      </c>
      <c r="I19" s="60">
        <f>IF((Tabla7[[#This Row],[Salario Basico]]/30)*66.66%&lt;DATOS!$C$10,DATOS!$C$10*Tabla7[[#This Row],[Incapacidad]],((Tabla7[[#This Row],[Salario Basico]]/30)*66.66%)*Tabla7[[#This Row],[Incapacidad]])</f>
        <v>0</v>
      </c>
      <c r="J19" s="60">
        <f t="shared" si="0"/>
        <v>1300000</v>
      </c>
      <c r="K19" s="61">
        <f>(IF(AND(E19+T19&lt;=DATOS!$C$8,J19+T19&gt;0),DATOS!$C$7,0)/30)*(G19-'NOVEDADES EMPLEADOS'!I13)</f>
        <v>162000</v>
      </c>
      <c r="L19" s="61">
        <f>IFERROR(($E19/230)*'NOVEDADES EMPLEADOS'!L13,)*DATOS!$C$12</f>
        <v>0</v>
      </c>
      <c r="M19" s="58">
        <f>IFERROR(($E19/230)*'NOVEDADES EMPLEADOS'!M13,)*DATOS!$C$13</f>
        <v>0</v>
      </c>
      <c r="N19" s="61">
        <f>IFERROR(($E19/230)*'NOVEDADES EMPLEADOS'!N13,)*DATOS!$C$14</f>
        <v>0</v>
      </c>
      <c r="O19" s="61">
        <f>IFERROR(($E19/230)*'NOVEDADES EMPLEADOS'!O13,)*DATOS!$C$15</f>
        <v>0</v>
      </c>
      <c r="P19" s="61">
        <f>IFERROR(($E19/230)*'NOVEDADES EMPLEADOS'!P13,)*DATOS!$C$16</f>
        <v>0</v>
      </c>
      <c r="Q19" s="61">
        <f>IFERROR(($E19/230)*'NOVEDADES EMPLEADOS'!Q13,)*DATOS!$C$17</f>
        <v>0</v>
      </c>
      <c r="R19" s="61">
        <f>IFERROR(($E19/230)*'NOVEDADES EMPLEADOS'!R13,)*DATOS!$C$18</f>
        <v>0</v>
      </c>
      <c r="S19" s="61">
        <f t="shared" si="1"/>
        <v>0</v>
      </c>
      <c r="T19" s="61">
        <f>'NOVEDADES EMPLEADOS'!S13*'NOVEDADES EMPLEADOS'!T13</f>
        <v>0</v>
      </c>
      <c r="U19" s="61">
        <f>'NOVEDADES EMPLEADOS'!U13</f>
        <v>0</v>
      </c>
      <c r="V19" s="49">
        <f t="shared" si="5"/>
        <v>1462000</v>
      </c>
      <c r="W19" s="61">
        <f>H19*DATOS!$F$6</f>
        <v>52000</v>
      </c>
      <c r="X19" s="61">
        <f>H19*DATOS!$F$8</f>
        <v>52000</v>
      </c>
      <c r="Y19" s="61">
        <f>IF(AND(E19&gt;=DATOS!$B$22,E19&lt;=DATOS!$B$23),NÓMINA!V19*DATOS!$C$22,IF(AND(E19&gt;=DATOS!$B$24,E19&lt;=DATOS!B34),NÓMINA!V19*DATOS!$C$24,IF(AND(E19&gt;=DATOS!$B$26,E19&lt;=DATOS!$B$27),NÓMINA!V19*DATOS!$C$27,IF(AND(E19&gt;=DATOS!$B$28,E19&lt;=DATOS!$B$29),NÓMINA!V19*DATOS!$C$29,IF(AND(E19&gt;=DATOS!$B$30,E19&lt;=DATOS!$B$31),NÓMINA!V19*DATOS!$C$31,IF(AND(E19&gt;=DATOS!$B$32),NÓMINA!V19*DATOS!$C$32,0))))))</f>
        <v>0</v>
      </c>
      <c r="Z19" s="61"/>
      <c r="AA19" s="61">
        <f>'NOVEDADES EMPLEADOS'!V13</f>
        <v>0</v>
      </c>
      <c r="AB19" s="61">
        <f>'NOVEDADES EMPLEADOS'!W13</f>
        <v>0</v>
      </c>
      <c r="AC19" s="61">
        <f>'NOVEDADES EMPLEADOS'!X13</f>
        <v>0</v>
      </c>
      <c r="AD19" s="61">
        <f>'NOVEDADES EMPLEADOS'!Y13</f>
        <v>0</v>
      </c>
      <c r="AE19" s="49">
        <f t="shared" si="3"/>
        <v>104000</v>
      </c>
      <c r="AF19" s="54">
        <f t="shared" si="4"/>
        <v>1358000</v>
      </c>
    </row>
    <row r="20" spans="1:32">
      <c r="A20" s="4">
        <v>11</v>
      </c>
      <c r="B20" s="55">
        <f>'NOVEDADES EMPLEADOS'!B14</f>
        <v>0</v>
      </c>
      <c r="C20" s="56">
        <f>'NOVEDADES EMPLEADOS'!C14</f>
        <v>0</v>
      </c>
      <c r="D20" s="57">
        <f>IFERROR(VLOOKUP(B20,'NOVEDADES EMPLEADOS'!$B$3:$D$53,3,FALSE),0)</f>
        <v>0</v>
      </c>
      <c r="E20" s="58">
        <f>IFERROR(VLOOKUP(B20,'NOVEDADES EMPLEADOS'!$B$3:$E$53,4,FALSE),)</f>
        <v>0</v>
      </c>
      <c r="F20" s="59">
        <f>'NOVEDADES EMPLEADOS'!G14</f>
        <v>0</v>
      </c>
      <c r="G20" s="59">
        <f>'NOVEDADES EMPLEADOS'!H14</f>
        <v>0</v>
      </c>
      <c r="H20" s="40">
        <f>Tabla7[[#This Row],[Sueldo]]+Tabla7[[#This Row],[Incapacidad2]]+Tabla7[[#This Row],[Total HE y Recargos]]+Tabla7[[#This Row],[Comisiones]]+Tabla7[[#This Row],[Bonificaciones]]</f>
        <v>0</v>
      </c>
      <c r="I20" s="60">
        <f>IF((Tabla7[[#This Row],[Salario Basico]]/30)*66.66%&lt;DATOS!$C$10,DATOS!$C$10*Tabla7[[#This Row],[Incapacidad]],((Tabla7[[#This Row],[Salario Basico]]/30)*66.66%)*Tabla7[[#This Row],[Incapacidad]])</f>
        <v>0</v>
      </c>
      <c r="J20" s="60">
        <f t="shared" si="0"/>
        <v>0</v>
      </c>
      <c r="K20" s="61">
        <f>(IF(AND(E20+T20&lt;=DATOS!$C$8,J20+T20&gt;0),DATOS!$C$7,0)/30)*(G20-'NOVEDADES EMPLEADOS'!I14)</f>
        <v>0</v>
      </c>
      <c r="L20" s="61">
        <f>IFERROR(($E20/230)*'NOVEDADES EMPLEADOS'!L14,)*DATOS!$C$12</f>
        <v>0</v>
      </c>
      <c r="M20" s="58">
        <f>IFERROR(($E20/230)*'NOVEDADES EMPLEADOS'!M14,)*DATOS!$C$13</f>
        <v>0</v>
      </c>
      <c r="N20" s="61">
        <f>IFERROR(($E20/230)*'NOVEDADES EMPLEADOS'!N14,)*DATOS!$C$14</f>
        <v>0</v>
      </c>
      <c r="O20" s="61">
        <f>IFERROR(($E20/230)*'NOVEDADES EMPLEADOS'!O14,)*DATOS!$C$15</f>
        <v>0</v>
      </c>
      <c r="P20" s="61">
        <f>IFERROR(($E20/230)*'NOVEDADES EMPLEADOS'!P14,)*DATOS!$C$16</f>
        <v>0</v>
      </c>
      <c r="Q20" s="61">
        <f>IFERROR(($E20/230)*'NOVEDADES EMPLEADOS'!Q14,)*DATOS!$C$17</f>
        <v>0</v>
      </c>
      <c r="R20" s="61">
        <f>IFERROR(($E20/230)*'NOVEDADES EMPLEADOS'!R14,)*DATOS!$C$18</f>
        <v>0</v>
      </c>
      <c r="S20" s="61">
        <f t="shared" si="1"/>
        <v>0</v>
      </c>
      <c r="T20" s="61">
        <f>'NOVEDADES EMPLEADOS'!S14*'NOVEDADES EMPLEADOS'!T14</f>
        <v>0</v>
      </c>
      <c r="U20" s="61">
        <f>'NOVEDADES EMPLEADOS'!U14</f>
        <v>0</v>
      </c>
      <c r="V20" s="49">
        <f t="shared" si="5"/>
        <v>0</v>
      </c>
      <c r="W20" s="61">
        <f>H20*DATOS!$F$6</f>
        <v>0</v>
      </c>
      <c r="X20" s="61">
        <f>H20*DATOS!$F$8</f>
        <v>0</v>
      </c>
      <c r="Y20" s="61">
        <f>IF(AND(E20&gt;=DATOS!$B$22,E20&lt;=DATOS!$B$23),NÓMINA!V20*DATOS!$C$22,IF(AND(E20&gt;=DATOS!$B$24,E20&lt;=DATOS!B35),NÓMINA!V20*DATOS!$C$24,IF(AND(E20&gt;=DATOS!$B$26,E20&lt;=DATOS!$B$27),NÓMINA!V20*DATOS!$C$27,IF(AND(E20&gt;=DATOS!$B$28,E20&lt;=DATOS!$B$29),NÓMINA!V20*DATOS!$C$29,IF(AND(E20&gt;=DATOS!$B$30,E20&lt;=DATOS!$B$31),NÓMINA!V20*DATOS!$C$31,IF(AND(E20&gt;=DATOS!$B$32),NÓMINA!V20*DATOS!$C$32,0))))))</f>
        <v>0</v>
      </c>
      <c r="Z20" s="61"/>
      <c r="AA20" s="61">
        <f>'NOVEDADES EMPLEADOS'!V14</f>
        <v>0</v>
      </c>
      <c r="AB20" s="61">
        <f>'NOVEDADES EMPLEADOS'!W14</f>
        <v>0</v>
      </c>
      <c r="AC20" s="61">
        <f>'NOVEDADES EMPLEADOS'!X14</f>
        <v>0</v>
      </c>
      <c r="AD20" s="61">
        <f>'NOVEDADES EMPLEADOS'!Y14</f>
        <v>0</v>
      </c>
      <c r="AE20" s="49">
        <f t="shared" si="3"/>
        <v>0</v>
      </c>
      <c r="AF20" s="54">
        <f t="shared" ref="AF20:AF59" si="6">V20-AE20</f>
        <v>0</v>
      </c>
    </row>
    <row r="21" spans="1:32">
      <c r="A21" s="4">
        <v>12</v>
      </c>
      <c r="B21" s="55">
        <f>'NOVEDADES EMPLEADOS'!B15</f>
        <v>0</v>
      </c>
      <c r="C21" s="56">
        <f>'NOVEDADES EMPLEADOS'!C15</f>
        <v>0</v>
      </c>
      <c r="D21" s="57">
        <f>IFERROR(VLOOKUP(B21,'NOVEDADES EMPLEADOS'!$B$3:$D$53,3,FALSE),0)</f>
        <v>0</v>
      </c>
      <c r="E21" s="58">
        <f>IFERROR(VLOOKUP(B21,'NOVEDADES EMPLEADOS'!$B$3:$E$53,4,FALSE),)</f>
        <v>0</v>
      </c>
      <c r="F21" s="59">
        <f>'NOVEDADES EMPLEADOS'!G15</f>
        <v>0</v>
      </c>
      <c r="G21" s="59">
        <f>'NOVEDADES EMPLEADOS'!H15</f>
        <v>0</v>
      </c>
      <c r="H21" s="40">
        <f>Tabla7[[#This Row],[Sueldo]]+Tabla7[[#This Row],[Incapacidad2]]+Tabla7[[#This Row],[Total HE y Recargos]]+Tabla7[[#This Row],[Comisiones]]+Tabla7[[#This Row],[Bonificaciones]]</f>
        <v>0</v>
      </c>
      <c r="I21" s="60">
        <f>IF((Tabla7[[#This Row],[Salario Basico]]/30)*66.66%&lt;DATOS!$C$10,DATOS!$C$10*Tabla7[[#This Row],[Incapacidad]],((Tabla7[[#This Row],[Salario Basico]]/30)*66.66%)*Tabla7[[#This Row],[Incapacidad]])</f>
        <v>0</v>
      </c>
      <c r="J21" s="60">
        <f t="shared" si="0"/>
        <v>0</v>
      </c>
      <c r="K21" s="61">
        <f>(IF(AND(E21+T21&lt;=DATOS!$C$8,J21+T21&gt;0),DATOS!$C$7,0)/30)*(G21-'NOVEDADES EMPLEADOS'!I15)</f>
        <v>0</v>
      </c>
      <c r="L21" s="61">
        <f>IFERROR(($E21/230)*'NOVEDADES EMPLEADOS'!L15,)*DATOS!$C$12</f>
        <v>0</v>
      </c>
      <c r="M21" s="58">
        <f>IFERROR(($E21/230)*'NOVEDADES EMPLEADOS'!M15,)*DATOS!$C$13</f>
        <v>0</v>
      </c>
      <c r="N21" s="61">
        <f>IFERROR(($E21/230)*'NOVEDADES EMPLEADOS'!N15,)*DATOS!$C$14</f>
        <v>0</v>
      </c>
      <c r="O21" s="61">
        <f>IFERROR(($E21/230)*'NOVEDADES EMPLEADOS'!O15,)*DATOS!$C$15</f>
        <v>0</v>
      </c>
      <c r="P21" s="61">
        <f>IFERROR(($E21/230)*'NOVEDADES EMPLEADOS'!P15,)*DATOS!$C$16</f>
        <v>0</v>
      </c>
      <c r="Q21" s="61">
        <f>IFERROR(($E21/230)*'NOVEDADES EMPLEADOS'!Q15,)*DATOS!$C$17</f>
        <v>0</v>
      </c>
      <c r="R21" s="61">
        <f>IFERROR(($E21/230)*'NOVEDADES EMPLEADOS'!R15,)*DATOS!$C$18</f>
        <v>0</v>
      </c>
      <c r="S21" s="61">
        <f t="shared" si="1"/>
        <v>0</v>
      </c>
      <c r="T21" s="61">
        <f>'NOVEDADES EMPLEADOS'!S15*'NOVEDADES EMPLEADOS'!T15</f>
        <v>0</v>
      </c>
      <c r="U21" s="61">
        <f>'NOVEDADES EMPLEADOS'!U15</f>
        <v>0</v>
      </c>
      <c r="V21" s="49">
        <f t="shared" si="5"/>
        <v>0</v>
      </c>
      <c r="W21" s="61">
        <f>H21*DATOS!$F$6</f>
        <v>0</v>
      </c>
      <c r="X21" s="61">
        <f>H21*DATOS!$F$8</f>
        <v>0</v>
      </c>
      <c r="Y21" s="61">
        <f>IF(AND(E21&gt;=DATOS!$B$22,E21&lt;=DATOS!$B$23),NÓMINA!V21*DATOS!$C$22,IF(AND(E21&gt;=DATOS!$B$24,E21&lt;=DATOS!B36),NÓMINA!V21*DATOS!$C$24,IF(AND(E21&gt;=DATOS!$B$26,E21&lt;=DATOS!$B$27),NÓMINA!V21*DATOS!$C$27,IF(AND(E21&gt;=DATOS!$B$28,E21&lt;=DATOS!$B$29),NÓMINA!V21*DATOS!$C$29,IF(AND(E21&gt;=DATOS!$B$30,E21&lt;=DATOS!$B$31),NÓMINA!V21*DATOS!$C$31,IF(AND(E21&gt;=DATOS!$B$32),NÓMINA!V21*DATOS!$C$32,0))))))</f>
        <v>0</v>
      </c>
      <c r="Z21" s="61"/>
      <c r="AA21" s="61">
        <f>'NOVEDADES EMPLEADOS'!V15</f>
        <v>0</v>
      </c>
      <c r="AB21" s="61">
        <f>'NOVEDADES EMPLEADOS'!W15</f>
        <v>0</v>
      </c>
      <c r="AC21" s="61">
        <f>'NOVEDADES EMPLEADOS'!X15</f>
        <v>0</v>
      </c>
      <c r="AD21" s="61">
        <f>'NOVEDADES EMPLEADOS'!Y15</f>
        <v>0</v>
      </c>
      <c r="AE21" s="49">
        <f t="shared" si="3"/>
        <v>0</v>
      </c>
      <c r="AF21" s="54">
        <f t="shared" si="6"/>
        <v>0</v>
      </c>
    </row>
    <row r="22" spans="1:32">
      <c r="A22" s="4">
        <v>13</v>
      </c>
      <c r="B22" s="55">
        <f>'NOVEDADES EMPLEADOS'!B16</f>
        <v>0</v>
      </c>
      <c r="C22" s="56">
        <f>'NOVEDADES EMPLEADOS'!C16</f>
        <v>0</v>
      </c>
      <c r="D22" s="57">
        <f>IFERROR(VLOOKUP(B22,'NOVEDADES EMPLEADOS'!$B$3:$D$53,3,FALSE),0)</f>
        <v>0</v>
      </c>
      <c r="E22" s="58">
        <f>IFERROR(VLOOKUP(B22,'NOVEDADES EMPLEADOS'!$B$3:$E$53,4,FALSE),)</f>
        <v>0</v>
      </c>
      <c r="F22" s="59">
        <f>'NOVEDADES EMPLEADOS'!G16</f>
        <v>0</v>
      </c>
      <c r="G22" s="59">
        <f>'NOVEDADES EMPLEADOS'!H16</f>
        <v>0</v>
      </c>
      <c r="H22" s="40">
        <f>Tabla7[[#This Row],[Sueldo]]+Tabla7[[#This Row],[Incapacidad2]]+Tabla7[[#This Row],[Total HE y Recargos]]+Tabla7[[#This Row],[Comisiones]]+Tabla7[[#This Row],[Bonificaciones]]</f>
        <v>0</v>
      </c>
      <c r="I22" s="60">
        <f>IF((Tabla7[[#This Row],[Salario Basico]]/30)*66.66%&lt;DATOS!$C$10,DATOS!$C$10*Tabla7[[#This Row],[Incapacidad]],((Tabla7[[#This Row],[Salario Basico]]/30)*66.66%)*Tabla7[[#This Row],[Incapacidad]])</f>
        <v>0</v>
      </c>
      <c r="J22" s="60">
        <f t="shared" si="0"/>
        <v>0</v>
      </c>
      <c r="K22" s="61">
        <f>(IF(AND(E22+T22&lt;=DATOS!$C$8,J22+T22&gt;0),DATOS!$C$7,0)/30)*(G22-'NOVEDADES EMPLEADOS'!I16)</f>
        <v>0</v>
      </c>
      <c r="L22" s="61">
        <f>IFERROR(($E22/230)*'NOVEDADES EMPLEADOS'!L16,)*DATOS!$C$12</f>
        <v>0</v>
      </c>
      <c r="M22" s="58">
        <f>IFERROR(($E22/230)*'NOVEDADES EMPLEADOS'!M16,)*DATOS!$C$13</f>
        <v>0</v>
      </c>
      <c r="N22" s="61">
        <f>IFERROR(($E22/230)*'NOVEDADES EMPLEADOS'!N16,)*DATOS!$C$14</f>
        <v>0</v>
      </c>
      <c r="O22" s="61">
        <f>IFERROR(($E22/230)*'NOVEDADES EMPLEADOS'!O16,)*DATOS!$C$15</f>
        <v>0</v>
      </c>
      <c r="P22" s="61">
        <f>IFERROR(($E22/230)*'NOVEDADES EMPLEADOS'!P16,)*DATOS!$C$16</f>
        <v>0</v>
      </c>
      <c r="Q22" s="61">
        <f>IFERROR(($E22/230)*'NOVEDADES EMPLEADOS'!Q16,)*DATOS!$C$17</f>
        <v>0</v>
      </c>
      <c r="R22" s="61">
        <f>IFERROR(($E22/230)*'NOVEDADES EMPLEADOS'!R16,)*DATOS!$C$18</f>
        <v>0</v>
      </c>
      <c r="S22" s="61">
        <f t="shared" si="1"/>
        <v>0</v>
      </c>
      <c r="T22" s="61">
        <f>'NOVEDADES EMPLEADOS'!S16*'NOVEDADES EMPLEADOS'!T16</f>
        <v>0</v>
      </c>
      <c r="U22" s="61">
        <f>'NOVEDADES EMPLEADOS'!U16</f>
        <v>0</v>
      </c>
      <c r="V22" s="49">
        <f t="shared" si="5"/>
        <v>0</v>
      </c>
      <c r="W22" s="61">
        <f>H22*DATOS!$F$6</f>
        <v>0</v>
      </c>
      <c r="X22" s="61">
        <f>H22*DATOS!$F$8</f>
        <v>0</v>
      </c>
      <c r="Y22" s="61">
        <f>IF(AND(E22&gt;=DATOS!$B$22,E22&lt;=DATOS!$B$23),NÓMINA!V22*DATOS!$C$22,IF(AND(E22&gt;=DATOS!$B$24,E22&lt;=DATOS!B37),NÓMINA!V22*DATOS!$C$24,IF(AND(E22&gt;=DATOS!$B$26,E22&lt;=DATOS!$B$27),NÓMINA!V22*DATOS!$C$27,IF(AND(E22&gt;=DATOS!$B$28,E22&lt;=DATOS!$B$29),NÓMINA!V22*DATOS!$C$29,IF(AND(E22&gt;=DATOS!$B$30,E22&lt;=DATOS!$B$31),NÓMINA!V22*DATOS!$C$31,IF(AND(E22&gt;=DATOS!$B$32),NÓMINA!V22*DATOS!$C$32,0))))))</f>
        <v>0</v>
      </c>
      <c r="Z22" s="61"/>
      <c r="AA22" s="61">
        <f>'NOVEDADES EMPLEADOS'!V16</f>
        <v>0</v>
      </c>
      <c r="AB22" s="61">
        <f>'NOVEDADES EMPLEADOS'!W16</f>
        <v>0</v>
      </c>
      <c r="AC22" s="61">
        <f>'NOVEDADES EMPLEADOS'!X16</f>
        <v>0</v>
      </c>
      <c r="AD22" s="61">
        <f>'NOVEDADES EMPLEADOS'!Y16</f>
        <v>0</v>
      </c>
      <c r="AE22" s="49">
        <f t="shared" si="3"/>
        <v>0</v>
      </c>
      <c r="AF22" s="54">
        <f t="shared" si="6"/>
        <v>0</v>
      </c>
    </row>
    <row r="23" spans="1:32">
      <c r="A23" s="4">
        <v>14</v>
      </c>
      <c r="B23" s="55">
        <f>'NOVEDADES EMPLEADOS'!B17</f>
        <v>0</v>
      </c>
      <c r="C23" s="56">
        <f>'NOVEDADES EMPLEADOS'!C17</f>
        <v>0</v>
      </c>
      <c r="D23" s="57">
        <f>IFERROR(VLOOKUP(B23,'NOVEDADES EMPLEADOS'!$B$3:$D$53,3,FALSE),0)</f>
        <v>0</v>
      </c>
      <c r="E23" s="58">
        <f>IFERROR(VLOOKUP(B23,'NOVEDADES EMPLEADOS'!$B$3:$E$53,4,FALSE),)</f>
        <v>0</v>
      </c>
      <c r="F23" s="59">
        <f>'NOVEDADES EMPLEADOS'!G17</f>
        <v>0</v>
      </c>
      <c r="G23" s="59">
        <f>'NOVEDADES EMPLEADOS'!H17</f>
        <v>0</v>
      </c>
      <c r="H23" s="40">
        <f>Tabla7[[#This Row],[Sueldo]]+Tabla7[[#This Row],[Incapacidad2]]+Tabla7[[#This Row],[Total HE y Recargos]]+Tabla7[[#This Row],[Comisiones]]+Tabla7[[#This Row],[Bonificaciones]]</f>
        <v>0</v>
      </c>
      <c r="I23" s="60">
        <f>IF((Tabla7[[#This Row],[Salario Basico]]/30)*66.66%&lt;DATOS!$C$10,DATOS!$C$10*Tabla7[[#This Row],[Incapacidad]],((Tabla7[[#This Row],[Salario Basico]]/30)*66.66%)*Tabla7[[#This Row],[Incapacidad]])</f>
        <v>0</v>
      </c>
      <c r="J23" s="60">
        <f t="shared" si="0"/>
        <v>0</v>
      </c>
      <c r="K23" s="61">
        <f>(IF(AND(E23+T23&lt;=DATOS!$C$8,J23+T23&gt;0),DATOS!$C$7,0)/30)*(G23-'NOVEDADES EMPLEADOS'!I17)</f>
        <v>0</v>
      </c>
      <c r="L23" s="61">
        <f>IFERROR(($E23/230)*'NOVEDADES EMPLEADOS'!L17,)*DATOS!$C$12</f>
        <v>0</v>
      </c>
      <c r="M23" s="58">
        <f>IFERROR(($E23/230)*'NOVEDADES EMPLEADOS'!M17,)*DATOS!$C$13</f>
        <v>0</v>
      </c>
      <c r="N23" s="61">
        <f>IFERROR(($E23/230)*'NOVEDADES EMPLEADOS'!N17,)*DATOS!$C$14</f>
        <v>0</v>
      </c>
      <c r="O23" s="61">
        <f>IFERROR(($E23/230)*'NOVEDADES EMPLEADOS'!O17,)*DATOS!$C$15</f>
        <v>0</v>
      </c>
      <c r="P23" s="61">
        <f>IFERROR(($E23/230)*'NOVEDADES EMPLEADOS'!P17,)*DATOS!$C$16</f>
        <v>0</v>
      </c>
      <c r="Q23" s="61">
        <f>IFERROR(($E23/230)*'NOVEDADES EMPLEADOS'!Q17,)*DATOS!$C$17</f>
        <v>0</v>
      </c>
      <c r="R23" s="61">
        <f>IFERROR(($E23/230)*'NOVEDADES EMPLEADOS'!R17,)*DATOS!$C$18</f>
        <v>0</v>
      </c>
      <c r="S23" s="61">
        <f t="shared" si="1"/>
        <v>0</v>
      </c>
      <c r="T23" s="61">
        <f>'NOVEDADES EMPLEADOS'!S17*'NOVEDADES EMPLEADOS'!T17</f>
        <v>0</v>
      </c>
      <c r="U23" s="61">
        <f>'NOVEDADES EMPLEADOS'!U17</f>
        <v>0</v>
      </c>
      <c r="V23" s="49">
        <f t="shared" si="5"/>
        <v>0</v>
      </c>
      <c r="W23" s="61">
        <f>H23*DATOS!$F$6</f>
        <v>0</v>
      </c>
      <c r="X23" s="61">
        <f>H23*DATOS!$F$8</f>
        <v>0</v>
      </c>
      <c r="Y23" s="61">
        <f>IF(AND(E23&gt;=DATOS!$B$22,E23&lt;=DATOS!$B$23),NÓMINA!V23*DATOS!$C$22,IF(AND(E23&gt;=DATOS!$B$24,E23&lt;=DATOS!B38),NÓMINA!V23*DATOS!$C$24,IF(AND(E23&gt;=DATOS!$B$26,E23&lt;=DATOS!$B$27),NÓMINA!V23*DATOS!$C$27,IF(AND(E23&gt;=DATOS!$B$28,E23&lt;=DATOS!$B$29),NÓMINA!V23*DATOS!$C$29,IF(AND(E23&gt;=DATOS!$B$30,E23&lt;=DATOS!$B$31),NÓMINA!V23*DATOS!$C$31,IF(AND(E23&gt;=DATOS!$B$32),NÓMINA!V23*DATOS!$C$32,0))))))</f>
        <v>0</v>
      </c>
      <c r="Z23" s="61"/>
      <c r="AA23" s="61">
        <f>'NOVEDADES EMPLEADOS'!V17</f>
        <v>0</v>
      </c>
      <c r="AB23" s="61">
        <f>'NOVEDADES EMPLEADOS'!W17</f>
        <v>0</v>
      </c>
      <c r="AC23" s="61">
        <f>'NOVEDADES EMPLEADOS'!X17</f>
        <v>0</v>
      </c>
      <c r="AD23" s="61">
        <f>'NOVEDADES EMPLEADOS'!Y17</f>
        <v>0</v>
      </c>
      <c r="AE23" s="49">
        <f t="shared" si="3"/>
        <v>0</v>
      </c>
      <c r="AF23" s="54">
        <f t="shared" si="6"/>
        <v>0</v>
      </c>
    </row>
    <row r="24" spans="1:32">
      <c r="A24" s="4">
        <v>15</v>
      </c>
      <c r="B24" s="55">
        <f>'NOVEDADES EMPLEADOS'!B18</f>
        <v>0</v>
      </c>
      <c r="C24" s="56">
        <f>'NOVEDADES EMPLEADOS'!C18</f>
        <v>0</v>
      </c>
      <c r="D24" s="57">
        <f>IFERROR(VLOOKUP(B24,'NOVEDADES EMPLEADOS'!$B$3:$D$53,3,FALSE),0)</f>
        <v>0</v>
      </c>
      <c r="E24" s="58">
        <f>IFERROR(VLOOKUP(B24,'NOVEDADES EMPLEADOS'!$B$3:$E$53,4,FALSE),)</f>
        <v>0</v>
      </c>
      <c r="F24" s="59">
        <f>'NOVEDADES EMPLEADOS'!G18</f>
        <v>0</v>
      </c>
      <c r="G24" s="59">
        <f>'NOVEDADES EMPLEADOS'!H18</f>
        <v>0</v>
      </c>
      <c r="H24" s="40">
        <f>Tabla7[[#This Row],[Sueldo]]+Tabla7[[#This Row],[Incapacidad2]]+Tabla7[[#This Row],[Total HE y Recargos]]+Tabla7[[#This Row],[Comisiones]]+Tabla7[[#This Row],[Bonificaciones]]</f>
        <v>0</v>
      </c>
      <c r="I24" s="60">
        <f>IF((Tabla7[[#This Row],[Salario Basico]]/30)*66.66%&lt;DATOS!$C$10,DATOS!$C$10*Tabla7[[#This Row],[Incapacidad]],((Tabla7[[#This Row],[Salario Basico]]/30)*66.66%)*Tabla7[[#This Row],[Incapacidad]])</f>
        <v>0</v>
      </c>
      <c r="J24" s="60">
        <f t="shared" si="0"/>
        <v>0</v>
      </c>
      <c r="K24" s="61">
        <f>(IF(AND(E24+T24&lt;=DATOS!$C$8,J24+T24&gt;0),DATOS!$C$7,0)/30)*(G24-'NOVEDADES EMPLEADOS'!I18)</f>
        <v>0</v>
      </c>
      <c r="L24" s="61">
        <f>IFERROR(($E24/230)*'NOVEDADES EMPLEADOS'!L18,)*DATOS!$C$12</f>
        <v>0</v>
      </c>
      <c r="M24" s="58">
        <f>IFERROR(($E24/230)*'NOVEDADES EMPLEADOS'!M18,)*DATOS!$C$13</f>
        <v>0</v>
      </c>
      <c r="N24" s="61">
        <f>IFERROR(($E24/230)*'NOVEDADES EMPLEADOS'!N18,)*DATOS!$C$14</f>
        <v>0</v>
      </c>
      <c r="O24" s="61">
        <f>IFERROR(($E24/230)*'NOVEDADES EMPLEADOS'!O18,)*DATOS!$C$15</f>
        <v>0</v>
      </c>
      <c r="P24" s="61">
        <f>IFERROR(($E24/230)*'NOVEDADES EMPLEADOS'!P18,)*DATOS!$C$16</f>
        <v>0</v>
      </c>
      <c r="Q24" s="61">
        <f>IFERROR(($E24/230)*'NOVEDADES EMPLEADOS'!Q18,)*DATOS!$C$17</f>
        <v>0</v>
      </c>
      <c r="R24" s="61">
        <f>IFERROR(($E24/230)*'NOVEDADES EMPLEADOS'!R18,)*DATOS!$C$18</f>
        <v>0</v>
      </c>
      <c r="S24" s="61">
        <f t="shared" si="1"/>
        <v>0</v>
      </c>
      <c r="T24" s="61">
        <f>'NOVEDADES EMPLEADOS'!S18*'NOVEDADES EMPLEADOS'!T18</f>
        <v>0</v>
      </c>
      <c r="U24" s="61">
        <f>'NOVEDADES EMPLEADOS'!U18</f>
        <v>0</v>
      </c>
      <c r="V24" s="49">
        <f t="shared" si="5"/>
        <v>0</v>
      </c>
      <c r="W24" s="61">
        <f>H24*DATOS!$F$6</f>
        <v>0</v>
      </c>
      <c r="X24" s="61">
        <f>H24*DATOS!$F$8</f>
        <v>0</v>
      </c>
      <c r="Y24" s="61">
        <f>IF(AND(E24&gt;=DATOS!$B$22,E24&lt;=DATOS!$B$23),NÓMINA!V24*DATOS!$C$22,IF(AND(E24&gt;=DATOS!$B$24,E24&lt;=DATOS!B39),NÓMINA!V24*DATOS!$C$24,IF(AND(E24&gt;=DATOS!$B$26,E24&lt;=DATOS!$B$27),NÓMINA!V24*DATOS!$C$27,IF(AND(E24&gt;=DATOS!$B$28,E24&lt;=DATOS!$B$29),NÓMINA!V24*DATOS!$C$29,IF(AND(E24&gt;=DATOS!$B$30,E24&lt;=DATOS!$B$31),NÓMINA!V24*DATOS!$C$31,IF(AND(E24&gt;=DATOS!$B$32),NÓMINA!V24*DATOS!$C$32,0))))))</f>
        <v>0</v>
      </c>
      <c r="Z24" s="61"/>
      <c r="AA24" s="61">
        <f>'NOVEDADES EMPLEADOS'!V18</f>
        <v>0</v>
      </c>
      <c r="AB24" s="61">
        <f>'NOVEDADES EMPLEADOS'!W18</f>
        <v>0</v>
      </c>
      <c r="AC24" s="61">
        <f>'NOVEDADES EMPLEADOS'!X18</f>
        <v>0</v>
      </c>
      <c r="AD24" s="61">
        <f>'NOVEDADES EMPLEADOS'!Y18</f>
        <v>0</v>
      </c>
      <c r="AE24" s="49">
        <f t="shared" si="3"/>
        <v>0</v>
      </c>
      <c r="AF24" s="54">
        <f t="shared" si="6"/>
        <v>0</v>
      </c>
    </row>
    <row r="25" spans="1:32">
      <c r="A25" s="4">
        <v>16</v>
      </c>
      <c r="B25" s="55">
        <f>'NOVEDADES EMPLEADOS'!B19</f>
        <v>0</v>
      </c>
      <c r="C25" s="56">
        <f>'NOVEDADES EMPLEADOS'!C19</f>
        <v>0</v>
      </c>
      <c r="D25" s="57">
        <f>IFERROR(VLOOKUP(B25,'NOVEDADES EMPLEADOS'!$B$3:$D$53,3,FALSE),0)</f>
        <v>0</v>
      </c>
      <c r="E25" s="58">
        <f>IFERROR(VLOOKUP(B25,'NOVEDADES EMPLEADOS'!$B$3:$E$53,4,FALSE),)</f>
        <v>0</v>
      </c>
      <c r="F25" s="59">
        <f>'NOVEDADES EMPLEADOS'!G19</f>
        <v>0</v>
      </c>
      <c r="G25" s="59">
        <f>'NOVEDADES EMPLEADOS'!H19</f>
        <v>0</v>
      </c>
      <c r="H25" s="40">
        <f>Tabla7[[#This Row],[Sueldo]]+Tabla7[[#This Row],[Incapacidad2]]+Tabla7[[#This Row],[Total HE y Recargos]]+Tabla7[[#This Row],[Comisiones]]+Tabla7[[#This Row],[Bonificaciones]]</f>
        <v>0</v>
      </c>
      <c r="I25" s="60">
        <f>IF((Tabla7[[#This Row],[Salario Basico]]/30)*66.66%&lt;DATOS!$C$10,DATOS!$C$10*Tabla7[[#This Row],[Incapacidad]],((Tabla7[[#This Row],[Salario Basico]]/30)*66.66%)*Tabla7[[#This Row],[Incapacidad]])</f>
        <v>0</v>
      </c>
      <c r="J25" s="60">
        <f t="shared" si="0"/>
        <v>0</v>
      </c>
      <c r="K25" s="61">
        <f>(IF(AND(E25+T25&lt;=DATOS!$C$8,J25+T25&gt;0),DATOS!$C$7,0)/30)*(G25-'NOVEDADES EMPLEADOS'!I19)</f>
        <v>0</v>
      </c>
      <c r="L25" s="61">
        <f>IFERROR(($E25/230)*'NOVEDADES EMPLEADOS'!L19,)*DATOS!$C$12</f>
        <v>0</v>
      </c>
      <c r="M25" s="58">
        <f>IFERROR(($E25/230)*'NOVEDADES EMPLEADOS'!M19,)*DATOS!$C$13</f>
        <v>0</v>
      </c>
      <c r="N25" s="61">
        <f>IFERROR(($E25/230)*'NOVEDADES EMPLEADOS'!N19,)*DATOS!$C$14</f>
        <v>0</v>
      </c>
      <c r="O25" s="61">
        <f>IFERROR(($E25/230)*'NOVEDADES EMPLEADOS'!O19,)*DATOS!$C$15</f>
        <v>0</v>
      </c>
      <c r="P25" s="61">
        <f>IFERROR(($E25/230)*'NOVEDADES EMPLEADOS'!P19,)*DATOS!$C$16</f>
        <v>0</v>
      </c>
      <c r="Q25" s="61">
        <f>IFERROR(($E25/230)*'NOVEDADES EMPLEADOS'!Q19,)*DATOS!$C$17</f>
        <v>0</v>
      </c>
      <c r="R25" s="61">
        <f>IFERROR(($E25/230)*'NOVEDADES EMPLEADOS'!R19,)*DATOS!$C$18</f>
        <v>0</v>
      </c>
      <c r="S25" s="61">
        <f t="shared" si="1"/>
        <v>0</v>
      </c>
      <c r="T25" s="61">
        <f>'NOVEDADES EMPLEADOS'!S19*'NOVEDADES EMPLEADOS'!T19</f>
        <v>0</v>
      </c>
      <c r="U25" s="61">
        <f>'NOVEDADES EMPLEADOS'!U19</f>
        <v>0</v>
      </c>
      <c r="V25" s="49">
        <f t="shared" si="5"/>
        <v>0</v>
      </c>
      <c r="W25" s="61">
        <f>H25*DATOS!$F$6</f>
        <v>0</v>
      </c>
      <c r="X25" s="61">
        <f>H25*DATOS!$F$8</f>
        <v>0</v>
      </c>
      <c r="Y25" s="61">
        <f>IF(AND(E25&gt;=DATOS!$B$22,E25&lt;=DATOS!$B$23),NÓMINA!V25*DATOS!$C$22,IF(AND(E25&gt;=DATOS!$B$24,E25&lt;=DATOS!B40),NÓMINA!V25*DATOS!$C$24,IF(AND(E25&gt;=DATOS!$B$26,E25&lt;=DATOS!$B$27),NÓMINA!V25*DATOS!$C$27,IF(AND(E25&gt;=DATOS!$B$28,E25&lt;=DATOS!$B$29),NÓMINA!V25*DATOS!$C$29,IF(AND(E25&gt;=DATOS!$B$30,E25&lt;=DATOS!$B$31),NÓMINA!V25*DATOS!$C$31,IF(AND(E25&gt;=DATOS!$B$32),NÓMINA!V25*DATOS!$C$32,0))))))</f>
        <v>0</v>
      </c>
      <c r="Z25" s="61"/>
      <c r="AA25" s="61">
        <f>'NOVEDADES EMPLEADOS'!V19</f>
        <v>0</v>
      </c>
      <c r="AB25" s="61">
        <f>'NOVEDADES EMPLEADOS'!W19</f>
        <v>0</v>
      </c>
      <c r="AC25" s="61">
        <f>'NOVEDADES EMPLEADOS'!X19</f>
        <v>0</v>
      </c>
      <c r="AD25" s="61">
        <f>'NOVEDADES EMPLEADOS'!Y19</f>
        <v>0</v>
      </c>
      <c r="AE25" s="49">
        <f t="shared" si="3"/>
        <v>0</v>
      </c>
      <c r="AF25" s="54">
        <f t="shared" si="6"/>
        <v>0</v>
      </c>
    </row>
    <row r="26" spans="1:32">
      <c r="A26" s="4">
        <v>17</v>
      </c>
      <c r="B26" s="55">
        <f>'NOVEDADES EMPLEADOS'!B20</f>
        <v>0</v>
      </c>
      <c r="C26" s="56">
        <f>'NOVEDADES EMPLEADOS'!C20</f>
        <v>0</v>
      </c>
      <c r="D26" s="57">
        <f>IFERROR(VLOOKUP(B26,'NOVEDADES EMPLEADOS'!$B$3:$D$53,3,FALSE),0)</f>
        <v>0</v>
      </c>
      <c r="E26" s="58">
        <f>IFERROR(VLOOKUP(B26,'NOVEDADES EMPLEADOS'!$B$3:$E$53,4,FALSE),)</f>
        <v>0</v>
      </c>
      <c r="F26" s="59">
        <f>'NOVEDADES EMPLEADOS'!G20</f>
        <v>0</v>
      </c>
      <c r="G26" s="59">
        <f>'NOVEDADES EMPLEADOS'!H20</f>
        <v>0</v>
      </c>
      <c r="H26" s="40">
        <f>Tabla7[[#This Row],[Sueldo]]+Tabla7[[#This Row],[Incapacidad2]]+Tabla7[[#This Row],[Total HE y Recargos]]+Tabla7[[#This Row],[Comisiones]]+Tabla7[[#This Row],[Bonificaciones]]</f>
        <v>0</v>
      </c>
      <c r="I26" s="60">
        <f>IF((Tabla7[[#This Row],[Salario Basico]]/30)*66.66%&lt;DATOS!$C$10,DATOS!$C$10*Tabla7[[#This Row],[Incapacidad]],((Tabla7[[#This Row],[Salario Basico]]/30)*66.66%)*Tabla7[[#This Row],[Incapacidad]])</f>
        <v>0</v>
      </c>
      <c r="J26" s="60">
        <f t="shared" si="0"/>
        <v>0</v>
      </c>
      <c r="K26" s="61">
        <f>(IF(AND(E26+T26&lt;=DATOS!$C$8,J26+T26&gt;0),DATOS!$C$7,0)/30)*(G26-'NOVEDADES EMPLEADOS'!I20)</f>
        <v>0</v>
      </c>
      <c r="L26" s="61">
        <f>IFERROR(($E26/230)*'NOVEDADES EMPLEADOS'!L20,)*DATOS!$C$12</f>
        <v>0</v>
      </c>
      <c r="M26" s="58">
        <f>IFERROR(($E26/230)*'NOVEDADES EMPLEADOS'!M20,)*DATOS!$C$13</f>
        <v>0</v>
      </c>
      <c r="N26" s="61">
        <f>IFERROR(($E26/230)*'NOVEDADES EMPLEADOS'!N20,)*DATOS!$C$14</f>
        <v>0</v>
      </c>
      <c r="O26" s="61">
        <f>IFERROR(($E26/230)*'NOVEDADES EMPLEADOS'!O20,)*DATOS!$C$15</f>
        <v>0</v>
      </c>
      <c r="P26" s="61">
        <f>IFERROR(($E26/230)*'NOVEDADES EMPLEADOS'!P20,)*DATOS!$C$16</f>
        <v>0</v>
      </c>
      <c r="Q26" s="61">
        <f>IFERROR(($E26/230)*'NOVEDADES EMPLEADOS'!Q20,)*DATOS!$C$17</f>
        <v>0</v>
      </c>
      <c r="R26" s="61">
        <f>IFERROR(($E26/230)*'NOVEDADES EMPLEADOS'!R20,)*DATOS!$C$18</f>
        <v>0</v>
      </c>
      <c r="S26" s="61">
        <f t="shared" si="1"/>
        <v>0</v>
      </c>
      <c r="T26" s="61">
        <f>'NOVEDADES EMPLEADOS'!S20*'NOVEDADES EMPLEADOS'!T20</f>
        <v>0</v>
      </c>
      <c r="U26" s="61">
        <f>'NOVEDADES EMPLEADOS'!U20</f>
        <v>0</v>
      </c>
      <c r="V26" s="49">
        <f t="shared" si="5"/>
        <v>0</v>
      </c>
      <c r="W26" s="61">
        <f>H26*DATOS!$F$6</f>
        <v>0</v>
      </c>
      <c r="X26" s="61">
        <f>H26*DATOS!$F$8</f>
        <v>0</v>
      </c>
      <c r="Y26" s="61">
        <f>IF(AND(E26&gt;=DATOS!$B$22,E26&lt;=DATOS!$B$23),NÓMINA!V26*DATOS!$C$22,IF(AND(E26&gt;=DATOS!$B$24,E26&lt;=DATOS!B41),NÓMINA!V26*DATOS!$C$24,IF(AND(E26&gt;=DATOS!$B$26,E26&lt;=DATOS!$B$27),NÓMINA!V26*DATOS!$C$27,IF(AND(E26&gt;=DATOS!$B$28,E26&lt;=DATOS!$B$29),NÓMINA!V26*DATOS!$C$29,IF(AND(E26&gt;=DATOS!$B$30,E26&lt;=DATOS!$B$31),NÓMINA!V26*DATOS!$C$31,IF(AND(E26&gt;=DATOS!$B$32),NÓMINA!V26*DATOS!$C$32,0))))))</f>
        <v>0</v>
      </c>
      <c r="Z26" s="61"/>
      <c r="AA26" s="61">
        <f>'NOVEDADES EMPLEADOS'!V20</f>
        <v>0</v>
      </c>
      <c r="AB26" s="61">
        <f>'NOVEDADES EMPLEADOS'!W20</f>
        <v>0</v>
      </c>
      <c r="AC26" s="61">
        <f>'NOVEDADES EMPLEADOS'!X20</f>
        <v>0</v>
      </c>
      <c r="AD26" s="61">
        <f>'NOVEDADES EMPLEADOS'!Y20</f>
        <v>0</v>
      </c>
      <c r="AE26" s="49">
        <f t="shared" si="3"/>
        <v>0</v>
      </c>
      <c r="AF26" s="54">
        <f t="shared" si="6"/>
        <v>0</v>
      </c>
    </row>
    <row r="27" spans="1:32">
      <c r="A27" s="4">
        <v>18</v>
      </c>
      <c r="B27" s="55">
        <f>'NOVEDADES EMPLEADOS'!B21</f>
        <v>0</v>
      </c>
      <c r="C27" s="56">
        <f>'NOVEDADES EMPLEADOS'!C21</f>
        <v>0</v>
      </c>
      <c r="D27" s="57">
        <f>IFERROR(VLOOKUP(B27,'NOVEDADES EMPLEADOS'!$B$3:$D$53,3,FALSE),0)</f>
        <v>0</v>
      </c>
      <c r="E27" s="58">
        <f>IFERROR(VLOOKUP(B27,'NOVEDADES EMPLEADOS'!$B$3:$E$53,4,FALSE),)</f>
        <v>0</v>
      </c>
      <c r="F27" s="59">
        <f>'NOVEDADES EMPLEADOS'!G21</f>
        <v>0</v>
      </c>
      <c r="G27" s="59">
        <f>'NOVEDADES EMPLEADOS'!H21</f>
        <v>0</v>
      </c>
      <c r="H27" s="40">
        <f>Tabla7[[#This Row],[Sueldo]]+Tabla7[[#This Row],[Incapacidad2]]+Tabla7[[#This Row],[Total HE y Recargos]]+Tabla7[[#This Row],[Comisiones]]+Tabla7[[#This Row],[Bonificaciones]]</f>
        <v>0</v>
      </c>
      <c r="I27" s="60">
        <f>IF((Tabla7[[#This Row],[Salario Basico]]/30)*66.66%&lt;DATOS!$C$10,DATOS!$C$10*Tabla7[[#This Row],[Incapacidad]],((Tabla7[[#This Row],[Salario Basico]]/30)*66.66%)*Tabla7[[#This Row],[Incapacidad]])</f>
        <v>0</v>
      </c>
      <c r="J27" s="60">
        <f t="shared" si="0"/>
        <v>0</v>
      </c>
      <c r="K27" s="61">
        <f>(IF(AND(E27+T27&lt;=DATOS!$C$8,J27+T27&gt;0),DATOS!$C$7,0)/30)*(G27-'NOVEDADES EMPLEADOS'!I21)</f>
        <v>0</v>
      </c>
      <c r="L27" s="61">
        <f>IFERROR(($E27/230)*'NOVEDADES EMPLEADOS'!L21,)*DATOS!$C$12</f>
        <v>0</v>
      </c>
      <c r="M27" s="58">
        <f>IFERROR(($E27/230)*'NOVEDADES EMPLEADOS'!M21,)*DATOS!$C$13</f>
        <v>0</v>
      </c>
      <c r="N27" s="61">
        <f>IFERROR(($E27/230)*'NOVEDADES EMPLEADOS'!N21,)*DATOS!$C$14</f>
        <v>0</v>
      </c>
      <c r="O27" s="61">
        <f>IFERROR(($E27/230)*'NOVEDADES EMPLEADOS'!O21,)*DATOS!$C$15</f>
        <v>0</v>
      </c>
      <c r="P27" s="61">
        <f>IFERROR(($E27/230)*'NOVEDADES EMPLEADOS'!P21,)*DATOS!$C$16</f>
        <v>0</v>
      </c>
      <c r="Q27" s="61">
        <f>IFERROR(($E27/230)*'NOVEDADES EMPLEADOS'!Q21,)*DATOS!$C$17</f>
        <v>0</v>
      </c>
      <c r="R27" s="61">
        <f>IFERROR(($E27/230)*'NOVEDADES EMPLEADOS'!R21,)*DATOS!$C$18</f>
        <v>0</v>
      </c>
      <c r="S27" s="61">
        <f t="shared" si="1"/>
        <v>0</v>
      </c>
      <c r="T27" s="61">
        <f>'NOVEDADES EMPLEADOS'!S21*'NOVEDADES EMPLEADOS'!T21</f>
        <v>0</v>
      </c>
      <c r="U27" s="61">
        <f>'NOVEDADES EMPLEADOS'!U21</f>
        <v>0</v>
      </c>
      <c r="V27" s="49">
        <f t="shared" si="5"/>
        <v>0</v>
      </c>
      <c r="W27" s="61">
        <f>H27*DATOS!$F$6</f>
        <v>0</v>
      </c>
      <c r="X27" s="61">
        <f>H27*DATOS!$F$8</f>
        <v>0</v>
      </c>
      <c r="Y27" s="61">
        <f>IF(AND(E27&gt;=DATOS!$B$22,E27&lt;=DATOS!$B$23),NÓMINA!V27*DATOS!$C$22,IF(AND(E27&gt;=DATOS!$B$24,E27&lt;=DATOS!B42),NÓMINA!V27*DATOS!$C$24,IF(AND(E27&gt;=DATOS!$B$26,E27&lt;=DATOS!$B$27),NÓMINA!V27*DATOS!$C$27,IF(AND(E27&gt;=DATOS!$B$28,E27&lt;=DATOS!$B$29),NÓMINA!V27*DATOS!$C$29,IF(AND(E27&gt;=DATOS!$B$30,E27&lt;=DATOS!$B$31),NÓMINA!V27*DATOS!$C$31,IF(AND(E27&gt;=DATOS!$B$32),NÓMINA!V27*DATOS!$C$32,0))))))</f>
        <v>0</v>
      </c>
      <c r="Z27" s="61"/>
      <c r="AA27" s="61">
        <f>'NOVEDADES EMPLEADOS'!V21</f>
        <v>0</v>
      </c>
      <c r="AB27" s="61">
        <f>'NOVEDADES EMPLEADOS'!W21</f>
        <v>0</v>
      </c>
      <c r="AC27" s="61">
        <f>'NOVEDADES EMPLEADOS'!X21</f>
        <v>0</v>
      </c>
      <c r="AD27" s="61">
        <f>'NOVEDADES EMPLEADOS'!Y21</f>
        <v>0</v>
      </c>
      <c r="AE27" s="49">
        <f t="shared" si="3"/>
        <v>0</v>
      </c>
      <c r="AF27" s="54">
        <f t="shared" si="6"/>
        <v>0</v>
      </c>
    </row>
    <row r="28" spans="1:32">
      <c r="A28" s="4">
        <v>19</v>
      </c>
      <c r="B28" s="55">
        <f>'NOVEDADES EMPLEADOS'!B22</f>
        <v>0</v>
      </c>
      <c r="C28" s="56">
        <f>'NOVEDADES EMPLEADOS'!C22</f>
        <v>0</v>
      </c>
      <c r="D28" s="57">
        <f>IFERROR(VLOOKUP(B28,'NOVEDADES EMPLEADOS'!$B$3:$D$53,3,FALSE),0)</f>
        <v>0</v>
      </c>
      <c r="E28" s="58">
        <f>IFERROR(VLOOKUP(B28,'NOVEDADES EMPLEADOS'!$B$3:$E$53,4,FALSE),)</f>
        <v>0</v>
      </c>
      <c r="F28" s="59">
        <f>'NOVEDADES EMPLEADOS'!G22</f>
        <v>0</v>
      </c>
      <c r="G28" s="59">
        <f>'NOVEDADES EMPLEADOS'!H22</f>
        <v>0</v>
      </c>
      <c r="H28" s="40">
        <f>Tabla7[[#This Row],[Sueldo]]+Tabla7[[#This Row],[Incapacidad2]]+Tabla7[[#This Row],[Total HE y Recargos]]+Tabla7[[#This Row],[Comisiones]]+Tabla7[[#This Row],[Bonificaciones]]</f>
        <v>0</v>
      </c>
      <c r="I28" s="60">
        <f>IF((Tabla7[[#This Row],[Salario Basico]]/30)*66.66%&lt;DATOS!$C$10,DATOS!$C$10*Tabla7[[#This Row],[Incapacidad]],((Tabla7[[#This Row],[Salario Basico]]/30)*66.66%)*Tabla7[[#This Row],[Incapacidad]])</f>
        <v>0</v>
      </c>
      <c r="J28" s="60">
        <f t="shared" si="0"/>
        <v>0</v>
      </c>
      <c r="K28" s="61">
        <f>(IF(AND(E28+T28&lt;=DATOS!$C$8,J28+T28&gt;0),DATOS!$C$7,0)/30)*(G28-'NOVEDADES EMPLEADOS'!I22)</f>
        <v>0</v>
      </c>
      <c r="L28" s="61">
        <f>IFERROR(($E28/230)*'NOVEDADES EMPLEADOS'!L22,)*DATOS!$C$12</f>
        <v>0</v>
      </c>
      <c r="M28" s="58">
        <f>IFERROR(($E28/230)*'NOVEDADES EMPLEADOS'!M22,)*DATOS!$C$13</f>
        <v>0</v>
      </c>
      <c r="N28" s="61">
        <f>IFERROR(($E28/230)*'NOVEDADES EMPLEADOS'!N22,)*DATOS!$C$14</f>
        <v>0</v>
      </c>
      <c r="O28" s="61">
        <f>IFERROR(($E28/230)*'NOVEDADES EMPLEADOS'!O22,)*DATOS!$C$15</f>
        <v>0</v>
      </c>
      <c r="P28" s="61">
        <f>IFERROR(($E28/230)*'NOVEDADES EMPLEADOS'!P22,)*DATOS!$C$16</f>
        <v>0</v>
      </c>
      <c r="Q28" s="61">
        <f>IFERROR(($E28/230)*'NOVEDADES EMPLEADOS'!Q22,)*DATOS!$C$17</f>
        <v>0</v>
      </c>
      <c r="R28" s="61">
        <f>IFERROR(($E28/230)*'NOVEDADES EMPLEADOS'!R22,)*DATOS!$C$18</f>
        <v>0</v>
      </c>
      <c r="S28" s="61">
        <f t="shared" si="1"/>
        <v>0</v>
      </c>
      <c r="T28" s="61">
        <f>'NOVEDADES EMPLEADOS'!S22*'NOVEDADES EMPLEADOS'!T22</f>
        <v>0</v>
      </c>
      <c r="U28" s="61">
        <f>'NOVEDADES EMPLEADOS'!U22</f>
        <v>0</v>
      </c>
      <c r="V28" s="49">
        <f t="shared" si="5"/>
        <v>0</v>
      </c>
      <c r="W28" s="61">
        <f>H28*DATOS!$F$6</f>
        <v>0</v>
      </c>
      <c r="X28" s="61">
        <f>H28*DATOS!$F$8</f>
        <v>0</v>
      </c>
      <c r="Y28" s="61">
        <f>IF(AND(E28&gt;=DATOS!$B$22,E28&lt;=DATOS!$B$23),NÓMINA!V28*DATOS!$C$22,IF(AND(E28&gt;=DATOS!$B$24,E28&lt;=DATOS!B43),NÓMINA!V28*DATOS!$C$24,IF(AND(E28&gt;=DATOS!$B$26,E28&lt;=DATOS!$B$27),NÓMINA!V28*DATOS!$C$27,IF(AND(E28&gt;=DATOS!$B$28,E28&lt;=DATOS!$B$29),NÓMINA!V28*DATOS!$C$29,IF(AND(E28&gt;=DATOS!$B$30,E28&lt;=DATOS!$B$31),NÓMINA!V28*DATOS!$C$31,IF(AND(E28&gt;=DATOS!$B$32),NÓMINA!V28*DATOS!$C$32,0))))))</f>
        <v>0</v>
      </c>
      <c r="Z28" s="61"/>
      <c r="AA28" s="61">
        <f>'NOVEDADES EMPLEADOS'!V22</f>
        <v>0</v>
      </c>
      <c r="AB28" s="61">
        <f>'NOVEDADES EMPLEADOS'!W22</f>
        <v>0</v>
      </c>
      <c r="AC28" s="61">
        <f>'NOVEDADES EMPLEADOS'!X22</f>
        <v>0</v>
      </c>
      <c r="AD28" s="61">
        <f>'NOVEDADES EMPLEADOS'!Y22</f>
        <v>0</v>
      </c>
      <c r="AE28" s="49">
        <f t="shared" si="3"/>
        <v>0</v>
      </c>
      <c r="AF28" s="54">
        <f t="shared" si="6"/>
        <v>0</v>
      </c>
    </row>
    <row r="29" spans="1:32">
      <c r="A29" s="4">
        <v>20</v>
      </c>
      <c r="B29" s="55">
        <f>'NOVEDADES EMPLEADOS'!B23</f>
        <v>0</v>
      </c>
      <c r="C29" s="56">
        <f>'NOVEDADES EMPLEADOS'!C23</f>
        <v>0</v>
      </c>
      <c r="D29" s="57">
        <f>IFERROR(VLOOKUP(B29,'NOVEDADES EMPLEADOS'!$B$3:$D$53,3,FALSE),0)</f>
        <v>0</v>
      </c>
      <c r="E29" s="58">
        <f>IFERROR(VLOOKUP(B29,'NOVEDADES EMPLEADOS'!$B$3:$E$53,4,FALSE),)</f>
        <v>0</v>
      </c>
      <c r="F29" s="59">
        <f>'NOVEDADES EMPLEADOS'!G23</f>
        <v>0</v>
      </c>
      <c r="G29" s="59">
        <f>'NOVEDADES EMPLEADOS'!H23</f>
        <v>0</v>
      </c>
      <c r="H29" s="40">
        <f>Tabla7[[#This Row],[Sueldo]]+Tabla7[[#This Row],[Incapacidad2]]+Tabla7[[#This Row],[Total HE y Recargos]]+Tabla7[[#This Row],[Comisiones]]+Tabla7[[#This Row],[Bonificaciones]]</f>
        <v>0</v>
      </c>
      <c r="I29" s="60">
        <f>IF((Tabla7[[#This Row],[Salario Basico]]/30)*66.66%&lt;DATOS!$C$10,DATOS!$C$10*Tabla7[[#This Row],[Incapacidad]],((Tabla7[[#This Row],[Salario Basico]]/30)*66.66%)*Tabla7[[#This Row],[Incapacidad]])</f>
        <v>0</v>
      </c>
      <c r="J29" s="60">
        <f t="shared" si="0"/>
        <v>0</v>
      </c>
      <c r="K29" s="61">
        <f>(IF(AND(E29+T29&lt;=DATOS!$C$8,J29+T29&gt;0),DATOS!$C$7,0)/30)*(G29-'NOVEDADES EMPLEADOS'!I23)</f>
        <v>0</v>
      </c>
      <c r="L29" s="61">
        <f>IFERROR(($E29/230)*'NOVEDADES EMPLEADOS'!L23,)*DATOS!$C$12</f>
        <v>0</v>
      </c>
      <c r="M29" s="58">
        <f>IFERROR(($E29/230)*'NOVEDADES EMPLEADOS'!M23,)*DATOS!$C$13</f>
        <v>0</v>
      </c>
      <c r="N29" s="61">
        <f>IFERROR(($E29/230)*'NOVEDADES EMPLEADOS'!N23,)*DATOS!$C$14</f>
        <v>0</v>
      </c>
      <c r="O29" s="61">
        <f>IFERROR(($E29/230)*'NOVEDADES EMPLEADOS'!O23,)*DATOS!$C$15</f>
        <v>0</v>
      </c>
      <c r="P29" s="61">
        <f>IFERROR(($E29/230)*'NOVEDADES EMPLEADOS'!P23,)*DATOS!$C$16</f>
        <v>0</v>
      </c>
      <c r="Q29" s="61">
        <f>IFERROR(($E29/230)*'NOVEDADES EMPLEADOS'!Q23,)*DATOS!$C$17</f>
        <v>0</v>
      </c>
      <c r="R29" s="61">
        <f>IFERROR(($E29/230)*'NOVEDADES EMPLEADOS'!R23,)*DATOS!$C$18</f>
        <v>0</v>
      </c>
      <c r="S29" s="61">
        <f t="shared" si="1"/>
        <v>0</v>
      </c>
      <c r="T29" s="61">
        <f>'NOVEDADES EMPLEADOS'!S23*'NOVEDADES EMPLEADOS'!T23</f>
        <v>0</v>
      </c>
      <c r="U29" s="61">
        <f>'NOVEDADES EMPLEADOS'!U23</f>
        <v>0</v>
      </c>
      <c r="V29" s="49">
        <f t="shared" si="5"/>
        <v>0</v>
      </c>
      <c r="W29" s="61">
        <f>H29*DATOS!$F$6</f>
        <v>0</v>
      </c>
      <c r="X29" s="61">
        <f>H29*DATOS!$F$8</f>
        <v>0</v>
      </c>
      <c r="Y29" s="61">
        <f>IF(AND(E29&gt;=DATOS!$B$22,E29&lt;=DATOS!$B$23),NÓMINA!V29*DATOS!$C$22,IF(AND(E29&gt;=DATOS!$B$24,E29&lt;=DATOS!B44),NÓMINA!V29*DATOS!$C$24,IF(AND(E29&gt;=DATOS!$B$26,E29&lt;=DATOS!$B$27),NÓMINA!V29*DATOS!$C$27,IF(AND(E29&gt;=DATOS!$B$28,E29&lt;=DATOS!$B$29),NÓMINA!V29*DATOS!$C$29,IF(AND(E29&gt;=DATOS!$B$30,E29&lt;=DATOS!$B$31),NÓMINA!V29*DATOS!$C$31,IF(AND(E29&gt;=DATOS!$B$32),NÓMINA!V29*DATOS!$C$32,0))))))</f>
        <v>0</v>
      </c>
      <c r="Z29" s="61"/>
      <c r="AA29" s="61">
        <f>'NOVEDADES EMPLEADOS'!V23</f>
        <v>0</v>
      </c>
      <c r="AB29" s="61">
        <f>'NOVEDADES EMPLEADOS'!W23</f>
        <v>0</v>
      </c>
      <c r="AC29" s="61">
        <f>'NOVEDADES EMPLEADOS'!X23</f>
        <v>0</v>
      </c>
      <c r="AD29" s="61">
        <f>'NOVEDADES EMPLEADOS'!Y23</f>
        <v>0</v>
      </c>
      <c r="AE29" s="49">
        <f t="shared" si="3"/>
        <v>0</v>
      </c>
      <c r="AF29" s="54">
        <f t="shared" si="6"/>
        <v>0</v>
      </c>
    </row>
    <row r="30" spans="1:32">
      <c r="A30" s="4">
        <v>21</v>
      </c>
      <c r="B30" s="55">
        <f>'NOVEDADES EMPLEADOS'!B24</f>
        <v>0</v>
      </c>
      <c r="C30" s="56">
        <f>'NOVEDADES EMPLEADOS'!C24</f>
        <v>0</v>
      </c>
      <c r="D30" s="57">
        <f>IFERROR(VLOOKUP(B30,'NOVEDADES EMPLEADOS'!$B$3:$D$53,3,FALSE),0)</f>
        <v>0</v>
      </c>
      <c r="E30" s="58">
        <f>IFERROR(VLOOKUP(B30,'NOVEDADES EMPLEADOS'!$B$3:$E$53,4,FALSE),)</f>
        <v>0</v>
      </c>
      <c r="F30" s="59">
        <f>'NOVEDADES EMPLEADOS'!G24</f>
        <v>0</v>
      </c>
      <c r="G30" s="59">
        <f>'NOVEDADES EMPLEADOS'!H24</f>
        <v>0</v>
      </c>
      <c r="H30" s="40">
        <f>Tabla7[[#This Row],[Sueldo]]+Tabla7[[#This Row],[Incapacidad2]]+Tabla7[[#This Row],[Total HE y Recargos]]+Tabla7[[#This Row],[Comisiones]]+Tabla7[[#This Row],[Bonificaciones]]</f>
        <v>0</v>
      </c>
      <c r="I30" s="60">
        <f>IF((Tabla7[[#This Row],[Salario Basico]]/30)*66.66%&lt;DATOS!$C$10,DATOS!$C$10*Tabla7[[#This Row],[Incapacidad]],((Tabla7[[#This Row],[Salario Basico]]/30)*66.66%)*Tabla7[[#This Row],[Incapacidad]])</f>
        <v>0</v>
      </c>
      <c r="J30" s="60">
        <f t="shared" si="0"/>
        <v>0</v>
      </c>
      <c r="K30" s="61">
        <f>(IF(AND(E30+T30&lt;=DATOS!$C$8,J30+T30&gt;0),DATOS!$C$7,0)/30)*(G30-'NOVEDADES EMPLEADOS'!I24)</f>
        <v>0</v>
      </c>
      <c r="L30" s="61">
        <f>IFERROR(($E30/230)*'NOVEDADES EMPLEADOS'!L24,)*DATOS!$C$12</f>
        <v>0</v>
      </c>
      <c r="M30" s="58">
        <f>IFERROR(($E30/230)*'NOVEDADES EMPLEADOS'!M24,)*DATOS!$C$13</f>
        <v>0</v>
      </c>
      <c r="N30" s="61">
        <f>IFERROR(($E30/230)*'NOVEDADES EMPLEADOS'!N24,)*DATOS!$C$14</f>
        <v>0</v>
      </c>
      <c r="O30" s="61">
        <f>IFERROR(($E30/230)*'NOVEDADES EMPLEADOS'!O24,)*DATOS!$C$15</f>
        <v>0</v>
      </c>
      <c r="P30" s="61">
        <f>IFERROR(($E30/230)*'NOVEDADES EMPLEADOS'!P24,)*DATOS!$C$16</f>
        <v>0</v>
      </c>
      <c r="Q30" s="61">
        <f>IFERROR(($E30/230)*'NOVEDADES EMPLEADOS'!Q24,)*DATOS!$C$17</f>
        <v>0</v>
      </c>
      <c r="R30" s="61">
        <f>IFERROR(($E30/230)*'NOVEDADES EMPLEADOS'!R24,)*DATOS!$C$18</f>
        <v>0</v>
      </c>
      <c r="S30" s="61">
        <f t="shared" si="1"/>
        <v>0</v>
      </c>
      <c r="T30" s="61">
        <f>'NOVEDADES EMPLEADOS'!S24*'NOVEDADES EMPLEADOS'!T24</f>
        <v>0</v>
      </c>
      <c r="U30" s="61">
        <f>'NOVEDADES EMPLEADOS'!U24</f>
        <v>0</v>
      </c>
      <c r="V30" s="49">
        <f t="shared" si="5"/>
        <v>0</v>
      </c>
      <c r="W30" s="61">
        <f>H30*DATOS!$F$6</f>
        <v>0</v>
      </c>
      <c r="X30" s="61">
        <f>H30*DATOS!$F$8</f>
        <v>0</v>
      </c>
      <c r="Y30" s="61">
        <f>IF(AND(E30&gt;=DATOS!$B$22,E30&lt;=DATOS!$B$23),NÓMINA!V30*DATOS!$C$22,IF(AND(E30&gt;=DATOS!$B$24,E30&lt;=DATOS!B45),NÓMINA!V30*DATOS!$C$24,IF(AND(E30&gt;=DATOS!$B$26,E30&lt;=DATOS!$B$27),NÓMINA!V30*DATOS!$C$27,IF(AND(E30&gt;=DATOS!$B$28,E30&lt;=DATOS!$B$29),NÓMINA!V30*DATOS!$C$29,IF(AND(E30&gt;=DATOS!$B$30,E30&lt;=DATOS!$B$31),NÓMINA!V30*DATOS!$C$31,IF(AND(E30&gt;=DATOS!$B$32),NÓMINA!V30*DATOS!$C$32,0))))))</f>
        <v>0</v>
      </c>
      <c r="Z30" s="61"/>
      <c r="AA30" s="61">
        <f>'NOVEDADES EMPLEADOS'!V24</f>
        <v>0</v>
      </c>
      <c r="AB30" s="61">
        <f>'NOVEDADES EMPLEADOS'!W24</f>
        <v>0</v>
      </c>
      <c r="AC30" s="61">
        <f>'NOVEDADES EMPLEADOS'!X24</f>
        <v>0</v>
      </c>
      <c r="AD30" s="61">
        <f>'NOVEDADES EMPLEADOS'!Y24</f>
        <v>0</v>
      </c>
      <c r="AE30" s="49">
        <f t="shared" si="3"/>
        <v>0</v>
      </c>
      <c r="AF30" s="54">
        <f t="shared" si="6"/>
        <v>0</v>
      </c>
    </row>
    <row r="31" spans="1:32">
      <c r="A31" s="4">
        <v>22</v>
      </c>
      <c r="B31" s="55">
        <f>'NOVEDADES EMPLEADOS'!B25</f>
        <v>0</v>
      </c>
      <c r="C31" s="56">
        <f>'NOVEDADES EMPLEADOS'!C25</f>
        <v>0</v>
      </c>
      <c r="D31" s="57">
        <f>IFERROR(VLOOKUP(B31,'NOVEDADES EMPLEADOS'!$B$3:$D$53,3,FALSE),0)</f>
        <v>0</v>
      </c>
      <c r="E31" s="58">
        <f>IFERROR(VLOOKUP(B31,'NOVEDADES EMPLEADOS'!$B$3:$E$53,4,FALSE),)</f>
        <v>0</v>
      </c>
      <c r="F31" s="59">
        <f>'NOVEDADES EMPLEADOS'!G25</f>
        <v>0</v>
      </c>
      <c r="G31" s="59">
        <f>'NOVEDADES EMPLEADOS'!H25</f>
        <v>0</v>
      </c>
      <c r="H31" s="40">
        <f>Tabla7[[#This Row],[Sueldo]]+Tabla7[[#This Row],[Incapacidad2]]+Tabla7[[#This Row],[Total HE y Recargos]]+Tabla7[[#This Row],[Comisiones]]+Tabla7[[#This Row],[Bonificaciones]]</f>
        <v>0</v>
      </c>
      <c r="I31" s="60">
        <f>IF((Tabla7[[#This Row],[Salario Basico]]/30)*66.66%&lt;DATOS!$C$10,DATOS!$C$10*Tabla7[[#This Row],[Incapacidad]],((Tabla7[[#This Row],[Salario Basico]]/30)*66.66%)*Tabla7[[#This Row],[Incapacidad]])</f>
        <v>0</v>
      </c>
      <c r="J31" s="60">
        <f t="shared" si="0"/>
        <v>0</v>
      </c>
      <c r="K31" s="61">
        <f>(IF(AND(E31+T31&lt;=DATOS!$C$8,J31+T31&gt;0),DATOS!$C$7,0)/30)*(G31-'NOVEDADES EMPLEADOS'!I25)</f>
        <v>0</v>
      </c>
      <c r="L31" s="61">
        <f>IFERROR(($E31/230)*'NOVEDADES EMPLEADOS'!L25,)*DATOS!$C$12</f>
        <v>0</v>
      </c>
      <c r="M31" s="58">
        <f>IFERROR(($E31/230)*'NOVEDADES EMPLEADOS'!M25,)*DATOS!$C$13</f>
        <v>0</v>
      </c>
      <c r="N31" s="61">
        <f>IFERROR(($E31/230)*'NOVEDADES EMPLEADOS'!N25,)*DATOS!$C$14</f>
        <v>0</v>
      </c>
      <c r="O31" s="61">
        <f>IFERROR(($E31/230)*'NOVEDADES EMPLEADOS'!O25,)*DATOS!$C$15</f>
        <v>0</v>
      </c>
      <c r="P31" s="61">
        <f>IFERROR(($E31/230)*'NOVEDADES EMPLEADOS'!P25,)*DATOS!$C$16</f>
        <v>0</v>
      </c>
      <c r="Q31" s="61">
        <f>IFERROR(($E31/230)*'NOVEDADES EMPLEADOS'!Q25,)*DATOS!$C$17</f>
        <v>0</v>
      </c>
      <c r="R31" s="61">
        <f>IFERROR(($E31/230)*'NOVEDADES EMPLEADOS'!R25,)*DATOS!$C$18</f>
        <v>0</v>
      </c>
      <c r="S31" s="61">
        <f t="shared" si="1"/>
        <v>0</v>
      </c>
      <c r="T31" s="61">
        <f>'NOVEDADES EMPLEADOS'!S25*'NOVEDADES EMPLEADOS'!T25</f>
        <v>0</v>
      </c>
      <c r="U31" s="61">
        <f>'NOVEDADES EMPLEADOS'!U25</f>
        <v>0</v>
      </c>
      <c r="V31" s="49">
        <f t="shared" si="5"/>
        <v>0</v>
      </c>
      <c r="W31" s="61">
        <f>H31*DATOS!$F$6</f>
        <v>0</v>
      </c>
      <c r="X31" s="61">
        <f>H31*DATOS!$F$8</f>
        <v>0</v>
      </c>
      <c r="Y31" s="61">
        <f>IF(AND(E31&gt;=DATOS!$B$22,E31&lt;=DATOS!$B$23),NÓMINA!V31*DATOS!$C$22,IF(AND(E31&gt;=DATOS!$B$24,E31&lt;=DATOS!B46),NÓMINA!V31*DATOS!$C$24,IF(AND(E31&gt;=DATOS!$B$26,E31&lt;=DATOS!$B$27),NÓMINA!V31*DATOS!$C$27,IF(AND(E31&gt;=DATOS!$B$28,E31&lt;=DATOS!$B$29),NÓMINA!V31*DATOS!$C$29,IF(AND(E31&gt;=DATOS!$B$30,E31&lt;=DATOS!$B$31),NÓMINA!V31*DATOS!$C$31,IF(AND(E31&gt;=DATOS!$B$32),NÓMINA!V31*DATOS!$C$32,0))))))</f>
        <v>0</v>
      </c>
      <c r="Z31" s="61"/>
      <c r="AA31" s="61">
        <f>'NOVEDADES EMPLEADOS'!V25</f>
        <v>0</v>
      </c>
      <c r="AB31" s="61">
        <f>'NOVEDADES EMPLEADOS'!W25</f>
        <v>0</v>
      </c>
      <c r="AC31" s="61">
        <f>'NOVEDADES EMPLEADOS'!X25</f>
        <v>0</v>
      </c>
      <c r="AD31" s="61">
        <f>'NOVEDADES EMPLEADOS'!Y25</f>
        <v>0</v>
      </c>
      <c r="AE31" s="49">
        <f t="shared" si="3"/>
        <v>0</v>
      </c>
      <c r="AF31" s="54">
        <f t="shared" si="6"/>
        <v>0</v>
      </c>
    </row>
    <row r="32" spans="1:32">
      <c r="A32" s="4">
        <v>23</v>
      </c>
      <c r="B32" s="55">
        <f>'NOVEDADES EMPLEADOS'!B26</f>
        <v>0</v>
      </c>
      <c r="C32" s="56">
        <f>'NOVEDADES EMPLEADOS'!C26</f>
        <v>0</v>
      </c>
      <c r="D32" s="57">
        <f>IFERROR(VLOOKUP(B32,'NOVEDADES EMPLEADOS'!$B$3:$D$53,3,FALSE),0)</f>
        <v>0</v>
      </c>
      <c r="E32" s="58">
        <f>IFERROR(VLOOKUP(B32,'NOVEDADES EMPLEADOS'!$B$3:$E$53,4,FALSE),)</f>
        <v>0</v>
      </c>
      <c r="F32" s="59">
        <f>'NOVEDADES EMPLEADOS'!G26</f>
        <v>0</v>
      </c>
      <c r="G32" s="59">
        <f>'NOVEDADES EMPLEADOS'!H26</f>
        <v>0</v>
      </c>
      <c r="H32" s="40">
        <f>Tabla7[[#This Row],[Sueldo]]+Tabla7[[#This Row],[Incapacidad2]]+Tabla7[[#This Row],[Total HE y Recargos]]+Tabla7[[#This Row],[Comisiones]]+Tabla7[[#This Row],[Bonificaciones]]</f>
        <v>0</v>
      </c>
      <c r="I32" s="60">
        <f>IF((Tabla7[[#This Row],[Salario Basico]]/30)*66.66%&lt;DATOS!$C$10,DATOS!$C$10*Tabla7[[#This Row],[Incapacidad]],((Tabla7[[#This Row],[Salario Basico]]/30)*66.66%)*Tabla7[[#This Row],[Incapacidad]])</f>
        <v>0</v>
      </c>
      <c r="J32" s="60">
        <f t="shared" si="0"/>
        <v>0</v>
      </c>
      <c r="K32" s="61">
        <f>(IF(AND(E32+T32&lt;=DATOS!$C$8,J32+T32&gt;0),DATOS!$C$7,0)/30)*(G32-'NOVEDADES EMPLEADOS'!I26)</f>
        <v>0</v>
      </c>
      <c r="L32" s="61">
        <f>IFERROR(($E32/230)*'NOVEDADES EMPLEADOS'!L26,)*DATOS!$C$12</f>
        <v>0</v>
      </c>
      <c r="M32" s="58">
        <f>IFERROR(($E32/230)*'NOVEDADES EMPLEADOS'!M26,)*DATOS!$C$13</f>
        <v>0</v>
      </c>
      <c r="N32" s="61">
        <f>IFERROR(($E32/230)*'NOVEDADES EMPLEADOS'!N26,)*DATOS!$C$14</f>
        <v>0</v>
      </c>
      <c r="O32" s="61">
        <f>IFERROR(($E32/230)*'NOVEDADES EMPLEADOS'!O26,)*DATOS!$C$15</f>
        <v>0</v>
      </c>
      <c r="P32" s="61">
        <f>IFERROR(($E32/230)*'NOVEDADES EMPLEADOS'!P26,)*DATOS!$C$16</f>
        <v>0</v>
      </c>
      <c r="Q32" s="61">
        <f>IFERROR(($E32/230)*'NOVEDADES EMPLEADOS'!Q26,)*DATOS!$C$17</f>
        <v>0</v>
      </c>
      <c r="R32" s="61">
        <f>IFERROR(($E32/230)*'NOVEDADES EMPLEADOS'!R26,)*DATOS!$C$18</f>
        <v>0</v>
      </c>
      <c r="S32" s="61">
        <f t="shared" si="1"/>
        <v>0</v>
      </c>
      <c r="T32" s="61">
        <f>'NOVEDADES EMPLEADOS'!S26*'NOVEDADES EMPLEADOS'!T26</f>
        <v>0</v>
      </c>
      <c r="U32" s="61">
        <f>'NOVEDADES EMPLEADOS'!U26</f>
        <v>0</v>
      </c>
      <c r="V32" s="49">
        <f t="shared" si="5"/>
        <v>0</v>
      </c>
      <c r="W32" s="61">
        <f>H32*DATOS!$F$6</f>
        <v>0</v>
      </c>
      <c r="X32" s="61">
        <f>H32*DATOS!$F$8</f>
        <v>0</v>
      </c>
      <c r="Y32" s="61">
        <f>IF(AND(E32&gt;=DATOS!$B$22,E32&lt;=DATOS!$B$23),NÓMINA!V32*DATOS!$C$22,IF(AND(E32&gt;=DATOS!$B$24,E32&lt;=DATOS!B47),NÓMINA!V32*DATOS!$C$24,IF(AND(E32&gt;=DATOS!$B$26,E32&lt;=DATOS!$B$27),NÓMINA!V32*DATOS!$C$27,IF(AND(E32&gt;=DATOS!$B$28,E32&lt;=DATOS!$B$29),NÓMINA!V32*DATOS!$C$29,IF(AND(E32&gt;=DATOS!$B$30,E32&lt;=DATOS!$B$31),NÓMINA!V32*DATOS!$C$31,IF(AND(E32&gt;=DATOS!$B$32),NÓMINA!V32*DATOS!$C$32,0))))))</f>
        <v>0</v>
      </c>
      <c r="Z32" s="61"/>
      <c r="AA32" s="61">
        <f>'NOVEDADES EMPLEADOS'!V26</f>
        <v>0</v>
      </c>
      <c r="AB32" s="61">
        <f>'NOVEDADES EMPLEADOS'!W26</f>
        <v>0</v>
      </c>
      <c r="AC32" s="61">
        <f>'NOVEDADES EMPLEADOS'!X26</f>
        <v>0</v>
      </c>
      <c r="AD32" s="61">
        <f>'NOVEDADES EMPLEADOS'!Y26</f>
        <v>0</v>
      </c>
      <c r="AE32" s="49">
        <f t="shared" si="3"/>
        <v>0</v>
      </c>
      <c r="AF32" s="54">
        <f t="shared" si="6"/>
        <v>0</v>
      </c>
    </row>
    <row r="33" spans="1:32">
      <c r="A33" s="4">
        <v>24</v>
      </c>
      <c r="B33" s="55">
        <f>'NOVEDADES EMPLEADOS'!B27</f>
        <v>0</v>
      </c>
      <c r="C33" s="56">
        <f>'NOVEDADES EMPLEADOS'!C27</f>
        <v>0</v>
      </c>
      <c r="D33" s="57">
        <f>IFERROR(VLOOKUP(B33,'NOVEDADES EMPLEADOS'!$B$3:$D$53,3,FALSE),0)</f>
        <v>0</v>
      </c>
      <c r="E33" s="58">
        <f>IFERROR(VLOOKUP(B33,'NOVEDADES EMPLEADOS'!$B$3:$E$53,4,FALSE),)</f>
        <v>0</v>
      </c>
      <c r="F33" s="59">
        <f>'NOVEDADES EMPLEADOS'!G27</f>
        <v>0</v>
      </c>
      <c r="G33" s="59">
        <f>'NOVEDADES EMPLEADOS'!H27</f>
        <v>0</v>
      </c>
      <c r="H33" s="40">
        <f>Tabla7[[#This Row],[Sueldo]]+Tabla7[[#This Row],[Incapacidad2]]+Tabla7[[#This Row],[Total HE y Recargos]]+Tabla7[[#This Row],[Comisiones]]+Tabla7[[#This Row],[Bonificaciones]]</f>
        <v>0</v>
      </c>
      <c r="I33" s="60">
        <f>IF((Tabla7[[#This Row],[Salario Basico]]/30)*66.66%&lt;DATOS!$C$10,DATOS!$C$10*Tabla7[[#This Row],[Incapacidad]],((Tabla7[[#This Row],[Salario Basico]]/30)*66.66%)*Tabla7[[#This Row],[Incapacidad]])</f>
        <v>0</v>
      </c>
      <c r="J33" s="60">
        <f t="shared" si="0"/>
        <v>0</v>
      </c>
      <c r="K33" s="61">
        <f>(IF(AND(E33+T33&lt;=DATOS!$C$8,J33+T33&gt;0),DATOS!$C$7,0)/30)*(G33-'NOVEDADES EMPLEADOS'!I27)</f>
        <v>0</v>
      </c>
      <c r="L33" s="61">
        <f>IFERROR(($E33/230)*'NOVEDADES EMPLEADOS'!L27,)*DATOS!$C$12</f>
        <v>0</v>
      </c>
      <c r="M33" s="58">
        <f>IFERROR(($E33/230)*'NOVEDADES EMPLEADOS'!M27,)*DATOS!$C$13</f>
        <v>0</v>
      </c>
      <c r="N33" s="61">
        <f>IFERROR(($E33/230)*'NOVEDADES EMPLEADOS'!N27,)*DATOS!$C$14</f>
        <v>0</v>
      </c>
      <c r="O33" s="61">
        <f>IFERROR(($E33/230)*'NOVEDADES EMPLEADOS'!O27,)*DATOS!$C$15</f>
        <v>0</v>
      </c>
      <c r="P33" s="61">
        <f>IFERROR(($E33/230)*'NOVEDADES EMPLEADOS'!P27,)*DATOS!$C$16</f>
        <v>0</v>
      </c>
      <c r="Q33" s="61">
        <f>IFERROR(($E33/230)*'NOVEDADES EMPLEADOS'!Q27,)*DATOS!$C$17</f>
        <v>0</v>
      </c>
      <c r="R33" s="61">
        <f>IFERROR(($E33/230)*'NOVEDADES EMPLEADOS'!R27,)*DATOS!$C$18</f>
        <v>0</v>
      </c>
      <c r="S33" s="61">
        <f t="shared" si="1"/>
        <v>0</v>
      </c>
      <c r="T33" s="61">
        <f>'NOVEDADES EMPLEADOS'!S27*'NOVEDADES EMPLEADOS'!T27</f>
        <v>0</v>
      </c>
      <c r="U33" s="61">
        <f>'NOVEDADES EMPLEADOS'!U27</f>
        <v>0</v>
      </c>
      <c r="V33" s="49">
        <f t="shared" si="5"/>
        <v>0</v>
      </c>
      <c r="W33" s="61">
        <f>H33*DATOS!$F$6</f>
        <v>0</v>
      </c>
      <c r="X33" s="61">
        <f>H33*DATOS!$F$8</f>
        <v>0</v>
      </c>
      <c r="Y33" s="61">
        <f>IF(AND(E33&gt;=DATOS!$B$22,E33&lt;=DATOS!$B$23),NÓMINA!V33*DATOS!$C$22,IF(AND(E33&gt;=DATOS!$B$24,E33&lt;=DATOS!B48),NÓMINA!V33*DATOS!$C$24,IF(AND(E33&gt;=DATOS!$B$26,E33&lt;=DATOS!$B$27),NÓMINA!V33*DATOS!$C$27,IF(AND(E33&gt;=DATOS!$B$28,E33&lt;=DATOS!$B$29),NÓMINA!V33*DATOS!$C$29,IF(AND(E33&gt;=DATOS!$B$30,E33&lt;=DATOS!$B$31),NÓMINA!V33*DATOS!$C$31,IF(AND(E33&gt;=DATOS!$B$32),NÓMINA!V33*DATOS!$C$32,0))))))</f>
        <v>0</v>
      </c>
      <c r="Z33" s="61"/>
      <c r="AA33" s="61">
        <f>'NOVEDADES EMPLEADOS'!V27</f>
        <v>0</v>
      </c>
      <c r="AB33" s="61">
        <f>'NOVEDADES EMPLEADOS'!W27</f>
        <v>0</v>
      </c>
      <c r="AC33" s="61">
        <f>'NOVEDADES EMPLEADOS'!X27</f>
        <v>0</v>
      </c>
      <c r="AD33" s="61">
        <f>'NOVEDADES EMPLEADOS'!Y27</f>
        <v>0</v>
      </c>
      <c r="AE33" s="49">
        <f t="shared" si="3"/>
        <v>0</v>
      </c>
      <c r="AF33" s="54">
        <f t="shared" si="6"/>
        <v>0</v>
      </c>
    </row>
    <row r="34" spans="1:32">
      <c r="A34" s="4">
        <v>25</v>
      </c>
      <c r="B34" s="55">
        <f>'NOVEDADES EMPLEADOS'!B28</f>
        <v>0</v>
      </c>
      <c r="C34" s="56">
        <f>'NOVEDADES EMPLEADOS'!C28</f>
        <v>0</v>
      </c>
      <c r="D34" s="57">
        <f>IFERROR(VLOOKUP(B34,'NOVEDADES EMPLEADOS'!$B$3:$D$53,3,FALSE),0)</f>
        <v>0</v>
      </c>
      <c r="E34" s="58">
        <f>IFERROR(VLOOKUP(B34,'NOVEDADES EMPLEADOS'!$B$3:$E$53,4,FALSE),)</f>
        <v>0</v>
      </c>
      <c r="F34" s="59">
        <f>'NOVEDADES EMPLEADOS'!G28</f>
        <v>0</v>
      </c>
      <c r="G34" s="59">
        <f>'NOVEDADES EMPLEADOS'!H28</f>
        <v>0</v>
      </c>
      <c r="H34" s="40">
        <f>Tabla7[[#This Row],[Sueldo]]+Tabla7[[#This Row],[Incapacidad2]]+Tabla7[[#This Row],[Total HE y Recargos]]+Tabla7[[#This Row],[Comisiones]]+Tabla7[[#This Row],[Bonificaciones]]</f>
        <v>0</v>
      </c>
      <c r="I34" s="60">
        <f>IF((Tabla7[[#This Row],[Salario Basico]]/30)*66.66%&lt;DATOS!$C$10,DATOS!$C$10*Tabla7[[#This Row],[Incapacidad]],((Tabla7[[#This Row],[Salario Basico]]/30)*66.66%)*Tabla7[[#This Row],[Incapacidad]])</f>
        <v>0</v>
      </c>
      <c r="J34" s="60">
        <f t="shared" si="0"/>
        <v>0</v>
      </c>
      <c r="K34" s="61">
        <f>(IF(AND(E34+T34&lt;=DATOS!$C$8,J34+T34&gt;0),DATOS!$C$7,0)/30)*(G34-'NOVEDADES EMPLEADOS'!I28)</f>
        <v>0</v>
      </c>
      <c r="L34" s="61">
        <f>IFERROR(($E34/230)*'NOVEDADES EMPLEADOS'!L28,)*DATOS!$C$12</f>
        <v>0</v>
      </c>
      <c r="M34" s="58">
        <f>IFERROR(($E34/230)*'NOVEDADES EMPLEADOS'!M28,)*DATOS!$C$13</f>
        <v>0</v>
      </c>
      <c r="N34" s="61">
        <f>IFERROR(($E34/230)*'NOVEDADES EMPLEADOS'!N28,)*DATOS!$C$14</f>
        <v>0</v>
      </c>
      <c r="O34" s="61">
        <f>IFERROR(($E34/230)*'NOVEDADES EMPLEADOS'!O28,)*DATOS!$C$15</f>
        <v>0</v>
      </c>
      <c r="P34" s="61">
        <f>IFERROR(($E34/230)*'NOVEDADES EMPLEADOS'!P28,)*DATOS!$C$16</f>
        <v>0</v>
      </c>
      <c r="Q34" s="61">
        <f>IFERROR(($E34/230)*'NOVEDADES EMPLEADOS'!Q28,)*DATOS!$C$17</f>
        <v>0</v>
      </c>
      <c r="R34" s="61">
        <f>IFERROR(($E34/230)*'NOVEDADES EMPLEADOS'!R28,)*DATOS!$C$18</f>
        <v>0</v>
      </c>
      <c r="S34" s="61">
        <f t="shared" si="1"/>
        <v>0</v>
      </c>
      <c r="T34" s="61">
        <f>'NOVEDADES EMPLEADOS'!S28*'NOVEDADES EMPLEADOS'!T28</f>
        <v>0</v>
      </c>
      <c r="U34" s="61">
        <f>'NOVEDADES EMPLEADOS'!U28</f>
        <v>0</v>
      </c>
      <c r="V34" s="49">
        <f t="shared" si="5"/>
        <v>0</v>
      </c>
      <c r="W34" s="61">
        <f>H34*DATOS!$F$6</f>
        <v>0</v>
      </c>
      <c r="X34" s="61">
        <f>H34*DATOS!$F$8</f>
        <v>0</v>
      </c>
      <c r="Y34" s="61">
        <f>IF(AND(E34&gt;=DATOS!$B$22,E34&lt;=DATOS!$B$23),NÓMINA!V34*DATOS!$C$22,IF(AND(E34&gt;=DATOS!$B$24,E34&lt;=DATOS!B49),NÓMINA!V34*DATOS!$C$24,IF(AND(E34&gt;=DATOS!$B$26,E34&lt;=DATOS!$B$27),NÓMINA!V34*DATOS!$C$27,IF(AND(E34&gt;=DATOS!$B$28,E34&lt;=DATOS!$B$29),NÓMINA!V34*DATOS!$C$29,IF(AND(E34&gt;=DATOS!$B$30,E34&lt;=DATOS!$B$31),NÓMINA!V34*DATOS!$C$31,IF(AND(E34&gt;=DATOS!$B$32),NÓMINA!V34*DATOS!$C$32,0))))))</f>
        <v>0</v>
      </c>
      <c r="Z34" s="61"/>
      <c r="AA34" s="61">
        <f>'NOVEDADES EMPLEADOS'!V28</f>
        <v>0</v>
      </c>
      <c r="AB34" s="61">
        <f>'NOVEDADES EMPLEADOS'!W28</f>
        <v>0</v>
      </c>
      <c r="AC34" s="61">
        <f>'NOVEDADES EMPLEADOS'!X28</f>
        <v>0</v>
      </c>
      <c r="AD34" s="61">
        <f>'NOVEDADES EMPLEADOS'!Y28</f>
        <v>0</v>
      </c>
      <c r="AE34" s="49">
        <f t="shared" si="3"/>
        <v>0</v>
      </c>
      <c r="AF34" s="54">
        <f t="shared" si="6"/>
        <v>0</v>
      </c>
    </row>
    <row r="35" spans="1:32">
      <c r="A35" s="4">
        <v>26</v>
      </c>
      <c r="B35" s="55">
        <f>'NOVEDADES EMPLEADOS'!B29</f>
        <v>0</v>
      </c>
      <c r="C35" s="56">
        <f>'NOVEDADES EMPLEADOS'!C29</f>
        <v>0</v>
      </c>
      <c r="D35" s="57">
        <f>IFERROR(VLOOKUP(B35,'NOVEDADES EMPLEADOS'!$B$3:$D$53,3,FALSE),0)</f>
        <v>0</v>
      </c>
      <c r="E35" s="58">
        <f>IFERROR(VLOOKUP(B35,'NOVEDADES EMPLEADOS'!$B$3:$E$53,4,FALSE),)</f>
        <v>0</v>
      </c>
      <c r="F35" s="59">
        <f>'NOVEDADES EMPLEADOS'!G29</f>
        <v>0</v>
      </c>
      <c r="G35" s="59">
        <f>'NOVEDADES EMPLEADOS'!H29</f>
        <v>0</v>
      </c>
      <c r="H35" s="40">
        <f>Tabla7[[#This Row],[Sueldo]]+Tabla7[[#This Row],[Incapacidad2]]+Tabla7[[#This Row],[Total HE y Recargos]]+Tabla7[[#This Row],[Comisiones]]+Tabla7[[#This Row],[Bonificaciones]]</f>
        <v>0</v>
      </c>
      <c r="I35" s="60">
        <f>IF((Tabla7[[#This Row],[Salario Basico]]/30)*66.66%&lt;DATOS!$C$10,DATOS!$C$10*Tabla7[[#This Row],[Incapacidad]],((Tabla7[[#This Row],[Salario Basico]]/30)*66.66%)*Tabla7[[#This Row],[Incapacidad]])</f>
        <v>0</v>
      </c>
      <c r="J35" s="60">
        <f t="shared" si="0"/>
        <v>0</v>
      </c>
      <c r="K35" s="61">
        <f>(IF(AND(E35+T35&lt;=DATOS!$C$8,J35+T35&gt;0),DATOS!$C$7,0)/30)*(G35-'NOVEDADES EMPLEADOS'!I29)</f>
        <v>0</v>
      </c>
      <c r="L35" s="61">
        <f>IFERROR(($E35/230)*'NOVEDADES EMPLEADOS'!L29,)*DATOS!$C$12</f>
        <v>0</v>
      </c>
      <c r="M35" s="58">
        <f>IFERROR(($E35/230)*'NOVEDADES EMPLEADOS'!M29,)*DATOS!$C$13</f>
        <v>0</v>
      </c>
      <c r="N35" s="61">
        <f>IFERROR(($E35/230)*'NOVEDADES EMPLEADOS'!N29,)*DATOS!$C$14</f>
        <v>0</v>
      </c>
      <c r="O35" s="61">
        <f>IFERROR(($E35/230)*'NOVEDADES EMPLEADOS'!O29,)*DATOS!$C$15</f>
        <v>0</v>
      </c>
      <c r="P35" s="61">
        <f>IFERROR(($E35/230)*'NOVEDADES EMPLEADOS'!P29,)*DATOS!$C$16</f>
        <v>0</v>
      </c>
      <c r="Q35" s="61">
        <f>IFERROR(($E35/230)*'NOVEDADES EMPLEADOS'!Q29,)*DATOS!$C$17</f>
        <v>0</v>
      </c>
      <c r="R35" s="61">
        <f>IFERROR(($E35/230)*'NOVEDADES EMPLEADOS'!R29,)*DATOS!$C$18</f>
        <v>0</v>
      </c>
      <c r="S35" s="61">
        <f t="shared" si="1"/>
        <v>0</v>
      </c>
      <c r="T35" s="61">
        <f>'NOVEDADES EMPLEADOS'!S29*'NOVEDADES EMPLEADOS'!T29</f>
        <v>0</v>
      </c>
      <c r="U35" s="61">
        <f>'NOVEDADES EMPLEADOS'!U29</f>
        <v>0</v>
      </c>
      <c r="V35" s="49">
        <f t="shared" si="5"/>
        <v>0</v>
      </c>
      <c r="W35" s="61">
        <f>H35*DATOS!$F$6</f>
        <v>0</v>
      </c>
      <c r="X35" s="61">
        <f>H35*DATOS!$F$8</f>
        <v>0</v>
      </c>
      <c r="Y35" s="61">
        <f>IF(AND(E35&gt;=DATOS!$B$22,E35&lt;=DATOS!$B$23),NÓMINA!V35*DATOS!$C$22,IF(AND(E35&gt;=DATOS!$B$24,E35&lt;=DATOS!B50),NÓMINA!V35*DATOS!$C$24,IF(AND(E35&gt;=DATOS!$B$26,E35&lt;=DATOS!$B$27),NÓMINA!V35*DATOS!$C$27,IF(AND(E35&gt;=DATOS!$B$28,E35&lt;=DATOS!$B$29),NÓMINA!V35*DATOS!$C$29,IF(AND(E35&gt;=DATOS!$B$30,E35&lt;=DATOS!$B$31),NÓMINA!V35*DATOS!$C$31,IF(AND(E35&gt;=DATOS!$B$32),NÓMINA!V35*DATOS!$C$32,0))))))</f>
        <v>0</v>
      </c>
      <c r="Z35" s="61"/>
      <c r="AA35" s="61">
        <f>'NOVEDADES EMPLEADOS'!V29</f>
        <v>0</v>
      </c>
      <c r="AB35" s="61">
        <f>'NOVEDADES EMPLEADOS'!W29</f>
        <v>0</v>
      </c>
      <c r="AC35" s="61">
        <f>'NOVEDADES EMPLEADOS'!X29</f>
        <v>0</v>
      </c>
      <c r="AD35" s="61">
        <f>'NOVEDADES EMPLEADOS'!Y29</f>
        <v>0</v>
      </c>
      <c r="AE35" s="49">
        <f t="shared" si="3"/>
        <v>0</v>
      </c>
      <c r="AF35" s="54">
        <f t="shared" si="6"/>
        <v>0</v>
      </c>
    </row>
    <row r="36" spans="1:32">
      <c r="A36" s="4">
        <v>27</v>
      </c>
      <c r="B36" s="55">
        <f>'NOVEDADES EMPLEADOS'!B30</f>
        <v>0</v>
      </c>
      <c r="C36" s="56">
        <f>'NOVEDADES EMPLEADOS'!C30</f>
        <v>0</v>
      </c>
      <c r="D36" s="57">
        <f>IFERROR(VLOOKUP(B36,'NOVEDADES EMPLEADOS'!$B$3:$D$53,3,FALSE),0)</f>
        <v>0</v>
      </c>
      <c r="E36" s="58">
        <f>IFERROR(VLOOKUP(B36,'NOVEDADES EMPLEADOS'!$B$3:$E$53,4,FALSE),)</f>
        <v>0</v>
      </c>
      <c r="F36" s="59">
        <f>'NOVEDADES EMPLEADOS'!G30</f>
        <v>0</v>
      </c>
      <c r="G36" s="59">
        <f>'NOVEDADES EMPLEADOS'!H30</f>
        <v>0</v>
      </c>
      <c r="H36" s="40">
        <f>Tabla7[[#This Row],[Sueldo]]+Tabla7[[#This Row],[Incapacidad2]]+Tabla7[[#This Row],[Total HE y Recargos]]+Tabla7[[#This Row],[Comisiones]]+Tabla7[[#This Row],[Bonificaciones]]</f>
        <v>0</v>
      </c>
      <c r="I36" s="60">
        <f>IF((Tabla7[[#This Row],[Salario Basico]]/30)*66.66%&lt;DATOS!$C$10,DATOS!$C$10*Tabla7[[#This Row],[Incapacidad]],((Tabla7[[#This Row],[Salario Basico]]/30)*66.66%)*Tabla7[[#This Row],[Incapacidad]])</f>
        <v>0</v>
      </c>
      <c r="J36" s="60">
        <f t="shared" si="0"/>
        <v>0</v>
      </c>
      <c r="K36" s="61">
        <f>(IF(AND(E36+T36&lt;=DATOS!$C$8,J36+T36&gt;0),DATOS!$C$7,0)/30)*(G36-'NOVEDADES EMPLEADOS'!I30)</f>
        <v>0</v>
      </c>
      <c r="L36" s="61">
        <f>IFERROR(($E36/230)*'NOVEDADES EMPLEADOS'!L30,)*DATOS!$C$12</f>
        <v>0</v>
      </c>
      <c r="M36" s="58">
        <f>IFERROR(($E36/230)*'NOVEDADES EMPLEADOS'!M30,)*DATOS!$C$13</f>
        <v>0</v>
      </c>
      <c r="N36" s="61">
        <f>IFERROR(($E36/230)*'NOVEDADES EMPLEADOS'!N30,)*DATOS!$C$14</f>
        <v>0</v>
      </c>
      <c r="O36" s="61">
        <f>IFERROR(($E36/230)*'NOVEDADES EMPLEADOS'!O30,)*DATOS!$C$15</f>
        <v>0</v>
      </c>
      <c r="P36" s="61">
        <f>IFERROR(($E36/230)*'NOVEDADES EMPLEADOS'!P30,)*DATOS!$C$16</f>
        <v>0</v>
      </c>
      <c r="Q36" s="61">
        <f>IFERROR(($E36/230)*'NOVEDADES EMPLEADOS'!Q30,)*DATOS!$C$17</f>
        <v>0</v>
      </c>
      <c r="R36" s="61">
        <f>IFERROR(($E36/230)*'NOVEDADES EMPLEADOS'!R30,)*DATOS!$C$18</f>
        <v>0</v>
      </c>
      <c r="S36" s="61">
        <f t="shared" si="1"/>
        <v>0</v>
      </c>
      <c r="T36" s="61">
        <f>'NOVEDADES EMPLEADOS'!S30*'NOVEDADES EMPLEADOS'!T30</f>
        <v>0</v>
      </c>
      <c r="U36" s="61">
        <f>'NOVEDADES EMPLEADOS'!U30</f>
        <v>0</v>
      </c>
      <c r="V36" s="49">
        <f t="shared" si="5"/>
        <v>0</v>
      </c>
      <c r="W36" s="61">
        <f>H36*DATOS!$F$6</f>
        <v>0</v>
      </c>
      <c r="X36" s="61">
        <f>H36*DATOS!$F$8</f>
        <v>0</v>
      </c>
      <c r="Y36" s="61">
        <f>IF(AND(E36&gt;=DATOS!$B$22,E36&lt;=DATOS!$B$23),NÓMINA!V36*DATOS!$C$22,IF(AND(E36&gt;=DATOS!$B$24,E36&lt;=DATOS!B51),NÓMINA!V36*DATOS!$C$24,IF(AND(E36&gt;=DATOS!$B$26,E36&lt;=DATOS!$B$27),NÓMINA!V36*DATOS!$C$27,IF(AND(E36&gt;=DATOS!$B$28,E36&lt;=DATOS!$B$29),NÓMINA!V36*DATOS!$C$29,IF(AND(E36&gt;=DATOS!$B$30,E36&lt;=DATOS!$B$31),NÓMINA!V36*DATOS!$C$31,IF(AND(E36&gt;=DATOS!$B$32),NÓMINA!V36*DATOS!$C$32,0))))))</f>
        <v>0</v>
      </c>
      <c r="Z36" s="61"/>
      <c r="AA36" s="61">
        <f>'NOVEDADES EMPLEADOS'!V30</f>
        <v>0</v>
      </c>
      <c r="AB36" s="61">
        <f>'NOVEDADES EMPLEADOS'!W30</f>
        <v>0</v>
      </c>
      <c r="AC36" s="61">
        <f>'NOVEDADES EMPLEADOS'!X30</f>
        <v>0</v>
      </c>
      <c r="AD36" s="61">
        <f>'NOVEDADES EMPLEADOS'!Y30</f>
        <v>0</v>
      </c>
      <c r="AE36" s="49">
        <f t="shared" si="3"/>
        <v>0</v>
      </c>
      <c r="AF36" s="54">
        <f t="shared" si="6"/>
        <v>0</v>
      </c>
    </row>
    <row r="37" spans="1:32">
      <c r="A37" s="4">
        <v>28</v>
      </c>
      <c r="B37" s="55">
        <f>'NOVEDADES EMPLEADOS'!B31</f>
        <v>0</v>
      </c>
      <c r="C37" s="56">
        <f>'NOVEDADES EMPLEADOS'!C31</f>
        <v>0</v>
      </c>
      <c r="D37" s="57">
        <f>IFERROR(VLOOKUP(B37,'NOVEDADES EMPLEADOS'!$B$3:$D$53,3,FALSE),0)</f>
        <v>0</v>
      </c>
      <c r="E37" s="58">
        <f>IFERROR(VLOOKUP(B37,'NOVEDADES EMPLEADOS'!$B$3:$E$53,4,FALSE),)</f>
        <v>0</v>
      </c>
      <c r="F37" s="59">
        <f>'NOVEDADES EMPLEADOS'!G31</f>
        <v>0</v>
      </c>
      <c r="G37" s="59">
        <f>'NOVEDADES EMPLEADOS'!H31</f>
        <v>0</v>
      </c>
      <c r="H37" s="40">
        <f>Tabla7[[#This Row],[Sueldo]]+Tabla7[[#This Row],[Incapacidad2]]+Tabla7[[#This Row],[Total HE y Recargos]]+Tabla7[[#This Row],[Comisiones]]+Tabla7[[#This Row],[Bonificaciones]]</f>
        <v>0</v>
      </c>
      <c r="I37" s="60">
        <f>IF((Tabla7[[#This Row],[Salario Basico]]/30)*66.66%&lt;DATOS!$C$10,DATOS!$C$10*Tabla7[[#This Row],[Incapacidad]],((Tabla7[[#This Row],[Salario Basico]]/30)*66.66%)*Tabla7[[#This Row],[Incapacidad]])</f>
        <v>0</v>
      </c>
      <c r="J37" s="60">
        <f t="shared" si="0"/>
        <v>0</v>
      </c>
      <c r="K37" s="61">
        <f>(IF(AND(E37+T37&lt;=DATOS!$C$8,J37+T37&gt;0),DATOS!$C$7,0)/30)*(G37-'NOVEDADES EMPLEADOS'!I31)</f>
        <v>0</v>
      </c>
      <c r="L37" s="61">
        <f>IFERROR(($E37/230)*'NOVEDADES EMPLEADOS'!L31,)*DATOS!$C$12</f>
        <v>0</v>
      </c>
      <c r="M37" s="58">
        <f>IFERROR(($E37/230)*'NOVEDADES EMPLEADOS'!M31,)*DATOS!$C$13</f>
        <v>0</v>
      </c>
      <c r="N37" s="61">
        <f>IFERROR(($E37/230)*'NOVEDADES EMPLEADOS'!N31,)*DATOS!$C$14</f>
        <v>0</v>
      </c>
      <c r="O37" s="61">
        <f>IFERROR(($E37/230)*'NOVEDADES EMPLEADOS'!O31,)*DATOS!$C$15</f>
        <v>0</v>
      </c>
      <c r="P37" s="61">
        <f>IFERROR(($E37/230)*'NOVEDADES EMPLEADOS'!P31,)*DATOS!$C$16</f>
        <v>0</v>
      </c>
      <c r="Q37" s="61">
        <f>IFERROR(($E37/230)*'NOVEDADES EMPLEADOS'!Q31,)*DATOS!$C$17</f>
        <v>0</v>
      </c>
      <c r="R37" s="61">
        <f>IFERROR(($E37/230)*'NOVEDADES EMPLEADOS'!R31,)*DATOS!$C$18</f>
        <v>0</v>
      </c>
      <c r="S37" s="61">
        <f t="shared" si="1"/>
        <v>0</v>
      </c>
      <c r="T37" s="61">
        <f>'NOVEDADES EMPLEADOS'!S31*'NOVEDADES EMPLEADOS'!T31</f>
        <v>0</v>
      </c>
      <c r="U37" s="61">
        <f>'NOVEDADES EMPLEADOS'!U31</f>
        <v>0</v>
      </c>
      <c r="V37" s="49">
        <f t="shared" si="5"/>
        <v>0</v>
      </c>
      <c r="W37" s="61">
        <f>H37*DATOS!$F$6</f>
        <v>0</v>
      </c>
      <c r="X37" s="61">
        <f>H37*DATOS!$F$8</f>
        <v>0</v>
      </c>
      <c r="Y37" s="61">
        <f>IF(AND(E37&gt;=DATOS!$B$22,E37&lt;=DATOS!$B$23),NÓMINA!V37*DATOS!$C$22,IF(AND(E37&gt;=DATOS!$B$24,E37&lt;=DATOS!B52),NÓMINA!V37*DATOS!$C$24,IF(AND(E37&gt;=DATOS!$B$26,E37&lt;=DATOS!$B$27),NÓMINA!V37*DATOS!$C$27,IF(AND(E37&gt;=DATOS!$B$28,E37&lt;=DATOS!$B$29),NÓMINA!V37*DATOS!$C$29,IF(AND(E37&gt;=DATOS!$B$30,E37&lt;=DATOS!$B$31),NÓMINA!V37*DATOS!$C$31,IF(AND(E37&gt;=DATOS!$B$32),NÓMINA!V37*DATOS!$C$32,0))))))</f>
        <v>0</v>
      </c>
      <c r="Z37" s="61"/>
      <c r="AA37" s="61">
        <f>'NOVEDADES EMPLEADOS'!V31</f>
        <v>0</v>
      </c>
      <c r="AB37" s="61">
        <f>'NOVEDADES EMPLEADOS'!W31</f>
        <v>0</v>
      </c>
      <c r="AC37" s="61">
        <f>'NOVEDADES EMPLEADOS'!X31</f>
        <v>0</v>
      </c>
      <c r="AD37" s="61">
        <f>'NOVEDADES EMPLEADOS'!Y31</f>
        <v>0</v>
      </c>
      <c r="AE37" s="49">
        <f t="shared" si="3"/>
        <v>0</v>
      </c>
      <c r="AF37" s="54">
        <f t="shared" si="6"/>
        <v>0</v>
      </c>
    </row>
    <row r="38" spans="1:32">
      <c r="A38" s="4">
        <v>29</v>
      </c>
      <c r="B38" s="55">
        <f>'NOVEDADES EMPLEADOS'!B32</f>
        <v>0</v>
      </c>
      <c r="C38" s="56">
        <f>'NOVEDADES EMPLEADOS'!C32</f>
        <v>0</v>
      </c>
      <c r="D38" s="57">
        <f>IFERROR(VLOOKUP(B38,'NOVEDADES EMPLEADOS'!$B$3:$D$53,3,FALSE),0)</f>
        <v>0</v>
      </c>
      <c r="E38" s="58">
        <f>IFERROR(VLOOKUP(B38,'NOVEDADES EMPLEADOS'!$B$3:$E$53,4,FALSE),)</f>
        <v>0</v>
      </c>
      <c r="F38" s="59">
        <f>'NOVEDADES EMPLEADOS'!G32</f>
        <v>0</v>
      </c>
      <c r="G38" s="59">
        <f>'NOVEDADES EMPLEADOS'!H32</f>
        <v>0</v>
      </c>
      <c r="H38" s="40">
        <f>Tabla7[[#This Row],[Sueldo]]+Tabla7[[#This Row],[Incapacidad2]]+Tabla7[[#This Row],[Total HE y Recargos]]+Tabla7[[#This Row],[Comisiones]]+Tabla7[[#This Row],[Bonificaciones]]</f>
        <v>0</v>
      </c>
      <c r="I38" s="60">
        <f>IF((Tabla7[[#This Row],[Salario Basico]]/30)*66.66%&lt;DATOS!$C$10,DATOS!$C$10*Tabla7[[#This Row],[Incapacidad]],((Tabla7[[#This Row],[Salario Basico]]/30)*66.66%)*Tabla7[[#This Row],[Incapacidad]])</f>
        <v>0</v>
      </c>
      <c r="J38" s="60">
        <f t="shared" si="0"/>
        <v>0</v>
      </c>
      <c r="K38" s="61">
        <f>(IF(AND(E38+T38&lt;=DATOS!$C$8,J38+T38&gt;0),DATOS!$C$7,0)/30)*(G38-'NOVEDADES EMPLEADOS'!I32)</f>
        <v>0</v>
      </c>
      <c r="L38" s="61">
        <f>IFERROR(($E38/230)*'NOVEDADES EMPLEADOS'!L32,)*DATOS!$C$12</f>
        <v>0</v>
      </c>
      <c r="M38" s="58">
        <f>IFERROR(($E38/230)*'NOVEDADES EMPLEADOS'!M32,)*DATOS!$C$13</f>
        <v>0</v>
      </c>
      <c r="N38" s="61">
        <f>IFERROR(($E38/230)*'NOVEDADES EMPLEADOS'!N32,)*DATOS!$C$14</f>
        <v>0</v>
      </c>
      <c r="O38" s="61">
        <f>IFERROR(($E38/230)*'NOVEDADES EMPLEADOS'!O32,)*DATOS!$C$15</f>
        <v>0</v>
      </c>
      <c r="P38" s="61">
        <f>IFERROR(($E38/230)*'NOVEDADES EMPLEADOS'!P32,)*DATOS!$C$16</f>
        <v>0</v>
      </c>
      <c r="Q38" s="61">
        <f>IFERROR(($E38/230)*'NOVEDADES EMPLEADOS'!Q32,)*DATOS!$C$17</f>
        <v>0</v>
      </c>
      <c r="R38" s="61">
        <f>IFERROR(($E38/230)*'NOVEDADES EMPLEADOS'!R32,)*DATOS!$C$18</f>
        <v>0</v>
      </c>
      <c r="S38" s="61">
        <f t="shared" si="1"/>
        <v>0</v>
      </c>
      <c r="T38" s="61">
        <f>'NOVEDADES EMPLEADOS'!S32*'NOVEDADES EMPLEADOS'!T32</f>
        <v>0</v>
      </c>
      <c r="U38" s="61">
        <f>'NOVEDADES EMPLEADOS'!U32</f>
        <v>0</v>
      </c>
      <c r="V38" s="49">
        <f t="shared" si="5"/>
        <v>0</v>
      </c>
      <c r="W38" s="61">
        <f>H38*DATOS!$F$6</f>
        <v>0</v>
      </c>
      <c r="X38" s="61">
        <f>H38*DATOS!$F$8</f>
        <v>0</v>
      </c>
      <c r="Y38" s="61">
        <f>IF(AND(E38&gt;=DATOS!$B$22,E38&lt;=DATOS!$B$23),NÓMINA!V38*DATOS!$C$22,IF(AND(E38&gt;=DATOS!$B$24,E38&lt;=DATOS!B53),NÓMINA!V38*DATOS!$C$24,IF(AND(E38&gt;=DATOS!$B$26,E38&lt;=DATOS!$B$27),NÓMINA!V38*DATOS!$C$27,IF(AND(E38&gt;=DATOS!$B$28,E38&lt;=DATOS!$B$29),NÓMINA!V38*DATOS!$C$29,IF(AND(E38&gt;=DATOS!$B$30,E38&lt;=DATOS!$B$31),NÓMINA!V38*DATOS!$C$31,IF(AND(E38&gt;=DATOS!$B$32),NÓMINA!V38*DATOS!$C$32,0))))))</f>
        <v>0</v>
      </c>
      <c r="Z38" s="61"/>
      <c r="AA38" s="61">
        <f>'NOVEDADES EMPLEADOS'!V32</f>
        <v>0</v>
      </c>
      <c r="AB38" s="61">
        <f>'NOVEDADES EMPLEADOS'!W32</f>
        <v>0</v>
      </c>
      <c r="AC38" s="61">
        <f>'NOVEDADES EMPLEADOS'!X32</f>
        <v>0</v>
      </c>
      <c r="AD38" s="61">
        <f>'NOVEDADES EMPLEADOS'!Y32</f>
        <v>0</v>
      </c>
      <c r="AE38" s="49">
        <f t="shared" si="3"/>
        <v>0</v>
      </c>
      <c r="AF38" s="54">
        <f t="shared" si="6"/>
        <v>0</v>
      </c>
    </row>
    <row r="39" spans="1:32">
      <c r="A39" s="4">
        <v>30</v>
      </c>
      <c r="B39" s="55">
        <f>'NOVEDADES EMPLEADOS'!B33</f>
        <v>0</v>
      </c>
      <c r="C39" s="56">
        <f>'NOVEDADES EMPLEADOS'!C33</f>
        <v>0</v>
      </c>
      <c r="D39" s="57">
        <f>IFERROR(VLOOKUP(B39,'NOVEDADES EMPLEADOS'!$B$3:$D$53,3,FALSE),0)</f>
        <v>0</v>
      </c>
      <c r="E39" s="58">
        <f>IFERROR(VLOOKUP(B39,'NOVEDADES EMPLEADOS'!$B$3:$E$53,4,FALSE),)</f>
        <v>0</v>
      </c>
      <c r="F39" s="59">
        <f>'NOVEDADES EMPLEADOS'!G33</f>
        <v>0</v>
      </c>
      <c r="G39" s="59">
        <f>'NOVEDADES EMPLEADOS'!H33</f>
        <v>0</v>
      </c>
      <c r="H39" s="40">
        <f>Tabla7[[#This Row],[Sueldo]]+Tabla7[[#This Row],[Incapacidad2]]+Tabla7[[#This Row],[Total HE y Recargos]]+Tabla7[[#This Row],[Comisiones]]+Tabla7[[#This Row],[Bonificaciones]]</f>
        <v>0</v>
      </c>
      <c r="I39" s="60">
        <f>IF((Tabla7[[#This Row],[Salario Basico]]/30)*66.66%&lt;DATOS!$C$10,DATOS!$C$10*Tabla7[[#This Row],[Incapacidad]],((Tabla7[[#This Row],[Salario Basico]]/30)*66.66%)*Tabla7[[#This Row],[Incapacidad]])</f>
        <v>0</v>
      </c>
      <c r="J39" s="60">
        <f t="shared" si="0"/>
        <v>0</v>
      </c>
      <c r="K39" s="61">
        <f>(IF(AND(E39+T39&lt;=DATOS!$C$8,J39+T39&gt;0),DATOS!$C$7,0)/30)*(G39-'NOVEDADES EMPLEADOS'!I33)</f>
        <v>0</v>
      </c>
      <c r="L39" s="61">
        <f>IFERROR(($E39/230)*'NOVEDADES EMPLEADOS'!L33,)*DATOS!$C$12</f>
        <v>0</v>
      </c>
      <c r="M39" s="58">
        <f>IFERROR(($E39/230)*'NOVEDADES EMPLEADOS'!M33,)*DATOS!$C$13</f>
        <v>0</v>
      </c>
      <c r="N39" s="61">
        <f>IFERROR(($E39/230)*'NOVEDADES EMPLEADOS'!N33,)*DATOS!$C$14</f>
        <v>0</v>
      </c>
      <c r="O39" s="61">
        <f>IFERROR(($E39/230)*'NOVEDADES EMPLEADOS'!O33,)*DATOS!$C$15</f>
        <v>0</v>
      </c>
      <c r="P39" s="61">
        <f>IFERROR(($E39/230)*'NOVEDADES EMPLEADOS'!P33,)*DATOS!$C$16</f>
        <v>0</v>
      </c>
      <c r="Q39" s="61">
        <f>IFERROR(($E39/230)*'NOVEDADES EMPLEADOS'!Q33,)*DATOS!$C$17</f>
        <v>0</v>
      </c>
      <c r="R39" s="61">
        <f>IFERROR(($E39/230)*'NOVEDADES EMPLEADOS'!R33,)*DATOS!$C$18</f>
        <v>0</v>
      </c>
      <c r="S39" s="61">
        <f t="shared" si="1"/>
        <v>0</v>
      </c>
      <c r="T39" s="61">
        <f>'NOVEDADES EMPLEADOS'!S33*'NOVEDADES EMPLEADOS'!T33</f>
        <v>0</v>
      </c>
      <c r="U39" s="61">
        <f>'NOVEDADES EMPLEADOS'!U33</f>
        <v>0</v>
      </c>
      <c r="V39" s="49">
        <f t="shared" si="5"/>
        <v>0</v>
      </c>
      <c r="W39" s="61">
        <f>H39*DATOS!$F$6</f>
        <v>0</v>
      </c>
      <c r="X39" s="61">
        <f>H39*DATOS!$F$8</f>
        <v>0</v>
      </c>
      <c r="Y39" s="61">
        <f>IF(AND(E39&gt;=DATOS!$B$22,E39&lt;=DATOS!$B$23),NÓMINA!V39*DATOS!$C$22,IF(AND(E39&gt;=DATOS!$B$24,E39&lt;=DATOS!B54),NÓMINA!V39*DATOS!$C$24,IF(AND(E39&gt;=DATOS!$B$26,E39&lt;=DATOS!$B$27),NÓMINA!V39*DATOS!$C$27,IF(AND(E39&gt;=DATOS!$B$28,E39&lt;=DATOS!$B$29),NÓMINA!V39*DATOS!$C$29,IF(AND(E39&gt;=DATOS!$B$30,E39&lt;=DATOS!$B$31),NÓMINA!V39*DATOS!$C$31,IF(AND(E39&gt;=DATOS!$B$32),NÓMINA!V39*DATOS!$C$32,0))))))</f>
        <v>0</v>
      </c>
      <c r="Z39" s="61"/>
      <c r="AA39" s="61">
        <f>'NOVEDADES EMPLEADOS'!V33</f>
        <v>0</v>
      </c>
      <c r="AB39" s="61">
        <f>'NOVEDADES EMPLEADOS'!W33</f>
        <v>0</v>
      </c>
      <c r="AC39" s="61">
        <f>'NOVEDADES EMPLEADOS'!X33</f>
        <v>0</v>
      </c>
      <c r="AD39" s="61">
        <f>'NOVEDADES EMPLEADOS'!Y33</f>
        <v>0</v>
      </c>
      <c r="AE39" s="49">
        <f t="shared" si="3"/>
        <v>0</v>
      </c>
      <c r="AF39" s="54">
        <f t="shared" si="6"/>
        <v>0</v>
      </c>
    </row>
    <row r="40" spans="1:32">
      <c r="A40" s="4">
        <v>31</v>
      </c>
      <c r="B40" s="55">
        <f>'NOVEDADES EMPLEADOS'!B34</f>
        <v>0</v>
      </c>
      <c r="C40" s="56">
        <f>'NOVEDADES EMPLEADOS'!C34</f>
        <v>0</v>
      </c>
      <c r="D40" s="57">
        <f>IFERROR(VLOOKUP(B40,'NOVEDADES EMPLEADOS'!$B$3:$D$53,3,FALSE),0)</f>
        <v>0</v>
      </c>
      <c r="E40" s="58">
        <f>IFERROR(VLOOKUP(B40,'NOVEDADES EMPLEADOS'!$B$3:$E$53,4,FALSE),)</f>
        <v>0</v>
      </c>
      <c r="F40" s="59">
        <f>'NOVEDADES EMPLEADOS'!G34</f>
        <v>0</v>
      </c>
      <c r="G40" s="59">
        <f>'NOVEDADES EMPLEADOS'!H34</f>
        <v>0</v>
      </c>
      <c r="H40" s="40">
        <f>Tabla7[[#This Row],[Sueldo]]+Tabla7[[#This Row],[Incapacidad2]]+Tabla7[[#This Row],[Total HE y Recargos]]+Tabla7[[#This Row],[Comisiones]]+Tabla7[[#This Row],[Bonificaciones]]</f>
        <v>0</v>
      </c>
      <c r="I40" s="60">
        <f>IF((Tabla7[[#This Row],[Salario Basico]]/30)*66.66%&lt;DATOS!$C$10,DATOS!$C$10*Tabla7[[#This Row],[Incapacidad]],((Tabla7[[#This Row],[Salario Basico]]/30)*66.66%)*Tabla7[[#This Row],[Incapacidad]])</f>
        <v>0</v>
      </c>
      <c r="J40" s="60">
        <f t="shared" si="0"/>
        <v>0</v>
      </c>
      <c r="K40" s="61">
        <f>(IF(AND(E40+T40&lt;=DATOS!$C$8,J40+T40&gt;0),DATOS!$C$7,0)/30)*(G40-'NOVEDADES EMPLEADOS'!I34)</f>
        <v>0</v>
      </c>
      <c r="L40" s="61">
        <f>IFERROR(($E40/230)*'NOVEDADES EMPLEADOS'!L34,)*DATOS!$C$12</f>
        <v>0</v>
      </c>
      <c r="M40" s="58">
        <f>IFERROR(($E40/230)*'NOVEDADES EMPLEADOS'!M34,)*DATOS!$C$13</f>
        <v>0</v>
      </c>
      <c r="N40" s="61">
        <f>IFERROR(($E40/230)*'NOVEDADES EMPLEADOS'!N34,)*DATOS!$C$14</f>
        <v>0</v>
      </c>
      <c r="O40" s="61">
        <f>IFERROR(($E40/230)*'NOVEDADES EMPLEADOS'!O34,)*DATOS!$C$15</f>
        <v>0</v>
      </c>
      <c r="P40" s="61">
        <f>IFERROR(($E40/230)*'NOVEDADES EMPLEADOS'!P34,)*DATOS!$C$16</f>
        <v>0</v>
      </c>
      <c r="Q40" s="61">
        <f>IFERROR(($E40/230)*'NOVEDADES EMPLEADOS'!Q34,)*DATOS!$C$17</f>
        <v>0</v>
      </c>
      <c r="R40" s="61">
        <f>IFERROR(($E40/230)*'NOVEDADES EMPLEADOS'!R34,)*DATOS!$C$18</f>
        <v>0</v>
      </c>
      <c r="S40" s="61">
        <f t="shared" si="1"/>
        <v>0</v>
      </c>
      <c r="T40" s="61">
        <f>'NOVEDADES EMPLEADOS'!S34*'NOVEDADES EMPLEADOS'!T34</f>
        <v>0</v>
      </c>
      <c r="U40" s="61">
        <f>'NOVEDADES EMPLEADOS'!U34</f>
        <v>0</v>
      </c>
      <c r="V40" s="49">
        <f t="shared" si="5"/>
        <v>0</v>
      </c>
      <c r="W40" s="61">
        <f>H40*DATOS!$F$6</f>
        <v>0</v>
      </c>
      <c r="X40" s="61">
        <f>H40*DATOS!$F$8</f>
        <v>0</v>
      </c>
      <c r="Y40" s="61">
        <f>IF(AND(E40&gt;=DATOS!$B$22,E40&lt;=DATOS!$B$23),NÓMINA!V40*DATOS!$C$22,IF(AND(E40&gt;=DATOS!$B$24,E40&lt;=DATOS!B55),NÓMINA!V40*DATOS!$C$24,IF(AND(E40&gt;=DATOS!$B$26,E40&lt;=DATOS!$B$27),NÓMINA!V40*DATOS!$C$27,IF(AND(E40&gt;=DATOS!$B$28,E40&lt;=DATOS!$B$29),NÓMINA!V40*DATOS!$C$29,IF(AND(E40&gt;=DATOS!$B$30,E40&lt;=DATOS!$B$31),NÓMINA!V40*DATOS!$C$31,IF(AND(E40&gt;=DATOS!$B$32),NÓMINA!V40*DATOS!$C$32,0))))))</f>
        <v>0</v>
      </c>
      <c r="Z40" s="61"/>
      <c r="AA40" s="61">
        <f>'NOVEDADES EMPLEADOS'!V34</f>
        <v>0</v>
      </c>
      <c r="AB40" s="61">
        <f>'NOVEDADES EMPLEADOS'!W34</f>
        <v>0</v>
      </c>
      <c r="AC40" s="61">
        <f>'NOVEDADES EMPLEADOS'!X34</f>
        <v>0</v>
      </c>
      <c r="AD40" s="61">
        <f>'NOVEDADES EMPLEADOS'!Y34</f>
        <v>0</v>
      </c>
      <c r="AE40" s="49">
        <f t="shared" si="3"/>
        <v>0</v>
      </c>
      <c r="AF40" s="54">
        <f t="shared" si="6"/>
        <v>0</v>
      </c>
    </row>
    <row r="41" spans="1:32">
      <c r="A41" s="4">
        <v>32</v>
      </c>
      <c r="B41" s="55">
        <f>'NOVEDADES EMPLEADOS'!B35</f>
        <v>0</v>
      </c>
      <c r="C41" s="56">
        <f>'NOVEDADES EMPLEADOS'!C35</f>
        <v>0</v>
      </c>
      <c r="D41" s="57">
        <f>IFERROR(VLOOKUP(B41,'NOVEDADES EMPLEADOS'!$B$3:$D$53,3,FALSE),0)</f>
        <v>0</v>
      </c>
      <c r="E41" s="58">
        <f>IFERROR(VLOOKUP(B41,'NOVEDADES EMPLEADOS'!$B$3:$E$53,4,FALSE),)</f>
        <v>0</v>
      </c>
      <c r="F41" s="59">
        <f>'NOVEDADES EMPLEADOS'!G35</f>
        <v>0</v>
      </c>
      <c r="G41" s="59">
        <f>'NOVEDADES EMPLEADOS'!H35</f>
        <v>0</v>
      </c>
      <c r="H41" s="40">
        <f>Tabla7[[#This Row],[Sueldo]]+Tabla7[[#This Row],[Incapacidad2]]+Tabla7[[#This Row],[Total HE y Recargos]]+Tabla7[[#This Row],[Comisiones]]+Tabla7[[#This Row],[Bonificaciones]]</f>
        <v>0</v>
      </c>
      <c r="I41" s="60">
        <f>IF((Tabla7[[#This Row],[Salario Basico]]/30)*66.66%&lt;DATOS!$C$10,DATOS!$C$10*Tabla7[[#This Row],[Incapacidad]],((Tabla7[[#This Row],[Salario Basico]]/30)*66.66%)*Tabla7[[#This Row],[Incapacidad]])</f>
        <v>0</v>
      </c>
      <c r="J41" s="60">
        <f t="shared" si="0"/>
        <v>0</v>
      </c>
      <c r="K41" s="61">
        <f>(IF(AND(E41+T41&lt;=DATOS!$C$8,J41+T41&gt;0),DATOS!$C$7,0)/30)*(G41-'NOVEDADES EMPLEADOS'!I35)</f>
        <v>0</v>
      </c>
      <c r="L41" s="61">
        <f>IFERROR(($E41/230)*'NOVEDADES EMPLEADOS'!L35,)*DATOS!$C$12</f>
        <v>0</v>
      </c>
      <c r="M41" s="58">
        <f>IFERROR(($E41/230)*'NOVEDADES EMPLEADOS'!M35,)*DATOS!$C$13</f>
        <v>0</v>
      </c>
      <c r="N41" s="61">
        <f>IFERROR(($E41/230)*'NOVEDADES EMPLEADOS'!N35,)*DATOS!$C$14</f>
        <v>0</v>
      </c>
      <c r="O41" s="61">
        <f>IFERROR(($E41/230)*'NOVEDADES EMPLEADOS'!O35,)*DATOS!$C$15</f>
        <v>0</v>
      </c>
      <c r="P41" s="61">
        <f>IFERROR(($E41/230)*'NOVEDADES EMPLEADOS'!P35,)*DATOS!$C$16</f>
        <v>0</v>
      </c>
      <c r="Q41" s="61">
        <f>IFERROR(($E41/230)*'NOVEDADES EMPLEADOS'!Q35,)*DATOS!$C$17</f>
        <v>0</v>
      </c>
      <c r="R41" s="61">
        <f>IFERROR(($E41/230)*'NOVEDADES EMPLEADOS'!R35,)*DATOS!$C$18</f>
        <v>0</v>
      </c>
      <c r="S41" s="61">
        <f t="shared" si="1"/>
        <v>0</v>
      </c>
      <c r="T41" s="61">
        <f>'NOVEDADES EMPLEADOS'!S35*'NOVEDADES EMPLEADOS'!T35</f>
        <v>0</v>
      </c>
      <c r="U41" s="61">
        <f>'NOVEDADES EMPLEADOS'!U35</f>
        <v>0</v>
      </c>
      <c r="V41" s="49">
        <f t="shared" si="5"/>
        <v>0</v>
      </c>
      <c r="W41" s="61">
        <f>H41*DATOS!$F$6</f>
        <v>0</v>
      </c>
      <c r="X41" s="61">
        <f>H41*DATOS!$F$8</f>
        <v>0</v>
      </c>
      <c r="Y41" s="61">
        <f>IF(AND(E41&gt;=DATOS!$B$22,E41&lt;=DATOS!$B$23),NÓMINA!V41*DATOS!$C$22,IF(AND(E41&gt;=DATOS!$B$24,E41&lt;=DATOS!B56),NÓMINA!V41*DATOS!$C$24,IF(AND(E41&gt;=DATOS!$B$26,E41&lt;=DATOS!$B$27),NÓMINA!V41*DATOS!$C$27,IF(AND(E41&gt;=DATOS!$B$28,E41&lt;=DATOS!$B$29),NÓMINA!V41*DATOS!$C$29,IF(AND(E41&gt;=DATOS!$B$30,E41&lt;=DATOS!$B$31),NÓMINA!V41*DATOS!$C$31,IF(AND(E41&gt;=DATOS!$B$32),NÓMINA!V41*DATOS!$C$32,0))))))</f>
        <v>0</v>
      </c>
      <c r="Z41" s="61"/>
      <c r="AA41" s="61">
        <f>'NOVEDADES EMPLEADOS'!V35</f>
        <v>0</v>
      </c>
      <c r="AB41" s="61">
        <f>'NOVEDADES EMPLEADOS'!W35</f>
        <v>0</v>
      </c>
      <c r="AC41" s="61">
        <f>'NOVEDADES EMPLEADOS'!X35</f>
        <v>0</v>
      </c>
      <c r="AD41" s="61">
        <f>'NOVEDADES EMPLEADOS'!Y35</f>
        <v>0</v>
      </c>
      <c r="AE41" s="49">
        <f t="shared" si="3"/>
        <v>0</v>
      </c>
      <c r="AF41" s="54">
        <f t="shared" si="6"/>
        <v>0</v>
      </c>
    </row>
    <row r="42" spans="1:32">
      <c r="A42" s="4">
        <v>33</v>
      </c>
      <c r="B42" s="55">
        <f>'NOVEDADES EMPLEADOS'!B36</f>
        <v>0</v>
      </c>
      <c r="C42" s="56">
        <f>'NOVEDADES EMPLEADOS'!C36</f>
        <v>0</v>
      </c>
      <c r="D42" s="57">
        <f>IFERROR(VLOOKUP(B42,'NOVEDADES EMPLEADOS'!$B$3:$D$53,3,FALSE),0)</f>
        <v>0</v>
      </c>
      <c r="E42" s="58">
        <f>IFERROR(VLOOKUP(B42,'NOVEDADES EMPLEADOS'!$B$3:$E$53,4,FALSE),)</f>
        <v>0</v>
      </c>
      <c r="F42" s="59">
        <f>'NOVEDADES EMPLEADOS'!G36</f>
        <v>0</v>
      </c>
      <c r="G42" s="59">
        <f>'NOVEDADES EMPLEADOS'!H36</f>
        <v>0</v>
      </c>
      <c r="H42" s="40">
        <f>Tabla7[[#This Row],[Sueldo]]+Tabla7[[#This Row],[Incapacidad2]]+Tabla7[[#This Row],[Total HE y Recargos]]+Tabla7[[#This Row],[Comisiones]]+Tabla7[[#This Row],[Bonificaciones]]</f>
        <v>0</v>
      </c>
      <c r="I42" s="60">
        <f>IF((Tabla7[[#This Row],[Salario Basico]]/30)*66.66%&lt;DATOS!$C$10,DATOS!$C$10*Tabla7[[#This Row],[Incapacidad]],((Tabla7[[#This Row],[Salario Basico]]/30)*66.66%)*Tabla7[[#This Row],[Incapacidad]])</f>
        <v>0</v>
      </c>
      <c r="J42" s="60">
        <f t="shared" si="0"/>
        <v>0</v>
      </c>
      <c r="K42" s="61">
        <f>(IF(AND(E42+T42&lt;=DATOS!$C$8,J42+T42&gt;0),DATOS!$C$7,0)/30)*(G42-'NOVEDADES EMPLEADOS'!I36)</f>
        <v>0</v>
      </c>
      <c r="L42" s="61">
        <f>IFERROR(($E42/230)*'NOVEDADES EMPLEADOS'!L36,)*DATOS!$C$12</f>
        <v>0</v>
      </c>
      <c r="M42" s="58">
        <f>IFERROR(($E42/230)*'NOVEDADES EMPLEADOS'!M36,)*DATOS!$C$13</f>
        <v>0</v>
      </c>
      <c r="N42" s="61">
        <f>IFERROR(($E42/230)*'NOVEDADES EMPLEADOS'!N36,)*DATOS!$C$14</f>
        <v>0</v>
      </c>
      <c r="O42" s="61">
        <f>IFERROR(($E42/230)*'NOVEDADES EMPLEADOS'!O36,)*DATOS!$C$15</f>
        <v>0</v>
      </c>
      <c r="P42" s="61">
        <f>IFERROR(($E42/230)*'NOVEDADES EMPLEADOS'!P36,)*DATOS!$C$16</f>
        <v>0</v>
      </c>
      <c r="Q42" s="61">
        <f>IFERROR(($E42/230)*'NOVEDADES EMPLEADOS'!Q36,)*DATOS!$C$17</f>
        <v>0</v>
      </c>
      <c r="R42" s="61">
        <f>IFERROR(($E42/230)*'NOVEDADES EMPLEADOS'!R36,)*DATOS!$C$18</f>
        <v>0</v>
      </c>
      <c r="S42" s="61">
        <f t="shared" si="1"/>
        <v>0</v>
      </c>
      <c r="T42" s="61">
        <f>'NOVEDADES EMPLEADOS'!S36*'NOVEDADES EMPLEADOS'!T36</f>
        <v>0</v>
      </c>
      <c r="U42" s="61">
        <f>'NOVEDADES EMPLEADOS'!U36</f>
        <v>0</v>
      </c>
      <c r="V42" s="49">
        <f t="shared" si="5"/>
        <v>0</v>
      </c>
      <c r="W42" s="61">
        <f>H42*DATOS!$F$6</f>
        <v>0</v>
      </c>
      <c r="X42" s="61">
        <f>H42*DATOS!$F$8</f>
        <v>0</v>
      </c>
      <c r="Y42" s="61">
        <f>IF(AND(E42&gt;=DATOS!$B$22,E42&lt;=DATOS!$B$23),NÓMINA!V42*DATOS!$C$22,IF(AND(E42&gt;=DATOS!$B$24,E42&lt;=DATOS!B57),NÓMINA!V42*DATOS!$C$24,IF(AND(E42&gt;=DATOS!$B$26,E42&lt;=DATOS!$B$27),NÓMINA!V42*DATOS!$C$27,IF(AND(E42&gt;=DATOS!$B$28,E42&lt;=DATOS!$B$29),NÓMINA!V42*DATOS!$C$29,IF(AND(E42&gt;=DATOS!$B$30,E42&lt;=DATOS!$B$31),NÓMINA!V42*DATOS!$C$31,IF(AND(E42&gt;=DATOS!$B$32),NÓMINA!V42*DATOS!$C$32,0))))))</f>
        <v>0</v>
      </c>
      <c r="Z42" s="61"/>
      <c r="AA42" s="61">
        <f>'NOVEDADES EMPLEADOS'!V36</f>
        <v>0</v>
      </c>
      <c r="AB42" s="61">
        <f>'NOVEDADES EMPLEADOS'!W36</f>
        <v>0</v>
      </c>
      <c r="AC42" s="61">
        <f>'NOVEDADES EMPLEADOS'!X36</f>
        <v>0</v>
      </c>
      <c r="AD42" s="61">
        <f>'NOVEDADES EMPLEADOS'!Y36</f>
        <v>0</v>
      </c>
      <c r="AE42" s="49">
        <f t="shared" si="3"/>
        <v>0</v>
      </c>
      <c r="AF42" s="54">
        <f t="shared" si="6"/>
        <v>0</v>
      </c>
    </row>
    <row r="43" spans="1:32">
      <c r="A43" s="4">
        <v>34</v>
      </c>
      <c r="B43" s="55">
        <f>'NOVEDADES EMPLEADOS'!B37</f>
        <v>0</v>
      </c>
      <c r="C43" s="56">
        <f>'NOVEDADES EMPLEADOS'!C37</f>
        <v>0</v>
      </c>
      <c r="D43" s="57">
        <f>IFERROR(VLOOKUP(B43,'NOVEDADES EMPLEADOS'!$B$3:$D$53,3,FALSE),0)</f>
        <v>0</v>
      </c>
      <c r="E43" s="58">
        <f>IFERROR(VLOOKUP(B43,'NOVEDADES EMPLEADOS'!$B$3:$E$53,4,FALSE),)</f>
        <v>0</v>
      </c>
      <c r="F43" s="59">
        <f>'NOVEDADES EMPLEADOS'!G37</f>
        <v>0</v>
      </c>
      <c r="G43" s="59">
        <f>'NOVEDADES EMPLEADOS'!H37</f>
        <v>0</v>
      </c>
      <c r="H43" s="40">
        <f>Tabla7[[#This Row],[Sueldo]]+Tabla7[[#This Row],[Incapacidad2]]+Tabla7[[#This Row],[Total HE y Recargos]]+Tabla7[[#This Row],[Comisiones]]+Tabla7[[#This Row],[Bonificaciones]]</f>
        <v>0</v>
      </c>
      <c r="I43" s="60">
        <f>IF((Tabla7[[#This Row],[Salario Basico]]/30)*66.66%&lt;DATOS!$C$10,DATOS!$C$10*Tabla7[[#This Row],[Incapacidad]],((Tabla7[[#This Row],[Salario Basico]]/30)*66.66%)*Tabla7[[#This Row],[Incapacidad]])</f>
        <v>0</v>
      </c>
      <c r="J43" s="60">
        <f t="shared" si="0"/>
        <v>0</v>
      </c>
      <c r="K43" s="61">
        <f>(IF(AND(E43+T43&lt;=DATOS!$C$8,J43+T43&gt;0),DATOS!$C$7,0)/30)*(G43-'NOVEDADES EMPLEADOS'!I37)</f>
        <v>0</v>
      </c>
      <c r="L43" s="61">
        <f>IFERROR(($E43/230)*'NOVEDADES EMPLEADOS'!L37,)*DATOS!$C$12</f>
        <v>0</v>
      </c>
      <c r="M43" s="58">
        <f>IFERROR(($E43/230)*'NOVEDADES EMPLEADOS'!M37,)*DATOS!$C$13</f>
        <v>0</v>
      </c>
      <c r="N43" s="61">
        <f>IFERROR(($E43/230)*'NOVEDADES EMPLEADOS'!N37,)*DATOS!$C$14</f>
        <v>0</v>
      </c>
      <c r="O43" s="61">
        <f>IFERROR(($E43/230)*'NOVEDADES EMPLEADOS'!O37,)*DATOS!$C$15</f>
        <v>0</v>
      </c>
      <c r="P43" s="61">
        <f>IFERROR(($E43/230)*'NOVEDADES EMPLEADOS'!P37,)*DATOS!$C$16</f>
        <v>0</v>
      </c>
      <c r="Q43" s="61">
        <f>IFERROR(($E43/230)*'NOVEDADES EMPLEADOS'!Q37,)*DATOS!$C$17</f>
        <v>0</v>
      </c>
      <c r="R43" s="61">
        <f>IFERROR(($E43/230)*'NOVEDADES EMPLEADOS'!R37,)*DATOS!$C$18</f>
        <v>0</v>
      </c>
      <c r="S43" s="61">
        <f t="shared" si="1"/>
        <v>0</v>
      </c>
      <c r="T43" s="61">
        <f>'NOVEDADES EMPLEADOS'!S37*'NOVEDADES EMPLEADOS'!T37</f>
        <v>0</v>
      </c>
      <c r="U43" s="61">
        <f>'NOVEDADES EMPLEADOS'!U37</f>
        <v>0</v>
      </c>
      <c r="V43" s="49">
        <f t="shared" si="5"/>
        <v>0</v>
      </c>
      <c r="W43" s="61">
        <f>H43*DATOS!$F$6</f>
        <v>0</v>
      </c>
      <c r="X43" s="61">
        <f>H43*DATOS!$F$8</f>
        <v>0</v>
      </c>
      <c r="Y43" s="61">
        <f>IF(AND(E43&gt;=DATOS!$B$22,E43&lt;=DATOS!$B$23),NÓMINA!V43*DATOS!$C$22,IF(AND(E43&gt;=DATOS!$B$24,E43&lt;=DATOS!B58),NÓMINA!V43*DATOS!$C$24,IF(AND(E43&gt;=DATOS!$B$26,E43&lt;=DATOS!$B$27),NÓMINA!V43*DATOS!$C$27,IF(AND(E43&gt;=DATOS!$B$28,E43&lt;=DATOS!$B$29),NÓMINA!V43*DATOS!$C$29,IF(AND(E43&gt;=DATOS!$B$30,E43&lt;=DATOS!$B$31),NÓMINA!V43*DATOS!$C$31,IF(AND(E43&gt;=DATOS!$B$32),NÓMINA!V43*DATOS!$C$32,0))))))</f>
        <v>0</v>
      </c>
      <c r="Z43" s="61"/>
      <c r="AA43" s="61">
        <f>'NOVEDADES EMPLEADOS'!V37</f>
        <v>0</v>
      </c>
      <c r="AB43" s="61">
        <f>'NOVEDADES EMPLEADOS'!W37</f>
        <v>0</v>
      </c>
      <c r="AC43" s="61">
        <f>'NOVEDADES EMPLEADOS'!X37</f>
        <v>0</v>
      </c>
      <c r="AD43" s="61">
        <f>'NOVEDADES EMPLEADOS'!Y37</f>
        <v>0</v>
      </c>
      <c r="AE43" s="49">
        <f t="shared" si="3"/>
        <v>0</v>
      </c>
      <c r="AF43" s="54">
        <f t="shared" si="6"/>
        <v>0</v>
      </c>
    </row>
    <row r="44" spans="1:32">
      <c r="A44" s="4">
        <v>35</v>
      </c>
      <c r="B44" s="55">
        <f>'NOVEDADES EMPLEADOS'!B38</f>
        <v>0</v>
      </c>
      <c r="C44" s="56">
        <f>'NOVEDADES EMPLEADOS'!C38</f>
        <v>0</v>
      </c>
      <c r="D44" s="57">
        <f>IFERROR(VLOOKUP(B44,'NOVEDADES EMPLEADOS'!$B$3:$D$53,3,FALSE),0)</f>
        <v>0</v>
      </c>
      <c r="E44" s="58">
        <f>IFERROR(VLOOKUP(B44,'NOVEDADES EMPLEADOS'!$B$3:$E$53,4,FALSE),)</f>
        <v>0</v>
      </c>
      <c r="F44" s="59">
        <f>'NOVEDADES EMPLEADOS'!G38</f>
        <v>0</v>
      </c>
      <c r="G44" s="59">
        <f>'NOVEDADES EMPLEADOS'!H38</f>
        <v>0</v>
      </c>
      <c r="H44" s="40">
        <f>Tabla7[[#This Row],[Sueldo]]+Tabla7[[#This Row],[Incapacidad2]]+Tabla7[[#This Row],[Total HE y Recargos]]+Tabla7[[#This Row],[Comisiones]]+Tabla7[[#This Row],[Bonificaciones]]</f>
        <v>0</v>
      </c>
      <c r="I44" s="60">
        <f>IF((Tabla7[[#This Row],[Salario Basico]]/30)*66.66%&lt;DATOS!$C$10,DATOS!$C$10*Tabla7[[#This Row],[Incapacidad]],((Tabla7[[#This Row],[Salario Basico]]/30)*66.66%)*Tabla7[[#This Row],[Incapacidad]])</f>
        <v>0</v>
      </c>
      <c r="J44" s="60">
        <f t="shared" si="0"/>
        <v>0</v>
      </c>
      <c r="K44" s="61">
        <f>(IF(AND(E44+T44&lt;=DATOS!$C$8,J44+T44&gt;0),DATOS!$C$7,0)/30)*(G44-'NOVEDADES EMPLEADOS'!I38)</f>
        <v>0</v>
      </c>
      <c r="L44" s="61">
        <f>IFERROR(($E44/230)*'NOVEDADES EMPLEADOS'!L38,)*DATOS!$C$12</f>
        <v>0</v>
      </c>
      <c r="M44" s="58">
        <f>IFERROR(($E44/230)*'NOVEDADES EMPLEADOS'!M38,)*DATOS!$C$13</f>
        <v>0</v>
      </c>
      <c r="N44" s="61">
        <f>IFERROR(($E44/230)*'NOVEDADES EMPLEADOS'!N38,)*DATOS!$C$14</f>
        <v>0</v>
      </c>
      <c r="O44" s="61">
        <f>IFERROR(($E44/230)*'NOVEDADES EMPLEADOS'!O38,)*DATOS!$C$15</f>
        <v>0</v>
      </c>
      <c r="P44" s="61">
        <f>IFERROR(($E44/230)*'NOVEDADES EMPLEADOS'!P38,)*DATOS!$C$16</f>
        <v>0</v>
      </c>
      <c r="Q44" s="61">
        <f>IFERROR(($E44/230)*'NOVEDADES EMPLEADOS'!Q38,)*DATOS!$C$17</f>
        <v>0</v>
      </c>
      <c r="R44" s="61">
        <f>IFERROR(($E44/230)*'NOVEDADES EMPLEADOS'!R38,)*DATOS!$C$18</f>
        <v>0</v>
      </c>
      <c r="S44" s="61">
        <f t="shared" si="1"/>
        <v>0</v>
      </c>
      <c r="T44" s="61">
        <f>'NOVEDADES EMPLEADOS'!S38*'NOVEDADES EMPLEADOS'!T38</f>
        <v>0</v>
      </c>
      <c r="U44" s="61">
        <f>'NOVEDADES EMPLEADOS'!U38</f>
        <v>0</v>
      </c>
      <c r="V44" s="49">
        <f t="shared" si="5"/>
        <v>0</v>
      </c>
      <c r="W44" s="61">
        <f>H44*DATOS!$F$6</f>
        <v>0</v>
      </c>
      <c r="X44" s="61">
        <f>H44*DATOS!$F$8</f>
        <v>0</v>
      </c>
      <c r="Y44" s="61">
        <f>IF(AND(E44&gt;=DATOS!$B$22,E44&lt;=DATOS!$B$23),NÓMINA!V44*DATOS!$C$22,IF(AND(E44&gt;=DATOS!$B$24,E44&lt;=DATOS!B59),NÓMINA!V44*DATOS!$C$24,IF(AND(E44&gt;=DATOS!$B$26,E44&lt;=DATOS!$B$27),NÓMINA!V44*DATOS!$C$27,IF(AND(E44&gt;=DATOS!$B$28,E44&lt;=DATOS!$B$29),NÓMINA!V44*DATOS!$C$29,IF(AND(E44&gt;=DATOS!$B$30,E44&lt;=DATOS!$B$31),NÓMINA!V44*DATOS!$C$31,IF(AND(E44&gt;=DATOS!$B$32),NÓMINA!V44*DATOS!$C$32,0))))))</f>
        <v>0</v>
      </c>
      <c r="Z44" s="61"/>
      <c r="AA44" s="61">
        <f>'NOVEDADES EMPLEADOS'!V38</f>
        <v>0</v>
      </c>
      <c r="AB44" s="61">
        <f>'NOVEDADES EMPLEADOS'!W38</f>
        <v>0</v>
      </c>
      <c r="AC44" s="61">
        <f>'NOVEDADES EMPLEADOS'!X38</f>
        <v>0</v>
      </c>
      <c r="AD44" s="61">
        <f>'NOVEDADES EMPLEADOS'!Y38</f>
        <v>0</v>
      </c>
      <c r="AE44" s="49">
        <f t="shared" si="3"/>
        <v>0</v>
      </c>
      <c r="AF44" s="54">
        <f t="shared" si="6"/>
        <v>0</v>
      </c>
    </row>
    <row r="45" spans="1:32">
      <c r="A45" s="4">
        <v>36</v>
      </c>
      <c r="B45" s="55">
        <f>'NOVEDADES EMPLEADOS'!B39</f>
        <v>0</v>
      </c>
      <c r="C45" s="56">
        <f>'NOVEDADES EMPLEADOS'!C39</f>
        <v>0</v>
      </c>
      <c r="D45" s="57">
        <f>IFERROR(VLOOKUP(B45,'NOVEDADES EMPLEADOS'!$B$3:$D$53,3,FALSE),0)</f>
        <v>0</v>
      </c>
      <c r="E45" s="58">
        <f>IFERROR(VLOOKUP(B45,'NOVEDADES EMPLEADOS'!$B$3:$E$53,4,FALSE),)</f>
        <v>0</v>
      </c>
      <c r="F45" s="59">
        <f>'NOVEDADES EMPLEADOS'!G39</f>
        <v>0</v>
      </c>
      <c r="G45" s="59">
        <f>'NOVEDADES EMPLEADOS'!H39</f>
        <v>0</v>
      </c>
      <c r="H45" s="40">
        <f>Tabla7[[#This Row],[Sueldo]]+Tabla7[[#This Row],[Incapacidad2]]+Tabla7[[#This Row],[Total HE y Recargos]]+Tabla7[[#This Row],[Comisiones]]+Tabla7[[#This Row],[Bonificaciones]]</f>
        <v>0</v>
      </c>
      <c r="I45" s="60">
        <f>IF((Tabla7[[#This Row],[Salario Basico]]/30)*66.66%&lt;DATOS!$C$10,DATOS!$C$10*Tabla7[[#This Row],[Incapacidad]],((Tabla7[[#This Row],[Salario Basico]]/30)*66.66%)*Tabla7[[#This Row],[Incapacidad]])</f>
        <v>0</v>
      </c>
      <c r="J45" s="60">
        <f t="shared" si="0"/>
        <v>0</v>
      </c>
      <c r="K45" s="61">
        <f>(IF(AND(E45+T45&lt;=DATOS!$C$8,J45+T45&gt;0),DATOS!$C$7,0)/30)*(G45-'NOVEDADES EMPLEADOS'!I39)</f>
        <v>0</v>
      </c>
      <c r="L45" s="61">
        <f>IFERROR(($E45/230)*'NOVEDADES EMPLEADOS'!L39,)*DATOS!$C$12</f>
        <v>0</v>
      </c>
      <c r="M45" s="58">
        <f>IFERROR(($E45/230)*'NOVEDADES EMPLEADOS'!M39,)*DATOS!$C$13</f>
        <v>0</v>
      </c>
      <c r="N45" s="61">
        <f>IFERROR(($E45/230)*'NOVEDADES EMPLEADOS'!N39,)*DATOS!$C$14</f>
        <v>0</v>
      </c>
      <c r="O45" s="61">
        <f>IFERROR(($E45/230)*'NOVEDADES EMPLEADOS'!O39,)*DATOS!$C$15</f>
        <v>0</v>
      </c>
      <c r="P45" s="61">
        <f>IFERROR(($E45/230)*'NOVEDADES EMPLEADOS'!P39,)*DATOS!$C$16</f>
        <v>0</v>
      </c>
      <c r="Q45" s="61">
        <f>IFERROR(($E45/230)*'NOVEDADES EMPLEADOS'!Q39,)*DATOS!$C$17</f>
        <v>0</v>
      </c>
      <c r="R45" s="61">
        <f>IFERROR(($E45/230)*'NOVEDADES EMPLEADOS'!R39,)*DATOS!$C$18</f>
        <v>0</v>
      </c>
      <c r="S45" s="61">
        <f t="shared" si="1"/>
        <v>0</v>
      </c>
      <c r="T45" s="61">
        <f>'NOVEDADES EMPLEADOS'!S39*'NOVEDADES EMPLEADOS'!T39</f>
        <v>0</v>
      </c>
      <c r="U45" s="61">
        <f>'NOVEDADES EMPLEADOS'!U39</f>
        <v>0</v>
      </c>
      <c r="V45" s="49">
        <f t="shared" si="5"/>
        <v>0</v>
      </c>
      <c r="W45" s="61">
        <f>H45*DATOS!$F$6</f>
        <v>0</v>
      </c>
      <c r="X45" s="61">
        <f>H45*DATOS!$F$8</f>
        <v>0</v>
      </c>
      <c r="Y45" s="61">
        <f>IF(AND(E45&gt;=DATOS!$B$22,E45&lt;=DATOS!$B$23),NÓMINA!V45*DATOS!$C$22,IF(AND(E45&gt;=DATOS!$B$24,E45&lt;=DATOS!B60),NÓMINA!V45*DATOS!$C$24,IF(AND(E45&gt;=DATOS!$B$26,E45&lt;=DATOS!$B$27),NÓMINA!V45*DATOS!$C$27,IF(AND(E45&gt;=DATOS!$B$28,E45&lt;=DATOS!$B$29),NÓMINA!V45*DATOS!$C$29,IF(AND(E45&gt;=DATOS!$B$30,E45&lt;=DATOS!$B$31),NÓMINA!V45*DATOS!$C$31,IF(AND(E45&gt;=DATOS!$B$32),NÓMINA!V45*DATOS!$C$32,0))))))</f>
        <v>0</v>
      </c>
      <c r="Z45" s="61"/>
      <c r="AA45" s="61">
        <f>'NOVEDADES EMPLEADOS'!V39</f>
        <v>0</v>
      </c>
      <c r="AB45" s="61">
        <f>'NOVEDADES EMPLEADOS'!W39</f>
        <v>0</v>
      </c>
      <c r="AC45" s="61">
        <f>'NOVEDADES EMPLEADOS'!X39</f>
        <v>0</v>
      </c>
      <c r="AD45" s="61">
        <f>'NOVEDADES EMPLEADOS'!Y39</f>
        <v>0</v>
      </c>
      <c r="AE45" s="49">
        <f t="shared" si="3"/>
        <v>0</v>
      </c>
      <c r="AF45" s="54">
        <f t="shared" si="6"/>
        <v>0</v>
      </c>
    </row>
    <row r="46" spans="1:32">
      <c r="A46" s="4">
        <v>37</v>
      </c>
      <c r="B46" s="55">
        <f>'NOVEDADES EMPLEADOS'!B40</f>
        <v>0</v>
      </c>
      <c r="C46" s="56">
        <f>'NOVEDADES EMPLEADOS'!C40</f>
        <v>0</v>
      </c>
      <c r="D46" s="57">
        <f>IFERROR(VLOOKUP(B46,'NOVEDADES EMPLEADOS'!$B$3:$D$53,3,FALSE),0)</f>
        <v>0</v>
      </c>
      <c r="E46" s="58">
        <f>IFERROR(VLOOKUP(B46,'NOVEDADES EMPLEADOS'!$B$3:$E$53,4,FALSE),)</f>
        <v>0</v>
      </c>
      <c r="F46" s="59">
        <f>'NOVEDADES EMPLEADOS'!G40</f>
        <v>0</v>
      </c>
      <c r="G46" s="59">
        <f>'NOVEDADES EMPLEADOS'!H40</f>
        <v>0</v>
      </c>
      <c r="H46" s="40">
        <f>Tabla7[[#This Row],[Sueldo]]+Tabla7[[#This Row],[Incapacidad2]]+Tabla7[[#This Row],[Total HE y Recargos]]+Tabla7[[#This Row],[Comisiones]]+Tabla7[[#This Row],[Bonificaciones]]</f>
        <v>0</v>
      </c>
      <c r="I46" s="60">
        <f>IF((Tabla7[[#This Row],[Salario Basico]]/30)*66.66%&lt;DATOS!$C$10,DATOS!$C$10*Tabla7[[#This Row],[Incapacidad]],((Tabla7[[#This Row],[Salario Basico]]/30)*66.66%)*Tabla7[[#This Row],[Incapacidad]])</f>
        <v>0</v>
      </c>
      <c r="J46" s="60">
        <f t="shared" si="0"/>
        <v>0</v>
      </c>
      <c r="K46" s="61">
        <f>(IF(AND(E46+T46&lt;=DATOS!$C$8,J46+T46&gt;0),DATOS!$C$7,0)/30)*(G46-'NOVEDADES EMPLEADOS'!I40)</f>
        <v>0</v>
      </c>
      <c r="L46" s="61">
        <f>IFERROR(($E46/230)*'NOVEDADES EMPLEADOS'!L40,)*DATOS!$C$12</f>
        <v>0</v>
      </c>
      <c r="M46" s="58">
        <f>IFERROR(($E46/230)*'NOVEDADES EMPLEADOS'!M40,)*DATOS!$C$13</f>
        <v>0</v>
      </c>
      <c r="N46" s="61">
        <f>IFERROR(($E46/230)*'NOVEDADES EMPLEADOS'!N40,)*DATOS!$C$14</f>
        <v>0</v>
      </c>
      <c r="O46" s="61">
        <f>IFERROR(($E46/230)*'NOVEDADES EMPLEADOS'!O40,)*DATOS!$C$15</f>
        <v>0</v>
      </c>
      <c r="P46" s="61">
        <f>IFERROR(($E46/230)*'NOVEDADES EMPLEADOS'!P40,)*DATOS!$C$16</f>
        <v>0</v>
      </c>
      <c r="Q46" s="61">
        <f>IFERROR(($E46/230)*'NOVEDADES EMPLEADOS'!Q40,)*DATOS!$C$17</f>
        <v>0</v>
      </c>
      <c r="R46" s="61">
        <f>IFERROR(($E46/230)*'NOVEDADES EMPLEADOS'!R40,)*DATOS!$C$18</f>
        <v>0</v>
      </c>
      <c r="S46" s="61">
        <f t="shared" si="1"/>
        <v>0</v>
      </c>
      <c r="T46" s="61">
        <f>'NOVEDADES EMPLEADOS'!S40*'NOVEDADES EMPLEADOS'!T40</f>
        <v>0</v>
      </c>
      <c r="U46" s="61">
        <f>'NOVEDADES EMPLEADOS'!U40</f>
        <v>0</v>
      </c>
      <c r="V46" s="49">
        <f t="shared" si="5"/>
        <v>0</v>
      </c>
      <c r="W46" s="61">
        <f>H46*DATOS!$F$6</f>
        <v>0</v>
      </c>
      <c r="X46" s="61">
        <f>H46*DATOS!$F$8</f>
        <v>0</v>
      </c>
      <c r="Y46" s="61">
        <f>IF(AND(E46&gt;=DATOS!$B$22,E46&lt;=DATOS!$B$23),NÓMINA!V46*DATOS!$C$22,IF(AND(E46&gt;=DATOS!$B$24,E46&lt;=DATOS!B61),NÓMINA!V46*DATOS!$C$24,IF(AND(E46&gt;=DATOS!$B$26,E46&lt;=DATOS!$B$27),NÓMINA!V46*DATOS!$C$27,IF(AND(E46&gt;=DATOS!$B$28,E46&lt;=DATOS!$B$29),NÓMINA!V46*DATOS!$C$29,IF(AND(E46&gt;=DATOS!$B$30,E46&lt;=DATOS!$B$31),NÓMINA!V46*DATOS!$C$31,IF(AND(E46&gt;=DATOS!$B$32),NÓMINA!V46*DATOS!$C$32,0))))))</f>
        <v>0</v>
      </c>
      <c r="Z46" s="61"/>
      <c r="AA46" s="61">
        <f>'NOVEDADES EMPLEADOS'!V40</f>
        <v>0</v>
      </c>
      <c r="AB46" s="61">
        <f>'NOVEDADES EMPLEADOS'!W40</f>
        <v>0</v>
      </c>
      <c r="AC46" s="61">
        <f>'NOVEDADES EMPLEADOS'!X40</f>
        <v>0</v>
      </c>
      <c r="AD46" s="61">
        <f>'NOVEDADES EMPLEADOS'!Y40</f>
        <v>0</v>
      </c>
      <c r="AE46" s="49">
        <f t="shared" si="3"/>
        <v>0</v>
      </c>
      <c r="AF46" s="54">
        <f t="shared" si="6"/>
        <v>0</v>
      </c>
    </row>
    <row r="47" spans="1:32">
      <c r="A47" s="4">
        <v>38</v>
      </c>
      <c r="B47" s="55">
        <f>'NOVEDADES EMPLEADOS'!B41</f>
        <v>0</v>
      </c>
      <c r="C47" s="56">
        <f>'NOVEDADES EMPLEADOS'!C41</f>
        <v>0</v>
      </c>
      <c r="D47" s="57">
        <f>IFERROR(VLOOKUP(B47,'NOVEDADES EMPLEADOS'!$B$3:$D$53,3,FALSE),0)</f>
        <v>0</v>
      </c>
      <c r="E47" s="58">
        <f>IFERROR(VLOOKUP(B47,'NOVEDADES EMPLEADOS'!$B$3:$E$53,4,FALSE),)</f>
        <v>0</v>
      </c>
      <c r="F47" s="59">
        <f>'NOVEDADES EMPLEADOS'!G41</f>
        <v>0</v>
      </c>
      <c r="G47" s="59">
        <f>'NOVEDADES EMPLEADOS'!H41</f>
        <v>0</v>
      </c>
      <c r="H47" s="40">
        <f>Tabla7[[#This Row],[Sueldo]]+Tabla7[[#This Row],[Incapacidad2]]+Tabla7[[#This Row],[Total HE y Recargos]]+Tabla7[[#This Row],[Comisiones]]+Tabla7[[#This Row],[Bonificaciones]]</f>
        <v>0</v>
      </c>
      <c r="I47" s="60">
        <f>IF((Tabla7[[#This Row],[Salario Basico]]/30)*66.66%&lt;DATOS!$C$10,DATOS!$C$10*Tabla7[[#This Row],[Incapacidad]],((Tabla7[[#This Row],[Salario Basico]]/30)*66.66%)*Tabla7[[#This Row],[Incapacidad]])</f>
        <v>0</v>
      </c>
      <c r="J47" s="60">
        <f t="shared" si="0"/>
        <v>0</v>
      </c>
      <c r="K47" s="61">
        <f>(IF(AND(E47+T47&lt;=DATOS!$C$8,J47+T47&gt;0),DATOS!$C$7,0)/30)*(G47-'NOVEDADES EMPLEADOS'!I41)</f>
        <v>0</v>
      </c>
      <c r="L47" s="61">
        <f>IFERROR(($E47/230)*'NOVEDADES EMPLEADOS'!L41,)*DATOS!$C$12</f>
        <v>0</v>
      </c>
      <c r="M47" s="58">
        <f>IFERROR(($E47/230)*'NOVEDADES EMPLEADOS'!M41,)*DATOS!$C$13</f>
        <v>0</v>
      </c>
      <c r="N47" s="61">
        <f>IFERROR(($E47/230)*'NOVEDADES EMPLEADOS'!N41,)*DATOS!$C$14</f>
        <v>0</v>
      </c>
      <c r="O47" s="61">
        <f>IFERROR(($E47/230)*'NOVEDADES EMPLEADOS'!O41,)*DATOS!$C$15</f>
        <v>0</v>
      </c>
      <c r="P47" s="61">
        <f>IFERROR(($E47/230)*'NOVEDADES EMPLEADOS'!P41,)*DATOS!$C$16</f>
        <v>0</v>
      </c>
      <c r="Q47" s="61">
        <f>IFERROR(($E47/230)*'NOVEDADES EMPLEADOS'!Q41,)*DATOS!$C$17</f>
        <v>0</v>
      </c>
      <c r="R47" s="61">
        <f>IFERROR(($E47/230)*'NOVEDADES EMPLEADOS'!R41,)*DATOS!$C$18</f>
        <v>0</v>
      </c>
      <c r="S47" s="61">
        <f t="shared" si="1"/>
        <v>0</v>
      </c>
      <c r="T47" s="61">
        <f>'NOVEDADES EMPLEADOS'!S41*'NOVEDADES EMPLEADOS'!T41</f>
        <v>0</v>
      </c>
      <c r="U47" s="61">
        <f>'NOVEDADES EMPLEADOS'!U41</f>
        <v>0</v>
      </c>
      <c r="V47" s="49">
        <f t="shared" si="5"/>
        <v>0</v>
      </c>
      <c r="W47" s="61">
        <f>H47*DATOS!$F$6</f>
        <v>0</v>
      </c>
      <c r="X47" s="61">
        <f>H47*DATOS!$F$8</f>
        <v>0</v>
      </c>
      <c r="Y47" s="61">
        <f>IF(AND(E47&gt;=DATOS!$B$22,E47&lt;=DATOS!$B$23),NÓMINA!V47*DATOS!$C$22,IF(AND(E47&gt;=DATOS!$B$24,E47&lt;=DATOS!B62),NÓMINA!V47*DATOS!$C$24,IF(AND(E47&gt;=DATOS!$B$26,E47&lt;=DATOS!$B$27),NÓMINA!V47*DATOS!$C$27,IF(AND(E47&gt;=DATOS!$B$28,E47&lt;=DATOS!$B$29),NÓMINA!V47*DATOS!$C$29,IF(AND(E47&gt;=DATOS!$B$30,E47&lt;=DATOS!$B$31),NÓMINA!V47*DATOS!$C$31,IF(AND(E47&gt;=DATOS!$B$32),NÓMINA!V47*DATOS!$C$32,0))))))</f>
        <v>0</v>
      </c>
      <c r="Z47" s="61"/>
      <c r="AA47" s="61">
        <f>'NOVEDADES EMPLEADOS'!V41</f>
        <v>0</v>
      </c>
      <c r="AB47" s="61">
        <f>'NOVEDADES EMPLEADOS'!W41</f>
        <v>0</v>
      </c>
      <c r="AC47" s="61">
        <f>'NOVEDADES EMPLEADOS'!X41</f>
        <v>0</v>
      </c>
      <c r="AD47" s="61">
        <f>'NOVEDADES EMPLEADOS'!Y41</f>
        <v>0</v>
      </c>
      <c r="AE47" s="49">
        <f t="shared" si="3"/>
        <v>0</v>
      </c>
      <c r="AF47" s="54">
        <f t="shared" si="6"/>
        <v>0</v>
      </c>
    </row>
    <row r="48" spans="1:32">
      <c r="A48" s="4">
        <v>39</v>
      </c>
      <c r="B48" s="55">
        <f>'NOVEDADES EMPLEADOS'!B42</f>
        <v>0</v>
      </c>
      <c r="C48" s="56">
        <f>'NOVEDADES EMPLEADOS'!C42</f>
        <v>0</v>
      </c>
      <c r="D48" s="57">
        <f>IFERROR(VLOOKUP(B48,'NOVEDADES EMPLEADOS'!$B$3:$D$53,3,FALSE),0)</f>
        <v>0</v>
      </c>
      <c r="E48" s="58">
        <f>IFERROR(VLOOKUP(B48,'NOVEDADES EMPLEADOS'!$B$3:$E$53,4,FALSE),)</f>
        <v>0</v>
      </c>
      <c r="F48" s="59">
        <f>'NOVEDADES EMPLEADOS'!G42</f>
        <v>0</v>
      </c>
      <c r="G48" s="59">
        <f>'NOVEDADES EMPLEADOS'!H42</f>
        <v>0</v>
      </c>
      <c r="H48" s="40">
        <f>Tabla7[[#This Row],[Sueldo]]+Tabla7[[#This Row],[Incapacidad2]]+Tabla7[[#This Row],[Total HE y Recargos]]+Tabla7[[#This Row],[Comisiones]]+Tabla7[[#This Row],[Bonificaciones]]</f>
        <v>0</v>
      </c>
      <c r="I48" s="60">
        <f>IF((Tabla7[[#This Row],[Salario Basico]]/30)*66.66%&lt;DATOS!$C$10,DATOS!$C$10*Tabla7[[#This Row],[Incapacidad]],((Tabla7[[#This Row],[Salario Basico]]/30)*66.66%)*Tabla7[[#This Row],[Incapacidad]])</f>
        <v>0</v>
      </c>
      <c r="J48" s="60">
        <f t="shared" si="0"/>
        <v>0</v>
      </c>
      <c r="K48" s="61">
        <f>(IF(AND(E48+T48&lt;=DATOS!$C$8,J48+T48&gt;0),DATOS!$C$7,0)/30)*(G48-'NOVEDADES EMPLEADOS'!I42)</f>
        <v>0</v>
      </c>
      <c r="L48" s="61">
        <f>IFERROR(($E48/230)*'NOVEDADES EMPLEADOS'!L42,)*DATOS!$C$12</f>
        <v>0</v>
      </c>
      <c r="M48" s="58">
        <f>IFERROR(($E48/230)*'NOVEDADES EMPLEADOS'!M42,)*DATOS!$C$13</f>
        <v>0</v>
      </c>
      <c r="N48" s="61">
        <f>IFERROR(($E48/230)*'NOVEDADES EMPLEADOS'!N42,)*DATOS!$C$14</f>
        <v>0</v>
      </c>
      <c r="O48" s="61">
        <f>IFERROR(($E48/230)*'NOVEDADES EMPLEADOS'!O42,)*DATOS!$C$15</f>
        <v>0</v>
      </c>
      <c r="P48" s="61">
        <f>IFERROR(($E48/230)*'NOVEDADES EMPLEADOS'!P42,)*DATOS!$C$16</f>
        <v>0</v>
      </c>
      <c r="Q48" s="61">
        <f>IFERROR(($E48/230)*'NOVEDADES EMPLEADOS'!Q42,)*DATOS!$C$17</f>
        <v>0</v>
      </c>
      <c r="R48" s="61">
        <f>IFERROR(($E48/230)*'NOVEDADES EMPLEADOS'!R42,)*DATOS!$C$18</f>
        <v>0</v>
      </c>
      <c r="S48" s="61">
        <f t="shared" si="1"/>
        <v>0</v>
      </c>
      <c r="T48" s="61">
        <f>'NOVEDADES EMPLEADOS'!S42*'NOVEDADES EMPLEADOS'!T42</f>
        <v>0</v>
      </c>
      <c r="U48" s="61">
        <f>'NOVEDADES EMPLEADOS'!U42</f>
        <v>0</v>
      </c>
      <c r="V48" s="49">
        <f t="shared" si="5"/>
        <v>0</v>
      </c>
      <c r="W48" s="61">
        <f>H48*DATOS!$F$6</f>
        <v>0</v>
      </c>
      <c r="X48" s="61">
        <f>H48*DATOS!$F$8</f>
        <v>0</v>
      </c>
      <c r="Y48" s="61">
        <f>IF(AND(E48&gt;=DATOS!$B$22,E48&lt;=DATOS!$B$23),NÓMINA!V48*DATOS!$C$22,IF(AND(E48&gt;=DATOS!$B$24,E48&lt;=DATOS!B63),NÓMINA!V48*DATOS!$C$24,IF(AND(E48&gt;=DATOS!$B$26,E48&lt;=DATOS!$B$27),NÓMINA!V48*DATOS!$C$27,IF(AND(E48&gt;=DATOS!$B$28,E48&lt;=DATOS!$B$29),NÓMINA!V48*DATOS!$C$29,IF(AND(E48&gt;=DATOS!$B$30,E48&lt;=DATOS!$B$31),NÓMINA!V48*DATOS!$C$31,IF(AND(E48&gt;=DATOS!$B$32),NÓMINA!V48*DATOS!$C$32,0))))))</f>
        <v>0</v>
      </c>
      <c r="Z48" s="61"/>
      <c r="AA48" s="61">
        <f>'NOVEDADES EMPLEADOS'!V42</f>
        <v>0</v>
      </c>
      <c r="AB48" s="61">
        <f>'NOVEDADES EMPLEADOS'!W42</f>
        <v>0</v>
      </c>
      <c r="AC48" s="61">
        <f>'NOVEDADES EMPLEADOS'!X42</f>
        <v>0</v>
      </c>
      <c r="AD48" s="61">
        <f>'NOVEDADES EMPLEADOS'!Y42</f>
        <v>0</v>
      </c>
      <c r="AE48" s="49">
        <f t="shared" si="3"/>
        <v>0</v>
      </c>
      <c r="AF48" s="54">
        <f t="shared" si="6"/>
        <v>0</v>
      </c>
    </row>
    <row r="49" spans="1:34">
      <c r="A49" s="4">
        <v>40</v>
      </c>
      <c r="B49" s="55">
        <f>'NOVEDADES EMPLEADOS'!B43</f>
        <v>0</v>
      </c>
      <c r="C49" s="56">
        <f>'NOVEDADES EMPLEADOS'!C43</f>
        <v>0</v>
      </c>
      <c r="D49" s="57">
        <f>IFERROR(VLOOKUP(B49,'NOVEDADES EMPLEADOS'!$B$3:$D$53,3,FALSE),0)</f>
        <v>0</v>
      </c>
      <c r="E49" s="58">
        <f>IFERROR(VLOOKUP(B49,'NOVEDADES EMPLEADOS'!$B$3:$E$53,4,FALSE),)</f>
        <v>0</v>
      </c>
      <c r="F49" s="59">
        <f>'NOVEDADES EMPLEADOS'!G43</f>
        <v>0</v>
      </c>
      <c r="G49" s="59">
        <f>'NOVEDADES EMPLEADOS'!H43</f>
        <v>0</v>
      </c>
      <c r="H49" s="40">
        <f>Tabla7[[#This Row],[Sueldo]]+Tabla7[[#This Row],[Incapacidad2]]+Tabla7[[#This Row],[Total HE y Recargos]]+Tabla7[[#This Row],[Comisiones]]+Tabla7[[#This Row],[Bonificaciones]]</f>
        <v>0</v>
      </c>
      <c r="I49" s="60">
        <f>IF((Tabla7[[#This Row],[Salario Basico]]/30)*66.66%&lt;DATOS!$C$10,DATOS!$C$10*Tabla7[[#This Row],[Incapacidad]],((Tabla7[[#This Row],[Salario Basico]]/30)*66.66%)*Tabla7[[#This Row],[Incapacidad]])</f>
        <v>0</v>
      </c>
      <c r="J49" s="60">
        <f t="shared" si="0"/>
        <v>0</v>
      </c>
      <c r="K49" s="61">
        <f>(IF(AND(E49+T49&lt;=DATOS!$C$8,J49+T49&gt;0),DATOS!$C$7,0)/30)*(G49-'NOVEDADES EMPLEADOS'!I43)</f>
        <v>0</v>
      </c>
      <c r="L49" s="61">
        <f>IFERROR(($E49/230)*'NOVEDADES EMPLEADOS'!L43,)*DATOS!$C$12</f>
        <v>0</v>
      </c>
      <c r="M49" s="58">
        <f>IFERROR(($E49/230)*'NOVEDADES EMPLEADOS'!M43,)*DATOS!$C$13</f>
        <v>0</v>
      </c>
      <c r="N49" s="61">
        <f>IFERROR(($E49/230)*'NOVEDADES EMPLEADOS'!N43,)*DATOS!$C$14</f>
        <v>0</v>
      </c>
      <c r="O49" s="61">
        <f>IFERROR(($E49/230)*'NOVEDADES EMPLEADOS'!O43,)*DATOS!$C$15</f>
        <v>0</v>
      </c>
      <c r="P49" s="61">
        <f>IFERROR(($E49/230)*'NOVEDADES EMPLEADOS'!P43,)*DATOS!$C$16</f>
        <v>0</v>
      </c>
      <c r="Q49" s="61">
        <f>IFERROR(($E49/230)*'NOVEDADES EMPLEADOS'!Q43,)*DATOS!$C$17</f>
        <v>0</v>
      </c>
      <c r="R49" s="61">
        <f>IFERROR(($E49/230)*'NOVEDADES EMPLEADOS'!R43,)*DATOS!$C$18</f>
        <v>0</v>
      </c>
      <c r="S49" s="61">
        <f t="shared" si="1"/>
        <v>0</v>
      </c>
      <c r="T49" s="61">
        <f>'NOVEDADES EMPLEADOS'!S43*'NOVEDADES EMPLEADOS'!T43</f>
        <v>0</v>
      </c>
      <c r="U49" s="61">
        <f>'NOVEDADES EMPLEADOS'!U43</f>
        <v>0</v>
      </c>
      <c r="V49" s="49">
        <f t="shared" si="5"/>
        <v>0</v>
      </c>
      <c r="W49" s="61">
        <f>H49*DATOS!$F$6</f>
        <v>0</v>
      </c>
      <c r="X49" s="61">
        <f>H49*DATOS!$F$8</f>
        <v>0</v>
      </c>
      <c r="Y49" s="61">
        <f>IF(AND(E49&gt;=DATOS!$B$22,E49&lt;=DATOS!$B$23),NÓMINA!V49*DATOS!$C$22,IF(AND(E49&gt;=DATOS!$B$24,E49&lt;=DATOS!B64),NÓMINA!V49*DATOS!$C$24,IF(AND(E49&gt;=DATOS!$B$26,E49&lt;=DATOS!$B$27),NÓMINA!V49*DATOS!$C$27,IF(AND(E49&gt;=DATOS!$B$28,E49&lt;=DATOS!$B$29),NÓMINA!V49*DATOS!$C$29,IF(AND(E49&gt;=DATOS!$B$30,E49&lt;=DATOS!$B$31),NÓMINA!V49*DATOS!$C$31,IF(AND(E49&gt;=DATOS!$B$32),NÓMINA!V49*DATOS!$C$32,0))))))</f>
        <v>0</v>
      </c>
      <c r="Z49" s="61"/>
      <c r="AA49" s="61">
        <f>'NOVEDADES EMPLEADOS'!V43</f>
        <v>0</v>
      </c>
      <c r="AB49" s="61">
        <f>'NOVEDADES EMPLEADOS'!W43</f>
        <v>0</v>
      </c>
      <c r="AC49" s="61">
        <f>'NOVEDADES EMPLEADOS'!X43</f>
        <v>0</v>
      </c>
      <c r="AD49" s="61">
        <f>'NOVEDADES EMPLEADOS'!Y43</f>
        <v>0</v>
      </c>
      <c r="AE49" s="49">
        <f t="shared" si="3"/>
        <v>0</v>
      </c>
      <c r="AF49" s="54">
        <f t="shared" si="6"/>
        <v>0</v>
      </c>
    </row>
    <row r="50" spans="1:34">
      <c r="A50" s="4">
        <v>41</v>
      </c>
      <c r="B50" s="55">
        <f>'NOVEDADES EMPLEADOS'!B44</f>
        <v>0</v>
      </c>
      <c r="C50" s="56">
        <f>'NOVEDADES EMPLEADOS'!C44</f>
        <v>0</v>
      </c>
      <c r="D50" s="57">
        <f>IFERROR(VLOOKUP(B50,'NOVEDADES EMPLEADOS'!$B$3:$D$53,3,FALSE),0)</f>
        <v>0</v>
      </c>
      <c r="E50" s="58">
        <f>IFERROR(VLOOKUP(B50,'NOVEDADES EMPLEADOS'!$B$3:$E$53,4,FALSE),)</f>
        <v>0</v>
      </c>
      <c r="F50" s="59">
        <f>'NOVEDADES EMPLEADOS'!G44</f>
        <v>0</v>
      </c>
      <c r="G50" s="59">
        <f>'NOVEDADES EMPLEADOS'!H44</f>
        <v>0</v>
      </c>
      <c r="H50" s="40">
        <f>Tabla7[[#This Row],[Sueldo]]+Tabla7[[#This Row],[Incapacidad2]]+Tabla7[[#This Row],[Total HE y Recargos]]+Tabla7[[#This Row],[Comisiones]]+Tabla7[[#This Row],[Bonificaciones]]</f>
        <v>0</v>
      </c>
      <c r="I50" s="60">
        <f>IF((Tabla7[[#This Row],[Salario Basico]]/30)*66.66%&lt;DATOS!$C$10,DATOS!$C$10*Tabla7[[#This Row],[Incapacidad]],((Tabla7[[#This Row],[Salario Basico]]/30)*66.66%)*Tabla7[[#This Row],[Incapacidad]])</f>
        <v>0</v>
      </c>
      <c r="J50" s="60">
        <f t="shared" si="0"/>
        <v>0</v>
      </c>
      <c r="K50" s="61">
        <f>(IF(AND(E50+T50&lt;=DATOS!$C$8,J50+T50&gt;0),DATOS!$C$7,0)/30)*(G50-'NOVEDADES EMPLEADOS'!I44)</f>
        <v>0</v>
      </c>
      <c r="L50" s="61">
        <f>IFERROR(($E50/230)*'NOVEDADES EMPLEADOS'!L44,)*DATOS!$C$12</f>
        <v>0</v>
      </c>
      <c r="M50" s="58">
        <f>IFERROR(($E50/230)*'NOVEDADES EMPLEADOS'!M44,)*DATOS!$C$13</f>
        <v>0</v>
      </c>
      <c r="N50" s="61">
        <f>IFERROR(($E50/230)*'NOVEDADES EMPLEADOS'!N44,)*DATOS!$C$14</f>
        <v>0</v>
      </c>
      <c r="O50" s="61">
        <f>IFERROR(($E50/230)*'NOVEDADES EMPLEADOS'!O44,)*DATOS!$C$15</f>
        <v>0</v>
      </c>
      <c r="P50" s="61">
        <f>IFERROR(($E50/230)*'NOVEDADES EMPLEADOS'!P44,)*DATOS!$C$16</f>
        <v>0</v>
      </c>
      <c r="Q50" s="61">
        <f>IFERROR(($E50/230)*'NOVEDADES EMPLEADOS'!Q44,)*DATOS!$C$17</f>
        <v>0</v>
      </c>
      <c r="R50" s="61">
        <f>IFERROR(($E50/230)*'NOVEDADES EMPLEADOS'!R44,)*DATOS!$C$18</f>
        <v>0</v>
      </c>
      <c r="S50" s="61">
        <f t="shared" si="1"/>
        <v>0</v>
      </c>
      <c r="T50" s="61">
        <f>'NOVEDADES EMPLEADOS'!S44*'NOVEDADES EMPLEADOS'!T44</f>
        <v>0</v>
      </c>
      <c r="U50" s="61">
        <f>'NOVEDADES EMPLEADOS'!U44</f>
        <v>0</v>
      </c>
      <c r="V50" s="49">
        <f t="shared" si="5"/>
        <v>0</v>
      </c>
      <c r="W50" s="61">
        <f>H50*DATOS!$F$6</f>
        <v>0</v>
      </c>
      <c r="X50" s="61">
        <f>H50*DATOS!$F$8</f>
        <v>0</v>
      </c>
      <c r="Y50" s="61">
        <f>IF(AND(E50&gt;=DATOS!$B$22,E50&lt;=DATOS!$B$23),NÓMINA!V50*DATOS!$C$22,IF(AND(E50&gt;=DATOS!$B$24,E50&lt;=DATOS!B65),NÓMINA!V50*DATOS!$C$24,IF(AND(E50&gt;=DATOS!$B$26,E50&lt;=DATOS!$B$27),NÓMINA!V50*DATOS!$C$27,IF(AND(E50&gt;=DATOS!$B$28,E50&lt;=DATOS!$B$29),NÓMINA!V50*DATOS!$C$29,IF(AND(E50&gt;=DATOS!$B$30,E50&lt;=DATOS!$B$31),NÓMINA!V50*DATOS!$C$31,IF(AND(E50&gt;=DATOS!$B$32),NÓMINA!V50*DATOS!$C$32,0))))))</f>
        <v>0</v>
      </c>
      <c r="Z50" s="61"/>
      <c r="AA50" s="61">
        <f>'NOVEDADES EMPLEADOS'!V44</f>
        <v>0</v>
      </c>
      <c r="AB50" s="61">
        <f>'NOVEDADES EMPLEADOS'!W44</f>
        <v>0</v>
      </c>
      <c r="AC50" s="61">
        <f>'NOVEDADES EMPLEADOS'!X44</f>
        <v>0</v>
      </c>
      <c r="AD50" s="61">
        <f>'NOVEDADES EMPLEADOS'!Y44</f>
        <v>0</v>
      </c>
      <c r="AE50" s="49">
        <f t="shared" si="3"/>
        <v>0</v>
      </c>
      <c r="AF50" s="54">
        <f t="shared" si="6"/>
        <v>0</v>
      </c>
    </row>
    <row r="51" spans="1:34">
      <c r="A51" s="4">
        <v>42</v>
      </c>
      <c r="B51" s="55">
        <f>'NOVEDADES EMPLEADOS'!B45</f>
        <v>0</v>
      </c>
      <c r="C51" s="56">
        <f>'NOVEDADES EMPLEADOS'!C45</f>
        <v>0</v>
      </c>
      <c r="D51" s="57">
        <f>IFERROR(VLOOKUP(B51,'NOVEDADES EMPLEADOS'!$B$3:$D$53,3,FALSE),0)</f>
        <v>0</v>
      </c>
      <c r="E51" s="58">
        <f>IFERROR(VLOOKUP(B51,'NOVEDADES EMPLEADOS'!$B$3:$E$53,4,FALSE),)</f>
        <v>0</v>
      </c>
      <c r="F51" s="59">
        <f>'NOVEDADES EMPLEADOS'!G45</f>
        <v>0</v>
      </c>
      <c r="G51" s="59">
        <f>'NOVEDADES EMPLEADOS'!H45</f>
        <v>0</v>
      </c>
      <c r="H51" s="40">
        <f>Tabla7[[#This Row],[Sueldo]]+Tabla7[[#This Row],[Incapacidad2]]+Tabla7[[#This Row],[Total HE y Recargos]]+Tabla7[[#This Row],[Comisiones]]+Tabla7[[#This Row],[Bonificaciones]]</f>
        <v>0</v>
      </c>
      <c r="I51" s="60">
        <f>IF((Tabla7[[#This Row],[Salario Basico]]/30)*66.66%&lt;DATOS!$C$10,DATOS!$C$10*Tabla7[[#This Row],[Incapacidad]],((Tabla7[[#This Row],[Salario Basico]]/30)*66.66%)*Tabla7[[#This Row],[Incapacidad]])</f>
        <v>0</v>
      </c>
      <c r="J51" s="60">
        <f t="shared" si="0"/>
        <v>0</v>
      </c>
      <c r="K51" s="61">
        <f>(IF(AND(E51+T51&lt;=DATOS!$C$8,J51+T51&gt;0),DATOS!$C$7,0)/30)*(G51-'NOVEDADES EMPLEADOS'!I45)</f>
        <v>0</v>
      </c>
      <c r="L51" s="61">
        <f>IFERROR(($E51/230)*'NOVEDADES EMPLEADOS'!L45,)*DATOS!$C$12</f>
        <v>0</v>
      </c>
      <c r="M51" s="58">
        <f>IFERROR(($E51/230)*'NOVEDADES EMPLEADOS'!M45,)*DATOS!$C$13</f>
        <v>0</v>
      </c>
      <c r="N51" s="61">
        <f>IFERROR(($E51/230)*'NOVEDADES EMPLEADOS'!N45,)*DATOS!$C$14</f>
        <v>0</v>
      </c>
      <c r="O51" s="61">
        <f>IFERROR(($E51/230)*'NOVEDADES EMPLEADOS'!O45,)*DATOS!$C$15</f>
        <v>0</v>
      </c>
      <c r="P51" s="61">
        <f>IFERROR(($E51/230)*'NOVEDADES EMPLEADOS'!P45,)*DATOS!$C$16</f>
        <v>0</v>
      </c>
      <c r="Q51" s="61">
        <f>IFERROR(($E51/230)*'NOVEDADES EMPLEADOS'!Q45,)*DATOS!$C$17</f>
        <v>0</v>
      </c>
      <c r="R51" s="61">
        <f>IFERROR(($E51/230)*'NOVEDADES EMPLEADOS'!R45,)*DATOS!$C$18</f>
        <v>0</v>
      </c>
      <c r="S51" s="61">
        <f t="shared" si="1"/>
        <v>0</v>
      </c>
      <c r="T51" s="61">
        <f>'NOVEDADES EMPLEADOS'!S45*'NOVEDADES EMPLEADOS'!T45</f>
        <v>0</v>
      </c>
      <c r="U51" s="61">
        <f>'NOVEDADES EMPLEADOS'!U45</f>
        <v>0</v>
      </c>
      <c r="V51" s="49">
        <f t="shared" si="5"/>
        <v>0</v>
      </c>
      <c r="W51" s="61">
        <f>H51*DATOS!$F$6</f>
        <v>0</v>
      </c>
      <c r="X51" s="61">
        <f>H51*DATOS!$F$8</f>
        <v>0</v>
      </c>
      <c r="Y51" s="61">
        <f>IF(AND(E51&gt;=DATOS!$B$22,E51&lt;=DATOS!$B$23),NÓMINA!V51*DATOS!$C$22,IF(AND(E51&gt;=DATOS!$B$24,E51&lt;=DATOS!B66),NÓMINA!V51*DATOS!$C$24,IF(AND(E51&gt;=DATOS!$B$26,E51&lt;=DATOS!$B$27),NÓMINA!V51*DATOS!$C$27,IF(AND(E51&gt;=DATOS!$B$28,E51&lt;=DATOS!$B$29),NÓMINA!V51*DATOS!$C$29,IF(AND(E51&gt;=DATOS!$B$30,E51&lt;=DATOS!$B$31),NÓMINA!V51*DATOS!$C$31,IF(AND(E51&gt;=DATOS!$B$32),NÓMINA!V51*DATOS!$C$32,0))))))</f>
        <v>0</v>
      </c>
      <c r="Z51" s="61"/>
      <c r="AA51" s="61">
        <f>'NOVEDADES EMPLEADOS'!V45</f>
        <v>0</v>
      </c>
      <c r="AB51" s="61">
        <f>'NOVEDADES EMPLEADOS'!W45</f>
        <v>0</v>
      </c>
      <c r="AC51" s="61">
        <f>'NOVEDADES EMPLEADOS'!X45</f>
        <v>0</v>
      </c>
      <c r="AD51" s="61">
        <f>'NOVEDADES EMPLEADOS'!Y45</f>
        <v>0</v>
      </c>
      <c r="AE51" s="49">
        <f t="shared" si="3"/>
        <v>0</v>
      </c>
      <c r="AF51" s="54">
        <f t="shared" si="6"/>
        <v>0</v>
      </c>
    </row>
    <row r="52" spans="1:34">
      <c r="A52" s="4">
        <v>43</v>
      </c>
      <c r="B52" s="55">
        <f>'NOVEDADES EMPLEADOS'!B46</f>
        <v>0</v>
      </c>
      <c r="C52" s="56">
        <f>'NOVEDADES EMPLEADOS'!C46</f>
        <v>0</v>
      </c>
      <c r="D52" s="57">
        <f>IFERROR(VLOOKUP(B52,'NOVEDADES EMPLEADOS'!$B$3:$D$53,3,FALSE),0)</f>
        <v>0</v>
      </c>
      <c r="E52" s="58">
        <f>IFERROR(VLOOKUP(B52,'NOVEDADES EMPLEADOS'!$B$3:$E$53,4,FALSE),)</f>
        <v>0</v>
      </c>
      <c r="F52" s="59">
        <f>'NOVEDADES EMPLEADOS'!G46</f>
        <v>0</v>
      </c>
      <c r="G52" s="59">
        <f>'NOVEDADES EMPLEADOS'!H46</f>
        <v>0</v>
      </c>
      <c r="H52" s="40">
        <f>Tabla7[[#This Row],[Sueldo]]+Tabla7[[#This Row],[Incapacidad2]]+Tabla7[[#This Row],[Total HE y Recargos]]+Tabla7[[#This Row],[Comisiones]]+Tabla7[[#This Row],[Bonificaciones]]</f>
        <v>0</v>
      </c>
      <c r="I52" s="60">
        <f>IF((Tabla7[[#This Row],[Salario Basico]]/30)*66.66%&lt;DATOS!$C$10,DATOS!$C$10*Tabla7[[#This Row],[Incapacidad]],((Tabla7[[#This Row],[Salario Basico]]/30)*66.66%)*Tabla7[[#This Row],[Incapacidad]])</f>
        <v>0</v>
      </c>
      <c r="J52" s="60">
        <f t="shared" si="0"/>
        <v>0</v>
      </c>
      <c r="K52" s="61">
        <f>(IF(AND(E52+T52&lt;=DATOS!$C$8,J52+T52&gt;0),DATOS!$C$7,0)/30)*(G52-'NOVEDADES EMPLEADOS'!I46)</f>
        <v>0</v>
      </c>
      <c r="L52" s="61">
        <f>IFERROR(($E52/230)*'NOVEDADES EMPLEADOS'!L46,)*DATOS!$C$12</f>
        <v>0</v>
      </c>
      <c r="M52" s="58">
        <f>IFERROR(($E52/230)*'NOVEDADES EMPLEADOS'!M46,)*DATOS!$C$13</f>
        <v>0</v>
      </c>
      <c r="N52" s="61">
        <f>IFERROR(($E52/230)*'NOVEDADES EMPLEADOS'!N46,)*DATOS!$C$14</f>
        <v>0</v>
      </c>
      <c r="O52" s="61">
        <f>IFERROR(($E52/230)*'NOVEDADES EMPLEADOS'!O46,)*DATOS!$C$15</f>
        <v>0</v>
      </c>
      <c r="P52" s="61">
        <f>IFERROR(($E52/230)*'NOVEDADES EMPLEADOS'!P46,)*DATOS!$C$16</f>
        <v>0</v>
      </c>
      <c r="Q52" s="61">
        <f>IFERROR(($E52/230)*'NOVEDADES EMPLEADOS'!Q46,)*DATOS!$C$17</f>
        <v>0</v>
      </c>
      <c r="R52" s="61">
        <f>IFERROR(($E52/230)*'NOVEDADES EMPLEADOS'!R46,)*DATOS!$C$18</f>
        <v>0</v>
      </c>
      <c r="S52" s="61">
        <f t="shared" si="1"/>
        <v>0</v>
      </c>
      <c r="T52" s="61">
        <f>'NOVEDADES EMPLEADOS'!S46*'NOVEDADES EMPLEADOS'!T46</f>
        <v>0</v>
      </c>
      <c r="U52" s="61">
        <f>'NOVEDADES EMPLEADOS'!U46</f>
        <v>0</v>
      </c>
      <c r="V52" s="49">
        <f t="shared" si="5"/>
        <v>0</v>
      </c>
      <c r="W52" s="61">
        <f>H52*DATOS!$F$6</f>
        <v>0</v>
      </c>
      <c r="X52" s="61">
        <f>H52*DATOS!$F$8</f>
        <v>0</v>
      </c>
      <c r="Y52" s="61">
        <f>IF(AND(E52&gt;=DATOS!$B$22,E52&lt;=DATOS!$B$23),NÓMINA!V52*DATOS!$C$22,IF(AND(E52&gt;=DATOS!$B$24,E52&lt;=DATOS!B67),NÓMINA!V52*DATOS!$C$24,IF(AND(E52&gt;=DATOS!$B$26,E52&lt;=DATOS!$B$27),NÓMINA!V52*DATOS!$C$27,IF(AND(E52&gt;=DATOS!$B$28,E52&lt;=DATOS!$B$29),NÓMINA!V52*DATOS!$C$29,IF(AND(E52&gt;=DATOS!$B$30,E52&lt;=DATOS!$B$31),NÓMINA!V52*DATOS!$C$31,IF(AND(E52&gt;=DATOS!$B$32),NÓMINA!V52*DATOS!$C$32,0))))))</f>
        <v>0</v>
      </c>
      <c r="Z52" s="61"/>
      <c r="AA52" s="61">
        <f>'NOVEDADES EMPLEADOS'!V46</f>
        <v>0</v>
      </c>
      <c r="AB52" s="61">
        <f>'NOVEDADES EMPLEADOS'!W46</f>
        <v>0</v>
      </c>
      <c r="AC52" s="61">
        <f>'NOVEDADES EMPLEADOS'!X46</f>
        <v>0</v>
      </c>
      <c r="AD52" s="61">
        <f>'NOVEDADES EMPLEADOS'!Y46</f>
        <v>0</v>
      </c>
      <c r="AE52" s="49">
        <f t="shared" si="3"/>
        <v>0</v>
      </c>
      <c r="AF52" s="54">
        <f t="shared" si="6"/>
        <v>0</v>
      </c>
    </row>
    <row r="53" spans="1:34">
      <c r="A53" s="4">
        <v>44</v>
      </c>
      <c r="B53" s="55">
        <f>'NOVEDADES EMPLEADOS'!B47</f>
        <v>0</v>
      </c>
      <c r="C53" s="56">
        <f>'NOVEDADES EMPLEADOS'!C47</f>
        <v>0</v>
      </c>
      <c r="D53" s="57">
        <f>IFERROR(VLOOKUP(B53,'NOVEDADES EMPLEADOS'!$B$3:$D$53,3,FALSE),0)</f>
        <v>0</v>
      </c>
      <c r="E53" s="58">
        <f>IFERROR(VLOOKUP(B53,'NOVEDADES EMPLEADOS'!$B$3:$E$53,4,FALSE),)</f>
        <v>0</v>
      </c>
      <c r="F53" s="59">
        <f>'NOVEDADES EMPLEADOS'!G47</f>
        <v>0</v>
      </c>
      <c r="G53" s="59">
        <f>'NOVEDADES EMPLEADOS'!H47</f>
        <v>0</v>
      </c>
      <c r="H53" s="40">
        <f>Tabla7[[#This Row],[Sueldo]]+Tabla7[[#This Row],[Incapacidad2]]+Tabla7[[#This Row],[Total HE y Recargos]]+Tabla7[[#This Row],[Comisiones]]+Tabla7[[#This Row],[Bonificaciones]]</f>
        <v>0</v>
      </c>
      <c r="I53" s="60">
        <f>IF((Tabla7[[#This Row],[Salario Basico]]/30)*66.66%&lt;DATOS!$C$10,DATOS!$C$10*Tabla7[[#This Row],[Incapacidad]],((Tabla7[[#This Row],[Salario Basico]]/30)*66.66%)*Tabla7[[#This Row],[Incapacidad]])</f>
        <v>0</v>
      </c>
      <c r="J53" s="60">
        <f t="shared" si="0"/>
        <v>0</v>
      </c>
      <c r="K53" s="61">
        <f>(IF(AND(E53+T53&lt;=DATOS!$C$8,J53+T53&gt;0),DATOS!$C$7,0)/30)*(G53-'NOVEDADES EMPLEADOS'!I47)</f>
        <v>0</v>
      </c>
      <c r="L53" s="61">
        <f>IFERROR(($E53/230)*'NOVEDADES EMPLEADOS'!L47,)*DATOS!$C$12</f>
        <v>0</v>
      </c>
      <c r="M53" s="58">
        <f>IFERROR(($E53/230)*'NOVEDADES EMPLEADOS'!M47,)*DATOS!$C$13</f>
        <v>0</v>
      </c>
      <c r="N53" s="61">
        <f>IFERROR(($E53/230)*'NOVEDADES EMPLEADOS'!N47,)*DATOS!$C$14</f>
        <v>0</v>
      </c>
      <c r="O53" s="61">
        <f>IFERROR(($E53/230)*'NOVEDADES EMPLEADOS'!O47,)*DATOS!$C$15</f>
        <v>0</v>
      </c>
      <c r="P53" s="61">
        <f>IFERROR(($E53/230)*'NOVEDADES EMPLEADOS'!P47,)*DATOS!$C$16</f>
        <v>0</v>
      </c>
      <c r="Q53" s="61">
        <f>IFERROR(($E53/230)*'NOVEDADES EMPLEADOS'!Q47,)*DATOS!$C$17</f>
        <v>0</v>
      </c>
      <c r="R53" s="61">
        <f>IFERROR(($E53/230)*'NOVEDADES EMPLEADOS'!R47,)*DATOS!$C$18</f>
        <v>0</v>
      </c>
      <c r="S53" s="61">
        <f t="shared" si="1"/>
        <v>0</v>
      </c>
      <c r="T53" s="61">
        <f>'NOVEDADES EMPLEADOS'!S47*'NOVEDADES EMPLEADOS'!T47</f>
        <v>0</v>
      </c>
      <c r="U53" s="61">
        <f>'NOVEDADES EMPLEADOS'!U47</f>
        <v>0</v>
      </c>
      <c r="V53" s="49">
        <f t="shared" si="5"/>
        <v>0</v>
      </c>
      <c r="W53" s="61">
        <f>H53*DATOS!$F$6</f>
        <v>0</v>
      </c>
      <c r="X53" s="61">
        <f>H53*DATOS!$F$8</f>
        <v>0</v>
      </c>
      <c r="Y53" s="61">
        <f>IF(AND(E53&gt;=DATOS!$B$22,E53&lt;=DATOS!$B$23),NÓMINA!V53*DATOS!$C$22,IF(AND(E53&gt;=DATOS!$B$24,E53&lt;=DATOS!B68),NÓMINA!V53*DATOS!$C$24,IF(AND(E53&gt;=DATOS!$B$26,E53&lt;=DATOS!$B$27),NÓMINA!V53*DATOS!$C$27,IF(AND(E53&gt;=DATOS!$B$28,E53&lt;=DATOS!$B$29),NÓMINA!V53*DATOS!$C$29,IF(AND(E53&gt;=DATOS!$B$30,E53&lt;=DATOS!$B$31),NÓMINA!V53*DATOS!$C$31,IF(AND(E53&gt;=DATOS!$B$32),NÓMINA!V53*DATOS!$C$32,0))))))</f>
        <v>0</v>
      </c>
      <c r="Z53" s="61"/>
      <c r="AA53" s="61">
        <f>'NOVEDADES EMPLEADOS'!V47</f>
        <v>0</v>
      </c>
      <c r="AB53" s="61">
        <f>'NOVEDADES EMPLEADOS'!W47</f>
        <v>0</v>
      </c>
      <c r="AC53" s="61">
        <f>'NOVEDADES EMPLEADOS'!X47</f>
        <v>0</v>
      </c>
      <c r="AD53" s="61">
        <f>'NOVEDADES EMPLEADOS'!Y47</f>
        <v>0</v>
      </c>
      <c r="AE53" s="49">
        <f t="shared" si="3"/>
        <v>0</v>
      </c>
      <c r="AF53" s="54">
        <f t="shared" si="6"/>
        <v>0</v>
      </c>
    </row>
    <row r="54" spans="1:34">
      <c r="A54" s="4">
        <v>45</v>
      </c>
      <c r="B54" s="55">
        <f>'NOVEDADES EMPLEADOS'!B48</f>
        <v>0</v>
      </c>
      <c r="C54" s="56">
        <f>'NOVEDADES EMPLEADOS'!C48</f>
        <v>0</v>
      </c>
      <c r="D54" s="57">
        <f>IFERROR(VLOOKUP(B54,'NOVEDADES EMPLEADOS'!$B$3:$D$53,3,FALSE),0)</f>
        <v>0</v>
      </c>
      <c r="E54" s="58">
        <f>IFERROR(VLOOKUP(B54,'NOVEDADES EMPLEADOS'!$B$3:$E$53,4,FALSE),)</f>
        <v>0</v>
      </c>
      <c r="F54" s="59">
        <f>'NOVEDADES EMPLEADOS'!G48</f>
        <v>0</v>
      </c>
      <c r="G54" s="59">
        <f>'NOVEDADES EMPLEADOS'!H48</f>
        <v>0</v>
      </c>
      <c r="H54" s="40">
        <f>Tabla7[[#This Row],[Sueldo]]+Tabla7[[#This Row],[Incapacidad2]]+Tabla7[[#This Row],[Total HE y Recargos]]+Tabla7[[#This Row],[Comisiones]]+Tabla7[[#This Row],[Bonificaciones]]</f>
        <v>0</v>
      </c>
      <c r="I54" s="60">
        <f>IF((Tabla7[[#This Row],[Salario Basico]]/30)*66.66%&lt;DATOS!$C$10,DATOS!$C$10*Tabla7[[#This Row],[Incapacidad]],((Tabla7[[#This Row],[Salario Basico]]/30)*66.66%)*Tabla7[[#This Row],[Incapacidad]])</f>
        <v>0</v>
      </c>
      <c r="J54" s="60">
        <f t="shared" si="0"/>
        <v>0</v>
      </c>
      <c r="K54" s="61">
        <f>(IF(AND(E54+T54&lt;=DATOS!$C$8,J54+T54&gt;0),DATOS!$C$7,0)/30)*(G54-'NOVEDADES EMPLEADOS'!I48)</f>
        <v>0</v>
      </c>
      <c r="L54" s="61">
        <f>IFERROR(($E54/230)*'NOVEDADES EMPLEADOS'!L48,)*DATOS!$C$12</f>
        <v>0</v>
      </c>
      <c r="M54" s="58">
        <f>IFERROR(($E54/230)*'NOVEDADES EMPLEADOS'!M48,)*DATOS!$C$13</f>
        <v>0</v>
      </c>
      <c r="N54" s="61">
        <f>IFERROR(($E54/230)*'NOVEDADES EMPLEADOS'!N48,)*DATOS!$C$14</f>
        <v>0</v>
      </c>
      <c r="O54" s="61">
        <f>IFERROR(($E54/230)*'NOVEDADES EMPLEADOS'!O48,)*DATOS!$C$15</f>
        <v>0</v>
      </c>
      <c r="P54" s="61">
        <f>IFERROR(($E54/230)*'NOVEDADES EMPLEADOS'!P48,)*DATOS!$C$16</f>
        <v>0</v>
      </c>
      <c r="Q54" s="61">
        <f>IFERROR(($E54/230)*'NOVEDADES EMPLEADOS'!Q48,)*DATOS!$C$17</f>
        <v>0</v>
      </c>
      <c r="R54" s="61">
        <f>IFERROR(($E54/230)*'NOVEDADES EMPLEADOS'!R48,)*DATOS!$C$18</f>
        <v>0</v>
      </c>
      <c r="S54" s="61">
        <f t="shared" si="1"/>
        <v>0</v>
      </c>
      <c r="T54" s="61">
        <f>'NOVEDADES EMPLEADOS'!S48*'NOVEDADES EMPLEADOS'!T48</f>
        <v>0</v>
      </c>
      <c r="U54" s="61">
        <f>'NOVEDADES EMPLEADOS'!U48</f>
        <v>0</v>
      </c>
      <c r="V54" s="49">
        <f t="shared" si="5"/>
        <v>0</v>
      </c>
      <c r="W54" s="61">
        <f>H54*DATOS!$F$6</f>
        <v>0</v>
      </c>
      <c r="X54" s="61">
        <f>H54*DATOS!$F$8</f>
        <v>0</v>
      </c>
      <c r="Y54" s="61">
        <f>IF(AND(E54&gt;=DATOS!$B$22,E54&lt;=DATOS!$B$23),NÓMINA!V54*DATOS!$C$22,IF(AND(E54&gt;=DATOS!$B$24,E54&lt;=DATOS!B79),NÓMINA!V54*DATOS!$C$24,IF(AND(E54&gt;=DATOS!$B$26,E54&lt;=DATOS!$B$27),NÓMINA!V54*DATOS!$C$27,IF(AND(E54&gt;=DATOS!$B$28,E54&lt;=DATOS!$B$29),NÓMINA!V54*DATOS!$C$29,IF(AND(E54&gt;=DATOS!$B$30,E54&lt;=DATOS!$B$31),NÓMINA!V54*DATOS!$C$31,IF(AND(E54&gt;=DATOS!$B$32),NÓMINA!V54*DATOS!$C$32,0))))))</f>
        <v>0</v>
      </c>
      <c r="Z54" s="61"/>
      <c r="AA54" s="61">
        <f>'NOVEDADES EMPLEADOS'!V48</f>
        <v>0</v>
      </c>
      <c r="AB54" s="61">
        <f>'NOVEDADES EMPLEADOS'!W48</f>
        <v>0</v>
      </c>
      <c r="AC54" s="61">
        <f>'NOVEDADES EMPLEADOS'!X48</f>
        <v>0</v>
      </c>
      <c r="AD54" s="61">
        <f>'NOVEDADES EMPLEADOS'!Y48</f>
        <v>0</v>
      </c>
      <c r="AE54" s="49">
        <f t="shared" si="3"/>
        <v>0</v>
      </c>
      <c r="AF54" s="54">
        <f t="shared" si="6"/>
        <v>0</v>
      </c>
    </row>
    <row r="55" spans="1:34">
      <c r="A55" s="4">
        <v>46</v>
      </c>
      <c r="B55" s="55">
        <f>'NOVEDADES EMPLEADOS'!B49</f>
        <v>0</v>
      </c>
      <c r="C55" s="56">
        <f>'NOVEDADES EMPLEADOS'!C49</f>
        <v>0</v>
      </c>
      <c r="D55" s="57">
        <f>IFERROR(VLOOKUP(B55,'NOVEDADES EMPLEADOS'!$B$3:$D$53,3,FALSE),0)</f>
        <v>0</v>
      </c>
      <c r="E55" s="58">
        <f>IFERROR(VLOOKUP(B55,'NOVEDADES EMPLEADOS'!$B$3:$E$53,4,FALSE),)</f>
        <v>0</v>
      </c>
      <c r="F55" s="59">
        <f>'NOVEDADES EMPLEADOS'!G49</f>
        <v>0</v>
      </c>
      <c r="G55" s="59">
        <f>'NOVEDADES EMPLEADOS'!H49</f>
        <v>0</v>
      </c>
      <c r="H55" s="40">
        <f>Tabla7[[#This Row],[Sueldo]]+Tabla7[[#This Row],[Incapacidad2]]+Tabla7[[#This Row],[Total HE y Recargos]]+Tabla7[[#This Row],[Comisiones]]+Tabla7[[#This Row],[Bonificaciones]]</f>
        <v>0</v>
      </c>
      <c r="I55" s="60">
        <f>IF((Tabla7[[#This Row],[Salario Basico]]/30)*66.66%&lt;DATOS!$C$10,DATOS!$C$10*Tabla7[[#This Row],[Incapacidad]],((Tabla7[[#This Row],[Salario Basico]]/30)*66.66%)*Tabla7[[#This Row],[Incapacidad]])</f>
        <v>0</v>
      </c>
      <c r="J55" s="60">
        <f t="shared" si="0"/>
        <v>0</v>
      </c>
      <c r="K55" s="61">
        <f>(IF(AND(E55+T55&lt;=DATOS!$C$8,J55+T55&gt;0),DATOS!$C$7,0)/30)*(G55-'NOVEDADES EMPLEADOS'!I49)</f>
        <v>0</v>
      </c>
      <c r="L55" s="61">
        <f>IFERROR(($E55/230)*'NOVEDADES EMPLEADOS'!L49,)*DATOS!$C$12</f>
        <v>0</v>
      </c>
      <c r="M55" s="58">
        <f>IFERROR(($E55/230)*'NOVEDADES EMPLEADOS'!M49,)*DATOS!$C$13</f>
        <v>0</v>
      </c>
      <c r="N55" s="61">
        <f>IFERROR(($E55/230)*'NOVEDADES EMPLEADOS'!N49,)*DATOS!$C$14</f>
        <v>0</v>
      </c>
      <c r="O55" s="61">
        <f>IFERROR(($E55/230)*'NOVEDADES EMPLEADOS'!O49,)*DATOS!$C$15</f>
        <v>0</v>
      </c>
      <c r="P55" s="61">
        <f>IFERROR(($E55/230)*'NOVEDADES EMPLEADOS'!P49,)*DATOS!$C$16</f>
        <v>0</v>
      </c>
      <c r="Q55" s="61">
        <f>IFERROR(($E55/230)*'NOVEDADES EMPLEADOS'!Q49,)*DATOS!$C$17</f>
        <v>0</v>
      </c>
      <c r="R55" s="61">
        <f>IFERROR(($E55/230)*'NOVEDADES EMPLEADOS'!R49,)*DATOS!$C$18</f>
        <v>0</v>
      </c>
      <c r="S55" s="61">
        <f t="shared" si="1"/>
        <v>0</v>
      </c>
      <c r="T55" s="61">
        <f>'NOVEDADES EMPLEADOS'!S49*'NOVEDADES EMPLEADOS'!T49</f>
        <v>0</v>
      </c>
      <c r="U55" s="61">
        <f>'NOVEDADES EMPLEADOS'!U49</f>
        <v>0</v>
      </c>
      <c r="V55" s="49">
        <f t="shared" si="5"/>
        <v>0</v>
      </c>
      <c r="W55" s="61">
        <f>H55*DATOS!$F$6</f>
        <v>0</v>
      </c>
      <c r="X55" s="61">
        <f>H55*DATOS!$F$8</f>
        <v>0</v>
      </c>
      <c r="Y55" s="61">
        <f>IF(AND(E55&gt;=DATOS!$B$22,E55&lt;=DATOS!$B$23),NÓMINA!V55*DATOS!$C$22,IF(AND(E55&gt;=DATOS!$B$24,E55&lt;=DATOS!B80),NÓMINA!V55*DATOS!$C$24,IF(AND(E55&gt;=DATOS!$B$26,E55&lt;=DATOS!$B$27),NÓMINA!V55*DATOS!$C$27,IF(AND(E55&gt;=DATOS!$B$28,E55&lt;=DATOS!$B$29),NÓMINA!V55*DATOS!$C$29,IF(AND(E55&gt;=DATOS!$B$30,E55&lt;=DATOS!$B$31),NÓMINA!V55*DATOS!$C$31,IF(AND(E55&gt;=DATOS!$B$32),NÓMINA!V55*DATOS!$C$32,0))))))</f>
        <v>0</v>
      </c>
      <c r="Z55" s="61"/>
      <c r="AA55" s="61">
        <f>'NOVEDADES EMPLEADOS'!V49</f>
        <v>0</v>
      </c>
      <c r="AB55" s="61">
        <f>'NOVEDADES EMPLEADOS'!W49</f>
        <v>0</v>
      </c>
      <c r="AC55" s="61">
        <f>'NOVEDADES EMPLEADOS'!X49</f>
        <v>0</v>
      </c>
      <c r="AD55" s="61">
        <f>'NOVEDADES EMPLEADOS'!Y49</f>
        <v>0</v>
      </c>
      <c r="AE55" s="49">
        <f t="shared" si="3"/>
        <v>0</v>
      </c>
      <c r="AF55" s="54">
        <f t="shared" si="6"/>
        <v>0</v>
      </c>
    </row>
    <row r="56" spans="1:34">
      <c r="A56" s="4">
        <v>47</v>
      </c>
      <c r="B56" s="55">
        <f>'NOVEDADES EMPLEADOS'!B50</f>
        <v>0</v>
      </c>
      <c r="C56" s="56">
        <f>'NOVEDADES EMPLEADOS'!C50</f>
        <v>0</v>
      </c>
      <c r="D56" s="57">
        <f>IFERROR(VLOOKUP(B56,'NOVEDADES EMPLEADOS'!$B$3:$D$53,3,FALSE),0)</f>
        <v>0</v>
      </c>
      <c r="E56" s="58">
        <f>IFERROR(VLOOKUP(B56,'NOVEDADES EMPLEADOS'!$B$3:$E$53,4,FALSE),)</f>
        <v>0</v>
      </c>
      <c r="F56" s="59">
        <f>'NOVEDADES EMPLEADOS'!G50</f>
        <v>0</v>
      </c>
      <c r="G56" s="59">
        <f>'NOVEDADES EMPLEADOS'!H50</f>
        <v>0</v>
      </c>
      <c r="H56" s="40">
        <f>Tabla7[[#This Row],[Sueldo]]+Tabla7[[#This Row],[Incapacidad2]]+Tabla7[[#This Row],[Total HE y Recargos]]+Tabla7[[#This Row],[Comisiones]]+Tabla7[[#This Row],[Bonificaciones]]</f>
        <v>0</v>
      </c>
      <c r="I56" s="60">
        <f>IF((Tabla7[[#This Row],[Salario Basico]]/30)*66.66%&lt;DATOS!$C$10,DATOS!$C$10*Tabla7[[#This Row],[Incapacidad]],((Tabla7[[#This Row],[Salario Basico]]/30)*66.66%)*Tabla7[[#This Row],[Incapacidad]])</f>
        <v>0</v>
      </c>
      <c r="J56" s="60">
        <f t="shared" si="0"/>
        <v>0</v>
      </c>
      <c r="K56" s="61">
        <f>(IF(AND(E56+T56&lt;=DATOS!$C$8,J56+T56&gt;0),DATOS!$C$7,0)/30)*(G56-'NOVEDADES EMPLEADOS'!I50)</f>
        <v>0</v>
      </c>
      <c r="L56" s="61">
        <f>IFERROR(($E56/230)*'NOVEDADES EMPLEADOS'!L50,)*DATOS!$C$12</f>
        <v>0</v>
      </c>
      <c r="M56" s="58">
        <f>IFERROR(($E56/230)*'NOVEDADES EMPLEADOS'!M50,)*DATOS!$C$13</f>
        <v>0</v>
      </c>
      <c r="N56" s="61">
        <f>IFERROR(($E56/230)*'NOVEDADES EMPLEADOS'!N50,)*DATOS!$C$14</f>
        <v>0</v>
      </c>
      <c r="O56" s="61">
        <f>IFERROR(($E56/230)*'NOVEDADES EMPLEADOS'!O50,)*DATOS!$C$15</f>
        <v>0</v>
      </c>
      <c r="P56" s="61">
        <f>IFERROR(($E56/230)*'NOVEDADES EMPLEADOS'!P50,)*DATOS!$C$16</f>
        <v>0</v>
      </c>
      <c r="Q56" s="61">
        <f>IFERROR(($E56/230)*'NOVEDADES EMPLEADOS'!Q50,)*DATOS!$C$17</f>
        <v>0</v>
      </c>
      <c r="R56" s="61">
        <f>IFERROR(($E56/230)*'NOVEDADES EMPLEADOS'!R50,)*DATOS!$C$18</f>
        <v>0</v>
      </c>
      <c r="S56" s="61">
        <f t="shared" si="1"/>
        <v>0</v>
      </c>
      <c r="T56" s="61">
        <f>'NOVEDADES EMPLEADOS'!S50*'NOVEDADES EMPLEADOS'!T50</f>
        <v>0</v>
      </c>
      <c r="U56" s="61">
        <f>'NOVEDADES EMPLEADOS'!U50</f>
        <v>0</v>
      </c>
      <c r="V56" s="49">
        <f t="shared" si="5"/>
        <v>0</v>
      </c>
      <c r="W56" s="61">
        <f>H56*DATOS!$F$6</f>
        <v>0</v>
      </c>
      <c r="X56" s="61">
        <f>H56*DATOS!$F$8</f>
        <v>0</v>
      </c>
      <c r="Y56" s="61">
        <f>IF(AND(E56&gt;=DATOS!$B$22,E56&lt;=DATOS!$B$23),NÓMINA!V56*DATOS!$C$22,IF(AND(E56&gt;=DATOS!$B$24,E56&lt;=DATOS!B81),NÓMINA!V56*DATOS!$C$24,IF(AND(E56&gt;=DATOS!$B$26,E56&lt;=DATOS!$B$27),NÓMINA!V56*DATOS!$C$27,IF(AND(E56&gt;=DATOS!$B$28,E56&lt;=DATOS!$B$29),NÓMINA!V56*DATOS!$C$29,IF(AND(E56&gt;=DATOS!$B$30,E56&lt;=DATOS!$B$31),NÓMINA!V56*DATOS!$C$31,IF(AND(E56&gt;=DATOS!$B$32),NÓMINA!V56*DATOS!$C$32,0))))))</f>
        <v>0</v>
      </c>
      <c r="Z56" s="61"/>
      <c r="AA56" s="61">
        <f>'NOVEDADES EMPLEADOS'!V50</f>
        <v>0</v>
      </c>
      <c r="AB56" s="61">
        <f>'NOVEDADES EMPLEADOS'!W50</f>
        <v>0</v>
      </c>
      <c r="AC56" s="61">
        <f>'NOVEDADES EMPLEADOS'!X50</f>
        <v>0</v>
      </c>
      <c r="AD56" s="61">
        <f>'NOVEDADES EMPLEADOS'!Y50</f>
        <v>0</v>
      </c>
      <c r="AE56" s="49">
        <f t="shared" si="3"/>
        <v>0</v>
      </c>
      <c r="AF56" s="54">
        <f t="shared" si="6"/>
        <v>0</v>
      </c>
    </row>
    <row r="57" spans="1:34">
      <c r="A57" s="4">
        <v>48</v>
      </c>
      <c r="B57" s="55">
        <f>'NOVEDADES EMPLEADOS'!B51</f>
        <v>0</v>
      </c>
      <c r="C57" s="56">
        <f>'NOVEDADES EMPLEADOS'!C51</f>
        <v>0</v>
      </c>
      <c r="D57" s="57">
        <f>IFERROR(VLOOKUP(B57,'NOVEDADES EMPLEADOS'!$B$3:$D$53,3,FALSE),0)</f>
        <v>0</v>
      </c>
      <c r="E57" s="58">
        <f>IFERROR(VLOOKUP(B57,'NOVEDADES EMPLEADOS'!$B$3:$E$53,4,FALSE),)</f>
        <v>0</v>
      </c>
      <c r="F57" s="59">
        <f>'NOVEDADES EMPLEADOS'!G51</f>
        <v>0</v>
      </c>
      <c r="G57" s="59">
        <f>'NOVEDADES EMPLEADOS'!H51</f>
        <v>0</v>
      </c>
      <c r="H57" s="40">
        <f>Tabla7[[#This Row],[Sueldo]]+Tabla7[[#This Row],[Incapacidad2]]+Tabla7[[#This Row],[Total HE y Recargos]]+Tabla7[[#This Row],[Comisiones]]+Tabla7[[#This Row],[Bonificaciones]]</f>
        <v>0</v>
      </c>
      <c r="I57" s="60">
        <f>IF((Tabla7[[#This Row],[Salario Basico]]/30)*66.66%&lt;DATOS!$C$10,DATOS!$C$10*Tabla7[[#This Row],[Incapacidad]],((Tabla7[[#This Row],[Salario Basico]]/30)*66.66%)*Tabla7[[#This Row],[Incapacidad]])</f>
        <v>0</v>
      </c>
      <c r="J57" s="60">
        <f t="shared" si="0"/>
        <v>0</v>
      </c>
      <c r="K57" s="61">
        <f>(IF(AND(E57+T57&lt;=DATOS!$C$8,J57+T57&gt;0),DATOS!$C$7,0)/30)*(G57-'NOVEDADES EMPLEADOS'!I51)</f>
        <v>0</v>
      </c>
      <c r="L57" s="61">
        <f>IFERROR(($E57/230)*'NOVEDADES EMPLEADOS'!L51,)*DATOS!$C$12</f>
        <v>0</v>
      </c>
      <c r="M57" s="58">
        <f>IFERROR(($E57/230)*'NOVEDADES EMPLEADOS'!M51,)*DATOS!$C$13</f>
        <v>0</v>
      </c>
      <c r="N57" s="61">
        <f>IFERROR(($E57/230)*'NOVEDADES EMPLEADOS'!N51,)*DATOS!$C$14</f>
        <v>0</v>
      </c>
      <c r="O57" s="61">
        <f>IFERROR(($E57/230)*'NOVEDADES EMPLEADOS'!O51,)*DATOS!$C$15</f>
        <v>0</v>
      </c>
      <c r="P57" s="61">
        <f>IFERROR(($E57/230)*'NOVEDADES EMPLEADOS'!P51,)*DATOS!$C$16</f>
        <v>0</v>
      </c>
      <c r="Q57" s="61">
        <f>IFERROR(($E57/230)*'NOVEDADES EMPLEADOS'!Q51,)*DATOS!$C$17</f>
        <v>0</v>
      </c>
      <c r="R57" s="61">
        <f>IFERROR(($E57/230)*'NOVEDADES EMPLEADOS'!R51,)*DATOS!$C$18</f>
        <v>0</v>
      </c>
      <c r="S57" s="61">
        <f t="shared" si="1"/>
        <v>0</v>
      </c>
      <c r="T57" s="61">
        <f>'NOVEDADES EMPLEADOS'!S51*'NOVEDADES EMPLEADOS'!T51</f>
        <v>0</v>
      </c>
      <c r="U57" s="61">
        <f>'NOVEDADES EMPLEADOS'!U51</f>
        <v>0</v>
      </c>
      <c r="V57" s="49">
        <f t="shared" si="5"/>
        <v>0</v>
      </c>
      <c r="W57" s="61">
        <f>H57*DATOS!$F$6</f>
        <v>0</v>
      </c>
      <c r="X57" s="61">
        <f>H57*DATOS!$F$8</f>
        <v>0</v>
      </c>
      <c r="Y57" s="61">
        <f>IF(AND(E57&gt;=DATOS!$B$22,E57&lt;=DATOS!$B$23),NÓMINA!V57*DATOS!$C$22,IF(AND(E57&gt;=DATOS!$B$24,E57&lt;=DATOS!B82),NÓMINA!V57*DATOS!$C$24,IF(AND(E57&gt;=DATOS!$B$26,E57&lt;=DATOS!$B$27),NÓMINA!V57*DATOS!$C$27,IF(AND(E57&gt;=DATOS!$B$28,E57&lt;=DATOS!$B$29),NÓMINA!V57*DATOS!$C$29,IF(AND(E57&gt;=DATOS!$B$30,E57&lt;=DATOS!$B$31),NÓMINA!V57*DATOS!$C$31,IF(AND(E57&gt;=DATOS!$B$32),NÓMINA!V57*DATOS!$C$32,0))))))</f>
        <v>0</v>
      </c>
      <c r="Z57" s="61"/>
      <c r="AA57" s="61">
        <f>'NOVEDADES EMPLEADOS'!V51</f>
        <v>0</v>
      </c>
      <c r="AB57" s="61">
        <f>'NOVEDADES EMPLEADOS'!W51</f>
        <v>0</v>
      </c>
      <c r="AC57" s="61">
        <f>'NOVEDADES EMPLEADOS'!X51</f>
        <v>0</v>
      </c>
      <c r="AD57" s="61">
        <f>'NOVEDADES EMPLEADOS'!Y51</f>
        <v>0</v>
      </c>
      <c r="AE57" s="49">
        <f t="shared" si="3"/>
        <v>0</v>
      </c>
      <c r="AF57" s="54">
        <f t="shared" si="6"/>
        <v>0</v>
      </c>
    </row>
    <row r="58" spans="1:34">
      <c r="A58" s="4">
        <v>49</v>
      </c>
      <c r="B58" s="55">
        <f>'NOVEDADES EMPLEADOS'!B52</f>
        <v>0</v>
      </c>
      <c r="C58" s="56">
        <f>'NOVEDADES EMPLEADOS'!C52</f>
        <v>0</v>
      </c>
      <c r="D58" s="57">
        <f>IFERROR(VLOOKUP(B58,'NOVEDADES EMPLEADOS'!$B$3:$D$53,3,FALSE),0)</f>
        <v>0</v>
      </c>
      <c r="E58" s="58">
        <f>IFERROR(VLOOKUP(B58,'NOVEDADES EMPLEADOS'!$B$3:$E$53,4,FALSE),)</f>
        <v>0</v>
      </c>
      <c r="F58" s="59">
        <f>'NOVEDADES EMPLEADOS'!G52</f>
        <v>0</v>
      </c>
      <c r="G58" s="59">
        <f>'NOVEDADES EMPLEADOS'!H52</f>
        <v>0</v>
      </c>
      <c r="H58" s="40">
        <f>Tabla7[[#This Row],[Sueldo]]+Tabla7[[#This Row],[Incapacidad2]]+Tabla7[[#This Row],[Total HE y Recargos]]+Tabla7[[#This Row],[Comisiones]]+Tabla7[[#This Row],[Bonificaciones]]</f>
        <v>0</v>
      </c>
      <c r="I58" s="60">
        <f>IF((Tabla7[[#This Row],[Salario Basico]]/30)*66.66%&lt;DATOS!$C$10,DATOS!$C$10*Tabla7[[#This Row],[Incapacidad]],((Tabla7[[#This Row],[Salario Basico]]/30)*66.66%)*Tabla7[[#This Row],[Incapacidad]])</f>
        <v>0</v>
      </c>
      <c r="J58" s="60">
        <f t="shared" si="0"/>
        <v>0</v>
      </c>
      <c r="K58" s="61">
        <f>(IF(AND(E58+T58&lt;=DATOS!$C$8,J58+T58&gt;0),DATOS!$C$7,0)/30)*(G58-'NOVEDADES EMPLEADOS'!I52)</f>
        <v>0</v>
      </c>
      <c r="L58" s="61">
        <f>IFERROR(($E58/230)*'NOVEDADES EMPLEADOS'!L52,)*DATOS!$C$12</f>
        <v>0</v>
      </c>
      <c r="M58" s="58">
        <f>IFERROR(($E58/230)*'NOVEDADES EMPLEADOS'!M52,)*DATOS!$C$13</f>
        <v>0</v>
      </c>
      <c r="N58" s="61">
        <f>IFERROR(($E58/230)*'NOVEDADES EMPLEADOS'!N52,)*DATOS!$C$14</f>
        <v>0</v>
      </c>
      <c r="O58" s="61">
        <f>IFERROR(($E58/230)*'NOVEDADES EMPLEADOS'!O52,)*DATOS!$C$15</f>
        <v>0</v>
      </c>
      <c r="P58" s="61">
        <f>IFERROR(($E58/230)*'NOVEDADES EMPLEADOS'!P52,)*DATOS!$C$16</f>
        <v>0</v>
      </c>
      <c r="Q58" s="61">
        <f>IFERROR(($E58/230)*'NOVEDADES EMPLEADOS'!Q52,)*DATOS!$C$17</f>
        <v>0</v>
      </c>
      <c r="R58" s="61">
        <f>IFERROR(($E58/230)*'NOVEDADES EMPLEADOS'!R52,)*DATOS!$C$18</f>
        <v>0</v>
      </c>
      <c r="S58" s="61">
        <f t="shared" si="1"/>
        <v>0</v>
      </c>
      <c r="T58" s="61">
        <f>'NOVEDADES EMPLEADOS'!S52*'NOVEDADES EMPLEADOS'!T52</f>
        <v>0</v>
      </c>
      <c r="U58" s="61">
        <f>'NOVEDADES EMPLEADOS'!U52</f>
        <v>0</v>
      </c>
      <c r="V58" s="49">
        <f t="shared" si="5"/>
        <v>0</v>
      </c>
      <c r="W58" s="61">
        <f>H58*DATOS!$F$6</f>
        <v>0</v>
      </c>
      <c r="X58" s="61">
        <f>H58*DATOS!$F$8</f>
        <v>0</v>
      </c>
      <c r="Y58" s="61">
        <f>IF(AND(E58&gt;=DATOS!$B$22,E58&lt;=DATOS!$B$23),NÓMINA!V58*DATOS!$C$22,IF(AND(E58&gt;=DATOS!$B$24,E58&lt;=DATOS!B83),NÓMINA!V58*DATOS!$C$24,IF(AND(E58&gt;=DATOS!$B$26,E58&lt;=DATOS!$B$27),NÓMINA!V58*DATOS!$C$27,IF(AND(E58&gt;=DATOS!$B$28,E58&lt;=DATOS!$B$29),NÓMINA!V58*DATOS!$C$29,IF(AND(E58&gt;=DATOS!$B$30,E58&lt;=DATOS!$B$31),NÓMINA!V58*DATOS!$C$31,IF(AND(E58&gt;=DATOS!$B$32),NÓMINA!V58*DATOS!$C$32,0))))))</f>
        <v>0</v>
      </c>
      <c r="Z58" s="61"/>
      <c r="AA58" s="61">
        <f>'NOVEDADES EMPLEADOS'!V52</f>
        <v>0</v>
      </c>
      <c r="AB58" s="61">
        <f>'NOVEDADES EMPLEADOS'!W52</f>
        <v>0</v>
      </c>
      <c r="AC58" s="61">
        <f>'NOVEDADES EMPLEADOS'!X52</f>
        <v>0</v>
      </c>
      <c r="AD58" s="61">
        <f>'NOVEDADES EMPLEADOS'!Y52</f>
        <v>0</v>
      </c>
      <c r="AE58" s="49">
        <f t="shared" si="3"/>
        <v>0</v>
      </c>
      <c r="AF58" s="54">
        <f t="shared" si="6"/>
        <v>0</v>
      </c>
    </row>
    <row r="59" spans="1:34">
      <c r="A59" s="4">
        <v>50</v>
      </c>
      <c r="B59" s="55">
        <f>'NOVEDADES EMPLEADOS'!B53</f>
        <v>0</v>
      </c>
      <c r="C59" s="56">
        <f>'NOVEDADES EMPLEADOS'!C53</f>
        <v>0</v>
      </c>
      <c r="D59" s="57">
        <f>IFERROR(VLOOKUP(B59,'NOVEDADES EMPLEADOS'!$B$3:$D$53,3,FALSE),0)</f>
        <v>0</v>
      </c>
      <c r="E59" s="58">
        <f>IFERROR(VLOOKUP(B59,'NOVEDADES EMPLEADOS'!$B$3:$E$53,4,FALSE),)</f>
        <v>0</v>
      </c>
      <c r="F59" s="59">
        <f>'NOVEDADES EMPLEADOS'!G53</f>
        <v>0</v>
      </c>
      <c r="G59" s="59">
        <f>'NOVEDADES EMPLEADOS'!H53</f>
        <v>0</v>
      </c>
      <c r="H59" s="40">
        <f>Tabla7[[#This Row],[Sueldo]]+Tabla7[[#This Row],[Incapacidad2]]+Tabla7[[#This Row],[Total HE y Recargos]]+Tabla7[[#This Row],[Comisiones]]+Tabla7[[#This Row],[Bonificaciones]]</f>
        <v>0</v>
      </c>
      <c r="I59" s="60">
        <f>IF((Tabla7[[#This Row],[Salario Basico]]/30)*66.66%&lt;DATOS!$C$10,DATOS!$C$10*Tabla7[[#This Row],[Incapacidad]],((Tabla7[[#This Row],[Salario Basico]]/30)*66.66%)*Tabla7[[#This Row],[Incapacidad]])</f>
        <v>0</v>
      </c>
      <c r="J59" s="60">
        <f t="shared" si="0"/>
        <v>0</v>
      </c>
      <c r="K59" s="61">
        <f>(IF(AND(E59+T59&lt;=DATOS!$C$8,J59+T59&gt;0),DATOS!$C$7,0)/30)*(G59-'NOVEDADES EMPLEADOS'!I53)</f>
        <v>0</v>
      </c>
      <c r="L59" s="61">
        <f>IFERROR(($E59/230)*'NOVEDADES EMPLEADOS'!L53,)*DATOS!$C$12</f>
        <v>0</v>
      </c>
      <c r="M59" s="58">
        <f>IFERROR(($E59/230)*'NOVEDADES EMPLEADOS'!M53,)*DATOS!$C$13</f>
        <v>0</v>
      </c>
      <c r="N59" s="61">
        <f>IFERROR(($E59/230)*'NOVEDADES EMPLEADOS'!N53,)*DATOS!$C$14</f>
        <v>0</v>
      </c>
      <c r="O59" s="61">
        <f>IFERROR(($E59/230)*'NOVEDADES EMPLEADOS'!O53,)*DATOS!$C$15</f>
        <v>0</v>
      </c>
      <c r="P59" s="61">
        <f>IFERROR(($E59/230)*'NOVEDADES EMPLEADOS'!P53,)*DATOS!$C$16</f>
        <v>0</v>
      </c>
      <c r="Q59" s="61">
        <f>IFERROR(($E59/230)*'NOVEDADES EMPLEADOS'!Q53,)*DATOS!$C$17</f>
        <v>0</v>
      </c>
      <c r="R59" s="61">
        <f>IFERROR(($E59/230)*'NOVEDADES EMPLEADOS'!R53,)*DATOS!$C$18</f>
        <v>0</v>
      </c>
      <c r="S59" s="61">
        <f t="shared" si="1"/>
        <v>0</v>
      </c>
      <c r="T59" s="61">
        <f>'NOVEDADES EMPLEADOS'!S53*'NOVEDADES EMPLEADOS'!T53</f>
        <v>0</v>
      </c>
      <c r="U59" s="61">
        <f>'NOVEDADES EMPLEADOS'!U53</f>
        <v>0</v>
      </c>
      <c r="V59" s="49">
        <f t="shared" si="5"/>
        <v>0</v>
      </c>
      <c r="W59" s="61">
        <f>H59*DATOS!$F$6</f>
        <v>0</v>
      </c>
      <c r="X59" s="61">
        <f>H59*DATOS!$F$8</f>
        <v>0</v>
      </c>
      <c r="Y59" s="61">
        <f>IF(AND(E59&gt;=DATOS!$B$22,E59&lt;=DATOS!$B$23),NÓMINA!V59*DATOS!$C$22,IF(AND(E59&gt;=DATOS!$B$24,E59&lt;=DATOS!B84),NÓMINA!V59*DATOS!$C$24,IF(AND(E59&gt;=DATOS!$B$26,E59&lt;=DATOS!$B$27),NÓMINA!V59*DATOS!$C$27,IF(AND(E59&gt;=DATOS!$B$28,E59&lt;=DATOS!$B$29),NÓMINA!V59*DATOS!$C$29,IF(AND(E59&gt;=DATOS!$B$30,E59&lt;=DATOS!$B$31),NÓMINA!V59*DATOS!$C$31,IF(AND(E59&gt;=DATOS!$B$32),NÓMINA!V59*DATOS!$C$32,0))))))</f>
        <v>0</v>
      </c>
      <c r="Z59" s="61"/>
      <c r="AA59" s="61">
        <f>'NOVEDADES EMPLEADOS'!V53</f>
        <v>0</v>
      </c>
      <c r="AB59" s="61">
        <f>'NOVEDADES EMPLEADOS'!W53</f>
        <v>0</v>
      </c>
      <c r="AC59" s="61">
        <f>'NOVEDADES EMPLEADOS'!X53</f>
        <v>0</v>
      </c>
      <c r="AD59" s="61">
        <f>'NOVEDADES EMPLEADOS'!Y53</f>
        <v>0</v>
      </c>
      <c r="AE59" s="49">
        <f t="shared" si="3"/>
        <v>0</v>
      </c>
      <c r="AF59" s="54">
        <f t="shared" si="6"/>
        <v>0</v>
      </c>
    </row>
    <row r="60" spans="1:34">
      <c r="B60" s="309" t="s">
        <v>131</v>
      </c>
      <c r="C60" s="310"/>
      <c r="D60" s="310"/>
      <c r="E60" s="23">
        <f>SUM(E10:E59)</f>
        <v>14730000</v>
      </c>
      <c r="F60" s="23"/>
      <c r="G60" s="23">
        <f t="shared" ref="G60:AF60" si="7">SUM(G10:G59)</f>
        <v>300</v>
      </c>
      <c r="H60" s="23">
        <f t="shared" si="7"/>
        <v>14730000</v>
      </c>
      <c r="I60" s="23">
        <f t="shared" si="7"/>
        <v>0</v>
      </c>
      <c r="J60" s="23">
        <f t="shared" si="7"/>
        <v>14730000</v>
      </c>
      <c r="K60" s="23">
        <f t="shared" si="7"/>
        <v>1620000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c r="U60" s="23">
        <f t="shared" si="7"/>
        <v>0</v>
      </c>
      <c r="V60" s="23">
        <f t="shared" si="7"/>
        <v>16350000</v>
      </c>
      <c r="W60" s="23">
        <f t="shared" si="7"/>
        <v>589200</v>
      </c>
      <c r="X60" s="23">
        <f t="shared" si="7"/>
        <v>589200</v>
      </c>
      <c r="Y60" s="23">
        <f t="shared" si="7"/>
        <v>0</v>
      </c>
      <c r="Z60" s="23">
        <f t="shared" si="7"/>
        <v>0</v>
      </c>
      <c r="AA60" s="23">
        <f t="shared" si="7"/>
        <v>0</v>
      </c>
      <c r="AB60" s="23">
        <f t="shared" si="7"/>
        <v>0</v>
      </c>
      <c r="AC60" s="23">
        <f t="shared" si="7"/>
        <v>0</v>
      </c>
      <c r="AD60" s="23">
        <f t="shared" si="7"/>
        <v>0</v>
      </c>
      <c r="AE60" s="23">
        <f t="shared" si="7"/>
        <v>1178400</v>
      </c>
      <c r="AF60" s="23">
        <f t="shared" si="7"/>
        <v>15171600</v>
      </c>
    </row>
    <row r="62" spans="1:34">
      <c r="E62" s="25"/>
      <c r="F62" s="25"/>
    </row>
    <row r="63" spans="1:34">
      <c r="AH63" s="4" t="s">
        <v>132</v>
      </c>
    </row>
  </sheetData>
  <sheetProtection selectLockedCells="1" selectUnlockedCells="1"/>
  <mergeCells count="7">
    <mergeCell ref="B2:D2"/>
    <mergeCell ref="W8:AE8"/>
    <mergeCell ref="B60:D60"/>
    <mergeCell ref="B5:C5"/>
    <mergeCell ref="B6:C6"/>
    <mergeCell ref="B3:C3"/>
    <mergeCell ref="B4:C4"/>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C1FC5-FED6-41CF-9D18-CF846934FE05}">
  <sheetPr codeName="Hoja8">
    <tabColor rgb="FF75F04A"/>
  </sheetPr>
  <dimension ref="A1:M1048576"/>
  <sheetViews>
    <sheetView showGridLines="0" zoomScale="110" zoomScaleNormal="110" workbookViewId="0">
      <selection activeCell="G22" sqref="G22"/>
    </sheetView>
  </sheetViews>
  <sheetFormatPr baseColWidth="10" defaultColWidth="0" defaultRowHeight="11.4" zeroHeight="1"/>
  <cols>
    <col min="1" max="1" width="2.109375" style="4" customWidth="1"/>
    <col min="2" max="2" width="2.6640625" style="4" customWidth="1"/>
    <col min="3" max="5" width="23.109375" style="4" customWidth="1"/>
    <col min="6" max="11" width="22" style="4" customWidth="1"/>
    <col min="12" max="12" width="1.6640625" style="4" customWidth="1"/>
    <col min="13" max="13" width="11.44140625" style="4" customWidth="1"/>
    <col min="14" max="16384" width="11.44140625" style="4" hidden="1"/>
  </cols>
  <sheetData>
    <row r="1" spans="2:11"/>
    <row r="2" spans="2:11" ht="25.2">
      <c r="C2" s="315" t="str">
        <f>DATOS!C2</f>
        <v>EDICAR</v>
      </c>
      <c r="D2" s="315"/>
      <c r="E2" s="315"/>
      <c r="F2" s="315"/>
    </row>
    <row r="3" spans="2:11" ht="12">
      <c r="C3" s="320" t="s">
        <v>111</v>
      </c>
      <c r="D3" s="321"/>
      <c r="E3" s="321"/>
      <c r="F3" s="15">
        <f>DATOS!C3</f>
        <v>1035851332</v>
      </c>
    </row>
    <row r="4" spans="2:11"/>
    <row r="5" spans="2:11" ht="12">
      <c r="C5" s="316" t="s">
        <v>164</v>
      </c>
      <c r="D5" s="316"/>
      <c r="E5" s="316"/>
      <c r="F5" s="316"/>
    </row>
    <row r="6" spans="2:11" ht="12">
      <c r="C6" s="317" t="s">
        <v>3</v>
      </c>
      <c r="D6" s="318"/>
      <c r="E6" s="319"/>
      <c r="F6" s="8">
        <f>DATOS!F2</f>
        <v>45536</v>
      </c>
    </row>
    <row r="7" spans="2:11" ht="12">
      <c r="C7" s="317" t="s">
        <v>5</v>
      </c>
      <c r="D7" s="318"/>
      <c r="E7" s="319"/>
      <c r="F7" s="8">
        <f>DATOS!F3</f>
        <v>45565</v>
      </c>
    </row>
    <row r="8" spans="2:11"/>
    <row r="9" spans="2:11" ht="12">
      <c r="C9" s="268" t="s">
        <v>84</v>
      </c>
      <c r="D9" s="269" t="s">
        <v>85</v>
      </c>
      <c r="E9" s="269" t="s">
        <v>67</v>
      </c>
      <c r="F9" s="269" t="s">
        <v>125</v>
      </c>
      <c r="G9" s="269" t="s">
        <v>126</v>
      </c>
      <c r="H9" s="269" t="s">
        <v>165</v>
      </c>
      <c r="I9" s="269" t="s">
        <v>22</v>
      </c>
      <c r="J9" s="269" t="s">
        <v>24</v>
      </c>
      <c r="K9" s="270" t="s">
        <v>166</v>
      </c>
    </row>
    <row r="10" spans="2:11">
      <c r="B10" s="4">
        <v>1</v>
      </c>
      <c r="C10" s="55">
        <f>'NOVEDADES EMPLEADOS'!B4</f>
        <v>1</v>
      </c>
      <c r="D10" s="56" t="str">
        <f>IFERROR(VLOOKUP(C10,'NOVEDADES EMPLEADOS'!$B$3:$H$53,2,FALSE),)</f>
        <v>DISNERIS AVEMARIA</v>
      </c>
      <c r="E10" s="56" t="str">
        <f>IFERROR(VLOOKUP(C10,'NOVEDADES EMPLEADOS'!$B$3:$H$53,3,0),)</f>
        <v>Operario de máquinas</v>
      </c>
      <c r="F10" s="61">
        <f>IF(Tabla7[[#This Row],[IBC]]&gt;DATOS!$C$9,Tabla7[[#This Row],[Total Devengado]]*8.5%,0)</f>
        <v>0</v>
      </c>
      <c r="G10" s="61">
        <f>NÓMINA!H10*DATOS!$F$9</f>
        <v>156000</v>
      </c>
      <c r="H10" s="61">
        <f>NÓMINA!H10*'NOVEDADES EMPLEADOS'!AA4</f>
        <v>6786</v>
      </c>
      <c r="I10" s="61">
        <f>IF(NÓMINA!H10&gt;=DATOS!$C$9,NÓMINA!H10*DATOS!$F$12,0)</f>
        <v>0</v>
      </c>
      <c r="J10" s="61">
        <f>IF(NÓMINA!H10&gt;=DATOS!$C$9,NÓMINA!H10*DATOS!$F$13,0)</f>
        <v>0</v>
      </c>
      <c r="K10" s="271">
        <f>NÓMINA!H10*DATOS!$F$14</f>
        <v>52000</v>
      </c>
    </row>
    <row r="11" spans="2:11">
      <c r="B11" s="4">
        <v>2</v>
      </c>
      <c r="C11" s="55">
        <f>'NOVEDADES EMPLEADOS'!B5</f>
        <v>2</v>
      </c>
      <c r="D11" s="56" t="str">
        <f>IFERROR(VLOOKUP(C11,'NOVEDADES EMPLEADOS'!$B$3:$H$53,2,FALSE),)</f>
        <v>YILIMAR</v>
      </c>
      <c r="E11" s="56" t="str">
        <f>IFERROR(VLOOKUP(C11,'NOVEDADES EMPLEADOS'!$B$3:$H$53,3,0),)</f>
        <v>Supervisor</v>
      </c>
      <c r="F11" s="61">
        <f>IF(Tabla7[[#This Row],[IBC]]&gt;DATOS!$C$9,Tabla7[[#This Row],[Total Devengado]]*8.5%,0)</f>
        <v>0</v>
      </c>
      <c r="G11" s="61">
        <f>NÓMINA!H11*DATOS!$F$9</f>
        <v>222000</v>
      </c>
      <c r="H11" s="61">
        <f>NÓMINA!H11*'NOVEDADES EMPLEADOS'!AA5</f>
        <v>19314</v>
      </c>
      <c r="I11" s="61">
        <f>IF(NÓMINA!H11&gt;=DATOS!$C$9,NÓMINA!H11*DATOS!$F$12,0)</f>
        <v>0</v>
      </c>
      <c r="J11" s="61">
        <f>IF(NÓMINA!H11&gt;=DATOS!$C$9,NÓMINA!H11*DATOS!$F$13,0)</f>
        <v>0</v>
      </c>
      <c r="K11" s="271">
        <f>NÓMINA!H11*DATOS!$F$14</f>
        <v>74000</v>
      </c>
    </row>
    <row r="12" spans="2:11">
      <c r="B12" s="4">
        <v>3</v>
      </c>
      <c r="C12" s="55">
        <f>'NOVEDADES EMPLEADOS'!B6</f>
        <v>3</v>
      </c>
      <c r="D12" s="56" t="str">
        <f>IFERROR(VLOOKUP(C12,'NOVEDADES EMPLEADOS'!$B$3:$H$53,2,FALSE),)</f>
        <v>SANDRA</v>
      </c>
      <c r="E12" s="56" t="str">
        <f>IFERROR(VLOOKUP(C12,'NOVEDADES EMPLEADOS'!$B$3:$H$53,3,0),)</f>
        <v>Patinador</v>
      </c>
      <c r="F12" s="61">
        <f>IF(Tabla7[[#This Row],[IBC]]&gt;DATOS!$C$9,Tabla7[[#This Row],[Total Devengado]]*8.5%,0)</f>
        <v>0</v>
      </c>
      <c r="G12" s="61">
        <f>NÓMINA!H12*DATOS!$F$9</f>
        <v>192000</v>
      </c>
      <c r="H12" s="61">
        <f>NÓMINA!H12*'NOVEDADES EMPLEADOS'!AA6</f>
        <v>8352</v>
      </c>
      <c r="I12" s="61">
        <f>IF(NÓMINA!H12&gt;=DATOS!$C$9,NÓMINA!H12*DATOS!$F$12,0)</f>
        <v>0</v>
      </c>
      <c r="J12" s="61">
        <f>IF(NÓMINA!H12&gt;=DATOS!$C$9,NÓMINA!H12*DATOS!$F$13,0)</f>
        <v>0</v>
      </c>
      <c r="K12" s="271">
        <f>NÓMINA!H12*DATOS!$F$14</f>
        <v>64000</v>
      </c>
    </row>
    <row r="13" spans="2:11">
      <c r="B13" s="4">
        <v>4</v>
      </c>
      <c r="C13" s="55">
        <f>'NOVEDADES EMPLEADOS'!B7</f>
        <v>4</v>
      </c>
      <c r="D13" s="56" t="str">
        <f>IFERROR(VLOOKUP(C13,'NOVEDADES EMPLEADOS'!$B$3:$H$53,2,FALSE),)</f>
        <v>DUVAN</v>
      </c>
      <c r="E13" s="56" t="str">
        <f>IFERROR(VLOOKUP(C13,'NOVEDADES EMPLEADOS'!$B$3:$H$53,3,0),)</f>
        <v>Operario de máquinas</v>
      </c>
      <c r="F13" s="61">
        <f>IF(Tabla7[[#This Row],[IBC]]&gt;DATOS!$C$9,Tabla7[[#This Row],[Total Devengado]]*8.5%,0)</f>
        <v>0</v>
      </c>
      <c r="G13" s="61">
        <f>NÓMINA!H13*DATOS!$F$9</f>
        <v>156000</v>
      </c>
      <c r="H13" s="61">
        <f>NÓMINA!H13*'NOVEDADES EMPLEADOS'!AA7</f>
        <v>6786</v>
      </c>
      <c r="I13" s="61">
        <f>IF(NÓMINA!H13&gt;=DATOS!$C$9,NÓMINA!H13*DATOS!$F$12,0)</f>
        <v>0</v>
      </c>
      <c r="J13" s="61">
        <f>IF(NÓMINA!H13&gt;=DATOS!$C$9,NÓMINA!H13*DATOS!$F$13,0)</f>
        <v>0</v>
      </c>
      <c r="K13" s="271">
        <f>NÓMINA!H13*DATOS!$F$14</f>
        <v>52000</v>
      </c>
    </row>
    <row r="14" spans="2:11">
      <c r="B14" s="4">
        <v>5</v>
      </c>
      <c r="C14" s="55">
        <f>'NOVEDADES EMPLEADOS'!B8</f>
        <v>5</v>
      </c>
      <c r="D14" s="56" t="str">
        <f>IFERROR(VLOOKUP(C14,'NOVEDADES EMPLEADOS'!$B$3:$H$53,2,FALSE),)</f>
        <v>NEICER</v>
      </c>
      <c r="E14" s="56" t="str">
        <f>IFERROR(VLOOKUP(C14,'NOVEDADES EMPLEADOS'!$B$3:$H$53,3,0),)</f>
        <v>Operario de máquinas</v>
      </c>
      <c r="F14" s="61">
        <f>IF(Tabla7[[#This Row],[IBC]]&gt;DATOS!$C$9,Tabla7[[#This Row],[Total Devengado]]*8.5%,0)</f>
        <v>0</v>
      </c>
      <c r="G14" s="61">
        <f>NÓMINA!H14*DATOS!$F$9</f>
        <v>156000</v>
      </c>
      <c r="H14" s="61">
        <f>NÓMINA!H14*'NOVEDADES EMPLEADOS'!AA8</f>
        <v>6786</v>
      </c>
      <c r="I14" s="61">
        <f>IF(NÓMINA!H14&gt;=DATOS!$C$9,NÓMINA!H14*DATOS!$F$12,0)</f>
        <v>0</v>
      </c>
      <c r="J14" s="61">
        <f>IF(NÓMINA!H14&gt;=DATOS!$C$9,NÓMINA!H14*DATOS!$F$13,0)</f>
        <v>0</v>
      </c>
      <c r="K14" s="271">
        <f>NÓMINA!H14*DATOS!$F$14</f>
        <v>52000</v>
      </c>
    </row>
    <row r="15" spans="2:11">
      <c r="B15" s="4">
        <v>6</v>
      </c>
      <c r="C15" s="55">
        <f>'NOVEDADES EMPLEADOS'!B9</f>
        <v>6</v>
      </c>
      <c r="D15" s="56" t="str">
        <f>IFERROR(VLOOKUP(C15,'NOVEDADES EMPLEADOS'!$B$3:$H$53,2,FALSE),)</f>
        <v>BRAYAN</v>
      </c>
      <c r="E15" s="56" t="str">
        <f>IFERROR(VLOOKUP(C15,'NOVEDADES EMPLEADOS'!$B$3:$H$53,3,0),)</f>
        <v>Operario de máquinas</v>
      </c>
      <c r="F15" s="61">
        <f>IF(Tabla7[[#This Row],[IBC]]&gt;DATOS!$C$9,Tabla7[[#This Row],[Total Devengado]]*8.5%,0)</f>
        <v>0</v>
      </c>
      <c r="G15" s="61">
        <f>NÓMINA!H15*DATOS!$F$9</f>
        <v>156000</v>
      </c>
      <c r="H15" s="61">
        <f>NÓMINA!H15*'NOVEDADES EMPLEADOS'!AA9</f>
        <v>6786</v>
      </c>
      <c r="I15" s="61">
        <f>IF(NÓMINA!H15&gt;=DATOS!$C$9,NÓMINA!H15*DATOS!$F$12,0)</f>
        <v>0</v>
      </c>
      <c r="J15" s="61">
        <f>IF(NÓMINA!H15&gt;=DATOS!$C$9,NÓMINA!H15*DATOS!$F$13,0)</f>
        <v>0</v>
      </c>
      <c r="K15" s="271">
        <f>NÓMINA!H15*DATOS!$F$14</f>
        <v>52000</v>
      </c>
    </row>
    <row r="16" spans="2:11">
      <c r="B16" s="4">
        <v>7</v>
      </c>
      <c r="C16" s="55">
        <f>'NOVEDADES EMPLEADOS'!B10</f>
        <v>7</v>
      </c>
      <c r="D16" s="56" t="str">
        <f>IFERROR(VLOOKUP(C16,'NOVEDADES EMPLEADOS'!$B$3:$H$53,2,FALSE),)</f>
        <v>YASMÍN</v>
      </c>
      <c r="E16" s="56" t="str">
        <f>IFERROR(VLOOKUP(C16,'NOVEDADES EMPLEADOS'!$B$3:$H$53,3,0),)</f>
        <v>Jefe de Calidad</v>
      </c>
      <c r="F16" s="61">
        <f>IF(Tabla7[[#This Row],[IBC]]&gt;DATOS!$C$9,Tabla7[[#This Row],[Total Devengado]]*8.5%,0)</f>
        <v>0</v>
      </c>
      <c r="G16" s="61">
        <f>NÓMINA!H16*DATOS!$F$9</f>
        <v>240000.00000000003</v>
      </c>
      <c r="H16" s="61">
        <f>NÓMINA!H16*'NOVEDADES EMPLEADOS'!AA10</f>
        <v>10440</v>
      </c>
      <c r="I16" s="61">
        <f>IF(NÓMINA!H16&gt;=DATOS!$C$9,NÓMINA!H16*DATOS!$F$12,0)</f>
        <v>0</v>
      </c>
      <c r="J16" s="61">
        <f>IF(NÓMINA!H16&gt;=DATOS!$C$9,NÓMINA!H16*DATOS!$F$13,0)</f>
        <v>0</v>
      </c>
      <c r="K16" s="271">
        <f>NÓMINA!H16*DATOS!$F$14</f>
        <v>80000.000000000015</v>
      </c>
    </row>
    <row r="17" spans="2:11">
      <c r="B17" s="4">
        <v>8</v>
      </c>
      <c r="C17" s="55">
        <f>'NOVEDADES EMPLEADOS'!B11</f>
        <v>8</v>
      </c>
      <c r="D17" s="56" t="str">
        <f>IFERROR(VLOOKUP(C17,'NOVEDADES EMPLEADOS'!$B$3:$H$53,2,FALSE),)</f>
        <v>JOSE</v>
      </c>
      <c r="E17" s="56" t="str">
        <f>IFERROR(VLOOKUP(C17,'NOVEDADES EMPLEADOS'!$B$3:$H$53,3,0),)</f>
        <v>Planchador</v>
      </c>
      <c r="F17" s="61">
        <f>IF(Tabla7[[#This Row],[IBC]]&gt;DATOS!$C$9,Tabla7[[#This Row],[Total Devengado]]*8.5%,0)</f>
        <v>0</v>
      </c>
      <c r="G17" s="61">
        <f>NÓMINA!H17*DATOS!$F$9</f>
        <v>175200</v>
      </c>
      <c r="H17" s="61">
        <f>NÓMINA!H17*'NOVEDADES EMPLEADOS'!AA11</f>
        <v>7621.2</v>
      </c>
      <c r="I17" s="61">
        <f>IF(NÓMINA!H17&gt;=DATOS!$C$9,NÓMINA!H17*DATOS!$F$12,0)</f>
        <v>0</v>
      </c>
      <c r="J17" s="61">
        <f>IF(NÓMINA!H17&gt;=DATOS!$C$9,NÓMINA!H17*DATOS!$F$13,0)</f>
        <v>0</v>
      </c>
      <c r="K17" s="271">
        <f>NÓMINA!H17*DATOS!$F$14</f>
        <v>58400</v>
      </c>
    </row>
    <row r="18" spans="2:11">
      <c r="B18" s="4">
        <v>9</v>
      </c>
      <c r="C18" s="55">
        <f>'NOVEDADES EMPLEADOS'!B12</f>
        <v>9</v>
      </c>
      <c r="D18" s="56" t="str">
        <f>IFERROR(VLOOKUP(C18,'NOVEDADES EMPLEADOS'!$B$3:$H$53,2,FALSE),)</f>
        <v>RIGOBERTO URAN PEÑA</v>
      </c>
      <c r="E18" s="56" t="str">
        <f>IFERROR(VLOOKUP(C18,'NOVEDADES EMPLEADOS'!$B$3:$H$53,3,0),)</f>
        <v>Servicios Generales</v>
      </c>
      <c r="F18" s="61">
        <f>IF(Tabla7[[#This Row],[IBC]]&gt;DATOS!$C$9,Tabla7[[#This Row],[Total Devengado]]*8.5%,0)</f>
        <v>0</v>
      </c>
      <c r="G18" s="61">
        <f>NÓMINA!H18*DATOS!$F$9</f>
        <v>158400</v>
      </c>
      <c r="H18" s="61">
        <f>NÓMINA!H18*'NOVEDADES EMPLEADOS'!AA12</f>
        <v>6890.4</v>
      </c>
      <c r="I18" s="61">
        <f>IF(NÓMINA!H18&gt;=DATOS!$C$9,NÓMINA!H18*DATOS!$F$12,0)</f>
        <v>0</v>
      </c>
      <c r="J18" s="61">
        <f>IF(NÓMINA!H18&gt;=DATOS!$C$9,NÓMINA!H18*DATOS!$F$13,0)</f>
        <v>0</v>
      </c>
      <c r="K18" s="271">
        <f>NÓMINA!H18*DATOS!$F$14</f>
        <v>52800</v>
      </c>
    </row>
    <row r="19" spans="2:11">
      <c r="B19" s="4">
        <v>10</v>
      </c>
      <c r="C19" s="55">
        <f>'NOVEDADES EMPLEADOS'!B13</f>
        <v>10</v>
      </c>
      <c r="D19" s="56" t="str">
        <f>IFERROR(VLOOKUP(C19,'NOVEDADES EMPLEADOS'!$B$3:$H$53,2,FALSE),)</f>
        <v>RENÉ HIGUITA SUAZA</v>
      </c>
      <c r="E19" s="56" t="str">
        <f>IFERROR(VLOOKUP(C19,'NOVEDADES EMPLEADOS'!$B$3:$H$53,3,0),)</f>
        <v>Operarios manuales</v>
      </c>
      <c r="F19" s="61">
        <f>IF(Tabla7[[#This Row],[IBC]]&gt;DATOS!$C$9,Tabla7[[#This Row],[Total Devengado]]*8.5%,0)</f>
        <v>0</v>
      </c>
      <c r="G19" s="61">
        <f>NÓMINA!H19*DATOS!$F$9</f>
        <v>156000</v>
      </c>
      <c r="H19" s="61">
        <f>NÓMINA!H19*'NOVEDADES EMPLEADOS'!AA13</f>
        <v>6786</v>
      </c>
      <c r="I19" s="61">
        <f>IF(NÓMINA!H19&gt;=DATOS!$C$9,NÓMINA!H19*DATOS!$F$12,0)</f>
        <v>0</v>
      </c>
      <c r="J19" s="61">
        <f>IF(NÓMINA!H19&gt;=DATOS!$C$9,NÓMINA!H19*DATOS!$F$13,0)</f>
        <v>0</v>
      </c>
      <c r="K19" s="271">
        <f>NÓMINA!H19*DATOS!$F$14</f>
        <v>52000</v>
      </c>
    </row>
    <row r="20" spans="2:11">
      <c r="B20" s="4">
        <v>11</v>
      </c>
      <c r="C20" s="55">
        <f>'NOVEDADES EMPLEADOS'!B14</f>
        <v>0</v>
      </c>
      <c r="D20" s="56">
        <f>IFERROR(VLOOKUP(C20,'NOVEDADES EMPLEADOS'!$B$3:$H$53,2,FALSE),)</f>
        <v>0</v>
      </c>
      <c r="E20" s="56">
        <f>IFERROR(VLOOKUP(C20,'NOVEDADES EMPLEADOS'!$B$3:$H$53,3,0),)</f>
        <v>0</v>
      </c>
      <c r="F20" s="61">
        <f>NÓMINA!H20*DATOS!$F$7</f>
        <v>0</v>
      </c>
      <c r="G20" s="61">
        <f>NÓMINA!H20*DATOS!$F$9</f>
        <v>0</v>
      </c>
      <c r="H20" s="61">
        <f>NÓMINA!H20*'NOVEDADES EMPLEADOS'!AA14</f>
        <v>0</v>
      </c>
      <c r="I20" s="61">
        <f>IF(NÓMINA!H20&gt;=DATOS!$C$9,NÓMINA!H20*DATOS!$F$12,0)</f>
        <v>0</v>
      </c>
      <c r="J20" s="61">
        <f>IF(NÓMINA!H20&gt;=DATOS!$C$9,NÓMINA!H20*DATOS!$F$13,0)</f>
        <v>0</v>
      </c>
      <c r="K20" s="271">
        <f>NÓMINA!H20*DATOS!$F$14</f>
        <v>0</v>
      </c>
    </row>
    <row r="21" spans="2:11">
      <c r="B21" s="4">
        <v>12</v>
      </c>
      <c r="C21" s="55">
        <f>'NOVEDADES EMPLEADOS'!B15</f>
        <v>0</v>
      </c>
      <c r="D21" s="56">
        <f>IFERROR(VLOOKUP(C21,'NOVEDADES EMPLEADOS'!$B$3:$H$53,2,FALSE),)</f>
        <v>0</v>
      </c>
      <c r="E21" s="56">
        <f>IFERROR(VLOOKUP(C21,'NOVEDADES EMPLEADOS'!$B$3:$H$53,3,0),)</f>
        <v>0</v>
      </c>
      <c r="F21" s="61">
        <f>NÓMINA!H21*DATOS!$F$7</f>
        <v>0</v>
      </c>
      <c r="G21" s="61">
        <f>NÓMINA!H21*DATOS!$F$9</f>
        <v>0</v>
      </c>
      <c r="H21" s="61">
        <f>NÓMINA!H21*'NOVEDADES EMPLEADOS'!AA15</f>
        <v>0</v>
      </c>
      <c r="I21" s="61">
        <f>IF(NÓMINA!H21&gt;=DATOS!$C$9,NÓMINA!H21*DATOS!$F$12,0)</f>
        <v>0</v>
      </c>
      <c r="J21" s="61">
        <f>IF(NÓMINA!H21&gt;=DATOS!$C$9,NÓMINA!H21*DATOS!$F$13,0)</f>
        <v>0</v>
      </c>
      <c r="K21" s="271">
        <f>NÓMINA!H21*DATOS!$F$14</f>
        <v>0</v>
      </c>
    </row>
    <row r="22" spans="2:11">
      <c r="B22" s="4">
        <v>13</v>
      </c>
      <c r="C22" s="55">
        <f>'NOVEDADES EMPLEADOS'!B16</f>
        <v>0</v>
      </c>
      <c r="D22" s="56">
        <f>IFERROR(VLOOKUP(C22,'NOVEDADES EMPLEADOS'!$B$3:$H$53,2,FALSE),)</f>
        <v>0</v>
      </c>
      <c r="E22" s="56">
        <f>IFERROR(VLOOKUP(C22,'NOVEDADES EMPLEADOS'!$B$3:$H$53,3,0),)</f>
        <v>0</v>
      </c>
      <c r="F22" s="61">
        <f>NÓMINA!H22*DATOS!$F$7</f>
        <v>0</v>
      </c>
      <c r="G22" s="61">
        <f>NÓMINA!H22*DATOS!$F$9</f>
        <v>0</v>
      </c>
      <c r="H22" s="61">
        <f>NÓMINA!H22*'NOVEDADES EMPLEADOS'!AA16</f>
        <v>0</v>
      </c>
      <c r="I22" s="61">
        <f>IF(NÓMINA!H22&gt;=DATOS!$C$9,NÓMINA!H22*DATOS!$F$12,0)</f>
        <v>0</v>
      </c>
      <c r="J22" s="61">
        <f>IF(NÓMINA!H22&gt;=DATOS!$C$9,NÓMINA!H22*DATOS!$F$13,0)</f>
        <v>0</v>
      </c>
      <c r="K22" s="271">
        <f>NÓMINA!H22*DATOS!$F$14</f>
        <v>0</v>
      </c>
    </row>
    <row r="23" spans="2:11">
      <c r="B23" s="4">
        <v>14</v>
      </c>
      <c r="C23" s="55">
        <f>'NOVEDADES EMPLEADOS'!B17</f>
        <v>0</v>
      </c>
      <c r="D23" s="56">
        <f>IFERROR(VLOOKUP(C23,'NOVEDADES EMPLEADOS'!$B$3:$H$53,2,FALSE),)</f>
        <v>0</v>
      </c>
      <c r="E23" s="56">
        <f>IFERROR(VLOOKUP(C23,'NOVEDADES EMPLEADOS'!$B$3:$H$53,3,0),)</f>
        <v>0</v>
      </c>
      <c r="F23" s="61">
        <f>NÓMINA!H23*DATOS!$F$7</f>
        <v>0</v>
      </c>
      <c r="G23" s="61">
        <f>NÓMINA!H23*DATOS!$F$9</f>
        <v>0</v>
      </c>
      <c r="H23" s="61">
        <f>NÓMINA!H23*'NOVEDADES EMPLEADOS'!AA17</f>
        <v>0</v>
      </c>
      <c r="I23" s="61">
        <f>IF(NÓMINA!H23&gt;=DATOS!$C$9,NÓMINA!H23*DATOS!$F$12,0)</f>
        <v>0</v>
      </c>
      <c r="J23" s="61">
        <f>IF(NÓMINA!H23&gt;=DATOS!$C$9,NÓMINA!H23*DATOS!$F$13,0)</f>
        <v>0</v>
      </c>
      <c r="K23" s="271">
        <f>NÓMINA!H23*DATOS!$F$14</f>
        <v>0</v>
      </c>
    </row>
    <row r="24" spans="2:11">
      <c r="B24" s="4">
        <v>15</v>
      </c>
      <c r="C24" s="55">
        <f>'NOVEDADES EMPLEADOS'!B18</f>
        <v>0</v>
      </c>
      <c r="D24" s="56">
        <f>IFERROR(VLOOKUP(C24,'NOVEDADES EMPLEADOS'!$B$3:$H$53,2,FALSE),)</f>
        <v>0</v>
      </c>
      <c r="E24" s="56">
        <f>IFERROR(VLOOKUP(C24,'NOVEDADES EMPLEADOS'!$B$3:$H$53,3,0),)</f>
        <v>0</v>
      </c>
      <c r="F24" s="61">
        <f>NÓMINA!H24*DATOS!$F$7</f>
        <v>0</v>
      </c>
      <c r="G24" s="61">
        <f>NÓMINA!H24*DATOS!$F$9</f>
        <v>0</v>
      </c>
      <c r="H24" s="61">
        <f>NÓMINA!H24*'NOVEDADES EMPLEADOS'!AA18</f>
        <v>0</v>
      </c>
      <c r="I24" s="61">
        <f>IF(NÓMINA!H24&gt;=DATOS!$C$9,NÓMINA!H24*DATOS!$F$12,0)</f>
        <v>0</v>
      </c>
      <c r="J24" s="61">
        <f>IF(NÓMINA!H24&gt;=DATOS!$C$9,NÓMINA!H24*DATOS!$F$13,0)</f>
        <v>0</v>
      </c>
      <c r="K24" s="271">
        <f>NÓMINA!H24*DATOS!$F$14</f>
        <v>0</v>
      </c>
    </row>
    <row r="25" spans="2:11">
      <c r="B25" s="4">
        <v>16</v>
      </c>
      <c r="C25" s="55">
        <f>'NOVEDADES EMPLEADOS'!B19</f>
        <v>0</v>
      </c>
      <c r="D25" s="56">
        <f>IFERROR(VLOOKUP(C25,'NOVEDADES EMPLEADOS'!$B$3:$H$53,2,FALSE),)</f>
        <v>0</v>
      </c>
      <c r="E25" s="56">
        <f>IFERROR(VLOOKUP(C25,'NOVEDADES EMPLEADOS'!$B$3:$H$53,3,0),)</f>
        <v>0</v>
      </c>
      <c r="F25" s="61">
        <f>NÓMINA!H25*DATOS!$F$7</f>
        <v>0</v>
      </c>
      <c r="G25" s="61">
        <f>NÓMINA!H25*DATOS!$F$9</f>
        <v>0</v>
      </c>
      <c r="H25" s="61">
        <f>NÓMINA!H25*'NOVEDADES EMPLEADOS'!AA19</f>
        <v>0</v>
      </c>
      <c r="I25" s="61">
        <f>IF(NÓMINA!H25&gt;=DATOS!$C$9,NÓMINA!H25*DATOS!$F$12,0)</f>
        <v>0</v>
      </c>
      <c r="J25" s="61">
        <f>IF(NÓMINA!H25&gt;=DATOS!$C$9,NÓMINA!H25*DATOS!$F$13,0)</f>
        <v>0</v>
      </c>
      <c r="K25" s="271">
        <f>NÓMINA!H25*DATOS!$F$14</f>
        <v>0</v>
      </c>
    </row>
    <row r="26" spans="2:11">
      <c r="B26" s="4">
        <v>17</v>
      </c>
      <c r="C26" s="55">
        <f>'NOVEDADES EMPLEADOS'!B20</f>
        <v>0</v>
      </c>
      <c r="D26" s="56">
        <f>IFERROR(VLOOKUP(C26,'NOVEDADES EMPLEADOS'!$B$3:$H$53,2,FALSE),)</f>
        <v>0</v>
      </c>
      <c r="E26" s="56">
        <f>IFERROR(VLOOKUP(C26,'NOVEDADES EMPLEADOS'!$B$3:$H$53,3,0),)</f>
        <v>0</v>
      </c>
      <c r="F26" s="61">
        <f>NÓMINA!H26*DATOS!$F$7</f>
        <v>0</v>
      </c>
      <c r="G26" s="61">
        <f>NÓMINA!H26*DATOS!$F$9</f>
        <v>0</v>
      </c>
      <c r="H26" s="61">
        <f>NÓMINA!H26*'NOVEDADES EMPLEADOS'!AA20</f>
        <v>0</v>
      </c>
      <c r="I26" s="61">
        <f>IF(NÓMINA!H26&gt;=DATOS!$C$9,NÓMINA!H26*DATOS!$F$12,0)</f>
        <v>0</v>
      </c>
      <c r="J26" s="61">
        <f>IF(NÓMINA!H26&gt;=DATOS!$C$9,NÓMINA!H26*DATOS!$F$13,0)</f>
        <v>0</v>
      </c>
      <c r="K26" s="271">
        <f>NÓMINA!H26*DATOS!$F$14</f>
        <v>0</v>
      </c>
    </row>
    <row r="27" spans="2:11">
      <c r="B27" s="4">
        <v>18</v>
      </c>
      <c r="C27" s="55">
        <f>'NOVEDADES EMPLEADOS'!B21</f>
        <v>0</v>
      </c>
      <c r="D27" s="56">
        <f>IFERROR(VLOOKUP(C27,'NOVEDADES EMPLEADOS'!$B$3:$H$53,2,FALSE),)</f>
        <v>0</v>
      </c>
      <c r="E27" s="56">
        <f>IFERROR(VLOOKUP(C27,'NOVEDADES EMPLEADOS'!$B$3:$H$53,3,0),)</f>
        <v>0</v>
      </c>
      <c r="F27" s="61">
        <f>NÓMINA!H27*DATOS!$F$7</f>
        <v>0</v>
      </c>
      <c r="G27" s="61">
        <f>NÓMINA!H27*DATOS!$F$9</f>
        <v>0</v>
      </c>
      <c r="H27" s="61">
        <f>NÓMINA!H27*'NOVEDADES EMPLEADOS'!AA21</f>
        <v>0</v>
      </c>
      <c r="I27" s="61">
        <f>IF(NÓMINA!H27&gt;=DATOS!$C$9,NÓMINA!H27*DATOS!$F$12,0)</f>
        <v>0</v>
      </c>
      <c r="J27" s="61">
        <f>IF(NÓMINA!H27&gt;=DATOS!$C$9,NÓMINA!H27*DATOS!$F$13,0)</f>
        <v>0</v>
      </c>
      <c r="K27" s="271">
        <f>NÓMINA!H27*DATOS!$F$14</f>
        <v>0</v>
      </c>
    </row>
    <row r="28" spans="2:11">
      <c r="B28" s="4">
        <v>19</v>
      </c>
      <c r="C28" s="55">
        <f>'NOVEDADES EMPLEADOS'!B22</f>
        <v>0</v>
      </c>
      <c r="D28" s="56">
        <f>IFERROR(VLOOKUP(C28,'NOVEDADES EMPLEADOS'!$B$3:$H$53,2,FALSE),)</f>
        <v>0</v>
      </c>
      <c r="E28" s="56">
        <f>IFERROR(VLOOKUP(C28,'NOVEDADES EMPLEADOS'!$B$3:$H$53,3,0),)</f>
        <v>0</v>
      </c>
      <c r="F28" s="61">
        <f>NÓMINA!H28*DATOS!$F$7</f>
        <v>0</v>
      </c>
      <c r="G28" s="61">
        <f>NÓMINA!H28*DATOS!$F$9</f>
        <v>0</v>
      </c>
      <c r="H28" s="61">
        <f>NÓMINA!H28*'NOVEDADES EMPLEADOS'!AA22</f>
        <v>0</v>
      </c>
      <c r="I28" s="61">
        <f>IF(NÓMINA!H28&gt;=DATOS!$C$9,NÓMINA!H28*DATOS!$F$12,0)</f>
        <v>0</v>
      </c>
      <c r="J28" s="61">
        <f>IF(NÓMINA!H28&gt;=DATOS!$C$9,NÓMINA!H28*DATOS!$F$13,0)</f>
        <v>0</v>
      </c>
      <c r="K28" s="271">
        <f>NÓMINA!H28*DATOS!$F$14</f>
        <v>0</v>
      </c>
    </row>
    <row r="29" spans="2:11">
      <c r="B29" s="4">
        <v>20</v>
      </c>
      <c r="C29" s="55">
        <f>'NOVEDADES EMPLEADOS'!B23</f>
        <v>0</v>
      </c>
      <c r="D29" s="56">
        <f>IFERROR(VLOOKUP(C29,'NOVEDADES EMPLEADOS'!$B$3:$H$53,2,FALSE),)</f>
        <v>0</v>
      </c>
      <c r="E29" s="56">
        <f>IFERROR(VLOOKUP(C29,'NOVEDADES EMPLEADOS'!$B$3:$H$53,3,0),)</f>
        <v>0</v>
      </c>
      <c r="F29" s="61">
        <f>NÓMINA!H29*DATOS!$F$7</f>
        <v>0</v>
      </c>
      <c r="G29" s="61">
        <f>NÓMINA!H29*DATOS!$F$9</f>
        <v>0</v>
      </c>
      <c r="H29" s="61">
        <f>NÓMINA!H29*'NOVEDADES EMPLEADOS'!AA23</f>
        <v>0</v>
      </c>
      <c r="I29" s="61">
        <f>IF(NÓMINA!H29&gt;=DATOS!$C$9,NÓMINA!H29*DATOS!$F$12,0)</f>
        <v>0</v>
      </c>
      <c r="J29" s="61">
        <f>IF(NÓMINA!H29&gt;=DATOS!$C$9,NÓMINA!H29*DATOS!$F$13,0)</f>
        <v>0</v>
      </c>
      <c r="K29" s="271">
        <f>NÓMINA!H29*DATOS!$F$14</f>
        <v>0</v>
      </c>
    </row>
    <row r="30" spans="2:11">
      <c r="B30" s="4">
        <v>21</v>
      </c>
      <c r="C30" s="55">
        <f>'NOVEDADES EMPLEADOS'!B24</f>
        <v>0</v>
      </c>
      <c r="D30" s="56">
        <f>IFERROR(VLOOKUP(C30,'NOVEDADES EMPLEADOS'!$B$3:$H$53,2,FALSE),)</f>
        <v>0</v>
      </c>
      <c r="E30" s="56">
        <f>IFERROR(VLOOKUP(C30,'NOVEDADES EMPLEADOS'!$B$3:$H$53,3,0),)</f>
        <v>0</v>
      </c>
      <c r="F30" s="61">
        <f>NÓMINA!H30*DATOS!$F$7</f>
        <v>0</v>
      </c>
      <c r="G30" s="61">
        <f>NÓMINA!H30*DATOS!$F$9</f>
        <v>0</v>
      </c>
      <c r="H30" s="61">
        <f>NÓMINA!H30*'NOVEDADES EMPLEADOS'!AA24</f>
        <v>0</v>
      </c>
      <c r="I30" s="61">
        <f>IF(NÓMINA!H30&gt;=DATOS!$C$9,NÓMINA!H30*DATOS!$F$12,0)</f>
        <v>0</v>
      </c>
      <c r="J30" s="61">
        <f>IF(NÓMINA!H30&gt;=DATOS!$C$9,NÓMINA!H30*DATOS!$F$13,0)</f>
        <v>0</v>
      </c>
      <c r="K30" s="271">
        <f>NÓMINA!H30*DATOS!$F$14</f>
        <v>0</v>
      </c>
    </row>
    <row r="31" spans="2:11">
      <c r="B31" s="4">
        <v>22</v>
      </c>
      <c r="C31" s="55">
        <f>'NOVEDADES EMPLEADOS'!B25</f>
        <v>0</v>
      </c>
      <c r="D31" s="56">
        <f>IFERROR(VLOOKUP(C31,'NOVEDADES EMPLEADOS'!$B$3:$H$53,2,FALSE),)</f>
        <v>0</v>
      </c>
      <c r="E31" s="56">
        <f>IFERROR(VLOOKUP(C31,'NOVEDADES EMPLEADOS'!$B$3:$H$53,3,0),)</f>
        <v>0</v>
      </c>
      <c r="F31" s="61">
        <f>NÓMINA!H31*DATOS!$F$7</f>
        <v>0</v>
      </c>
      <c r="G31" s="61">
        <f>NÓMINA!H31*DATOS!$F$9</f>
        <v>0</v>
      </c>
      <c r="H31" s="61">
        <f>NÓMINA!H31*'NOVEDADES EMPLEADOS'!AA25</f>
        <v>0</v>
      </c>
      <c r="I31" s="61">
        <f>IF(NÓMINA!H31&gt;=DATOS!$C$9,NÓMINA!H31*DATOS!$F$12,0)</f>
        <v>0</v>
      </c>
      <c r="J31" s="61">
        <f>IF(NÓMINA!H31&gt;=DATOS!$C$9,NÓMINA!H31*DATOS!$F$13,0)</f>
        <v>0</v>
      </c>
      <c r="K31" s="271">
        <f>NÓMINA!H31*DATOS!$F$14</f>
        <v>0</v>
      </c>
    </row>
    <row r="32" spans="2:11">
      <c r="B32" s="4">
        <v>23</v>
      </c>
      <c r="C32" s="55">
        <f>'NOVEDADES EMPLEADOS'!B26</f>
        <v>0</v>
      </c>
      <c r="D32" s="56">
        <f>IFERROR(VLOOKUP(C32,'NOVEDADES EMPLEADOS'!$B$3:$H$53,2,FALSE),)</f>
        <v>0</v>
      </c>
      <c r="E32" s="56">
        <f>IFERROR(VLOOKUP(C32,'NOVEDADES EMPLEADOS'!$B$3:$H$53,3,0),)</f>
        <v>0</v>
      </c>
      <c r="F32" s="61">
        <f>NÓMINA!H32*DATOS!$F$7</f>
        <v>0</v>
      </c>
      <c r="G32" s="61">
        <f>NÓMINA!H32*DATOS!$F$9</f>
        <v>0</v>
      </c>
      <c r="H32" s="61">
        <f>NÓMINA!H32*'NOVEDADES EMPLEADOS'!AA26</f>
        <v>0</v>
      </c>
      <c r="I32" s="61">
        <f>IF(NÓMINA!H32&gt;=DATOS!$C$9,NÓMINA!H32*DATOS!$F$12,0)</f>
        <v>0</v>
      </c>
      <c r="J32" s="61">
        <f>IF(NÓMINA!H32&gt;=DATOS!$C$9,NÓMINA!H32*DATOS!$F$13,0)</f>
        <v>0</v>
      </c>
      <c r="K32" s="271">
        <f>NÓMINA!H32*DATOS!$F$14</f>
        <v>0</v>
      </c>
    </row>
    <row r="33" spans="2:11">
      <c r="B33" s="4">
        <v>24</v>
      </c>
      <c r="C33" s="55">
        <f>'NOVEDADES EMPLEADOS'!B27</f>
        <v>0</v>
      </c>
      <c r="D33" s="56">
        <f>IFERROR(VLOOKUP(C33,'NOVEDADES EMPLEADOS'!$B$3:$H$53,2,FALSE),)</f>
        <v>0</v>
      </c>
      <c r="E33" s="56">
        <f>IFERROR(VLOOKUP(C33,'NOVEDADES EMPLEADOS'!$B$3:$H$53,3,0),)</f>
        <v>0</v>
      </c>
      <c r="F33" s="61">
        <f>NÓMINA!H33*DATOS!$F$7</f>
        <v>0</v>
      </c>
      <c r="G33" s="61">
        <f>NÓMINA!H33*DATOS!$F$9</f>
        <v>0</v>
      </c>
      <c r="H33" s="61">
        <f>NÓMINA!H33*'NOVEDADES EMPLEADOS'!AA27</f>
        <v>0</v>
      </c>
      <c r="I33" s="61">
        <f>IF(NÓMINA!H33&gt;=DATOS!$C$9,NÓMINA!H33*DATOS!$F$12,0)</f>
        <v>0</v>
      </c>
      <c r="J33" s="61">
        <f>IF(NÓMINA!H33&gt;=DATOS!$C$9,NÓMINA!H33*DATOS!$F$13,0)</f>
        <v>0</v>
      </c>
      <c r="K33" s="271">
        <f>NÓMINA!H33*DATOS!$F$14</f>
        <v>0</v>
      </c>
    </row>
    <row r="34" spans="2:11">
      <c r="B34" s="4">
        <v>25</v>
      </c>
      <c r="C34" s="55">
        <f>'NOVEDADES EMPLEADOS'!B28</f>
        <v>0</v>
      </c>
      <c r="D34" s="56">
        <f>IFERROR(VLOOKUP(C34,'NOVEDADES EMPLEADOS'!$B$3:$H$53,2,FALSE),)</f>
        <v>0</v>
      </c>
      <c r="E34" s="56">
        <f>IFERROR(VLOOKUP(C34,'NOVEDADES EMPLEADOS'!$B$3:$H$53,3,0),)</f>
        <v>0</v>
      </c>
      <c r="F34" s="61">
        <f>NÓMINA!H34*DATOS!$F$7</f>
        <v>0</v>
      </c>
      <c r="G34" s="61">
        <f>NÓMINA!H34*DATOS!$F$9</f>
        <v>0</v>
      </c>
      <c r="H34" s="61">
        <f>NÓMINA!H34*'NOVEDADES EMPLEADOS'!AA28</f>
        <v>0</v>
      </c>
      <c r="I34" s="61">
        <f>IF(NÓMINA!H34&gt;=DATOS!$C$9,NÓMINA!H34*DATOS!$F$12,0)</f>
        <v>0</v>
      </c>
      <c r="J34" s="61">
        <f>IF(NÓMINA!H34&gt;=DATOS!$C$9,NÓMINA!H34*DATOS!$F$13,0)</f>
        <v>0</v>
      </c>
      <c r="K34" s="271">
        <f>NÓMINA!H34*DATOS!$F$14</f>
        <v>0</v>
      </c>
    </row>
    <row r="35" spans="2:11">
      <c r="B35" s="4">
        <v>26</v>
      </c>
      <c r="C35" s="55">
        <f>'NOVEDADES EMPLEADOS'!B29</f>
        <v>0</v>
      </c>
      <c r="D35" s="56">
        <f>IFERROR(VLOOKUP(C35,'NOVEDADES EMPLEADOS'!$B$3:$H$53,2,FALSE),)</f>
        <v>0</v>
      </c>
      <c r="E35" s="56">
        <f>IFERROR(VLOOKUP(C35,'NOVEDADES EMPLEADOS'!$B$3:$H$53,3,0),)</f>
        <v>0</v>
      </c>
      <c r="F35" s="61">
        <f>NÓMINA!H35*DATOS!$F$7</f>
        <v>0</v>
      </c>
      <c r="G35" s="61">
        <f>NÓMINA!H35*DATOS!$F$9</f>
        <v>0</v>
      </c>
      <c r="H35" s="61">
        <f>NÓMINA!H35*'NOVEDADES EMPLEADOS'!AA29</f>
        <v>0</v>
      </c>
      <c r="I35" s="61">
        <f>IF(NÓMINA!H35&gt;=DATOS!$C$9,NÓMINA!H35*DATOS!$F$12,0)</f>
        <v>0</v>
      </c>
      <c r="J35" s="61">
        <f>IF(NÓMINA!H35&gt;=DATOS!$C$9,NÓMINA!H35*DATOS!$F$13,0)</f>
        <v>0</v>
      </c>
      <c r="K35" s="271">
        <f>NÓMINA!H35*DATOS!$F$14</f>
        <v>0</v>
      </c>
    </row>
    <row r="36" spans="2:11">
      <c r="B36" s="4">
        <v>27</v>
      </c>
      <c r="C36" s="55">
        <f>'NOVEDADES EMPLEADOS'!B30</f>
        <v>0</v>
      </c>
      <c r="D36" s="56">
        <f>IFERROR(VLOOKUP(C36,'NOVEDADES EMPLEADOS'!$B$3:$H$53,2,FALSE),)</f>
        <v>0</v>
      </c>
      <c r="E36" s="56">
        <f>IFERROR(VLOOKUP(C36,'NOVEDADES EMPLEADOS'!$B$3:$H$53,3,0),)</f>
        <v>0</v>
      </c>
      <c r="F36" s="61">
        <f>NÓMINA!H36*DATOS!$F$7</f>
        <v>0</v>
      </c>
      <c r="G36" s="61">
        <f>NÓMINA!H36*DATOS!$F$9</f>
        <v>0</v>
      </c>
      <c r="H36" s="61">
        <f>NÓMINA!H36*'NOVEDADES EMPLEADOS'!AA30</f>
        <v>0</v>
      </c>
      <c r="I36" s="61">
        <f>IF(NÓMINA!H36&gt;=DATOS!$C$9,NÓMINA!H36*DATOS!$F$12,0)</f>
        <v>0</v>
      </c>
      <c r="J36" s="61">
        <f>IF(NÓMINA!H36&gt;=DATOS!$C$9,NÓMINA!H36*DATOS!$F$13,0)</f>
        <v>0</v>
      </c>
      <c r="K36" s="271">
        <f>NÓMINA!H36*DATOS!$F$14</f>
        <v>0</v>
      </c>
    </row>
    <row r="37" spans="2:11">
      <c r="B37" s="4">
        <v>28</v>
      </c>
      <c r="C37" s="55">
        <f>'NOVEDADES EMPLEADOS'!B31</f>
        <v>0</v>
      </c>
      <c r="D37" s="56">
        <f>IFERROR(VLOOKUP(C37,'NOVEDADES EMPLEADOS'!$B$3:$H$53,2,FALSE),)</f>
        <v>0</v>
      </c>
      <c r="E37" s="56">
        <f>IFERROR(VLOOKUP(C37,'NOVEDADES EMPLEADOS'!$B$3:$H$53,3,0),)</f>
        <v>0</v>
      </c>
      <c r="F37" s="61">
        <f>NÓMINA!H37*DATOS!$F$7</f>
        <v>0</v>
      </c>
      <c r="G37" s="61">
        <f>NÓMINA!H37*DATOS!$F$9</f>
        <v>0</v>
      </c>
      <c r="H37" s="61">
        <f>NÓMINA!H37*'NOVEDADES EMPLEADOS'!AA31</f>
        <v>0</v>
      </c>
      <c r="I37" s="61">
        <f>IF(NÓMINA!H37&gt;=DATOS!$C$9,NÓMINA!H37*DATOS!$F$12,0)</f>
        <v>0</v>
      </c>
      <c r="J37" s="61">
        <f>IF(NÓMINA!H37&gt;=DATOS!$C$9,NÓMINA!H37*DATOS!$F$13,0)</f>
        <v>0</v>
      </c>
      <c r="K37" s="271">
        <f>NÓMINA!H37*DATOS!$F$14</f>
        <v>0</v>
      </c>
    </row>
    <row r="38" spans="2:11">
      <c r="B38" s="4">
        <v>29</v>
      </c>
      <c r="C38" s="55">
        <f>'NOVEDADES EMPLEADOS'!B32</f>
        <v>0</v>
      </c>
      <c r="D38" s="56">
        <f>IFERROR(VLOOKUP(C38,'NOVEDADES EMPLEADOS'!$B$3:$H$53,2,FALSE),)</f>
        <v>0</v>
      </c>
      <c r="E38" s="56">
        <f>IFERROR(VLOOKUP(C38,'NOVEDADES EMPLEADOS'!$B$3:$H$53,3,0),)</f>
        <v>0</v>
      </c>
      <c r="F38" s="61">
        <f>NÓMINA!H38*DATOS!$F$7</f>
        <v>0</v>
      </c>
      <c r="G38" s="61">
        <f>NÓMINA!H38*DATOS!$F$9</f>
        <v>0</v>
      </c>
      <c r="H38" s="61">
        <f>NÓMINA!H38*'NOVEDADES EMPLEADOS'!AA32</f>
        <v>0</v>
      </c>
      <c r="I38" s="61">
        <f>IF(NÓMINA!H38&gt;=DATOS!$C$9,NÓMINA!H38*DATOS!$F$12,0)</f>
        <v>0</v>
      </c>
      <c r="J38" s="61">
        <f>IF(NÓMINA!H38&gt;=DATOS!$C$9,NÓMINA!H38*DATOS!$F$13,0)</f>
        <v>0</v>
      </c>
      <c r="K38" s="271">
        <f>NÓMINA!H38*DATOS!$F$14</f>
        <v>0</v>
      </c>
    </row>
    <row r="39" spans="2:11">
      <c r="B39" s="4">
        <v>30</v>
      </c>
      <c r="C39" s="55">
        <f>'NOVEDADES EMPLEADOS'!B33</f>
        <v>0</v>
      </c>
      <c r="D39" s="56">
        <f>IFERROR(VLOOKUP(C39,'NOVEDADES EMPLEADOS'!$B$3:$H$53,2,FALSE),)</f>
        <v>0</v>
      </c>
      <c r="E39" s="56">
        <f>IFERROR(VLOOKUP(C39,'NOVEDADES EMPLEADOS'!$B$3:$H$53,3,0),)</f>
        <v>0</v>
      </c>
      <c r="F39" s="61">
        <f>NÓMINA!H39*DATOS!$F$7</f>
        <v>0</v>
      </c>
      <c r="G39" s="61">
        <f>NÓMINA!H39*DATOS!$F$9</f>
        <v>0</v>
      </c>
      <c r="H39" s="61">
        <f>NÓMINA!H39*'NOVEDADES EMPLEADOS'!AA33</f>
        <v>0</v>
      </c>
      <c r="I39" s="61">
        <f>IF(NÓMINA!H39&gt;=DATOS!$C$9,NÓMINA!H39*DATOS!$F$12,0)</f>
        <v>0</v>
      </c>
      <c r="J39" s="61">
        <f>IF(NÓMINA!H39&gt;=DATOS!$C$9,NÓMINA!H39*DATOS!$F$13,0)</f>
        <v>0</v>
      </c>
      <c r="K39" s="271">
        <f>NÓMINA!H39*DATOS!$F$14</f>
        <v>0</v>
      </c>
    </row>
    <row r="40" spans="2:11">
      <c r="B40" s="4">
        <v>31</v>
      </c>
      <c r="C40" s="55">
        <f>'NOVEDADES EMPLEADOS'!B34</f>
        <v>0</v>
      </c>
      <c r="D40" s="56">
        <f>IFERROR(VLOOKUP(C40,'NOVEDADES EMPLEADOS'!$B$3:$H$53,2,FALSE),)</f>
        <v>0</v>
      </c>
      <c r="E40" s="56">
        <f>IFERROR(VLOOKUP(C40,'NOVEDADES EMPLEADOS'!$B$3:$H$53,3,0),)</f>
        <v>0</v>
      </c>
      <c r="F40" s="61">
        <f>NÓMINA!H40*DATOS!$F$7</f>
        <v>0</v>
      </c>
      <c r="G40" s="61">
        <f>NÓMINA!H40*DATOS!$F$9</f>
        <v>0</v>
      </c>
      <c r="H40" s="61">
        <f>NÓMINA!H40*'NOVEDADES EMPLEADOS'!AA34</f>
        <v>0</v>
      </c>
      <c r="I40" s="61">
        <f>IF(NÓMINA!H40&gt;=DATOS!$C$9,NÓMINA!H40*DATOS!$F$12,0)</f>
        <v>0</v>
      </c>
      <c r="J40" s="61">
        <f>IF(NÓMINA!H40&gt;=DATOS!$C$9,NÓMINA!H40*DATOS!$F$13,0)</f>
        <v>0</v>
      </c>
      <c r="K40" s="271">
        <f>NÓMINA!H40*DATOS!$F$14</f>
        <v>0</v>
      </c>
    </row>
    <row r="41" spans="2:11">
      <c r="B41" s="4">
        <v>32</v>
      </c>
      <c r="C41" s="55">
        <f>'NOVEDADES EMPLEADOS'!B35</f>
        <v>0</v>
      </c>
      <c r="D41" s="56">
        <f>IFERROR(VLOOKUP(C41,'NOVEDADES EMPLEADOS'!$B$3:$H$53,2,FALSE),)</f>
        <v>0</v>
      </c>
      <c r="E41" s="56">
        <f>IFERROR(VLOOKUP(C41,'NOVEDADES EMPLEADOS'!$B$3:$H$53,3,0),)</f>
        <v>0</v>
      </c>
      <c r="F41" s="61">
        <f>NÓMINA!H41*DATOS!$F$7</f>
        <v>0</v>
      </c>
      <c r="G41" s="61">
        <f>NÓMINA!H41*DATOS!$F$9</f>
        <v>0</v>
      </c>
      <c r="H41" s="61">
        <f>NÓMINA!H41*'NOVEDADES EMPLEADOS'!AA35</f>
        <v>0</v>
      </c>
      <c r="I41" s="61">
        <f>IF(NÓMINA!H41&gt;=DATOS!$C$9,NÓMINA!H41*DATOS!$F$12,0)</f>
        <v>0</v>
      </c>
      <c r="J41" s="61">
        <f>IF(NÓMINA!H41&gt;=DATOS!$C$9,NÓMINA!H41*DATOS!$F$13,0)</f>
        <v>0</v>
      </c>
      <c r="K41" s="271">
        <f>NÓMINA!H41*DATOS!$F$14</f>
        <v>0</v>
      </c>
    </row>
    <row r="42" spans="2:11">
      <c r="B42" s="4">
        <v>33</v>
      </c>
      <c r="C42" s="55">
        <f>'NOVEDADES EMPLEADOS'!B36</f>
        <v>0</v>
      </c>
      <c r="D42" s="56">
        <f>IFERROR(VLOOKUP(C42,'NOVEDADES EMPLEADOS'!$B$3:$H$53,2,FALSE),)</f>
        <v>0</v>
      </c>
      <c r="E42" s="56">
        <f>IFERROR(VLOOKUP(C42,'NOVEDADES EMPLEADOS'!$B$3:$H$53,3,0),)</f>
        <v>0</v>
      </c>
      <c r="F42" s="61">
        <f>NÓMINA!H42*DATOS!$F$7</f>
        <v>0</v>
      </c>
      <c r="G42" s="61">
        <f>NÓMINA!H42*DATOS!$F$9</f>
        <v>0</v>
      </c>
      <c r="H42" s="61">
        <f>NÓMINA!H42*'NOVEDADES EMPLEADOS'!AA36</f>
        <v>0</v>
      </c>
      <c r="I42" s="61">
        <f>IF(NÓMINA!H42&gt;=DATOS!$C$9,NÓMINA!H42*DATOS!$F$12,0)</f>
        <v>0</v>
      </c>
      <c r="J42" s="61">
        <f>IF(NÓMINA!H42&gt;=DATOS!$C$9,NÓMINA!H42*DATOS!$F$13,0)</f>
        <v>0</v>
      </c>
      <c r="K42" s="271">
        <f>NÓMINA!H42*DATOS!$F$14</f>
        <v>0</v>
      </c>
    </row>
    <row r="43" spans="2:11">
      <c r="B43" s="4">
        <v>34</v>
      </c>
      <c r="C43" s="55">
        <f>'NOVEDADES EMPLEADOS'!B37</f>
        <v>0</v>
      </c>
      <c r="D43" s="56">
        <f>IFERROR(VLOOKUP(C43,'NOVEDADES EMPLEADOS'!$B$3:$H$53,2,FALSE),)</f>
        <v>0</v>
      </c>
      <c r="E43" s="56">
        <f>IFERROR(VLOOKUP(C43,'NOVEDADES EMPLEADOS'!$B$3:$H$53,3,0),)</f>
        <v>0</v>
      </c>
      <c r="F43" s="61">
        <f>NÓMINA!H43*DATOS!$F$7</f>
        <v>0</v>
      </c>
      <c r="G43" s="61">
        <f>NÓMINA!H43*DATOS!$F$9</f>
        <v>0</v>
      </c>
      <c r="H43" s="61">
        <f>NÓMINA!H43*'NOVEDADES EMPLEADOS'!AA37</f>
        <v>0</v>
      </c>
      <c r="I43" s="61">
        <f>IF(NÓMINA!H43&gt;=DATOS!$C$9,NÓMINA!H43*DATOS!$F$12,0)</f>
        <v>0</v>
      </c>
      <c r="J43" s="61">
        <f>IF(NÓMINA!H43&gt;=DATOS!$C$9,NÓMINA!H43*DATOS!$F$13,0)</f>
        <v>0</v>
      </c>
      <c r="K43" s="271">
        <f>NÓMINA!H43*DATOS!$F$14</f>
        <v>0</v>
      </c>
    </row>
    <row r="44" spans="2:11">
      <c r="B44" s="4">
        <v>35</v>
      </c>
      <c r="C44" s="55">
        <f>'NOVEDADES EMPLEADOS'!B38</f>
        <v>0</v>
      </c>
      <c r="D44" s="56">
        <f>IFERROR(VLOOKUP(C44,'NOVEDADES EMPLEADOS'!$B$3:$H$53,2,FALSE),)</f>
        <v>0</v>
      </c>
      <c r="E44" s="56">
        <f>IFERROR(VLOOKUP(C44,'NOVEDADES EMPLEADOS'!$B$3:$H$53,3,0),)</f>
        <v>0</v>
      </c>
      <c r="F44" s="61">
        <f>NÓMINA!H44*DATOS!$F$7</f>
        <v>0</v>
      </c>
      <c r="G44" s="61">
        <f>NÓMINA!H44*DATOS!$F$9</f>
        <v>0</v>
      </c>
      <c r="H44" s="61">
        <f>NÓMINA!H44*'NOVEDADES EMPLEADOS'!AA38</f>
        <v>0</v>
      </c>
      <c r="I44" s="61">
        <f>IF(NÓMINA!H44&gt;=DATOS!$C$9,NÓMINA!H44*DATOS!$F$12,0)</f>
        <v>0</v>
      </c>
      <c r="J44" s="61">
        <f>IF(NÓMINA!H44&gt;=DATOS!$C$9,NÓMINA!H44*DATOS!$F$13,0)</f>
        <v>0</v>
      </c>
      <c r="K44" s="271">
        <f>NÓMINA!H44*DATOS!$F$14</f>
        <v>0</v>
      </c>
    </row>
    <row r="45" spans="2:11">
      <c r="B45" s="4">
        <v>36</v>
      </c>
      <c r="C45" s="55">
        <f>'NOVEDADES EMPLEADOS'!B39</f>
        <v>0</v>
      </c>
      <c r="D45" s="56">
        <f>IFERROR(VLOOKUP(C45,'NOVEDADES EMPLEADOS'!$B$3:$H$53,2,FALSE),)</f>
        <v>0</v>
      </c>
      <c r="E45" s="56">
        <f>IFERROR(VLOOKUP(C45,'NOVEDADES EMPLEADOS'!$B$3:$H$53,3,0),)</f>
        <v>0</v>
      </c>
      <c r="F45" s="61">
        <f>NÓMINA!H45*DATOS!$F$7</f>
        <v>0</v>
      </c>
      <c r="G45" s="61">
        <f>NÓMINA!H45*DATOS!$F$9</f>
        <v>0</v>
      </c>
      <c r="H45" s="61">
        <f>NÓMINA!H45*'NOVEDADES EMPLEADOS'!AA39</f>
        <v>0</v>
      </c>
      <c r="I45" s="61">
        <f>IF(NÓMINA!H45&gt;=DATOS!$C$9,NÓMINA!H45*DATOS!$F$12,0)</f>
        <v>0</v>
      </c>
      <c r="J45" s="61">
        <f>IF(NÓMINA!H45&gt;=DATOS!$C$9,NÓMINA!H45*DATOS!$F$13,0)</f>
        <v>0</v>
      </c>
      <c r="K45" s="271">
        <f>NÓMINA!H45*DATOS!$F$14</f>
        <v>0</v>
      </c>
    </row>
    <row r="46" spans="2:11">
      <c r="B46" s="4">
        <v>37</v>
      </c>
      <c r="C46" s="55">
        <f>'NOVEDADES EMPLEADOS'!B40</f>
        <v>0</v>
      </c>
      <c r="D46" s="56">
        <f>IFERROR(VLOOKUP(C46,'NOVEDADES EMPLEADOS'!$B$3:$H$53,2,FALSE),)</f>
        <v>0</v>
      </c>
      <c r="E46" s="56">
        <f>IFERROR(VLOOKUP(C46,'NOVEDADES EMPLEADOS'!$B$3:$H$53,3,0),)</f>
        <v>0</v>
      </c>
      <c r="F46" s="61">
        <f>NÓMINA!H46*DATOS!$F$7</f>
        <v>0</v>
      </c>
      <c r="G46" s="61">
        <f>NÓMINA!H46*DATOS!$F$9</f>
        <v>0</v>
      </c>
      <c r="H46" s="61">
        <f>NÓMINA!H46*'NOVEDADES EMPLEADOS'!AA40</f>
        <v>0</v>
      </c>
      <c r="I46" s="61">
        <f>IF(NÓMINA!H46&gt;=DATOS!$C$9,NÓMINA!H46*DATOS!$F$12,0)</f>
        <v>0</v>
      </c>
      <c r="J46" s="61">
        <f>IF(NÓMINA!H46&gt;=DATOS!$C$9,NÓMINA!H46*DATOS!$F$13,0)</f>
        <v>0</v>
      </c>
      <c r="K46" s="271">
        <f>NÓMINA!H46*DATOS!$F$14</f>
        <v>0</v>
      </c>
    </row>
    <row r="47" spans="2:11">
      <c r="B47" s="4">
        <v>38</v>
      </c>
      <c r="C47" s="55">
        <f>'NOVEDADES EMPLEADOS'!B41</f>
        <v>0</v>
      </c>
      <c r="D47" s="56">
        <f>IFERROR(VLOOKUP(C47,'NOVEDADES EMPLEADOS'!$B$3:$H$53,2,FALSE),)</f>
        <v>0</v>
      </c>
      <c r="E47" s="56">
        <f>IFERROR(VLOOKUP(C47,'NOVEDADES EMPLEADOS'!$B$3:$H$53,3,0),)</f>
        <v>0</v>
      </c>
      <c r="F47" s="61">
        <f>NÓMINA!H47*DATOS!$F$7</f>
        <v>0</v>
      </c>
      <c r="G47" s="61">
        <f>NÓMINA!H47*DATOS!$F$9</f>
        <v>0</v>
      </c>
      <c r="H47" s="61">
        <f>NÓMINA!H47*'NOVEDADES EMPLEADOS'!AA41</f>
        <v>0</v>
      </c>
      <c r="I47" s="61">
        <f>IF(NÓMINA!H47&gt;=DATOS!$C$9,NÓMINA!H47*DATOS!$F$12,0)</f>
        <v>0</v>
      </c>
      <c r="J47" s="61">
        <f>IF(NÓMINA!H47&gt;=DATOS!$C$9,NÓMINA!H47*DATOS!$F$13,0)</f>
        <v>0</v>
      </c>
      <c r="K47" s="271">
        <f>NÓMINA!H47*DATOS!$F$14</f>
        <v>0</v>
      </c>
    </row>
    <row r="48" spans="2:11">
      <c r="B48" s="4">
        <v>39</v>
      </c>
      <c r="C48" s="55">
        <f>'NOVEDADES EMPLEADOS'!B42</f>
        <v>0</v>
      </c>
      <c r="D48" s="56">
        <f>IFERROR(VLOOKUP(C48,'NOVEDADES EMPLEADOS'!$B$3:$H$53,2,FALSE),)</f>
        <v>0</v>
      </c>
      <c r="E48" s="56">
        <f>IFERROR(VLOOKUP(C48,'NOVEDADES EMPLEADOS'!$B$3:$H$53,3,0),)</f>
        <v>0</v>
      </c>
      <c r="F48" s="61">
        <f>NÓMINA!H48*DATOS!$F$7</f>
        <v>0</v>
      </c>
      <c r="G48" s="61">
        <f>NÓMINA!H48*DATOS!$F$9</f>
        <v>0</v>
      </c>
      <c r="H48" s="61">
        <f>NÓMINA!H48*'NOVEDADES EMPLEADOS'!AA42</f>
        <v>0</v>
      </c>
      <c r="I48" s="61">
        <f>IF(NÓMINA!H48&gt;=DATOS!$C$9,NÓMINA!H48*DATOS!$F$12,0)</f>
        <v>0</v>
      </c>
      <c r="J48" s="61">
        <f>IF(NÓMINA!H48&gt;=DATOS!$C$9,NÓMINA!H48*DATOS!$F$13,0)</f>
        <v>0</v>
      </c>
      <c r="K48" s="271">
        <f>NÓMINA!H48*DATOS!$F$14</f>
        <v>0</v>
      </c>
    </row>
    <row r="49" spans="2:11">
      <c r="B49" s="4">
        <v>40</v>
      </c>
      <c r="C49" s="55">
        <f>'NOVEDADES EMPLEADOS'!B43</f>
        <v>0</v>
      </c>
      <c r="D49" s="56">
        <f>IFERROR(VLOOKUP(C49,'NOVEDADES EMPLEADOS'!$B$3:$H$53,2,FALSE),)</f>
        <v>0</v>
      </c>
      <c r="E49" s="56">
        <f>IFERROR(VLOOKUP(C49,'NOVEDADES EMPLEADOS'!$B$3:$H$53,3,0),)</f>
        <v>0</v>
      </c>
      <c r="F49" s="61">
        <f>NÓMINA!H49*DATOS!$F$7</f>
        <v>0</v>
      </c>
      <c r="G49" s="61">
        <f>NÓMINA!H49*DATOS!$F$9</f>
        <v>0</v>
      </c>
      <c r="H49" s="61">
        <f>NÓMINA!H49*'NOVEDADES EMPLEADOS'!AA43</f>
        <v>0</v>
      </c>
      <c r="I49" s="61">
        <f>IF(NÓMINA!H49&gt;=DATOS!$C$9,NÓMINA!H49*DATOS!$F$12,0)</f>
        <v>0</v>
      </c>
      <c r="J49" s="61">
        <f>IF(NÓMINA!H49&gt;=DATOS!$C$9,NÓMINA!H49*DATOS!$F$13,0)</f>
        <v>0</v>
      </c>
      <c r="K49" s="271">
        <f>NÓMINA!H49*DATOS!$F$14</f>
        <v>0</v>
      </c>
    </row>
    <row r="50" spans="2:11">
      <c r="B50" s="4">
        <v>41</v>
      </c>
      <c r="C50" s="55">
        <f>'NOVEDADES EMPLEADOS'!B44</f>
        <v>0</v>
      </c>
      <c r="D50" s="56">
        <f>IFERROR(VLOOKUP(C50,'NOVEDADES EMPLEADOS'!$B$3:$H$53,2,FALSE),)</f>
        <v>0</v>
      </c>
      <c r="E50" s="56">
        <f>IFERROR(VLOOKUP(C50,'NOVEDADES EMPLEADOS'!$B$3:$H$53,3,0),)</f>
        <v>0</v>
      </c>
      <c r="F50" s="61">
        <f>NÓMINA!H50*DATOS!$F$7</f>
        <v>0</v>
      </c>
      <c r="G50" s="61">
        <f>NÓMINA!H50*DATOS!$F$9</f>
        <v>0</v>
      </c>
      <c r="H50" s="61">
        <f>NÓMINA!H50*'NOVEDADES EMPLEADOS'!AA44</f>
        <v>0</v>
      </c>
      <c r="I50" s="61">
        <f>IF(NÓMINA!H50&gt;=DATOS!$C$9,NÓMINA!H50*DATOS!$F$12,0)</f>
        <v>0</v>
      </c>
      <c r="J50" s="61">
        <f>IF(NÓMINA!H50&gt;=DATOS!$C$9,NÓMINA!H50*DATOS!$F$13,0)</f>
        <v>0</v>
      </c>
      <c r="K50" s="271">
        <f>NÓMINA!H50*DATOS!$F$14</f>
        <v>0</v>
      </c>
    </row>
    <row r="51" spans="2:11">
      <c r="B51" s="4">
        <v>42</v>
      </c>
      <c r="C51" s="55">
        <f>'NOVEDADES EMPLEADOS'!B45</f>
        <v>0</v>
      </c>
      <c r="D51" s="56">
        <f>IFERROR(VLOOKUP(C51,'NOVEDADES EMPLEADOS'!$B$3:$H$53,2,FALSE),)</f>
        <v>0</v>
      </c>
      <c r="E51" s="56">
        <f>IFERROR(VLOOKUP(C51,'NOVEDADES EMPLEADOS'!$B$3:$H$53,3,0),)</f>
        <v>0</v>
      </c>
      <c r="F51" s="61">
        <f>NÓMINA!H51*DATOS!$F$7</f>
        <v>0</v>
      </c>
      <c r="G51" s="61">
        <f>NÓMINA!H51*DATOS!$F$9</f>
        <v>0</v>
      </c>
      <c r="H51" s="61">
        <f>NÓMINA!H51*'NOVEDADES EMPLEADOS'!AA45</f>
        <v>0</v>
      </c>
      <c r="I51" s="61">
        <f>IF(NÓMINA!H51&gt;=DATOS!$C$9,NÓMINA!H51*DATOS!$F$12,0)</f>
        <v>0</v>
      </c>
      <c r="J51" s="61">
        <f>IF(NÓMINA!H51&gt;=DATOS!$C$9,NÓMINA!H51*DATOS!$F$13,0)</f>
        <v>0</v>
      </c>
      <c r="K51" s="271">
        <f>NÓMINA!H51*DATOS!$F$14</f>
        <v>0</v>
      </c>
    </row>
    <row r="52" spans="2:11">
      <c r="B52" s="4">
        <v>43</v>
      </c>
      <c r="C52" s="55">
        <f>'NOVEDADES EMPLEADOS'!B46</f>
        <v>0</v>
      </c>
      <c r="D52" s="56">
        <f>IFERROR(VLOOKUP(C52,'NOVEDADES EMPLEADOS'!$B$3:$H$53,2,FALSE),)</f>
        <v>0</v>
      </c>
      <c r="E52" s="56">
        <f>IFERROR(VLOOKUP(C52,'NOVEDADES EMPLEADOS'!$B$3:$H$53,3,0),)</f>
        <v>0</v>
      </c>
      <c r="F52" s="61">
        <f>NÓMINA!H52*DATOS!$F$7</f>
        <v>0</v>
      </c>
      <c r="G52" s="61">
        <f>NÓMINA!H52*DATOS!$F$9</f>
        <v>0</v>
      </c>
      <c r="H52" s="61">
        <f>NÓMINA!H52*'NOVEDADES EMPLEADOS'!AA46</f>
        <v>0</v>
      </c>
      <c r="I52" s="61">
        <f>IF(NÓMINA!H52&gt;=DATOS!$C$9,NÓMINA!H52*DATOS!$F$12,0)</f>
        <v>0</v>
      </c>
      <c r="J52" s="61">
        <f>IF(NÓMINA!H52&gt;=DATOS!$C$9,NÓMINA!H52*DATOS!$F$13,0)</f>
        <v>0</v>
      </c>
      <c r="K52" s="271">
        <f>NÓMINA!H52*DATOS!$F$14</f>
        <v>0</v>
      </c>
    </row>
    <row r="53" spans="2:11">
      <c r="B53" s="4">
        <v>44</v>
      </c>
      <c r="C53" s="55">
        <f>'NOVEDADES EMPLEADOS'!B47</f>
        <v>0</v>
      </c>
      <c r="D53" s="56">
        <f>IFERROR(VLOOKUP(C53,'NOVEDADES EMPLEADOS'!$B$3:$H$53,2,FALSE),)</f>
        <v>0</v>
      </c>
      <c r="E53" s="56">
        <f>IFERROR(VLOOKUP(C53,'NOVEDADES EMPLEADOS'!$B$3:$H$53,3,0),)</f>
        <v>0</v>
      </c>
      <c r="F53" s="61">
        <f>NÓMINA!H53*DATOS!$F$7</f>
        <v>0</v>
      </c>
      <c r="G53" s="61">
        <f>NÓMINA!H53*DATOS!$F$9</f>
        <v>0</v>
      </c>
      <c r="H53" s="61">
        <f>NÓMINA!H53*'NOVEDADES EMPLEADOS'!AA47</f>
        <v>0</v>
      </c>
      <c r="I53" s="61">
        <f>IF(NÓMINA!H53&gt;=DATOS!$C$9,NÓMINA!H53*DATOS!$F$12,0)</f>
        <v>0</v>
      </c>
      <c r="J53" s="61">
        <f>IF(NÓMINA!H53&gt;=DATOS!$C$9,NÓMINA!H53*DATOS!$F$13,0)</f>
        <v>0</v>
      </c>
      <c r="K53" s="271">
        <f>NÓMINA!H53*DATOS!$F$14</f>
        <v>0</v>
      </c>
    </row>
    <row r="54" spans="2:11">
      <c r="B54" s="4">
        <v>45</v>
      </c>
      <c r="C54" s="55">
        <f>'NOVEDADES EMPLEADOS'!B48</f>
        <v>0</v>
      </c>
      <c r="D54" s="56">
        <f>IFERROR(VLOOKUP(C54,'NOVEDADES EMPLEADOS'!$B$3:$H$53,2,FALSE),)</f>
        <v>0</v>
      </c>
      <c r="E54" s="56">
        <f>IFERROR(VLOOKUP(C54,'NOVEDADES EMPLEADOS'!$B$3:$H$53,3,0),)</f>
        <v>0</v>
      </c>
      <c r="F54" s="61">
        <f>NÓMINA!H54*DATOS!$F$7</f>
        <v>0</v>
      </c>
      <c r="G54" s="61">
        <f>NÓMINA!H54*DATOS!$F$9</f>
        <v>0</v>
      </c>
      <c r="H54" s="61">
        <f>NÓMINA!H54*'NOVEDADES EMPLEADOS'!AA48</f>
        <v>0</v>
      </c>
      <c r="I54" s="61">
        <f>IF(NÓMINA!H54&gt;=DATOS!$C$9,NÓMINA!H54*DATOS!$F$12,0)</f>
        <v>0</v>
      </c>
      <c r="J54" s="61">
        <f>IF(NÓMINA!H54&gt;=DATOS!$C$9,NÓMINA!H54*DATOS!$F$13,0)</f>
        <v>0</v>
      </c>
      <c r="K54" s="271">
        <f>NÓMINA!H54*DATOS!$F$14</f>
        <v>0</v>
      </c>
    </row>
    <row r="55" spans="2:11">
      <c r="B55" s="4">
        <v>46</v>
      </c>
      <c r="C55" s="55">
        <f>'NOVEDADES EMPLEADOS'!B49</f>
        <v>0</v>
      </c>
      <c r="D55" s="56">
        <f>IFERROR(VLOOKUP(C55,'NOVEDADES EMPLEADOS'!$B$3:$H$53,2,FALSE),)</f>
        <v>0</v>
      </c>
      <c r="E55" s="56">
        <f>IFERROR(VLOOKUP(C55,'NOVEDADES EMPLEADOS'!$B$3:$H$53,3,0),)</f>
        <v>0</v>
      </c>
      <c r="F55" s="61">
        <f>NÓMINA!H55*DATOS!$F$7</f>
        <v>0</v>
      </c>
      <c r="G55" s="61">
        <f>NÓMINA!H55*DATOS!$F$9</f>
        <v>0</v>
      </c>
      <c r="H55" s="61">
        <f>NÓMINA!H55*'NOVEDADES EMPLEADOS'!AA49</f>
        <v>0</v>
      </c>
      <c r="I55" s="61">
        <f>IF(NÓMINA!H55&gt;=DATOS!$C$9,NÓMINA!H55*DATOS!$F$12,0)</f>
        <v>0</v>
      </c>
      <c r="J55" s="61">
        <f>IF(NÓMINA!H55&gt;=DATOS!$C$9,NÓMINA!H55*DATOS!$F$13,0)</f>
        <v>0</v>
      </c>
      <c r="K55" s="271">
        <f>NÓMINA!H55*DATOS!$F$14</f>
        <v>0</v>
      </c>
    </row>
    <row r="56" spans="2:11">
      <c r="B56" s="4">
        <v>47</v>
      </c>
      <c r="C56" s="55">
        <f>'NOVEDADES EMPLEADOS'!B50</f>
        <v>0</v>
      </c>
      <c r="D56" s="56">
        <f>IFERROR(VLOOKUP(C56,'NOVEDADES EMPLEADOS'!$B$3:$H$53,2,FALSE),)</f>
        <v>0</v>
      </c>
      <c r="E56" s="56">
        <f>IFERROR(VLOOKUP(C56,'NOVEDADES EMPLEADOS'!$B$3:$H$53,3,0),)</f>
        <v>0</v>
      </c>
      <c r="F56" s="61">
        <f>NÓMINA!H56*DATOS!$F$7</f>
        <v>0</v>
      </c>
      <c r="G56" s="61">
        <f>NÓMINA!H56*DATOS!$F$9</f>
        <v>0</v>
      </c>
      <c r="H56" s="61">
        <f>NÓMINA!H56*'NOVEDADES EMPLEADOS'!AA50</f>
        <v>0</v>
      </c>
      <c r="I56" s="61">
        <f>IF(NÓMINA!H56&gt;=DATOS!$C$9,NÓMINA!H56*DATOS!$F$12,0)</f>
        <v>0</v>
      </c>
      <c r="J56" s="61">
        <f>IF(NÓMINA!H56&gt;=DATOS!$C$9,NÓMINA!H56*DATOS!$F$13,0)</f>
        <v>0</v>
      </c>
      <c r="K56" s="271">
        <f>NÓMINA!H56*DATOS!$F$14</f>
        <v>0</v>
      </c>
    </row>
    <row r="57" spans="2:11">
      <c r="B57" s="4">
        <v>48</v>
      </c>
      <c r="C57" s="55">
        <f>'NOVEDADES EMPLEADOS'!B51</f>
        <v>0</v>
      </c>
      <c r="D57" s="56">
        <f>IFERROR(VLOOKUP(C57,'NOVEDADES EMPLEADOS'!$B$3:$H$53,2,FALSE),)</f>
        <v>0</v>
      </c>
      <c r="E57" s="56">
        <f>IFERROR(VLOOKUP(C57,'NOVEDADES EMPLEADOS'!$B$3:$H$53,3,0),)</f>
        <v>0</v>
      </c>
      <c r="F57" s="61">
        <f>NÓMINA!H57*DATOS!$F$7</f>
        <v>0</v>
      </c>
      <c r="G57" s="61">
        <f>NÓMINA!H57*DATOS!$F$9</f>
        <v>0</v>
      </c>
      <c r="H57" s="61">
        <f>NÓMINA!H57*'NOVEDADES EMPLEADOS'!AA51</f>
        <v>0</v>
      </c>
      <c r="I57" s="61">
        <f>IF(NÓMINA!H57&gt;=DATOS!$C$9,NÓMINA!H57*DATOS!$F$12,0)</f>
        <v>0</v>
      </c>
      <c r="J57" s="61">
        <f>IF(NÓMINA!H57&gt;=DATOS!$C$9,NÓMINA!H57*DATOS!$F$13,0)</f>
        <v>0</v>
      </c>
      <c r="K57" s="271">
        <f>NÓMINA!H57*DATOS!$F$14</f>
        <v>0</v>
      </c>
    </row>
    <row r="58" spans="2:11">
      <c r="B58" s="4">
        <v>49</v>
      </c>
      <c r="C58" s="55">
        <f>'NOVEDADES EMPLEADOS'!B52</f>
        <v>0</v>
      </c>
      <c r="D58" s="56">
        <f>IFERROR(VLOOKUP(C58,'NOVEDADES EMPLEADOS'!$B$3:$H$53,2,FALSE),)</f>
        <v>0</v>
      </c>
      <c r="E58" s="56">
        <f>IFERROR(VLOOKUP(C58,'NOVEDADES EMPLEADOS'!$B$3:$H$53,3,0),)</f>
        <v>0</v>
      </c>
      <c r="F58" s="61">
        <f>NÓMINA!H58*DATOS!$F$7</f>
        <v>0</v>
      </c>
      <c r="G58" s="61">
        <f>NÓMINA!H58*DATOS!$F$9</f>
        <v>0</v>
      </c>
      <c r="H58" s="61">
        <f>NÓMINA!H58*'NOVEDADES EMPLEADOS'!AA52</f>
        <v>0</v>
      </c>
      <c r="I58" s="61">
        <f>IF(NÓMINA!H58&gt;=DATOS!$C$9,NÓMINA!H58*DATOS!$F$12,0)</f>
        <v>0</v>
      </c>
      <c r="J58" s="61">
        <f>IF(NÓMINA!H58&gt;=DATOS!$C$9,NÓMINA!H58*DATOS!$F$13,0)</f>
        <v>0</v>
      </c>
      <c r="K58" s="271">
        <f>NÓMINA!H58*DATOS!$F$14</f>
        <v>0</v>
      </c>
    </row>
    <row r="59" spans="2:11">
      <c r="B59" s="4">
        <v>50</v>
      </c>
      <c r="C59" s="272">
        <f>'NOVEDADES EMPLEADOS'!B53</f>
        <v>0</v>
      </c>
      <c r="D59" s="273">
        <f>IFERROR(VLOOKUP(C59,'NOVEDADES EMPLEADOS'!$B$3:$H$53,2,FALSE),)</f>
        <v>0</v>
      </c>
      <c r="E59" s="273">
        <f>IFERROR(VLOOKUP(C59,'NOVEDADES EMPLEADOS'!$B$3:$H$53,3,0),)</f>
        <v>0</v>
      </c>
      <c r="F59" s="274">
        <f>NÓMINA!H59*DATOS!$F$7</f>
        <v>0</v>
      </c>
      <c r="G59" s="274">
        <f>NÓMINA!H59*DATOS!$F$9</f>
        <v>0</v>
      </c>
      <c r="H59" s="274">
        <f>NÓMINA!H59*'NOVEDADES EMPLEADOS'!AA53</f>
        <v>0</v>
      </c>
      <c r="I59" s="274">
        <f>IF(NÓMINA!H59&gt;=DATOS!$C$9,NÓMINA!H59*DATOS!$F$12,0)</f>
        <v>0</v>
      </c>
      <c r="J59" s="274">
        <f>IF(NÓMINA!H59&gt;=DATOS!$C$9,NÓMINA!H59*DATOS!$F$13,0)</f>
        <v>0</v>
      </c>
      <c r="K59" s="275">
        <f>NÓMINA!H59*DATOS!$F$14</f>
        <v>0</v>
      </c>
    </row>
    <row r="60" spans="2:11" ht="12">
      <c r="C60" s="24" t="s">
        <v>161</v>
      </c>
      <c r="D60" s="24"/>
      <c r="E60" s="24"/>
      <c r="F60" s="23">
        <f t="shared" ref="F60:K60" si="0">SUM(F10:F59)</f>
        <v>0</v>
      </c>
      <c r="G60" s="23">
        <f t="shared" si="0"/>
        <v>1767600</v>
      </c>
      <c r="H60" s="23">
        <f t="shared" si="0"/>
        <v>86547.599999999991</v>
      </c>
      <c r="I60" s="23">
        <f t="shared" si="0"/>
        <v>0</v>
      </c>
      <c r="J60" s="23">
        <f t="shared" si="0"/>
        <v>0</v>
      </c>
      <c r="K60" s="23">
        <f t="shared" si="0"/>
        <v>589200</v>
      </c>
    </row>
    <row r="61" spans="2:11"/>
    <row r="62" spans="2:11"/>
    <row r="63" spans="2:11"/>
    <row r="64" spans="2:11"/>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ht="6.75" customHeight="1"/>
    <row r="1048576" ht="15" customHeight="1"/>
  </sheetData>
  <sheetProtection selectLockedCells="1" selectUnlockedCells="1"/>
  <mergeCells count="5">
    <mergeCell ref="C2:F2"/>
    <mergeCell ref="C5:F5"/>
    <mergeCell ref="C6:E6"/>
    <mergeCell ref="C7:E7"/>
    <mergeCell ref="C3:E3"/>
  </mergeCells>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7214F-184F-4F0A-B921-451B0329B38B}">
  <sheetPr codeName="Hoja9">
    <tabColor rgb="FF75F04A"/>
  </sheetPr>
  <dimension ref="A2:I65"/>
  <sheetViews>
    <sheetView showGridLines="0" zoomScale="110" zoomScaleNormal="110" workbookViewId="0">
      <selection activeCell="E65" sqref="E65"/>
    </sheetView>
  </sheetViews>
  <sheetFormatPr baseColWidth="10" defaultColWidth="0" defaultRowHeight="11.4"/>
  <cols>
    <col min="1" max="1" width="1.88671875" style="4" customWidth="1"/>
    <col min="2" max="2" width="2.6640625" style="4" customWidth="1"/>
    <col min="3" max="4" width="23.88671875" style="4" customWidth="1"/>
    <col min="5" max="5" width="22.6640625" style="4" customWidth="1"/>
    <col min="6" max="6" width="27.33203125" style="4" customWidth="1"/>
    <col min="7" max="8" width="20.109375" style="4" customWidth="1"/>
    <col min="9" max="9" width="11.44140625" style="4" customWidth="1"/>
    <col min="10" max="16384" width="11.44140625" style="4" hidden="1"/>
  </cols>
  <sheetData>
    <row r="2" spans="2:8" ht="25.2">
      <c r="C2" s="315" t="str">
        <f>DATOS!C2</f>
        <v>EDICAR</v>
      </c>
      <c r="D2" s="315"/>
      <c r="E2" s="315"/>
    </row>
    <row r="3" spans="2:8" ht="12">
      <c r="C3" s="322" t="s">
        <v>111</v>
      </c>
      <c r="D3" s="323"/>
      <c r="E3" s="15">
        <f>DATOS!C3</f>
        <v>1035851332</v>
      </c>
    </row>
    <row r="5" spans="2:8" ht="12">
      <c r="C5" s="316" t="s">
        <v>167</v>
      </c>
      <c r="D5" s="316"/>
      <c r="E5" s="316"/>
    </row>
    <row r="6" spans="2:8" ht="12">
      <c r="C6" s="317" t="s">
        <v>3</v>
      </c>
      <c r="D6" s="319"/>
      <c r="E6" s="8">
        <f>DATOS!F2</f>
        <v>45536</v>
      </c>
    </row>
    <row r="7" spans="2:8" ht="12">
      <c r="C7" s="317" t="s">
        <v>5</v>
      </c>
      <c r="D7" s="319"/>
      <c r="E7" s="8">
        <f>DATOS!F3</f>
        <v>45565</v>
      </c>
    </row>
    <row r="10" spans="2:8" ht="12">
      <c r="C10" s="268" t="s">
        <v>84</v>
      </c>
      <c r="D10" s="269" t="s">
        <v>85</v>
      </c>
      <c r="E10" s="269" t="s">
        <v>37</v>
      </c>
      <c r="F10" s="269" t="s">
        <v>41</v>
      </c>
      <c r="G10" s="269" t="s">
        <v>43</v>
      </c>
      <c r="H10" s="270" t="s">
        <v>45</v>
      </c>
    </row>
    <row r="11" spans="2:8">
      <c r="B11" s="4">
        <v>1</v>
      </c>
      <c r="C11" s="55">
        <f>'NOVEDADES EMPLEADOS'!B4</f>
        <v>1</v>
      </c>
      <c r="D11" s="56" t="str">
        <f>IFERROR(VLOOKUP(C11,'NOVEDADES EMPLEADOS'!$B$3:$H$53,2,0),)</f>
        <v>DISNERIS AVEMARIA</v>
      </c>
      <c r="E11" s="61">
        <f>IF('NOVEDADES EMPLEADOS'!F4="BASICO",NÓMINA!H10*DATOS!$F$17,0)</f>
        <v>108290</v>
      </c>
      <c r="F11" s="61">
        <f>IF('NOVEDADES EMPLEADOS'!F4="BASICO",NÓMINA!H10*DATOS!$F$18,0)</f>
        <v>13000</v>
      </c>
      <c r="G11" s="61">
        <f>IF('NOVEDADES EMPLEADOS'!F4="BASICO",NÓMINA!H10*DATOS!$F$19,0)</f>
        <v>108290</v>
      </c>
      <c r="H11" s="271">
        <f>IF('NOVEDADES EMPLEADOS'!F4="BASICO",(NÓMINA!J10+NÓMINA!I10)*DATOS!$F$20,0)</f>
        <v>54210</v>
      </c>
    </row>
    <row r="12" spans="2:8">
      <c r="B12" s="4">
        <v>2</v>
      </c>
      <c r="C12" s="55">
        <f>'NOVEDADES EMPLEADOS'!B5</f>
        <v>2</v>
      </c>
      <c r="D12" s="56" t="str">
        <f>IFERROR(VLOOKUP(C12,'NOVEDADES EMPLEADOS'!$B$3:$H$53,2,0),)</f>
        <v>YILIMAR</v>
      </c>
      <c r="E12" s="61">
        <f>IF('NOVEDADES EMPLEADOS'!F5="BASICO",NÓMINA!H11*DATOS!$F$17,0)</f>
        <v>154105</v>
      </c>
      <c r="F12" s="61">
        <f>IF('NOVEDADES EMPLEADOS'!F5="BASICO",NÓMINA!H11*DATOS!$F$18,0)</f>
        <v>18500</v>
      </c>
      <c r="G12" s="61">
        <f>IF('NOVEDADES EMPLEADOS'!F5="BASICO",NÓMINA!H11*DATOS!$F$19,0)</f>
        <v>154105</v>
      </c>
      <c r="H12" s="271">
        <f>IF('NOVEDADES EMPLEADOS'!F5="BASICO",(NÓMINA!J11+NÓMINA!I11)*DATOS!$F$20,0)</f>
        <v>77145</v>
      </c>
    </row>
    <row r="13" spans="2:8">
      <c r="B13" s="4">
        <v>3</v>
      </c>
      <c r="C13" s="55">
        <f>'NOVEDADES EMPLEADOS'!B6</f>
        <v>3</v>
      </c>
      <c r="D13" s="56" t="str">
        <f>IFERROR(VLOOKUP(C13,'NOVEDADES EMPLEADOS'!$B$3:$H$53,2,0),)</f>
        <v>SANDRA</v>
      </c>
      <c r="E13" s="61">
        <f>IF('NOVEDADES EMPLEADOS'!F6="BASICO",NÓMINA!H12*DATOS!$F$17,0)</f>
        <v>133280</v>
      </c>
      <c r="F13" s="61">
        <f>IF('NOVEDADES EMPLEADOS'!F6="BASICO",NÓMINA!H12*DATOS!$F$18,0)</f>
        <v>16000</v>
      </c>
      <c r="G13" s="61">
        <f>IF('NOVEDADES EMPLEADOS'!F6="BASICO",NÓMINA!H12*DATOS!$F$19,0)</f>
        <v>133280</v>
      </c>
      <c r="H13" s="271">
        <f>IF('NOVEDADES EMPLEADOS'!F6="BASICO",(NÓMINA!J12+NÓMINA!I12)*DATOS!$F$20,0)</f>
        <v>66720</v>
      </c>
    </row>
    <row r="14" spans="2:8">
      <c r="B14" s="4">
        <v>4</v>
      </c>
      <c r="C14" s="55">
        <f>'NOVEDADES EMPLEADOS'!B7</f>
        <v>4</v>
      </c>
      <c r="D14" s="56" t="str">
        <f>IFERROR(VLOOKUP(C14,'NOVEDADES EMPLEADOS'!$B$3:$H$53,2,0),)</f>
        <v>DUVAN</v>
      </c>
      <c r="E14" s="61">
        <f>IF('NOVEDADES EMPLEADOS'!F7="BASICO",NÓMINA!H13*DATOS!$F$17,0)</f>
        <v>108290</v>
      </c>
      <c r="F14" s="61">
        <f>IF('NOVEDADES EMPLEADOS'!F7="BASICO",NÓMINA!H13*DATOS!$F$18,0)</f>
        <v>13000</v>
      </c>
      <c r="G14" s="61">
        <f>IF('NOVEDADES EMPLEADOS'!F7="BASICO",NÓMINA!H13*DATOS!$F$19,0)</f>
        <v>108290</v>
      </c>
      <c r="H14" s="271">
        <f>IF('NOVEDADES EMPLEADOS'!F7="BASICO",(NÓMINA!J13+NÓMINA!I13)*DATOS!$F$20,0)</f>
        <v>54210</v>
      </c>
    </row>
    <row r="15" spans="2:8">
      <c r="B15" s="4">
        <v>5</v>
      </c>
      <c r="C15" s="55">
        <f>'NOVEDADES EMPLEADOS'!B8</f>
        <v>5</v>
      </c>
      <c r="D15" s="56" t="str">
        <f>IFERROR(VLOOKUP(C15,'NOVEDADES EMPLEADOS'!$B$3:$H$53,2,0),)</f>
        <v>NEICER</v>
      </c>
      <c r="E15" s="61">
        <f>IF('NOVEDADES EMPLEADOS'!F8="BASICO",NÓMINA!H14*DATOS!$F$17,0)</f>
        <v>108290</v>
      </c>
      <c r="F15" s="61">
        <f>IF('NOVEDADES EMPLEADOS'!F8="BASICO",NÓMINA!H14*DATOS!$F$18,0)</f>
        <v>13000</v>
      </c>
      <c r="G15" s="61">
        <f>IF('NOVEDADES EMPLEADOS'!F8="BASICO",NÓMINA!H14*DATOS!$F$19,0)</f>
        <v>108290</v>
      </c>
      <c r="H15" s="271">
        <f>IF('NOVEDADES EMPLEADOS'!F8="BASICO",(NÓMINA!J14+NÓMINA!I14)*DATOS!$F$20,0)</f>
        <v>54210</v>
      </c>
    </row>
    <row r="16" spans="2:8">
      <c r="B16" s="4">
        <v>6</v>
      </c>
      <c r="C16" s="55">
        <f>'NOVEDADES EMPLEADOS'!B9</f>
        <v>6</v>
      </c>
      <c r="D16" s="56" t="str">
        <f>IFERROR(VLOOKUP(C16,'NOVEDADES EMPLEADOS'!$B$3:$H$53,2,0),)</f>
        <v>BRAYAN</v>
      </c>
      <c r="E16" s="61">
        <f>IF('NOVEDADES EMPLEADOS'!F9="BASICO",NÓMINA!H15*DATOS!$F$17,0)</f>
        <v>108290</v>
      </c>
      <c r="F16" s="61">
        <f>IF('NOVEDADES EMPLEADOS'!F9="BASICO",NÓMINA!H15*DATOS!$F$18,0)</f>
        <v>13000</v>
      </c>
      <c r="G16" s="61">
        <f>IF('NOVEDADES EMPLEADOS'!F9="BASICO",NÓMINA!H15*DATOS!$F$19,0)</f>
        <v>108290</v>
      </c>
      <c r="H16" s="271">
        <f>IF('NOVEDADES EMPLEADOS'!F9="BASICO",(NÓMINA!J15+NÓMINA!I15)*DATOS!$F$20,0)</f>
        <v>54210</v>
      </c>
    </row>
    <row r="17" spans="2:8">
      <c r="B17" s="4">
        <v>7</v>
      </c>
      <c r="C17" s="55">
        <f>'NOVEDADES EMPLEADOS'!B10</f>
        <v>7</v>
      </c>
      <c r="D17" s="56" t="str">
        <f>IFERROR(VLOOKUP(C17,'NOVEDADES EMPLEADOS'!$B$3:$H$53,2,0),)</f>
        <v>YASMÍN</v>
      </c>
      <c r="E17" s="61">
        <f>IF('NOVEDADES EMPLEADOS'!F10="BASICO",NÓMINA!H16*DATOS!$F$17,0)</f>
        <v>166600.00000000003</v>
      </c>
      <c r="F17" s="61">
        <f>IF('NOVEDADES EMPLEADOS'!F10="BASICO",NÓMINA!H16*DATOS!$F$18,0)</f>
        <v>20000.000000000004</v>
      </c>
      <c r="G17" s="61">
        <f>IF('NOVEDADES EMPLEADOS'!F10="BASICO",NÓMINA!H16*DATOS!$F$19,0)</f>
        <v>166600.00000000003</v>
      </c>
      <c r="H17" s="271">
        <f>IF('NOVEDADES EMPLEADOS'!F10="BASICO",(NÓMINA!J16+NÓMINA!I16)*DATOS!$F$20,0)</f>
        <v>83400.000000000015</v>
      </c>
    </row>
    <row r="18" spans="2:8">
      <c r="B18" s="4">
        <v>8</v>
      </c>
      <c r="C18" s="55">
        <f>'NOVEDADES EMPLEADOS'!B11</f>
        <v>8</v>
      </c>
      <c r="D18" s="56" t="str">
        <f>IFERROR(VLOOKUP(C18,'NOVEDADES EMPLEADOS'!$B$3:$H$53,2,0),)</f>
        <v>JOSE</v>
      </c>
      <c r="E18" s="61">
        <f>IF('NOVEDADES EMPLEADOS'!F11="BASICO",NÓMINA!H17*DATOS!$F$17,0)</f>
        <v>121618</v>
      </c>
      <c r="F18" s="61">
        <f>IF('NOVEDADES EMPLEADOS'!F11="BASICO",NÓMINA!H17*DATOS!$F$18,0)</f>
        <v>14600</v>
      </c>
      <c r="G18" s="61">
        <f>IF('NOVEDADES EMPLEADOS'!F11="BASICO",NÓMINA!H17*DATOS!$F$19,0)</f>
        <v>121618</v>
      </c>
      <c r="H18" s="271">
        <f>IF('NOVEDADES EMPLEADOS'!F11="BASICO",(NÓMINA!J17+NÓMINA!I17)*DATOS!$F$20,0)</f>
        <v>60882</v>
      </c>
    </row>
    <row r="19" spans="2:8">
      <c r="B19" s="4">
        <v>9</v>
      </c>
      <c r="C19" s="55">
        <f>'NOVEDADES EMPLEADOS'!B12</f>
        <v>9</v>
      </c>
      <c r="D19" s="56" t="str">
        <f>IFERROR(VLOOKUP(C19,'NOVEDADES EMPLEADOS'!$B$3:$H$53,2,0),)</f>
        <v>RIGOBERTO URAN PEÑA</v>
      </c>
      <c r="E19" s="61">
        <f>IF('NOVEDADES EMPLEADOS'!F12="BASICO",NÓMINA!H18*DATOS!$F$17,0)</f>
        <v>109956</v>
      </c>
      <c r="F19" s="61">
        <f>IF('NOVEDADES EMPLEADOS'!F12="BASICO",NÓMINA!H18*DATOS!$F$18,0)</f>
        <v>13200</v>
      </c>
      <c r="G19" s="61">
        <f>IF('NOVEDADES EMPLEADOS'!F12="BASICO",NÓMINA!H18*DATOS!$F$19,0)</f>
        <v>109956</v>
      </c>
      <c r="H19" s="271">
        <f>IF('NOVEDADES EMPLEADOS'!F12="BASICO",(NÓMINA!J18+NÓMINA!I18)*DATOS!$F$20,0)</f>
        <v>55044</v>
      </c>
    </row>
    <row r="20" spans="2:8">
      <c r="B20" s="4">
        <v>10</v>
      </c>
      <c r="C20" s="55">
        <f>'NOVEDADES EMPLEADOS'!B13</f>
        <v>10</v>
      </c>
      <c r="D20" s="56" t="str">
        <f>IFERROR(VLOOKUP(C20,'NOVEDADES EMPLEADOS'!$B$3:$H$53,2,0),)</f>
        <v>RENÉ HIGUITA SUAZA</v>
      </c>
      <c r="E20" s="61">
        <f>IF('NOVEDADES EMPLEADOS'!F13="BASICO",NÓMINA!H19*DATOS!$F$17,0)</f>
        <v>108290</v>
      </c>
      <c r="F20" s="61">
        <f>IF('NOVEDADES EMPLEADOS'!F13="BASICO",NÓMINA!H19*DATOS!$F$18,0)</f>
        <v>13000</v>
      </c>
      <c r="G20" s="61">
        <f>IF('NOVEDADES EMPLEADOS'!F13="BASICO",NÓMINA!H19*DATOS!$F$19,0)</f>
        <v>108290</v>
      </c>
      <c r="H20" s="271">
        <f>IF('NOVEDADES EMPLEADOS'!F13="BASICO",(NÓMINA!J19+NÓMINA!I19)*DATOS!$F$20,0)</f>
        <v>54210</v>
      </c>
    </row>
    <row r="21" spans="2:8">
      <c r="B21" s="4">
        <v>11</v>
      </c>
      <c r="C21" s="55">
        <f>'NOVEDADES EMPLEADOS'!B14</f>
        <v>0</v>
      </c>
      <c r="D21" s="56">
        <f>IFERROR(VLOOKUP(C21,'NOVEDADES EMPLEADOS'!$B$3:$H$53,2,0),)</f>
        <v>0</v>
      </c>
      <c r="E21" s="61">
        <f>IF('NOVEDADES EMPLEADOS'!F14="BASICO",NÓMINA!H20*DATOS!$F$17,0)</f>
        <v>0</v>
      </c>
      <c r="F21" s="61">
        <f>IF('NOVEDADES EMPLEADOS'!F14="BASICO",NÓMINA!H20*DATOS!$F$18,0)</f>
        <v>0</v>
      </c>
      <c r="G21" s="61">
        <f>IF('NOVEDADES EMPLEADOS'!F14="BASICO",NÓMINA!H20*DATOS!$F$19,0)</f>
        <v>0</v>
      </c>
      <c r="H21" s="271">
        <f>IF('NOVEDADES EMPLEADOS'!F14="BASICO",NÓMINA!H20*DATOS!$F$20,0)</f>
        <v>0</v>
      </c>
    </row>
    <row r="22" spans="2:8">
      <c r="B22" s="4">
        <v>12</v>
      </c>
      <c r="C22" s="55">
        <f>'NOVEDADES EMPLEADOS'!B15</f>
        <v>0</v>
      </c>
      <c r="D22" s="56">
        <f>IFERROR(VLOOKUP(C22,'NOVEDADES EMPLEADOS'!$B$3:$H$53,2,0),)</f>
        <v>0</v>
      </c>
      <c r="E22" s="61">
        <f>IF('NOVEDADES EMPLEADOS'!F15="BASICO",NÓMINA!H21*DATOS!$F$17,0)</f>
        <v>0</v>
      </c>
      <c r="F22" s="61">
        <f>IF('NOVEDADES EMPLEADOS'!F15="BASICO",NÓMINA!H21*DATOS!$F$18,0)</f>
        <v>0</v>
      </c>
      <c r="G22" s="61">
        <f>IF('NOVEDADES EMPLEADOS'!F15="BASICO",NÓMINA!H21*DATOS!$F$19,0)</f>
        <v>0</v>
      </c>
      <c r="H22" s="271">
        <f>IF('NOVEDADES EMPLEADOS'!F15="BASICO",NÓMINA!H21*DATOS!$F$20,0)</f>
        <v>0</v>
      </c>
    </row>
    <row r="23" spans="2:8">
      <c r="B23" s="4">
        <v>13</v>
      </c>
      <c r="C23" s="55">
        <f>'NOVEDADES EMPLEADOS'!B16</f>
        <v>0</v>
      </c>
      <c r="D23" s="56">
        <f>IFERROR(VLOOKUP(C23,'NOVEDADES EMPLEADOS'!$B$3:$H$53,2,0),)</f>
        <v>0</v>
      </c>
      <c r="E23" s="61">
        <f>IF('NOVEDADES EMPLEADOS'!F16="BASICO",NÓMINA!H22*DATOS!$F$17,0)</f>
        <v>0</v>
      </c>
      <c r="F23" s="61">
        <f>IF('NOVEDADES EMPLEADOS'!F16="BASICO",NÓMINA!H22*DATOS!$F$18,0)</f>
        <v>0</v>
      </c>
      <c r="G23" s="61">
        <f>IF('NOVEDADES EMPLEADOS'!F16="BASICO",NÓMINA!H22*DATOS!$F$19,0)</f>
        <v>0</v>
      </c>
      <c r="H23" s="271">
        <f>IF('NOVEDADES EMPLEADOS'!F16="BASICO",NÓMINA!H22*DATOS!$F$20,0)</f>
        <v>0</v>
      </c>
    </row>
    <row r="24" spans="2:8">
      <c r="B24" s="4">
        <v>14</v>
      </c>
      <c r="C24" s="55">
        <f>'NOVEDADES EMPLEADOS'!B17</f>
        <v>0</v>
      </c>
      <c r="D24" s="56">
        <f>IFERROR(VLOOKUP(C24,'NOVEDADES EMPLEADOS'!$B$3:$H$53,2,0),)</f>
        <v>0</v>
      </c>
      <c r="E24" s="61">
        <f>IF('NOVEDADES EMPLEADOS'!F17="BASICO",NÓMINA!H23*DATOS!$F$17,0)</f>
        <v>0</v>
      </c>
      <c r="F24" s="61">
        <f>IF('NOVEDADES EMPLEADOS'!F17="BASICO",NÓMINA!H23*DATOS!$F$18,0)</f>
        <v>0</v>
      </c>
      <c r="G24" s="61">
        <f>IF('NOVEDADES EMPLEADOS'!F17="BASICO",NÓMINA!H23*DATOS!$F$19,0)</f>
        <v>0</v>
      </c>
      <c r="H24" s="271">
        <f>IF('NOVEDADES EMPLEADOS'!F17="BASICO",NÓMINA!H23*DATOS!$F$20,0)</f>
        <v>0</v>
      </c>
    </row>
    <row r="25" spans="2:8">
      <c r="B25" s="4">
        <v>15</v>
      </c>
      <c r="C25" s="55">
        <f>'NOVEDADES EMPLEADOS'!B18</f>
        <v>0</v>
      </c>
      <c r="D25" s="56">
        <f>IFERROR(VLOOKUP(C25,'NOVEDADES EMPLEADOS'!$B$3:$H$53,2,0),)</f>
        <v>0</v>
      </c>
      <c r="E25" s="61">
        <f>IF('NOVEDADES EMPLEADOS'!F18="BASICO",NÓMINA!H24*DATOS!$F$17,0)</f>
        <v>0</v>
      </c>
      <c r="F25" s="61">
        <f>IF('NOVEDADES EMPLEADOS'!F18="BASICO",NÓMINA!H24*DATOS!$F$18,0)</f>
        <v>0</v>
      </c>
      <c r="G25" s="61">
        <f>IF('NOVEDADES EMPLEADOS'!F18="BASICO",NÓMINA!H24*DATOS!$F$19,0)</f>
        <v>0</v>
      </c>
      <c r="H25" s="271">
        <f>IF('NOVEDADES EMPLEADOS'!F18="BASICO",NÓMINA!H24*DATOS!$F$20,0)</f>
        <v>0</v>
      </c>
    </row>
    <row r="26" spans="2:8">
      <c r="B26" s="4">
        <v>16</v>
      </c>
      <c r="C26" s="55">
        <f>'NOVEDADES EMPLEADOS'!B19</f>
        <v>0</v>
      </c>
      <c r="D26" s="56">
        <f>IFERROR(VLOOKUP(C26,'NOVEDADES EMPLEADOS'!$B$3:$H$53,2,0),)</f>
        <v>0</v>
      </c>
      <c r="E26" s="61">
        <f>IF('NOVEDADES EMPLEADOS'!F19="BASICO",NÓMINA!H25*DATOS!$F$17,0)</f>
        <v>0</v>
      </c>
      <c r="F26" s="61">
        <f>IF('NOVEDADES EMPLEADOS'!F19="BASICO",NÓMINA!H25*DATOS!$F$18,0)</f>
        <v>0</v>
      </c>
      <c r="G26" s="61">
        <f>IF('NOVEDADES EMPLEADOS'!F19="BASICO",NÓMINA!H25*DATOS!$F$19,0)</f>
        <v>0</v>
      </c>
      <c r="H26" s="271">
        <f>IF('NOVEDADES EMPLEADOS'!F19="BASICO",NÓMINA!H25*DATOS!$F$20,0)</f>
        <v>0</v>
      </c>
    </row>
    <row r="27" spans="2:8">
      <c r="B27" s="4">
        <v>17</v>
      </c>
      <c r="C27" s="55">
        <f>'NOVEDADES EMPLEADOS'!B20</f>
        <v>0</v>
      </c>
      <c r="D27" s="56">
        <f>IFERROR(VLOOKUP(C27,'NOVEDADES EMPLEADOS'!$B$3:$H$53,2,0),)</f>
        <v>0</v>
      </c>
      <c r="E27" s="61">
        <f>IF('NOVEDADES EMPLEADOS'!F20="BASICO",NÓMINA!H26*DATOS!$F$17,0)</f>
        <v>0</v>
      </c>
      <c r="F27" s="61">
        <f>IF('NOVEDADES EMPLEADOS'!F20="BASICO",NÓMINA!H26*DATOS!$F$18,0)</f>
        <v>0</v>
      </c>
      <c r="G27" s="61">
        <f>IF('NOVEDADES EMPLEADOS'!F20="BASICO",NÓMINA!H26*DATOS!$F$19,0)</f>
        <v>0</v>
      </c>
      <c r="H27" s="271">
        <f>IF('NOVEDADES EMPLEADOS'!F20="BASICO",NÓMINA!H26*DATOS!$F$20,0)</f>
        <v>0</v>
      </c>
    </row>
    <row r="28" spans="2:8">
      <c r="B28" s="4">
        <v>18</v>
      </c>
      <c r="C28" s="55">
        <f>'NOVEDADES EMPLEADOS'!B21</f>
        <v>0</v>
      </c>
      <c r="D28" s="56">
        <f>IFERROR(VLOOKUP(C28,'NOVEDADES EMPLEADOS'!$B$3:$H$53,2,0),)</f>
        <v>0</v>
      </c>
      <c r="E28" s="61">
        <f>IF('NOVEDADES EMPLEADOS'!F21="BASICO",NÓMINA!H27*DATOS!$F$17,0)</f>
        <v>0</v>
      </c>
      <c r="F28" s="61">
        <f>IF('NOVEDADES EMPLEADOS'!F21="BASICO",NÓMINA!H27*DATOS!$F$18,0)</f>
        <v>0</v>
      </c>
      <c r="G28" s="61">
        <f>IF('NOVEDADES EMPLEADOS'!F21="BASICO",NÓMINA!H27*DATOS!$F$19,0)</f>
        <v>0</v>
      </c>
      <c r="H28" s="271">
        <f>IF('NOVEDADES EMPLEADOS'!F21="BASICO",NÓMINA!H27*DATOS!$F$20,0)</f>
        <v>0</v>
      </c>
    </row>
    <row r="29" spans="2:8">
      <c r="B29" s="4">
        <v>19</v>
      </c>
      <c r="C29" s="55">
        <f>'NOVEDADES EMPLEADOS'!B22</f>
        <v>0</v>
      </c>
      <c r="D29" s="56">
        <f>IFERROR(VLOOKUP(C29,'NOVEDADES EMPLEADOS'!$B$3:$H$53,2,0),)</f>
        <v>0</v>
      </c>
      <c r="E29" s="61">
        <f>IF('NOVEDADES EMPLEADOS'!F22="BASICO",NÓMINA!H28*DATOS!$F$17,0)</f>
        <v>0</v>
      </c>
      <c r="F29" s="61">
        <f>IF('NOVEDADES EMPLEADOS'!F22="BASICO",NÓMINA!H28*DATOS!$F$18,0)</f>
        <v>0</v>
      </c>
      <c r="G29" s="61">
        <f>IF('NOVEDADES EMPLEADOS'!F22="BASICO",NÓMINA!H28*DATOS!$F$19,0)</f>
        <v>0</v>
      </c>
      <c r="H29" s="271">
        <f>IF('NOVEDADES EMPLEADOS'!F22="BASICO",NÓMINA!H28*DATOS!$F$20,0)</f>
        <v>0</v>
      </c>
    </row>
    <row r="30" spans="2:8">
      <c r="B30" s="4">
        <v>20</v>
      </c>
      <c r="C30" s="55">
        <f>'NOVEDADES EMPLEADOS'!B23</f>
        <v>0</v>
      </c>
      <c r="D30" s="56">
        <f>IFERROR(VLOOKUP(C30,'NOVEDADES EMPLEADOS'!$B$3:$H$53,2,0),)</f>
        <v>0</v>
      </c>
      <c r="E30" s="61">
        <f>IF('NOVEDADES EMPLEADOS'!F23="BASICO",NÓMINA!H29*DATOS!$F$17,0)</f>
        <v>0</v>
      </c>
      <c r="F30" s="61">
        <f>IF('NOVEDADES EMPLEADOS'!F23="BASICO",NÓMINA!H29*DATOS!$F$18,0)</f>
        <v>0</v>
      </c>
      <c r="G30" s="61">
        <f>IF('NOVEDADES EMPLEADOS'!F23="BASICO",NÓMINA!H29*DATOS!$F$19,0)</f>
        <v>0</v>
      </c>
      <c r="H30" s="271">
        <f>IF('NOVEDADES EMPLEADOS'!F23="BASICO",NÓMINA!H29*DATOS!$F$20,0)</f>
        <v>0</v>
      </c>
    </row>
    <row r="31" spans="2:8">
      <c r="B31" s="4">
        <v>21</v>
      </c>
      <c r="C31" s="55">
        <f>'NOVEDADES EMPLEADOS'!B24</f>
        <v>0</v>
      </c>
      <c r="D31" s="56">
        <f>IFERROR(VLOOKUP(C31,'NOVEDADES EMPLEADOS'!$B$3:$H$53,2,0),)</f>
        <v>0</v>
      </c>
      <c r="E31" s="61">
        <f>IF('NOVEDADES EMPLEADOS'!F24="BASICO",NÓMINA!H30*DATOS!$F$17,0)</f>
        <v>0</v>
      </c>
      <c r="F31" s="61">
        <f>IF('NOVEDADES EMPLEADOS'!F24="BASICO",NÓMINA!H30*DATOS!$F$18,0)</f>
        <v>0</v>
      </c>
      <c r="G31" s="61">
        <f>IF('NOVEDADES EMPLEADOS'!F24="BASICO",NÓMINA!H30*DATOS!$F$19,0)</f>
        <v>0</v>
      </c>
      <c r="H31" s="271">
        <f>IF('NOVEDADES EMPLEADOS'!F24="BASICO",NÓMINA!H30*DATOS!$F$20,0)</f>
        <v>0</v>
      </c>
    </row>
    <row r="32" spans="2:8">
      <c r="B32" s="4">
        <v>22</v>
      </c>
      <c r="C32" s="55">
        <f>'NOVEDADES EMPLEADOS'!B25</f>
        <v>0</v>
      </c>
      <c r="D32" s="56">
        <f>IFERROR(VLOOKUP(C32,'NOVEDADES EMPLEADOS'!$B$3:$H$53,2,0),)</f>
        <v>0</v>
      </c>
      <c r="E32" s="61">
        <f>IF('NOVEDADES EMPLEADOS'!F25="BASICO",NÓMINA!H31*DATOS!$F$17,0)</f>
        <v>0</v>
      </c>
      <c r="F32" s="61">
        <f>IF('NOVEDADES EMPLEADOS'!F25="BASICO",NÓMINA!H31*DATOS!$F$18,0)</f>
        <v>0</v>
      </c>
      <c r="G32" s="61">
        <f>IF('NOVEDADES EMPLEADOS'!F25="BASICO",NÓMINA!H31*DATOS!$F$19,0)</f>
        <v>0</v>
      </c>
      <c r="H32" s="271">
        <f>IF('NOVEDADES EMPLEADOS'!F25="BASICO",NÓMINA!H31*DATOS!$F$20,0)</f>
        <v>0</v>
      </c>
    </row>
    <row r="33" spans="2:8">
      <c r="B33" s="4">
        <v>23</v>
      </c>
      <c r="C33" s="55">
        <f>'NOVEDADES EMPLEADOS'!B26</f>
        <v>0</v>
      </c>
      <c r="D33" s="56">
        <f>IFERROR(VLOOKUP(C33,'NOVEDADES EMPLEADOS'!$B$3:$H$53,2,0),)</f>
        <v>0</v>
      </c>
      <c r="E33" s="61">
        <f>IF('NOVEDADES EMPLEADOS'!F26="BASICO",NÓMINA!H32*DATOS!$F$17,0)</f>
        <v>0</v>
      </c>
      <c r="F33" s="61">
        <f>IF('NOVEDADES EMPLEADOS'!F26="BASICO",NÓMINA!H32*DATOS!$F$18,0)</f>
        <v>0</v>
      </c>
      <c r="G33" s="61">
        <f>IF('NOVEDADES EMPLEADOS'!F26="BASICO",NÓMINA!H32*DATOS!$F$19,0)</f>
        <v>0</v>
      </c>
      <c r="H33" s="271">
        <f>IF('NOVEDADES EMPLEADOS'!F26="BASICO",NÓMINA!H32*DATOS!$F$20,0)</f>
        <v>0</v>
      </c>
    </row>
    <row r="34" spans="2:8">
      <c r="B34" s="4">
        <v>24</v>
      </c>
      <c r="C34" s="55">
        <f>'NOVEDADES EMPLEADOS'!B27</f>
        <v>0</v>
      </c>
      <c r="D34" s="56">
        <f>IFERROR(VLOOKUP(C34,'NOVEDADES EMPLEADOS'!$B$3:$H$53,2,0),)</f>
        <v>0</v>
      </c>
      <c r="E34" s="61">
        <f>IF('NOVEDADES EMPLEADOS'!F27="BASICO",NÓMINA!H33*DATOS!$F$17,0)</f>
        <v>0</v>
      </c>
      <c r="F34" s="61">
        <f>IF('NOVEDADES EMPLEADOS'!F27="BASICO",NÓMINA!H33*DATOS!$F$18,0)</f>
        <v>0</v>
      </c>
      <c r="G34" s="61">
        <f>IF('NOVEDADES EMPLEADOS'!F27="BASICO",NÓMINA!H33*DATOS!$F$19,0)</f>
        <v>0</v>
      </c>
      <c r="H34" s="271">
        <f>IF('NOVEDADES EMPLEADOS'!F27="BASICO",NÓMINA!H33*DATOS!$F$20,0)</f>
        <v>0</v>
      </c>
    </row>
    <row r="35" spans="2:8">
      <c r="B35" s="4">
        <v>25</v>
      </c>
      <c r="C35" s="55">
        <f>'NOVEDADES EMPLEADOS'!B28</f>
        <v>0</v>
      </c>
      <c r="D35" s="56">
        <f>IFERROR(VLOOKUP(C35,'NOVEDADES EMPLEADOS'!$B$3:$H$53,2,0),)</f>
        <v>0</v>
      </c>
      <c r="E35" s="61">
        <f>IF('NOVEDADES EMPLEADOS'!F28="BASICO",NÓMINA!H34*DATOS!$F$17,0)</f>
        <v>0</v>
      </c>
      <c r="F35" s="61">
        <f>IF('NOVEDADES EMPLEADOS'!F28="BASICO",NÓMINA!H34*DATOS!$F$18,0)</f>
        <v>0</v>
      </c>
      <c r="G35" s="61">
        <f>IF('NOVEDADES EMPLEADOS'!F28="BASICO",NÓMINA!H34*DATOS!$F$19,0)</f>
        <v>0</v>
      </c>
      <c r="H35" s="271">
        <f>IF('NOVEDADES EMPLEADOS'!F28="BASICO",NÓMINA!H34*DATOS!$F$20,0)</f>
        <v>0</v>
      </c>
    </row>
    <row r="36" spans="2:8">
      <c r="B36" s="4">
        <v>26</v>
      </c>
      <c r="C36" s="55">
        <f>'NOVEDADES EMPLEADOS'!B29</f>
        <v>0</v>
      </c>
      <c r="D36" s="56">
        <f>IFERROR(VLOOKUP(C36,'NOVEDADES EMPLEADOS'!$B$3:$H$53,2,0),)</f>
        <v>0</v>
      </c>
      <c r="E36" s="61">
        <f>IF('NOVEDADES EMPLEADOS'!F29="BASICO",NÓMINA!H35*DATOS!$F$17,0)</f>
        <v>0</v>
      </c>
      <c r="F36" s="61">
        <f>IF('NOVEDADES EMPLEADOS'!F29="BASICO",NÓMINA!H35*DATOS!$F$18,0)</f>
        <v>0</v>
      </c>
      <c r="G36" s="61">
        <f>IF('NOVEDADES EMPLEADOS'!F29="BASICO",NÓMINA!H35*DATOS!$F$19,0)</f>
        <v>0</v>
      </c>
      <c r="H36" s="271">
        <f>IF('NOVEDADES EMPLEADOS'!F29="BASICO",NÓMINA!H35*DATOS!$F$20,0)</f>
        <v>0</v>
      </c>
    </row>
    <row r="37" spans="2:8">
      <c r="B37" s="4">
        <v>27</v>
      </c>
      <c r="C37" s="55">
        <f>'NOVEDADES EMPLEADOS'!B30</f>
        <v>0</v>
      </c>
      <c r="D37" s="56">
        <f>IFERROR(VLOOKUP(C37,'NOVEDADES EMPLEADOS'!$B$3:$H$53,2,0),)</f>
        <v>0</v>
      </c>
      <c r="E37" s="61">
        <f>IF('NOVEDADES EMPLEADOS'!F30="BASICO",NÓMINA!H36*DATOS!$F$17,0)</f>
        <v>0</v>
      </c>
      <c r="F37" s="61">
        <f>IF('NOVEDADES EMPLEADOS'!F30="BASICO",NÓMINA!H36*DATOS!$F$18,0)</f>
        <v>0</v>
      </c>
      <c r="G37" s="61">
        <f>IF('NOVEDADES EMPLEADOS'!F30="BASICO",NÓMINA!H36*DATOS!$F$19,0)</f>
        <v>0</v>
      </c>
      <c r="H37" s="271">
        <f>IF('NOVEDADES EMPLEADOS'!F30="BASICO",NÓMINA!H36*DATOS!$F$20,0)</f>
        <v>0</v>
      </c>
    </row>
    <row r="38" spans="2:8">
      <c r="B38" s="4">
        <v>28</v>
      </c>
      <c r="C38" s="55">
        <f>'NOVEDADES EMPLEADOS'!B31</f>
        <v>0</v>
      </c>
      <c r="D38" s="56">
        <f>IFERROR(VLOOKUP(C38,'NOVEDADES EMPLEADOS'!$B$3:$H$53,2,0),)</f>
        <v>0</v>
      </c>
      <c r="E38" s="61">
        <f>IF('NOVEDADES EMPLEADOS'!F31="BASICO",NÓMINA!H37*DATOS!$F$17,0)</f>
        <v>0</v>
      </c>
      <c r="F38" s="61">
        <f>IF('NOVEDADES EMPLEADOS'!F31="BASICO",NÓMINA!H37*DATOS!$F$18,0)</f>
        <v>0</v>
      </c>
      <c r="G38" s="61">
        <f>IF('NOVEDADES EMPLEADOS'!F31="BASICO",NÓMINA!H37*DATOS!$F$19,0)</f>
        <v>0</v>
      </c>
      <c r="H38" s="271">
        <f>IF('NOVEDADES EMPLEADOS'!F31="BASICO",NÓMINA!H37*DATOS!$F$20,0)</f>
        <v>0</v>
      </c>
    </row>
    <row r="39" spans="2:8">
      <c r="B39" s="4">
        <v>29</v>
      </c>
      <c r="C39" s="55">
        <f>'NOVEDADES EMPLEADOS'!B32</f>
        <v>0</v>
      </c>
      <c r="D39" s="56">
        <f>IFERROR(VLOOKUP(C39,'NOVEDADES EMPLEADOS'!$B$3:$H$53,2,0),)</f>
        <v>0</v>
      </c>
      <c r="E39" s="61">
        <f>IF('NOVEDADES EMPLEADOS'!F32="BASICO",NÓMINA!H38*DATOS!$F$17,0)</f>
        <v>0</v>
      </c>
      <c r="F39" s="61">
        <f>IF('NOVEDADES EMPLEADOS'!F32="BASICO",NÓMINA!H38*DATOS!$F$18,0)</f>
        <v>0</v>
      </c>
      <c r="G39" s="61">
        <f>IF('NOVEDADES EMPLEADOS'!F32="BASICO",NÓMINA!H38*DATOS!$F$19,0)</f>
        <v>0</v>
      </c>
      <c r="H39" s="271">
        <f>IF('NOVEDADES EMPLEADOS'!F32="BASICO",NÓMINA!H38*DATOS!$F$20,0)</f>
        <v>0</v>
      </c>
    </row>
    <row r="40" spans="2:8">
      <c r="B40" s="4">
        <v>30</v>
      </c>
      <c r="C40" s="55">
        <f>'NOVEDADES EMPLEADOS'!B33</f>
        <v>0</v>
      </c>
      <c r="D40" s="56">
        <f>IFERROR(VLOOKUP(C40,'NOVEDADES EMPLEADOS'!$B$3:$H$53,2,0),)</f>
        <v>0</v>
      </c>
      <c r="E40" s="61">
        <f>IF('NOVEDADES EMPLEADOS'!F33="BASICO",NÓMINA!H39*DATOS!$F$17,0)</f>
        <v>0</v>
      </c>
      <c r="F40" s="61">
        <f>IF('NOVEDADES EMPLEADOS'!F33="BASICO",NÓMINA!H39*DATOS!$F$18,0)</f>
        <v>0</v>
      </c>
      <c r="G40" s="61">
        <f>IF('NOVEDADES EMPLEADOS'!F33="BASICO",NÓMINA!H39*DATOS!$F$19,0)</f>
        <v>0</v>
      </c>
      <c r="H40" s="271">
        <f>IF('NOVEDADES EMPLEADOS'!F33="BASICO",NÓMINA!H39*DATOS!$F$20,0)</f>
        <v>0</v>
      </c>
    </row>
    <row r="41" spans="2:8">
      <c r="B41" s="4">
        <v>31</v>
      </c>
      <c r="C41" s="55">
        <f>'NOVEDADES EMPLEADOS'!B34</f>
        <v>0</v>
      </c>
      <c r="D41" s="56">
        <f>IFERROR(VLOOKUP(C41,'NOVEDADES EMPLEADOS'!$B$3:$H$53,2,0),)</f>
        <v>0</v>
      </c>
      <c r="E41" s="61">
        <f>IF('NOVEDADES EMPLEADOS'!F34="BASICO",NÓMINA!H40*DATOS!$F$17,0)</f>
        <v>0</v>
      </c>
      <c r="F41" s="61">
        <f>IF('NOVEDADES EMPLEADOS'!F34="BASICO",NÓMINA!H40*DATOS!$F$18,0)</f>
        <v>0</v>
      </c>
      <c r="G41" s="61">
        <f>IF('NOVEDADES EMPLEADOS'!F34="BASICO",NÓMINA!H40*DATOS!$F$19,0)</f>
        <v>0</v>
      </c>
      <c r="H41" s="271">
        <f>IF('NOVEDADES EMPLEADOS'!F34="BASICO",NÓMINA!H40*DATOS!$F$20,0)</f>
        <v>0</v>
      </c>
    </row>
    <row r="42" spans="2:8">
      <c r="B42" s="4">
        <v>32</v>
      </c>
      <c r="C42" s="55">
        <f>'NOVEDADES EMPLEADOS'!B35</f>
        <v>0</v>
      </c>
      <c r="D42" s="56">
        <f>IFERROR(VLOOKUP(C42,'NOVEDADES EMPLEADOS'!$B$3:$H$53,2,0),)</f>
        <v>0</v>
      </c>
      <c r="E42" s="61">
        <f>IF('NOVEDADES EMPLEADOS'!F35="BASICO",NÓMINA!H41*DATOS!$F$17,0)</f>
        <v>0</v>
      </c>
      <c r="F42" s="61">
        <f>IF('NOVEDADES EMPLEADOS'!F35="BASICO",NÓMINA!H41*DATOS!$F$18,0)</f>
        <v>0</v>
      </c>
      <c r="G42" s="61">
        <f>IF('NOVEDADES EMPLEADOS'!F35="BASICO",NÓMINA!H41*DATOS!$F$19,0)</f>
        <v>0</v>
      </c>
      <c r="H42" s="271">
        <f>IF('NOVEDADES EMPLEADOS'!F35="BASICO",NÓMINA!H41*DATOS!$F$20,0)</f>
        <v>0</v>
      </c>
    </row>
    <row r="43" spans="2:8">
      <c r="B43" s="4">
        <v>33</v>
      </c>
      <c r="C43" s="55">
        <f>'NOVEDADES EMPLEADOS'!B36</f>
        <v>0</v>
      </c>
      <c r="D43" s="56">
        <f>IFERROR(VLOOKUP(C43,'NOVEDADES EMPLEADOS'!$B$3:$H$53,2,0),)</f>
        <v>0</v>
      </c>
      <c r="E43" s="61">
        <f>IF('NOVEDADES EMPLEADOS'!F36="BASICO",NÓMINA!H42*DATOS!$F$17,0)</f>
        <v>0</v>
      </c>
      <c r="F43" s="61">
        <f>IF('NOVEDADES EMPLEADOS'!F36="BASICO",NÓMINA!H42*DATOS!$F$18,0)</f>
        <v>0</v>
      </c>
      <c r="G43" s="61">
        <f>IF('NOVEDADES EMPLEADOS'!F36="BASICO",NÓMINA!H42*DATOS!$F$19,0)</f>
        <v>0</v>
      </c>
      <c r="H43" s="271">
        <f>IF('NOVEDADES EMPLEADOS'!F36="BASICO",NÓMINA!H42*DATOS!$F$20,0)</f>
        <v>0</v>
      </c>
    </row>
    <row r="44" spans="2:8">
      <c r="B44" s="4">
        <v>34</v>
      </c>
      <c r="C44" s="55">
        <f>'NOVEDADES EMPLEADOS'!B37</f>
        <v>0</v>
      </c>
      <c r="D44" s="56">
        <f>IFERROR(VLOOKUP(C44,'NOVEDADES EMPLEADOS'!$B$3:$H$53,2,0),)</f>
        <v>0</v>
      </c>
      <c r="E44" s="61">
        <f>IF('NOVEDADES EMPLEADOS'!F37="BASICO",NÓMINA!H43*DATOS!$F$17,0)</f>
        <v>0</v>
      </c>
      <c r="F44" s="61">
        <f>IF('NOVEDADES EMPLEADOS'!F37="BASICO",NÓMINA!H43*DATOS!$F$18,0)</f>
        <v>0</v>
      </c>
      <c r="G44" s="61">
        <f>IF('NOVEDADES EMPLEADOS'!F37="BASICO",NÓMINA!H43*DATOS!$F$19,0)</f>
        <v>0</v>
      </c>
      <c r="H44" s="271">
        <f>IF('NOVEDADES EMPLEADOS'!F37="BASICO",NÓMINA!H43*DATOS!$F$20,0)</f>
        <v>0</v>
      </c>
    </row>
    <row r="45" spans="2:8">
      <c r="B45" s="4">
        <v>35</v>
      </c>
      <c r="C45" s="55">
        <f>'NOVEDADES EMPLEADOS'!B38</f>
        <v>0</v>
      </c>
      <c r="D45" s="56">
        <f>IFERROR(VLOOKUP(C45,'NOVEDADES EMPLEADOS'!$B$3:$H$53,2,0),)</f>
        <v>0</v>
      </c>
      <c r="E45" s="61">
        <f>IF('NOVEDADES EMPLEADOS'!F38="BASICO",NÓMINA!H44*DATOS!$F$17,0)</f>
        <v>0</v>
      </c>
      <c r="F45" s="61">
        <f>IF('NOVEDADES EMPLEADOS'!F38="BASICO",NÓMINA!H44*DATOS!$F$18,0)</f>
        <v>0</v>
      </c>
      <c r="G45" s="61">
        <f>IF('NOVEDADES EMPLEADOS'!F38="BASICO",NÓMINA!H44*DATOS!$F$19,0)</f>
        <v>0</v>
      </c>
      <c r="H45" s="271">
        <f>IF('NOVEDADES EMPLEADOS'!F38="BASICO",NÓMINA!H44*DATOS!$F$20,0)</f>
        <v>0</v>
      </c>
    </row>
    <row r="46" spans="2:8">
      <c r="B46" s="4">
        <v>36</v>
      </c>
      <c r="C46" s="55">
        <f>'NOVEDADES EMPLEADOS'!B39</f>
        <v>0</v>
      </c>
      <c r="D46" s="56">
        <f>IFERROR(VLOOKUP(C46,'NOVEDADES EMPLEADOS'!$B$3:$H$53,2,0),)</f>
        <v>0</v>
      </c>
      <c r="E46" s="61">
        <f>IF('NOVEDADES EMPLEADOS'!F39="BASICO",NÓMINA!H45*DATOS!$F$17,0)</f>
        <v>0</v>
      </c>
      <c r="F46" s="61">
        <f>IF('NOVEDADES EMPLEADOS'!F39="BASICO",NÓMINA!H45*DATOS!$F$18,0)</f>
        <v>0</v>
      </c>
      <c r="G46" s="61">
        <f>IF('NOVEDADES EMPLEADOS'!F39="BASICO",NÓMINA!H45*DATOS!$F$19,0)</f>
        <v>0</v>
      </c>
      <c r="H46" s="271">
        <f>IF('NOVEDADES EMPLEADOS'!F39="BASICO",NÓMINA!H45*DATOS!$F$20,0)</f>
        <v>0</v>
      </c>
    </row>
    <row r="47" spans="2:8">
      <c r="B47" s="4">
        <v>37</v>
      </c>
      <c r="C47" s="55">
        <f>'NOVEDADES EMPLEADOS'!B40</f>
        <v>0</v>
      </c>
      <c r="D47" s="56">
        <f>IFERROR(VLOOKUP(C47,'NOVEDADES EMPLEADOS'!$B$3:$H$53,2,0),)</f>
        <v>0</v>
      </c>
      <c r="E47" s="61">
        <f>IF('NOVEDADES EMPLEADOS'!F40="BASICO",NÓMINA!H46*DATOS!$F$17,0)</f>
        <v>0</v>
      </c>
      <c r="F47" s="61">
        <f>IF('NOVEDADES EMPLEADOS'!F40="BASICO",NÓMINA!H46*DATOS!$F$18,0)</f>
        <v>0</v>
      </c>
      <c r="G47" s="61">
        <f>IF('NOVEDADES EMPLEADOS'!F40="BASICO",NÓMINA!H46*DATOS!$F$19,0)</f>
        <v>0</v>
      </c>
      <c r="H47" s="271">
        <f>IF('NOVEDADES EMPLEADOS'!F40="BASICO",NÓMINA!H46*DATOS!$F$20,0)</f>
        <v>0</v>
      </c>
    </row>
    <row r="48" spans="2:8">
      <c r="B48" s="4">
        <v>38</v>
      </c>
      <c r="C48" s="55">
        <f>'NOVEDADES EMPLEADOS'!B41</f>
        <v>0</v>
      </c>
      <c r="D48" s="56">
        <f>IFERROR(VLOOKUP(C48,'NOVEDADES EMPLEADOS'!$B$3:$H$53,2,0),)</f>
        <v>0</v>
      </c>
      <c r="E48" s="61">
        <f>IF('NOVEDADES EMPLEADOS'!F41="BASICO",NÓMINA!H47*DATOS!$F$17,0)</f>
        <v>0</v>
      </c>
      <c r="F48" s="61">
        <f>IF('NOVEDADES EMPLEADOS'!F41="BASICO",NÓMINA!H47*DATOS!$F$18,0)</f>
        <v>0</v>
      </c>
      <c r="G48" s="61">
        <f>IF('NOVEDADES EMPLEADOS'!F41="BASICO",NÓMINA!H47*DATOS!$F$19,0)</f>
        <v>0</v>
      </c>
      <c r="H48" s="271">
        <f>IF('NOVEDADES EMPLEADOS'!F41="BASICO",NÓMINA!H47*DATOS!$F$20,0)</f>
        <v>0</v>
      </c>
    </row>
    <row r="49" spans="2:8">
      <c r="B49" s="4">
        <v>39</v>
      </c>
      <c r="C49" s="55">
        <f>'NOVEDADES EMPLEADOS'!B42</f>
        <v>0</v>
      </c>
      <c r="D49" s="56">
        <f>IFERROR(VLOOKUP(C49,'NOVEDADES EMPLEADOS'!$B$3:$H$53,2,0),)</f>
        <v>0</v>
      </c>
      <c r="E49" s="61">
        <f>IF('NOVEDADES EMPLEADOS'!F42="BASICO",NÓMINA!H48*DATOS!$F$17,0)</f>
        <v>0</v>
      </c>
      <c r="F49" s="61">
        <f>IF('NOVEDADES EMPLEADOS'!F42="BASICO",NÓMINA!H48*DATOS!$F$18,0)</f>
        <v>0</v>
      </c>
      <c r="G49" s="61">
        <f>IF('NOVEDADES EMPLEADOS'!F42="BASICO",NÓMINA!H48*DATOS!$F$19,0)</f>
        <v>0</v>
      </c>
      <c r="H49" s="271">
        <f>IF('NOVEDADES EMPLEADOS'!F42="BASICO",NÓMINA!H48*DATOS!$F$20,0)</f>
        <v>0</v>
      </c>
    </row>
    <row r="50" spans="2:8">
      <c r="B50" s="4">
        <v>40</v>
      </c>
      <c r="C50" s="55">
        <f>'NOVEDADES EMPLEADOS'!B43</f>
        <v>0</v>
      </c>
      <c r="D50" s="56">
        <f>IFERROR(VLOOKUP(C50,'NOVEDADES EMPLEADOS'!$B$3:$H$53,2,0),)</f>
        <v>0</v>
      </c>
      <c r="E50" s="61">
        <f>IF('NOVEDADES EMPLEADOS'!F43="BASICO",NÓMINA!H49*DATOS!$F$17,0)</f>
        <v>0</v>
      </c>
      <c r="F50" s="61">
        <f>IF('NOVEDADES EMPLEADOS'!F43="BASICO",NÓMINA!H49*DATOS!$F$18,0)</f>
        <v>0</v>
      </c>
      <c r="G50" s="61">
        <f>IF('NOVEDADES EMPLEADOS'!F43="BASICO",NÓMINA!H49*DATOS!$F$19,0)</f>
        <v>0</v>
      </c>
      <c r="H50" s="271">
        <f>IF('NOVEDADES EMPLEADOS'!F43="BASICO",NÓMINA!H49*DATOS!$F$20,0)</f>
        <v>0</v>
      </c>
    </row>
    <row r="51" spans="2:8">
      <c r="B51" s="4">
        <v>41</v>
      </c>
      <c r="C51" s="55">
        <f>'NOVEDADES EMPLEADOS'!B44</f>
        <v>0</v>
      </c>
      <c r="D51" s="56">
        <f>IFERROR(VLOOKUP(C51,'NOVEDADES EMPLEADOS'!$B$3:$H$53,2,0),)</f>
        <v>0</v>
      </c>
      <c r="E51" s="61">
        <f>IF('NOVEDADES EMPLEADOS'!F44="BASICO",NÓMINA!H50*DATOS!$F$17,0)</f>
        <v>0</v>
      </c>
      <c r="F51" s="61">
        <f>IF('NOVEDADES EMPLEADOS'!F44="BASICO",NÓMINA!H50*DATOS!$F$18,0)</f>
        <v>0</v>
      </c>
      <c r="G51" s="61">
        <f>IF('NOVEDADES EMPLEADOS'!F44="BASICO",NÓMINA!H50*DATOS!$F$19,0)</f>
        <v>0</v>
      </c>
      <c r="H51" s="271">
        <f>IF('NOVEDADES EMPLEADOS'!F44="BASICO",NÓMINA!H50*DATOS!$F$20,0)</f>
        <v>0</v>
      </c>
    </row>
    <row r="52" spans="2:8">
      <c r="B52" s="4">
        <v>42</v>
      </c>
      <c r="C52" s="55">
        <f>'NOVEDADES EMPLEADOS'!B45</f>
        <v>0</v>
      </c>
      <c r="D52" s="56">
        <f>IFERROR(VLOOKUP(C52,'NOVEDADES EMPLEADOS'!$B$3:$H$53,2,0),)</f>
        <v>0</v>
      </c>
      <c r="E52" s="61">
        <f>IF('NOVEDADES EMPLEADOS'!F45="BASICO",NÓMINA!H51*DATOS!$F$17,0)</f>
        <v>0</v>
      </c>
      <c r="F52" s="61">
        <f>IF('NOVEDADES EMPLEADOS'!F45="BASICO",NÓMINA!H51*DATOS!$F$18,0)</f>
        <v>0</v>
      </c>
      <c r="G52" s="61">
        <f>IF('NOVEDADES EMPLEADOS'!F45="BASICO",NÓMINA!H51*DATOS!$F$19,0)</f>
        <v>0</v>
      </c>
      <c r="H52" s="271">
        <f>IF('NOVEDADES EMPLEADOS'!F45="BASICO",NÓMINA!H51*DATOS!$F$20,0)</f>
        <v>0</v>
      </c>
    </row>
    <row r="53" spans="2:8">
      <c r="B53" s="4">
        <v>43</v>
      </c>
      <c r="C53" s="55">
        <f>'NOVEDADES EMPLEADOS'!B46</f>
        <v>0</v>
      </c>
      <c r="D53" s="56">
        <f>IFERROR(VLOOKUP(C53,'NOVEDADES EMPLEADOS'!$B$3:$H$53,2,0),)</f>
        <v>0</v>
      </c>
      <c r="E53" s="61">
        <f>IF('NOVEDADES EMPLEADOS'!F46="BASICO",NÓMINA!H52*DATOS!$F$17,0)</f>
        <v>0</v>
      </c>
      <c r="F53" s="61">
        <f>IF('NOVEDADES EMPLEADOS'!F46="BASICO",NÓMINA!H52*DATOS!$F$18,0)</f>
        <v>0</v>
      </c>
      <c r="G53" s="61">
        <f>IF('NOVEDADES EMPLEADOS'!F46="BASICO",NÓMINA!H52*DATOS!$F$19,0)</f>
        <v>0</v>
      </c>
      <c r="H53" s="271">
        <f>IF('NOVEDADES EMPLEADOS'!F46="BASICO",NÓMINA!H52*DATOS!$F$20,0)</f>
        <v>0</v>
      </c>
    </row>
    <row r="54" spans="2:8">
      <c r="B54" s="4">
        <v>44</v>
      </c>
      <c r="C54" s="55">
        <f>'NOVEDADES EMPLEADOS'!B47</f>
        <v>0</v>
      </c>
      <c r="D54" s="56">
        <f>IFERROR(VLOOKUP(C54,'NOVEDADES EMPLEADOS'!$B$3:$H$53,2,0),)</f>
        <v>0</v>
      </c>
      <c r="E54" s="61">
        <f>IF('NOVEDADES EMPLEADOS'!F47="BASICO",NÓMINA!H53*DATOS!$F$17,0)</f>
        <v>0</v>
      </c>
      <c r="F54" s="61">
        <f>IF('NOVEDADES EMPLEADOS'!F47="BASICO",NÓMINA!H53*DATOS!$F$18,0)</f>
        <v>0</v>
      </c>
      <c r="G54" s="61">
        <f>IF('NOVEDADES EMPLEADOS'!F47="BASICO",NÓMINA!H53*DATOS!$F$19,0)</f>
        <v>0</v>
      </c>
      <c r="H54" s="271">
        <f>IF('NOVEDADES EMPLEADOS'!F47="BASICO",NÓMINA!H53*DATOS!$F$20,0)</f>
        <v>0</v>
      </c>
    </row>
    <row r="55" spans="2:8">
      <c r="B55" s="4">
        <v>45</v>
      </c>
      <c r="C55" s="55">
        <f>'NOVEDADES EMPLEADOS'!B48</f>
        <v>0</v>
      </c>
      <c r="D55" s="56">
        <f>IFERROR(VLOOKUP(C55,'NOVEDADES EMPLEADOS'!$B$3:$H$53,2,0),)</f>
        <v>0</v>
      </c>
      <c r="E55" s="61">
        <f>IF('NOVEDADES EMPLEADOS'!F48="BASICO",NÓMINA!H54*DATOS!$F$17,0)</f>
        <v>0</v>
      </c>
      <c r="F55" s="61">
        <f>IF('NOVEDADES EMPLEADOS'!F48="BASICO",NÓMINA!H54*DATOS!$F$18,0)</f>
        <v>0</v>
      </c>
      <c r="G55" s="61">
        <f>IF('NOVEDADES EMPLEADOS'!F48="BASICO",NÓMINA!H54*DATOS!$F$19,0)</f>
        <v>0</v>
      </c>
      <c r="H55" s="271">
        <f>IF('NOVEDADES EMPLEADOS'!F48="BASICO",NÓMINA!H54*DATOS!$F$20,0)</f>
        <v>0</v>
      </c>
    </row>
    <row r="56" spans="2:8">
      <c r="B56" s="4">
        <v>46</v>
      </c>
      <c r="C56" s="55">
        <f>'NOVEDADES EMPLEADOS'!B49</f>
        <v>0</v>
      </c>
      <c r="D56" s="56">
        <f>IFERROR(VLOOKUP(C56,'NOVEDADES EMPLEADOS'!$B$3:$H$53,2,0),)</f>
        <v>0</v>
      </c>
      <c r="E56" s="61">
        <f>IF('NOVEDADES EMPLEADOS'!F49="BASICO",NÓMINA!H55*DATOS!$F$17,0)</f>
        <v>0</v>
      </c>
      <c r="F56" s="61">
        <f>IF('NOVEDADES EMPLEADOS'!F49="BASICO",NÓMINA!H55*DATOS!$F$18,0)</f>
        <v>0</v>
      </c>
      <c r="G56" s="61">
        <f>IF('NOVEDADES EMPLEADOS'!F49="BASICO",NÓMINA!H55*DATOS!$F$19,0)</f>
        <v>0</v>
      </c>
      <c r="H56" s="271">
        <f>IF('NOVEDADES EMPLEADOS'!F49="BASICO",NÓMINA!H55*DATOS!$F$20,0)</f>
        <v>0</v>
      </c>
    </row>
    <row r="57" spans="2:8">
      <c r="B57" s="4">
        <v>47</v>
      </c>
      <c r="C57" s="55">
        <f>'NOVEDADES EMPLEADOS'!B50</f>
        <v>0</v>
      </c>
      <c r="D57" s="56">
        <f>IFERROR(VLOOKUP(C57,'NOVEDADES EMPLEADOS'!$B$3:$H$53,2,0),)</f>
        <v>0</v>
      </c>
      <c r="E57" s="61">
        <f>IF('NOVEDADES EMPLEADOS'!F50="BASICO",NÓMINA!H56*DATOS!$F$17,0)</f>
        <v>0</v>
      </c>
      <c r="F57" s="61">
        <f>IF('NOVEDADES EMPLEADOS'!F50="BASICO",NÓMINA!H56*DATOS!$F$18,0)</f>
        <v>0</v>
      </c>
      <c r="G57" s="61">
        <f>IF('NOVEDADES EMPLEADOS'!F50="BASICO",NÓMINA!H56*DATOS!$F$19,0)</f>
        <v>0</v>
      </c>
      <c r="H57" s="271">
        <f>IF('NOVEDADES EMPLEADOS'!F50="BASICO",NÓMINA!H56*DATOS!$F$20,0)</f>
        <v>0</v>
      </c>
    </row>
    <row r="58" spans="2:8">
      <c r="B58" s="4">
        <v>48</v>
      </c>
      <c r="C58" s="55">
        <f>'NOVEDADES EMPLEADOS'!B51</f>
        <v>0</v>
      </c>
      <c r="D58" s="56">
        <f>IFERROR(VLOOKUP(C58,'NOVEDADES EMPLEADOS'!$B$3:$H$53,2,0),)</f>
        <v>0</v>
      </c>
      <c r="E58" s="61">
        <f>IF('NOVEDADES EMPLEADOS'!F51="BASICO",NÓMINA!H57*DATOS!$F$17,0)</f>
        <v>0</v>
      </c>
      <c r="F58" s="61">
        <f>IF('NOVEDADES EMPLEADOS'!F51="BASICO",NÓMINA!H57*DATOS!$F$18,0)</f>
        <v>0</v>
      </c>
      <c r="G58" s="61">
        <f>IF('NOVEDADES EMPLEADOS'!F51="BASICO",NÓMINA!H57*DATOS!$F$19,0)</f>
        <v>0</v>
      </c>
      <c r="H58" s="271">
        <f>IF('NOVEDADES EMPLEADOS'!F51="BASICO",NÓMINA!H57*DATOS!$F$20,0)</f>
        <v>0</v>
      </c>
    </row>
    <row r="59" spans="2:8">
      <c r="B59" s="4">
        <v>49</v>
      </c>
      <c r="C59" s="55">
        <f>'NOVEDADES EMPLEADOS'!B52</f>
        <v>0</v>
      </c>
      <c r="D59" s="56">
        <f>IFERROR(VLOOKUP(C59,'NOVEDADES EMPLEADOS'!$B$3:$H$53,2,0),)</f>
        <v>0</v>
      </c>
      <c r="E59" s="61">
        <f>IF('NOVEDADES EMPLEADOS'!F52="BASICO",NÓMINA!H58*DATOS!$F$17,0)</f>
        <v>0</v>
      </c>
      <c r="F59" s="61">
        <f>IF('NOVEDADES EMPLEADOS'!F52="BASICO",NÓMINA!H58*DATOS!$F$18,0)</f>
        <v>0</v>
      </c>
      <c r="G59" s="61">
        <f>IF('NOVEDADES EMPLEADOS'!F52="BASICO",NÓMINA!H58*DATOS!$F$19,0)</f>
        <v>0</v>
      </c>
      <c r="H59" s="271">
        <f>IF('NOVEDADES EMPLEADOS'!F52="BASICO",NÓMINA!H58*DATOS!$F$20,0)</f>
        <v>0</v>
      </c>
    </row>
    <row r="60" spans="2:8">
      <c r="B60" s="4">
        <v>50</v>
      </c>
      <c r="C60" s="272">
        <f>'NOVEDADES EMPLEADOS'!B53</f>
        <v>0</v>
      </c>
      <c r="D60" s="273">
        <f>IFERROR(VLOOKUP(C60,'NOVEDADES EMPLEADOS'!$B$3:$H$53,2,0),)</f>
        <v>0</v>
      </c>
      <c r="E60" s="274">
        <f>IF('NOVEDADES EMPLEADOS'!F53="BASICO",NÓMINA!H59*DATOS!$F$17,0)</f>
        <v>0</v>
      </c>
      <c r="F60" s="274">
        <f>IF('NOVEDADES EMPLEADOS'!F53="BASICO",NÓMINA!H59*DATOS!$F$18,0)</f>
        <v>0</v>
      </c>
      <c r="G60" s="274">
        <f>IF('NOVEDADES EMPLEADOS'!F53="BASICO",NÓMINA!H59*DATOS!$F$19,0)</f>
        <v>0</v>
      </c>
      <c r="H60" s="275">
        <f>IF('NOVEDADES EMPLEADOS'!F53="BASICO",NÓMINA!H59*DATOS!$F$20,0)</f>
        <v>0</v>
      </c>
    </row>
    <row r="61" spans="2:8" ht="12">
      <c r="C61" s="24" t="s">
        <v>161</v>
      </c>
      <c r="D61" s="24"/>
      <c r="E61" s="23">
        <f>SUM(E11:E60)</f>
        <v>1227009</v>
      </c>
      <c r="F61" s="23">
        <f>SUM(F11:F60)</f>
        <v>147300</v>
      </c>
      <c r="G61" s="23">
        <f>SUM(G11:G60)</f>
        <v>1227009</v>
      </c>
      <c r="H61" s="23">
        <f>SUM(H11:H60)</f>
        <v>614241</v>
      </c>
    </row>
    <row r="65" spans="5:5">
      <c r="E65" s="5"/>
    </row>
  </sheetData>
  <mergeCells count="5">
    <mergeCell ref="C2:E2"/>
    <mergeCell ref="C5:E5"/>
    <mergeCell ref="C6:D6"/>
    <mergeCell ref="C7:D7"/>
    <mergeCell ref="C3:D3"/>
  </mergeCell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26CEB-4032-44E5-A01F-D7C6E36520EF}">
  <sheetPr codeName="Hoja10">
    <tabColor rgb="FF75F04A"/>
  </sheetPr>
  <dimension ref="A1:M39"/>
  <sheetViews>
    <sheetView showGridLines="0" topLeftCell="A16" zoomScale="90" zoomScaleNormal="90" workbookViewId="0">
      <selection activeCell="B2" sqref="B2:F2"/>
    </sheetView>
  </sheetViews>
  <sheetFormatPr baseColWidth="10" defaultColWidth="0" defaultRowHeight="14.4" zeroHeight="1"/>
  <cols>
    <col min="1" max="1" width="11.44140625" customWidth="1"/>
    <col min="2" max="2" width="39.44140625" customWidth="1"/>
    <col min="3" max="3" width="15.33203125" customWidth="1"/>
    <col min="4" max="4" width="19.44140625" customWidth="1"/>
    <col min="5" max="5" width="17.44140625" customWidth="1"/>
    <col min="6" max="6" width="16.6640625" customWidth="1"/>
    <col min="7" max="13" width="11.44140625" customWidth="1"/>
    <col min="14" max="16384" width="11.44140625" hidden="1"/>
  </cols>
  <sheetData>
    <row r="1" spans="2:7" ht="18">
      <c r="B1" s="326" t="str">
        <f>DATOS!C2</f>
        <v>EDICAR</v>
      </c>
      <c r="C1" s="326"/>
      <c r="D1" s="326"/>
      <c r="E1" s="326"/>
      <c r="F1" s="326"/>
    </row>
    <row r="2" spans="2:7" ht="18">
      <c r="B2" s="326" t="str">
        <f>CONCATENATE(DATOS!B3," ",DATOS!C3)</f>
        <v>NIT 1035851332</v>
      </c>
      <c r="C2" s="326"/>
      <c r="D2" s="326"/>
      <c r="E2" s="326"/>
      <c r="F2" s="326"/>
    </row>
    <row r="3" spans="2:7"/>
    <row r="4" spans="2:7">
      <c r="B4" s="66" t="s">
        <v>133</v>
      </c>
      <c r="C4" s="67">
        <f>DATOS!F2</f>
        <v>45536</v>
      </c>
      <c r="D4" s="68" t="s">
        <v>134</v>
      </c>
      <c r="E4" s="329">
        <f>DATOS!F3</f>
        <v>45565</v>
      </c>
      <c r="F4" s="329"/>
    </row>
    <row r="5" spans="2:7">
      <c r="B5" s="69" t="s">
        <v>135</v>
      </c>
      <c r="C5" s="70">
        <f>NÓMINA!D4</f>
        <v>1</v>
      </c>
      <c r="D5" s="69"/>
      <c r="E5" s="69"/>
      <c r="F5" s="69"/>
    </row>
    <row r="6" spans="2:7" ht="15" thickBot="1">
      <c r="C6" s="63"/>
    </row>
    <row r="7" spans="2:7" ht="19.2" thickTop="1" thickBot="1">
      <c r="B7" s="328" t="str">
        <f>IFERROR(VLOOKUP(RECIBO!$E$7,NÓMINA!B9:H59,2,FALSE),)</f>
        <v>DISNERIS AVEMARIA</v>
      </c>
      <c r="C7" s="328"/>
      <c r="D7" s="73" t="s">
        <v>136</v>
      </c>
      <c r="E7" s="327">
        <v>1</v>
      </c>
      <c r="F7" s="327"/>
    </row>
    <row r="8" spans="2:7" ht="15.6" thickTop="1" thickBot="1">
      <c r="B8" s="71" t="s">
        <v>137</v>
      </c>
      <c r="C8" s="72">
        <f>IFERROR(VLOOKUP(RECIBO!$E$7,Tabla7[[#All],[CEDULA]:[IBC]],4,FALSE),)</f>
        <v>1300000</v>
      </c>
      <c r="D8" s="71" t="s">
        <v>67</v>
      </c>
      <c r="E8" s="324" t="str">
        <f>IFERROR(VLOOKUP($E$7,NÓMINA!B9:H59,3,FALSE),)</f>
        <v>Operario de máquinas</v>
      </c>
      <c r="F8" s="325"/>
    </row>
    <row r="9" spans="2:7" ht="15" thickTop="1"/>
    <row r="10" spans="2:7">
      <c r="B10" s="95" t="s">
        <v>138</v>
      </c>
      <c r="C10" s="96" t="s">
        <v>139</v>
      </c>
      <c r="D10" s="96" t="s">
        <v>140</v>
      </c>
      <c r="E10" s="111" t="s">
        <v>141</v>
      </c>
      <c r="F10" s="112" t="s">
        <v>142</v>
      </c>
    </row>
    <row r="11" spans="2:7">
      <c r="B11" s="27" t="s">
        <v>120</v>
      </c>
      <c r="C11" s="110">
        <f>IFERROR(VLOOKUP($E$7,Tabla9[#All],7,FALSE),)</f>
        <v>30</v>
      </c>
      <c r="D11" s="92">
        <f>($C$8/30)</f>
        <v>43333.333333333336</v>
      </c>
      <c r="E11" s="92">
        <f>C11*D11</f>
        <v>1300000</v>
      </c>
      <c r="F11" s="93"/>
      <c r="G11" s="74"/>
    </row>
    <row r="12" spans="2:7">
      <c r="B12" s="27" t="s">
        <v>88</v>
      </c>
      <c r="C12" s="110">
        <f>IFERROR(VLOOKUP($E$7,Tabla9[#All],6,FALSE),)</f>
        <v>0</v>
      </c>
      <c r="D12" s="92">
        <f>IFERROR((E12/C12),0)</f>
        <v>0</v>
      </c>
      <c r="E12" s="92">
        <f>IFERROR(VLOOKUP($E$7,Tabla7[#All],8,FALSE),)</f>
        <v>0</v>
      </c>
      <c r="F12" s="93"/>
      <c r="G12" s="74"/>
    </row>
    <row r="13" spans="2:7">
      <c r="B13" s="27" t="s">
        <v>143</v>
      </c>
      <c r="C13" s="110">
        <f>IFERROR(VLOOKUP($E$7,Tabla9[#All],7,FALSE),)</f>
        <v>30</v>
      </c>
      <c r="D13" s="92">
        <f>DATOS!$C$7/30</f>
        <v>5400</v>
      </c>
      <c r="E13" s="92">
        <f>IFERROR(VLOOKUP($E$7,Tabla7[#All],10,FALSE),)</f>
        <v>162000</v>
      </c>
      <c r="F13" s="93"/>
    </row>
    <row r="14" spans="2:7">
      <c r="B14" s="27" t="s">
        <v>144</v>
      </c>
      <c r="C14">
        <f>IFERROR(VLOOKUP($E$7,Tabla9[#All],11,FALSE),)</f>
        <v>0</v>
      </c>
      <c r="D14" s="92">
        <f>($C$8/235)*1.25</f>
        <v>6914.8936170212764</v>
      </c>
      <c r="E14" s="92">
        <f t="shared" ref="E14:E20" si="0">C14*D14</f>
        <v>0</v>
      </c>
      <c r="F14" s="93"/>
    </row>
    <row r="15" spans="2:7">
      <c r="B15" s="27" t="s">
        <v>145</v>
      </c>
      <c r="C15">
        <f>IFERROR(VLOOKUP($E$7,Tabla9[#All],12,FALSE),)</f>
        <v>0</v>
      </c>
      <c r="D15" s="92">
        <f>($C$8/235)*2</f>
        <v>11063.829787234043</v>
      </c>
      <c r="E15" s="92">
        <f t="shared" si="0"/>
        <v>0</v>
      </c>
      <c r="F15" s="93"/>
    </row>
    <row r="16" spans="2:7">
      <c r="B16" s="27" t="s">
        <v>146</v>
      </c>
      <c r="C16">
        <f>IFERROR(VLOOKUP($E$7,Tabla9[#All],13,FALSE),)</f>
        <v>0</v>
      </c>
      <c r="D16" s="92">
        <f>($C$8/235)*1.75</f>
        <v>9680.8510638297867</v>
      </c>
      <c r="E16" s="92">
        <f t="shared" si="0"/>
        <v>0</v>
      </c>
      <c r="F16" s="93"/>
    </row>
    <row r="17" spans="2:6">
      <c r="B17" s="27" t="s">
        <v>147</v>
      </c>
      <c r="C17">
        <f>IFERROR(VLOOKUP($E$7,Tabla9[#All],14,FALSE),)</f>
        <v>0</v>
      </c>
      <c r="D17" s="92">
        <f>($C$8/235)*2.5</f>
        <v>13829.787234042553</v>
      </c>
      <c r="E17" s="92">
        <f t="shared" si="0"/>
        <v>0</v>
      </c>
      <c r="F17" s="93"/>
    </row>
    <row r="18" spans="2:6">
      <c r="B18" s="27" t="s">
        <v>148</v>
      </c>
      <c r="C18">
        <f>IFERROR(VLOOKUP($E$7,Tabla9[#All],15,FALSE),)</f>
        <v>0</v>
      </c>
      <c r="D18" s="92">
        <f>($C$8/235)*0.35</f>
        <v>1936.1702127659573</v>
      </c>
      <c r="E18" s="92">
        <f t="shared" si="0"/>
        <v>0</v>
      </c>
      <c r="F18" s="93"/>
    </row>
    <row r="19" spans="2:6">
      <c r="B19" s="27" t="s">
        <v>308</v>
      </c>
      <c r="C19">
        <f>IFERROR(VLOOKUP($E$7,Tabla9[#All],16,FALSE),)</f>
        <v>0</v>
      </c>
      <c r="D19" s="92">
        <f>($C$8/235)*1.1</f>
        <v>6085.1063829787236</v>
      </c>
      <c r="E19" s="92">
        <f t="shared" si="0"/>
        <v>0</v>
      </c>
      <c r="F19" s="93"/>
    </row>
    <row r="20" spans="2:6">
      <c r="B20" s="27" t="s">
        <v>309</v>
      </c>
      <c r="C20">
        <f>IFERROR(VLOOKUP($E$7,Tabla9[#All],17,FALSE),)</f>
        <v>0</v>
      </c>
      <c r="D20" s="92">
        <f>($C$8/235)*0.75</f>
        <v>4148.9361702127662</v>
      </c>
      <c r="E20" s="92">
        <f t="shared" si="0"/>
        <v>0</v>
      </c>
      <c r="F20" s="93"/>
    </row>
    <row r="21" spans="2:6">
      <c r="B21" s="27" t="s">
        <v>151</v>
      </c>
      <c r="C21" s="92">
        <f>IFERROR(VLOOKUP($E$7,Tabla7[#All],19,FALSE),)</f>
        <v>0</v>
      </c>
      <c r="D21" s="101">
        <f>IFERROR(VLOOKUP($E$7,Tabla9[#All],19,FALSE),)</f>
        <v>0</v>
      </c>
      <c r="E21" s="92">
        <f>IFERROR(VLOOKUP($E$7,Tabla7[#All],19,FALSE),)</f>
        <v>0</v>
      </c>
      <c r="F21" s="93"/>
    </row>
    <row r="22" spans="2:6">
      <c r="B22" s="27" t="s">
        <v>152</v>
      </c>
      <c r="C22" s="92">
        <f>IFERROR(VLOOKUP($E$7,Tabla9[#All],20,FALSE),)</f>
        <v>0</v>
      </c>
      <c r="D22" s="92">
        <f>C22</f>
        <v>0</v>
      </c>
      <c r="E22" s="92">
        <f>IFERROR(VLOOKUP($E$7,Tabla7[#All],20,FALSE),)</f>
        <v>0</v>
      </c>
      <c r="F22" s="93"/>
    </row>
    <row r="23" spans="2:6">
      <c r="B23" s="27" t="s">
        <v>153</v>
      </c>
      <c r="D23" s="92"/>
      <c r="E23" s="92"/>
      <c r="F23" s="100">
        <f>IFERROR(VLOOKUP($E$7,Tabla7[#All],22,FALSE),)</f>
        <v>52000</v>
      </c>
    </row>
    <row r="24" spans="2:6">
      <c r="B24" s="27" t="s">
        <v>154</v>
      </c>
      <c r="D24" s="92"/>
      <c r="E24" s="92"/>
      <c r="F24" s="100">
        <f>IFERROR(VLOOKUP($E$7,Tabla7[#All],23,FALSE),)</f>
        <v>52000</v>
      </c>
    </row>
    <row r="25" spans="2:6">
      <c r="B25" s="27" t="s">
        <v>155</v>
      </c>
      <c r="D25" s="92"/>
      <c r="E25" s="92"/>
      <c r="F25" s="100">
        <f>IFERROR(VLOOKUP($E$7,Tabla7[#All],24,FALSE),)</f>
        <v>0</v>
      </c>
    </row>
    <row r="26" spans="2:6">
      <c r="B26" s="27" t="s">
        <v>156</v>
      </c>
      <c r="D26" s="92"/>
      <c r="E26" s="92"/>
      <c r="F26" s="100">
        <f>IFERROR(VLOOKUP($E$7,Tabla7[#All],25,FALSE),)</f>
        <v>0</v>
      </c>
    </row>
    <row r="27" spans="2:6">
      <c r="B27" s="27" t="s">
        <v>157</v>
      </c>
      <c r="D27" s="92"/>
      <c r="E27" s="92"/>
      <c r="F27" s="100">
        <f>IFERROR(VLOOKUP($E$7,Tabla7[#All],26,FALSE),)</f>
        <v>0</v>
      </c>
    </row>
    <row r="28" spans="2:6">
      <c r="B28" s="27" t="s">
        <v>158</v>
      </c>
      <c r="D28" s="92"/>
      <c r="E28" s="92"/>
      <c r="F28" s="100">
        <f>IFERROR(VLOOKUP($E$7,Tabla7[#All],27,FALSE),)</f>
        <v>0</v>
      </c>
    </row>
    <row r="29" spans="2:6">
      <c r="B29" s="27" t="s">
        <v>159</v>
      </c>
      <c r="D29" s="92"/>
      <c r="E29" s="92"/>
      <c r="F29" s="100">
        <f>IFERROR(VLOOKUP($E$7,Tabla7[#All],28,FALSE),)</f>
        <v>0</v>
      </c>
    </row>
    <row r="30" spans="2:6">
      <c r="B30" s="27" t="s">
        <v>160</v>
      </c>
      <c r="D30" s="92"/>
      <c r="E30" s="92"/>
      <c r="F30" s="100">
        <f>IFERROR(VLOOKUP($E$7,Tabla7[#All],29,FALSE),)</f>
        <v>0</v>
      </c>
    </row>
    <row r="31" spans="2:6">
      <c r="B31" s="27" t="s">
        <v>161</v>
      </c>
      <c r="D31" s="92"/>
      <c r="E31" s="92">
        <f>SUM(E11:E30)</f>
        <v>1462000</v>
      </c>
      <c r="F31" s="93">
        <f>SUM(F11:F30)</f>
        <v>104000</v>
      </c>
    </row>
    <row r="32" spans="2:6">
      <c r="B32" s="28" t="s">
        <v>162</v>
      </c>
      <c r="C32" s="64"/>
      <c r="D32" s="64"/>
      <c r="E32" s="94">
        <f>E31-F31</f>
        <v>1358000</v>
      </c>
      <c r="F32" s="29"/>
    </row>
    <row r="33" spans="2:2"/>
    <row r="34" spans="2:2"/>
    <row r="35" spans="2:2" ht="15" thickBot="1">
      <c r="B35" s="65"/>
    </row>
    <row r="36" spans="2:2" ht="15" thickTop="1">
      <c r="B36" t="s">
        <v>163</v>
      </c>
    </row>
    <row r="37" spans="2:2">
      <c r="B37" t="s">
        <v>136</v>
      </c>
    </row>
    <row r="38" spans="2:2"/>
    <row r="39" spans="2:2"/>
  </sheetData>
  <mergeCells count="6">
    <mergeCell ref="E8:F8"/>
    <mergeCell ref="B1:F1"/>
    <mergeCell ref="B2:F2"/>
    <mergeCell ref="E7:F7"/>
    <mergeCell ref="B7:C7"/>
    <mergeCell ref="E4:F4"/>
  </mergeCells>
  <pageMargins left="0.7" right="0.7" top="0.75" bottom="0.75" header="0.3" footer="0.3"/>
  <pageSetup orientation="portrait" horizontalDpi="4294967292" verticalDpi="12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B4FDC-6E71-48E8-B3DD-05CAC381013D}">
  <sheetPr codeName="Hoja11">
    <tabColor rgb="FF75F04A"/>
  </sheetPr>
  <dimension ref="A1:AJ434"/>
  <sheetViews>
    <sheetView topLeftCell="A7" workbookViewId="0">
      <selection activeCell="H19" sqref="H19"/>
    </sheetView>
  </sheetViews>
  <sheetFormatPr baseColWidth="10" defaultColWidth="11.44140625" defaultRowHeight="14.4"/>
  <cols>
    <col min="1" max="1" width="11.44140625" style="128"/>
    <col min="2" max="2" width="44.44140625" customWidth="1"/>
    <col min="3" max="3" width="24.6640625" customWidth="1"/>
    <col min="4" max="4" width="19.44140625" customWidth="1"/>
    <col min="5" max="5" width="26" customWidth="1"/>
    <col min="6" max="6" width="16.6640625" customWidth="1"/>
    <col min="7" max="36" width="11.44140625" style="129"/>
  </cols>
  <sheetData>
    <row r="1" spans="2:7" ht="18">
      <c r="B1" s="326" t="str">
        <f>DATOS!C2</f>
        <v>EDICAR</v>
      </c>
      <c r="C1" s="326"/>
      <c r="D1" s="326"/>
      <c r="E1" s="326"/>
      <c r="F1" s="326"/>
    </row>
    <row r="2" spans="2:7" ht="18">
      <c r="B2" s="326" t="str">
        <f>CONCATENATE(DATOS!B3," ",DATOS!C3)</f>
        <v>NIT 1035851332</v>
      </c>
      <c r="C2" s="326"/>
      <c r="D2" s="326"/>
      <c r="E2" s="326"/>
      <c r="F2" s="326"/>
    </row>
    <row r="3" spans="2:7">
      <c r="B3" s="129"/>
      <c r="C3" s="129"/>
      <c r="D3" s="129"/>
      <c r="E3" s="129"/>
      <c r="F3" s="129"/>
    </row>
    <row r="4" spans="2:7">
      <c r="B4" s="330" t="s">
        <v>310</v>
      </c>
      <c r="C4" s="330"/>
      <c r="D4" s="330"/>
      <c r="E4" s="330"/>
      <c r="F4" s="330"/>
    </row>
    <row r="5" spans="2:7">
      <c r="B5" s="330"/>
      <c r="C5" s="330"/>
      <c r="D5" s="330"/>
      <c r="E5" s="330"/>
      <c r="F5" s="330"/>
    </row>
    <row r="6" spans="2:7" ht="15" thickBot="1">
      <c r="B6" s="129"/>
      <c r="C6" s="134"/>
      <c r="D6" s="129"/>
      <c r="E6" s="129"/>
      <c r="F6" s="129"/>
    </row>
    <row r="7" spans="2:7" ht="19.2" thickTop="1" thickBot="1">
      <c r="B7" s="328" t="str">
        <f>IFERROR(VLOOKUP($E$7,NÓMINA!B9:H59,2,FALSE),)</f>
        <v>SANDRA</v>
      </c>
      <c r="C7" s="328"/>
      <c r="D7" s="73" t="s">
        <v>136</v>
      </c>
      <c r="E7" s="327">
        <v>3</v>
      </c>
      <c r="F7" s="327"/>
    </row>
    <row r="8" spans="2:7" ht="15.6" thickTop="1" thickBot="1">
      <c r="B8" s="71" t="s">
        <v>137</v>
      </c>
      <c r="C8" s="72">
        <f>IFERROR(VLOOKUP($E$7,Tabla7[[#All],[CEDULA]:[IBC]],4,FALSE),)</f>
        <v>1600000</v>
      </c>
      <c r="D8" s="71" t="s">
        <v>67</v>
      </c>
      <c r="E8" s="324" t="str">
        <f>IFERROR(VLOOKUP($E$7,NÓMINA!B9:H59,3,FALSE),)</f>
        <v>Patinador</v>
      </c>
      <c r="F8" s="325"/>
    </row>
    <row r="9" spans="2:7" ht="15" thickTop="1">
      <c r="B9" s="129"/>
      <c r="C9" s="129"/>
      <c r="D9" s="129"/>
      <c r="E9" s="129"/>
      <c r="F9" s="129"/>
    </row>
    <row r="10" spans="2:7">
      <c r="B10" s="135" t="s">
        <v>138</v>
      </c>
      <c r="C10" s="136" t="s">
        <v>139</v>
      </c>
      <c r="D10" s="136" t="s">
        <v>140</v>
      </c>
      <c r="E10" s="152" t="s">
        <v>141</v>
      </c>
      <c r="F10" s="153" t="s">
        <v>142</v>
      </c>
    </row>
    <row r="11" spans="2:7">
      <c r="B11" s="137" t="s">
        <v>120</v>
      </c>
      <c r="C11" s="138">
        <f>IFERROR(VLOOKUP($E$7,Tabla9[#All],7,FALSE),)</f>
        <v>30</v>
      </c>
      <c r="D11" s="139">
        <f>($C$8/30)</f>
        <v>53333.333333333336</v>
      </c>
      <c r="E11" s="139">
        <f>C11*D11</f>
        <v>1600000</v>
      </c>
      <c r="F11" s="140"/>
      <c r="G11" s="151"/>
    </row>
    <row r="12" spans="2:7">
      <c r="B12" s="137" t="s">
        <v>88</v>
      </c>
      <c r="C12" s="138">
        <f>IFERROR(VLOOKUP($E$7,Tabla9[#All],6,FALSE),)</f>
        <v>0</v>
      </c>
      <c r="D12" s="139" t="e">
        <f>E12/C12</f>
        <v>#DIV/0!</v>
      </c>
      <c r="E12" s="139">
        <f>IFERROR(VLOOKUP($E$7,Tabla7[#All],8,FALSE),)</f>
        <v>0</v>
      </c>
      <c r="F12" s="140"/>
      <c r="G12" s="151"/>
    </row>
    <row r="13" spans="2:7">
      <c r="B13" s="137" t="s">
        <v>143</v>
      </c>
      <c r="C13" s="138">
        <f>IFERROR(VLOOKUP($E$7,Tabla9[#All],7,FALSE),)</f>
        <v>30</v>
      </c>
      <c r="D13" s="139">
        <f>DATOS!$C$7/30</f>
        <v>5400</v>
      </c>
      <c r="E13" s="139">
        <f>IFERROR(VLOOKUP($E$7,Tabla7[#All],10,FALSE),)</f>
        <v>162000</v>
      </c>
      <c r="F13" s="140"/>
    </row>
    <row r="14" spans="2:7">
      <c r="B14" s="137" t="s">
        <v>144</v>
      </c>
      <c r="C14" s="138">
        <f>IFERROR(VLOOKUP($E$7,Tabla9[#All],11,FALSE),)</f>
        <v>0</v>
      </c>
      <c r="D14" s="139">
        <f>($C$8/235)*1.25</f>
        <v>8510.6382978723395</v>
      </c>
      <c r="E14" s="139">
        <f t="shared" ref="E14:E20" si="0">C14*D14</f>
        <v>0</v>
      </c>
      <c r="F14" s="140"/>
    </row>
    <row r="15" spans="2:7">
      <c r="B15" s="137" t="s">
        <v>145</v>
      </c>
      <c r="C15" s="138">
        <f>IFERROR(VLOOKUP($E$7,Tabla9[#All],12,FALSE),)</f>
        <v>0</v>
      </c>
      <c r="D15" s="139">
        <f>($C$8/235)*2</f>
        <v>13617.021276595744</v>
      </c>
      <c r="E15" s="139">
        <f t="shared" si="0"/>
        <v>0</v>
      </c>
      <c r="F15" s="140"/>
    </row>
    <row r="16" spans="2:7">
      <c r="B16" s="137" t="s">
        <v>146</v>
      </c>
      <c r="C16" s="138">
        <f>IFERROR(VLOOKUP($E$7,Tabla9[#All],13,FALSE),)</f>
        <v>0</v>
      </c>
      <c r="D16" s="139">
        <f>($C$8/235)*1.75</f>
        <v>11914.893617021276</v>
      </c>
      <c r="E16" s="139">
        <f t="shared" si="0"/>
        <v>0</v>
      </c>
      <c r="F16" s="140"/>
    </row>
    <row r="17" spans="2:6">
      <c r="B17" s="137" t="s">
        <v>147</v>
      </c>
      <c r="C17" s="138">
        <f>IFERROR(VLOOKUP($E$7,Tabla9[#All],14,FALSE),)</f>
        <v>0</v>
      </c>
      <c r="D17" s="139">
        <f>($C$8/235)*2.5</f>
        <v>17021.276595744679</v>
      </c>
      <c r="E17" s="139">
        <f t="shared" si="0"/>
        <v>0</v>
      </c>
      <c r="F17" s="140"/>
    </row>
    <row r="18" spans="2:6">
      <c r="B18" s="137" t="s">
        <v>148</v>
      </c>
      <c r="C18" s="138">
        <f>IFERROR(VLOOKUP($E$7,Tabla9[#All],15,FALSE),)</f>
        <v>0</v>
      </c>
      <c r="D18" s="139">
        <f>($C$8/235)*0.35</f>
        <v>2382.9787234042551</v>
      </c>
      <c r="E18" s="139">
        <f t="shared" si="0"/>
        <v>0</v>
      </c>
      <c r="F18" s="140"/>
    </row>
    <row r="19" spans="2:6">
      <c r="B19" s="137" t="s">
        <v>149</v>
      </c>
      <c r="C19" s="138">
        <f>IFERROR(VLOOKUP($E$7,Tabla9[#All],16,FALSE),)</f>
        <v>0</v>
      </c>
      <c r="D19" s="139">
        <f>($C$8/235)*1.1</f>
        <v>7489.3617021276596</v>
      </c>
      <c r="E19" s="139">
        <f t="shared" si="0"/>
        <v>0</v>
      </c>
      <c r="F19" s="140"/>
    </row>
    <row r="20" spans="2:6">
      <c r="B20" s="137" t="s">
        <v>150</v>
      </c>
      <c r="C20" s="138">
        <f>IFERROR(VLOOKUP($E$7,Tabla9[#All],17,FALSE),)</f>
        <v>0</v>
      </c>
      <c r="D20" s="139">
        <f>($C$8/235)*0.75</f>
        <v>5106.3829787234044</v>
      </c>
      <c r="E20" s="139">
        <f t="shared" si="0"/>
        <v>0</v>
      </c>
      <c r="F20" s="140"/>
    </row>
    <row r="21" spans="2:6">
      <c r="B21" s="137" t="s">
        <v>151</v>
      </c>
      <c r="C21" s="138">
        <f>IFERROR(VLOOKUP($E$7,Tabla7[#All],19,FALSE),)</f>
        <v>0</v>
      </c>
      <c r="D21" s="141">
        <f>IFERROR(VLOOKUP($E$7,Tabla9[#All],16,FALSE),)</f>
        <v>0</v>
      </c>
      <c r="E21" s="139">
        <f>IFERROR(VLOOKUP($E$7,Tabla7[#All],19,FALSE),)</f>
        <v>0</v>
      </c>
      <c r="F21" s="140"/>
    </row>
    <row r="22" spans="2:6">
      <c r="B22" s="137" t="s">
        <v>152</v>
      </c>
      <c r="C22" s="297">
        <f>IFERROR(VLOOKUP($E$7,Tabla9[#All],20,FALSE),)</f>
        <v>0</v>
      </c>
      <c r="D22" s="139">
        <f>C22</f>
        <v>0</v>
      </c>
      <c r="E22" s="139">
        <f>IFERROR(VLOOKUP($E$7,Tabla7[#All],20,FALSE),)</f>
        <v>0</v>
      </c>
      <c r="F22" s="140"/>
    </row>
    <row r="23" spans="2:6">
      <c r="B23" s="137" t="s">
        <v>153</v>
      </c>
      <c r="C23" s="129"/>
      <c r="D23" s="139"/>
      <c r="E23" s="139"/>
      <c r="F23" s="142">
        <f>IFERROR(VLOOKUP($E$7,Tabla7[#All],22,FALSE),)</f>
        <v>64000</v>
      </c>
    </row>
    <row r="24" spans="2:6">
      <c r="B24" s="137" t="s">
        <v>154</v>
      </c>
      <c r="C24" s="129"/>
      <c r="D24" s="139"/>
      <c r="E24" s="139"/>
      <c r="F24" s="142">
        <f>IFERROR(VLOOKUP($E$7,Tabla7[#All],23,FALSE),)</f>
        <v>64000</v>
      </c>
    </row>
    <row r="25" spans="2:6">
      <c r="B25" s="137" t="s">
        <v>155</v>
      </c>
      <c r="C25" s="129"/>
      <c r="D25" s="139"/>
      <c r="E25" s="139"/>
      <c r="F25" s="142">
        <f>IFERROR(VLOOKUP($E$7,Tabla7[#All],24,FALSE),)</f>
        <v>0</v>
      </c>
    </row>
    <row r="26" spans="2:6">
      <c r="B26" s="137" t="s">
        <v>156</v>
      </c>
      <c r="C26" s="129"/>
      <c r="D26" s="139"/>
      <c r="E26" s="139"/>
      <c r="F26" s="142">
        <f>IFERROR(VLOOKUP($E$7,Tabla7[#All],25,FALSE),)</f>
        <v>0</v>
      </c>
    </row>
    <row r="27" spans="2:6">
      <c r="B27" s="137" t="s">
        <v>157</v>
      </c>
      <c r="C27" s="129"/>
      <c r="D27" s="139"/>
      <c r="E27" s="139"/>
      <c r="F27" s="142">
        <f>IFERROR(VLOOKUP($E$7,Tabla7[#All],26,FALSE),)</f>
        <v>0</v>
      </c>
    </row>
    <row r="28" spans="2:6">
      <c r="B28" s="137" t="s">
        <v>158</v>
      </c>
      <c r="C28" s="129"/>
      <c r="D28" s="139"/>
      <c r="E28" s="139"/>
      <c r="F28" s="142">
        <f>IFERROR(VLOOKUP($E$7,Tabla7[#All],27,FALSE),)</f>
        <v>0</v>
      </c>
    </row>
    <row r="29" spans="2:6">
      <c r="B29" s="137" t="s">
        <v>159</v>
      </c>
      <c r="C29" s="129"/>
      <c r="D29" s="139"/>
      <c r="E29" s="139"/>
      <c r="F29" s="142">
        <f>IFERROR(VLOOKUP($E$7,Tabla7[#All],28,FALSE),)</f>
        <v>0</v>
      </c>
    </row>
    <row r="30" spans="2:6">
      <c r="B30" s="137" t="s">
        <v>160</v>
      </c>
      <c r="C30" s="129"/>
      <c r="D30" s="139"/>
      <c r="E30" s="139"/>
      <c r="F30" s="142">
        <f>IFERROR(VLOOKUP($E$7,Tabla7[#All],29,FALSE),)</f>
        <v>0</v>
      </c>
    </row>
    <row r="31" spans="2:6" ht="15" thickBot="1">
      <c r="B31" s="137" t="s">
        <v>161</v>
      </c>
      <c r="C31" s="129"/>
      <c r="D31" s="139"/>
      <c r="E31" s="139">
        <f>SUM(E11:E30)</f>
        <v>1762000</v>
      </c>
      <c r="F31" s="140">
        <f>SUM(F11:F30)</f>
        <v>128000</v>
      </c>
    </row>
    <row r="32" spans="2:6" ht="15" thickBot="1">
      <c r="B32" s="122" t="s">
        <v>168</v>
      </c>
      <c r="C32" s="120"/>
      <c r="D32" s="120"/>
      <c r="E32" s="123">
        <f>E31-F31</f>
        <v>1634000</v>
      </c>
      <c r="F32" s="121"/>
    </row>
    <row r="33" spans="2:6">
      <c r="B33" s="143" t="s">
        <v>169</v>
      </c>
      <c r="C33" s="144">
        <f>C8</f>
        <v>1600000</v>
      </c>
      <c r="D33" s="129"/>
      <c r="E33" s="129"/>
      <c r="F33" s="129"/>
    </row>
    <row r="34" spans="2:6">
      <c r="B34" s="137" t="s">
        <v>170</v>
      </c>
      <c r="C34" s="145">
        <f>IFERROR(VLOOKUP($E$7,Tabla9[#All],27,FALSE),)</f>
        <v>45293</v>
      </c>
      <c r="D34" s="129"/>
      <c r="E34" s="129"/>
      <c r="F34" s="129"/>
    </row>
    <row r="35" spans="2:6">
      <c r="B35" s="137" t="s">
        <v>171</v>
      </c>
      <c r="C35" s="146">
        <f>IFERROR(VLOOKUP($E$7,Tabla9[#All],30,FALSE),0)</f>
        <v>45468</v>
      </c>
      <c r="D35" s="129"/>
      <c r="E35" s="129"/>
      <c r="F35" s="129"/>
    </row>
    <row r="36" spans="2:6">
      <c r="B36" s="137" t="s">
        <v>172</v>
      </c>
      <c r="C36" s="146">
        <f>IFERROR(VLOOKUP($E$7,Tabla9[#All],28,FALSE),)</f>
        <v>45473</v>
      </c>
      <c r="D36" s="129"/>
      <c r="E36" s="129"/>
      <c r="F36" s="129"/>
    </row>
    <row r="37" spans="2:6">
      <c r="B37" s="137" t="s">
        <v>173</v>
      </c>
      <c r="C37" s="147" t="str">
        <f>IFERROR(VLOOKUP($E$7,Tabla9[#All],29,FALSE),)</f>
        <v>Termino fijo inferior a 1 año</v>
      </c>
      <c r="D37" s="129"/>
      <c r="E37" s="129"/>
      <c r="F37" s="129"/>
    </row>
    <row r="38" spans="2:6">
      <c r="B38" s="137" t="s">
        <v>174</v>
      </c>
      <c r="C38" s="148">
        <f>C35-C34</f>
        <v>175</v>
      </c>
      <c r="D38" s="129"/>
      <c r="E38" s="129"/>
      <c r="F38" s="129"/>
    </row>
    <row r="39" spans="2:6">
      <c r="B39" s="137" t="s">
        <v>175</v>
      </c>
      <c r="C39" s="148">
        <f>C35-C34</f>
        <v>175</v>
      </c>
      <c r="D39" s="129"/>
      <c r="E39" s="129"/>
      <c r="F39" s="129"/>
    </row>
    <row r="40" spans="2:6">
      <c r="B40" s="137" t="s">
        <v>176</v>
      </c>
      <c r="C40" s="148">
        <f>(C36-C35)-1</f>
        <v>4</v>
      </c>
      <c r="D40" s="129"/>
      <c r="E40" s="129"/>
      <c r="F40" s="129"/>
    </row>
    <row r="41" spans="2:6">
      <c r="B41" s="137"/>
      <c r="C41" s="149"/>
      <c r="D41" s="129"/>
      <c r="E41" s="129"/>
      <c r="F41" s="129"/>
    </row>
    <row r="42" spans="2:6">
      <c r="B42" s="137" t="s">
        <v>37</v>
      </c>
      <c r="C42" s="150">
        <f>(C33*C38)/360</f>
        <v>777777.77777777775</v>
      </c>
      <c r="D42" s="129"/>
      <c r="E42" s="129"/>
      <c r="F42" s="129"/>
    </row>
    <row r="43" spans="2:6">
      <c r="B43" s="137" t="s">
        <v>177</v>
      </c>
      <c r="C43" s="150">
        <f>(C42*0.12*C38)/360</f>
        <v>45370.370370370365</v>
      </c>
      <c r="D43" s="129"/>
      <c r="E43" s="129"/>
      <c r="F43" s="129"/>
    </row>
    <row r="44" spans="2:6">
      <c r="B44" s="137" t="s">
        <v>178</v>
      </c>
      <c r="C44" s="150">
        <f>(C33*C39)/360</f>
        <v>777777.77777777775</v>
      </c>
      <c r="D44" s="129"/>
      <c r="E44" s="129"/>
      <c r="F44" s="129"/>
    </row>
    <row r="45" spans="2:6">
      <c r="B45" s="137" t="s">
        <v>45</v>
      </c>
      <c r="C45" s="150">
        <f>((IFERROR(VLOOKUP($E$7,Tabla9[#All],4,FALSE),))*C38)/720</f>
        <v>388888.88888888888</v>
      </c>
      <c r="D45" s="129"/>
      <c r="E45" s="129"/>
      <c r="F45" s="129"/>
    </row>
    <row r="46" spans="2:6" ht="15" thickBot="1">
      <c r="B46" s="137" t="s">
        <v>179</v>
      </c>
      <c r="C46" s="150">
        <f>IFERROR(IF(C40&lt;15,(C33/30)*15,(C33/30)*C40),0)</f>
        <v>800000</v>
      </c>
      <c r="D46" s="129"/>
      <c r="E46" s="129"/>
      <c r="F46" s="129"/>
    </row>
    <row r="47" spans="2:6" ht="15" thickBot="1">
      <c r="B47" s="122" t="s">
        <v>180</v>
      </c>
      <c r="C47" s="131">
        <f>SUM(C42:C46)</f>
        <v>2789814.8148148148</v>
      </c>
      <c r="D47" s="129"/>
      <c r="E47" s="129"/>
      <c r="F47" s="129"/>
    </row>
    <row r="48" spans="2:6" ht="25.8">
      <c r="B48" s="127" t="s">
        <v>162</v>
      </c>
      <c r="C48" s="132">
        <f>C47+E32</f>
        <v>4423814.8148148153</v>
      </c>
      <c r="D48" s="130"/>
      <c r="E48" s="129"/>
      <c r="F48" s="129"/>
    </row>
    <row r="49" spans="1:2" s="129" customFormat="1">
      <c r="A49" s="128"/>
    </row>
    <row r="50" spans="1:2" s="129" customFormat="1">
      <c r="A50" s="128"/>
    </row>
    <row r="51" spans="1:2" s="129" customFormat="1" ht="15" thickBot="1">
      <c r="A51" s="128"/>
      <c r="B51" s="133"/>
    </row>
    <row r="52" spans="1:2" s="129" customFormat="1" ht="15" thickTop="1">
      <c r="A52" s="128"/>
      <c r="B52" s="129" t="s">
        <v>163</v>
      </c>
    </row>
    <row r="53" spans="1:2" s="129" customFormat="1">
      <c r="A53" s="128"/>
      <c r="B53" s="129" t="s">
        <v>136</v>
      </c>
    </row>
    <row r="54" spans="1:2" s="129" customFormat="1">
      <c r="A54" s="128"/>
    </row>
    <row r="55" spans="1:2" s="129" customFormat="1">
      <c r="A55" s="128"/>
    </row>
    <row r="56" spans="1:2" s="129" customFormat="1">
      <c r="A56" s="128"/>
    </row>
    <row r="57" spans="1:2" s="129" customFormat="1">
      <c r="A57" s="128"/>
    </row>
    <row r="58" spans="1:2" s="129" customFormat="1">
      <c r="A58" s="128"/>
    </row>
    <row r="59" spans="1:2" s="129" customFormat="1">
      <c r="A59" s="128"/>
    </row>
    <row r="60" spans="1:2" s="129" customFormat="1">
      <c r="A60" s="128"/>
    </row>
    <row r="61" spans="1:2" s="129" customFormat="1">
      <c r="A61" s="128"/>
    </row>
    <row r="62" spans="1:2" s="129" customFormat="1">
      <c r="A62" s="128"/>
    </row>
    <row r="63" spans="1:2" s="129" customFormat="1">
      <c r="A63" s="128"/>
    </row>
    <row r="64" spans="1:2" s="129" customFormat="1">
      <c r="A64" s="128"/>
    </row>
    <row r="65" spans="1:1" s="129" customFormat="1">
      <c r="A65" s="128"/>
    </row>
    <row r="66" spans="1:1" s="129" customFormat="1">
      <c r="A66" s="128"/>
    </row>
    <row r="67" spans="1:1" s="129" customFormat="1">
      <c r="A67" s="128"/>
    </row>
    <row r="68" spans="1:1" s="129" customFormat="1">
      <c r="A68" s="128"/>
    </row>
    <row r="69" spans="1:1" s="129" customFormat="1">
      <c r="A69" s="128"/>
    </row>
    <row r="70" spans="1:1" s="129" customFormat="1">
      <c r="A70" s="128"/>
    </row>
    <row r="71" spans="1:1" s="129" customFormat="1">
      <c r="A71" s="128"/>
    </row>
    <row r="72" spans="1:1" s="129" customFormat="1">
      <c r="A72" s="128"/>
    </row>
    <row r="73" spans="1:1" s="129" customFormat="1">
      <c r="A73" s="128"/>
    </row>
    <row r="74" spans="1:1" s="129" customFormat="1">
      <c r="A74" s="128"/>
    </row>
    <row r="75" spans="1:1" s="129" customFormat="1">
      <c r="A75" s="128"/>
    </row>
    <row r="76" spans="1:1" s="129" customFormat="1">
      <c r="A76" s="128"/>
    </row>
    <row r="77" spans="1:1" s="129" customFormat="1">
      <c r="A77" s="128"/>
    </row>
    <row r="78" spans="1:1" s="129" customFormat="1">
      <c r="A78" s="128"/>
    </row>
    <row r="79" spans="1:1" s="129" customFormat="1">
      <c r="A79" s="128"/>
    </row>
    <row r="80" spans="1:1" s="129" customFormat="1">
      <c r="A80" s="128"/>
    </row>
    <row r="81" spans="1:1" s="129" customFormat="1">
      <c r="A81" s="128"/>
    </row>
    <row r="82" spans="1:1" s="129" customFormat="1">
      <c r="A82" s="128"/>
    </row>
    <row r="83" spans="1:1" s="129" customFormat="1">
      <c r="A83" s="128"/>
    </row>
    <row r="84" spans="1:1" s="129" customFormat="1">
      <c r="A84" s="128"/>
    </row>
    <row r="85" spans="1:1" s="129" customFormat="1">
      <c r="A85" s="128"/>
    </row>
    <row r="86" spans="1:1" s="129" customFormat="1">
      <c r="A86" s="128"/>
    </row>
    <row r="87" spans="1:1" s="129" customFormat="1">
      <c r="A87" s="128"/>
    </row>
    <row r="88" spans="1:1" s="129" customFormat="1">
      <c r="A88" s="128"/>
    </row>
    <row r="89" spans="1:1" s="129" customFormat="1">
      <c r="A89" s="128"/>
    </row>
    <row r="90" spans="1:1" s="129" customFormat="1">
      <c r="A90" s="128"/>
    </row>
    <row r="91" spans="1:1" s="129" customFormat="1">
      <c r="A91" s="128"/>
    </row>
    <row r="92" spans="1:1" s="129" customFormat="1">
      <c r="A92" s="128"/>
    </row>
    <row r="93" spans="1:1" s="129" customFormat="1">
      <c r="A93" s="128"/>
    </row>
    <row r="94" spans="1:1" s="129" customFormat="1">
      <c r="A94" s="128"/>
    </row>
    <row r="95" spans="1:1" s="129" customFormat="1">
      <c r="A95" s="128"/>
    </row>
    <row r="96" spans="1:1" s="129" customFormat="1">
      <c r="A96" s="128"/>
    </row>
    <row r="97" spans="1:1" s="129" customFormat="1">
      <c r="A97" s="128"/>
    </row>
    <row r="98" spans="1:1" s="129" customFormat="1">
      <c r="A98" s="128"/>
    </row>
    <row r="99" spans="1:1" s="129" customFormat="1">
      <c r="A99" s="128"/>
    </row>
    <row r="100" spans="1:1" s="129" customFormat="1">
      <c r="A100" s="128"/>
    </row>
    <row r="101" spans="1:1" s="129" customFormat="1">
      <c r="A101" s="128"/>
    </row>
    <row r="102" spans="1:1" s="129" customFormat="1">
      <c r="A102" s="128"/>
    </row>
    <row r="103" spans="1:1" s="129" customFormat="1">
      <c r="A103" s="128"/>
    </row>
    <row r="104" spans="1:1" s="129" customFormat="1">
      <c r="A104" s="128"/>
    </row>
    <row r="105" spans="1:1" s="129" customFormat="1">
      <c r="A105" s="128"/>
    </row>
    <row r="106" spans="1:1" s="129" customFormat="1">
      <c r="A106" s="128"/>
    </row>
    <row r="107" spans="1:1" s="129" customFormat="1">
      <c r="A107" s="128"/>
    </row>
    <row r="108" spans="1:1" s="129" customFormat="1">
      <c r="A108" s="128"/>
    </row>
    <row r="109" spans="1:1" s="129" customFormat="1">
      <c r="A109" s="128"/>
    </row>
    <row r="110" spans="1:1" s="129" customFormat="1">
      <c r="A110" s="128"/>
    </row>
    <row r="111" spans="1:1" s="129" customFormat="1">
      <c r="A111" s="128"/>
    </row>
    <row r="112" spans="1:1" s="129" customFormat="1">
      <c r="A112" s="128"/>
    </row>
    <row r="113" spans="1:1" s="129" customFormat="1">
      <c r="A113" s="128"/>
    </row>
    <row r="114" spans="1:1" s="129" customFormat="1">
      <c r="A114" s="128"/>
    </row>
    <row r="115" spans="1:1" s="129" customFormat="1">
      <c r="A115" s="128"/>
    </row>
    <row r="116" spans="1:1" s="129" customFormat="1">
      <c r="A116" s="128"/>
    </row>
    <row r="117" spans="1:1" s="129" customFormat="1">
      <c r="A117" s="128"/>
    </row>
    <row r="118" spans="1:1" s="129" customFormat="1">
      <c r="A118" s="128"/>
    </row>
    <row r="119" spans="1:1" s="129" customFormat="1">
      <c r="A119" s="128"/>
    </row>
    <row r="120" spans="1:1" s="129" customFormat="1">
      <c r="A120" s="128"/>
    </row>
    <row r="121" spans="1:1" s="129" customFormat="1">
      <c r="A121" s="128"/>
    </row>
    <row r="122" spans="1:1" s="129" customFormat="1">
      <c r="A122" s="128"/>
    </row>
    <row r="123" spans="1:1" s="129" customFormat="1">
      <c r="A123" s="128"/>
    </row>
    <row r="124" spans="1:1" s="129" customFormat="1">
      <c r="A124" s="128"/>
    </row>
    <row r="125" spans="1:1" s="129" customFormat="1">
      <c r="A125" s="128"/>
    </row>
    <row r="126" spans="1:1" s="129" customFormat="1">
      <c r="A126" s="128"/>
    </row>
    <row r="127" spans="1:1" s="129" customFormat="1">
      <c r="A127" s="128"/>
    </row>
    <row r="128" spans="1:1" s="129" customFormat="1">
      <c r="A128" s="128"/>
    </row>
    <row r="129" spans="1:1" s="129" customFormat="1">
      <c r="A129" s="128"/>
    </row>
    <row r="130" spans="1:1" s="129" customFormat="1">
      <c r="A130" s="128"/>
    </row>
    <row r="131" spans="1:1" s="129" customFormat="1">
      <c r="A131" s="128"/>
    </row>
    <row r="132" spans="1:1" s="129" customFormat="1">
      <c r="A132" s="128"/>
    </row>
    <row r="133" spans="1:1" s="129" customFormat="1">
      <c r="A133" s="128"/>
    </row>
    <row r="134" spans="1:1" s="129" customFormat="1">
      <c r="A134" s="128"/>
    </row>
    <row r="135" spans="1:1" s="129" customFormat="1">
      <c r="A135" s="128"/>
    </row>
    <row r="136" spans="1:1" s="129" customFormat="1">
      <c r="A136" s="128"/>
    </row>
    <row r="137" spans="1:1" s="129" customFormat="1">
      <c r="A137" s="128"/>
    </row>
    <row r="138" spans="1:1" s="129" customFormat="1">
      <c r="A138" s="128"/>
    </row>
    <row r="139" spans="1:1" s="129" customFormat="1">
      <c r="A139" s="128"/>
    </row>
    <row r="140" spans="1:1" s="129" customFormat="1">
      <c r="A140" s="128"/>
    </row>
    <row r="141" spans="1:1" s="129" customFormat="1">
      <c r="A141" s="128"/>
    </row>
    <row r="142" spans="1:1" s="129" customFormat="1">
      <c r="A142" s="128"/>
    </row>
    <row r="143" spans="1:1" s="129" customFormat="1">
      <c r="A143" s="128"/>
    </row>
    <row r="144" spans="1:1" s="129" customFormat="1">
      <c r="A144" s="128"/>
    </row>
    <row r="145" spans="1:1" s="129" customFormat="1">
      <c r="A145" s="128"/>
    </row>
    <row r="146" spans="1:1" s="129" customFormat="1">
      <c r="A146" s="128"/>
    </row>
    <row r="147" spans="1:1" s="129" customFormat="1">
      <c r="A147" s="128"/>
    </row>
    <row r="148" spans="1:1" s="129" customFormat="1">
      <c r="A148" s="128"/>
    </row>
    <row r="149" spans="1:1" s="129" customFormat="1">
      <c r="A149" s="128"/>
    </row>
    <row r="150" spans="1:1" s="129" customFormat="1">
      <c r="A150" s="128"/>
    </row>
    <row r="151" spans="1:1" s="129" customFormat="1">
      <c r="A151" s="128"/>
    </row>
    <row r="152" spans="1:1" s="129" customFormat="1">
      <c r="A152" s="128"/>
    </row>
    <row r="153" spans="1:1" s="129" customFormat="1">
      <c r="A153" s="128"/>
    </row>
    <row r="154" spans="1:1" s="129" customFormat="1">
      <c r="A154" s="128"/>
    </row>
    <row r="155" spans="1:1" s="129" customFormat="1">
      <c r="A155" s="128"/>
    </row>
    <row r="156" spans="1:1" s="129" customFormat="1">
      <c r="A156" s="128"/>
    </row>
    <row r="157" spans="1:1" s="129" customFormat="1">
      <c r="A157" s="128"/>
    </row>
    <row r="158" spans="1:1" s="129" customFormat="1">
      <c r="A158" s="128"/>
    </row>
    <row r="159" spans="1:1" s="129" customFormat="1">
      <c r="A159" s="128"/>
    </row>
    <row r="160" spans="1:1" s="129" customFormat="1">
      <c r="A160" s="128"/>
    </row>
    <row r="161" spans="1:1" s="129" customFormat="1">
      <c r="A161" s="128"/>
    </row>
    <row r="162" spans="1:1" s="129" customFormat="1">
      <c r="A162" s="128"/>
    </row>
    <row r="163" spans="1:1" s="129" customFormat="1">
      <c r="A163" s="128"/>
    </row>
    <row r="164" spans="1:1" s="129" customFormat="1">
      <c r="A164" s="128"/>
    </row>
    <row r="165" spans="1:1" s="129" customFormat="1">
      <c r="A165" s="128"/>
    </row>
    <row r="166" spans="1:1" s="129" customFormat="1">
      <c r="A166" s="128"/>
    </row>
    <row r="167" spans="1:1" s="129" customFormat="1">
      <c r="A167" s="128"/>
    </row>
    <row r="168" spans="1:1" s="129" customFormat="1">
      <c r="A168" s="128"/>
    </row>
    <row r="169" spans="1:1" s="129" customFormat="1">
      <c r="A169" s="128"/>
    </row>
    <row r="170" spans="1:1" s="129" customFormat="1">
      <c r="A170" s="128"/>
    </row>
    <row r="171" spans="1:1" s="129" customFormat="1">
      <c r="A171" s="128"/>
    </row>
    <row r="172" spans="1:1" s="129" customFormat="1">
      <c r="A172" s="128"/>
    </row>
    <row r="173" spans="1:1" s="129" customFormat="1">
      <c r="A173" s="128"/>
    </row>
    <row r="174" spans="1:1" s="129" customFormat="1">
      <c r="A174" s="128"/>
    </row>
    <row r="175" spans="1:1" s="129" customFormat="1">
      <c r="A175" s="128"/>
    </row>
    <row r="176" spans="1:1" s="129" customFormat="1">
      <c r="A176" s="128"/>
    </row>
    <row r="177" spans="1:1" s="129" customFormat="1">
      <c r="A177" s="128"/>
    </row>
    <row r="178" spans="1:1" s="129" customFormat="1">
      <c r="A178" s="128"/>
    </row>
    <row r="179" spans="1:1" s="129" customFormat="1">
      <c r="A179" s="128"/>
    </row>
    <row r="180" spans="1:1" s="129" customFormat="1">
      <c r="A180" s="128"/>
    </row>
    <row r="181" spans="1:1" s="129" customFormat="1">
      <c r="A181" s="128"/>
    </row>
    <row r="182" spans="1:1" s="129" customFormat="1">
      <c r="A182" s="128"/>
    </row>
    <row r="183" spans="1:1" s="129" customFormat="1">
      <c r="A183" s="128"/>
    </row>
    <row r="184" spans="1:1" s="129" customFormat="1">
      <c r="A184" s="128"/>
    </row>
    <row r="185" spans="1:1" s="129" customFormat="1">
      <c r="A185" s="128"/>
    </row>
    <row r="186" spans="1:1" s="129" customFormat="1">
      <c r="A186" s="128"/>
    </row>
    <row r="187" spans="1:1" s="129" customFormat="1">
      <c r="A187" s="128"/>
    </row>
    <row r="188" spans="1:1" s="129" customFormat="1">
      <c r="A188" s="128"/>
    </row>
    <row r="189" spans="1:1" s="129" customFormat="1">
      <c r="A189" s="128"/>
    </row>
    <row r="190" spans="1:1" s="129" customFormat="1">
      <c r="A190" s="128"/>
    </row>
    <row r="191" spans="1:1" s="129" customFormat="1">
      <c r="A191" s="128"/>
    </row>
    <row r="192" spans="1:1" s="129" customFormat="1">
      <c r="A192" s="128"/>
    </row>
    <row r="193" spans="1:1" s="129" customFormat="1">
      <c r="A193" s="128"/>
    </row>
    <row r="194" spans="1:1" s="129" customFormat="1">
      <c r="A194" s="128"/>
    </row>
    <row r="195" spans="1:1" s="129" customFormat="1">
      <c r="A195" s="128"/>
    </row>
    <row r="196" spans="1:1" s="129" customFormat="1">
      <c r="A196" s="128"/>
    </row>
    <row r="197" spans="1:1" s="129" customFormat="1">
      <c r="A197" s="128"/>
    </row>
    <row r="198" spans="1:1" s="129" customFormat="1">
      <c r="A198" s="128"/>
    </row>
    <row r="199" spans="1:1" s="129" customFormat="1">
      <c r="A199" s="128"/>
    </row>
    <row r="200" spans="1:1" s="129" customFormat="1">
      <c r="A200" s="128"/>
    </row>
    <row r="201" spans="1:1" s="129" customFormat="1">
      <c r="A201" s="128"/>
    </row>
    <row r="202" spans="1:1" s="129" customFormat="1">
      <c r="A202" s="128"/>
    </row>
    <row r="203" spans="1:1" s="129" customFormat="1">
      <c r="A203" s="128"/>
    </row>
    <row r="204" spans="1:1" s="129" customFormat="1">
      <c r="A204" s="128"/>
    </row>
    <row r="205" spans="1:1" s="129" customFormat="1">
      <c r="A205" s="128"/>
    </row>
    <row r="206" spans="1:1" s="129" customFormat="1">
      <c r="A206" s="128"/>
    </row>
    <row r="207" spans="1:1" s="129" customFormat="1">
      <c r="A207" s="128"/>
    </row>
    <row r="208" spans="1:1" s="129" customFormat="1">
      <c r="A208" s="128"/>
    </row>
    <row r="209" spans="1:1" s="129" customFormat="1">
      <c r="A209" s="128"/>
    </row>
    <row r="210" spans="1:1" s="129" customFormat="1">
      <c r="A210" s="128"/>
    </row>
    <row r="211" spans="1:1" s="129" customFormat="1">
      <c r="A211" s="128"/>
    </row>
    <row r="212" spans="1:1" s="129" customFormat="1">
      <c r="A212" s="128"/>
    </row>
    <row r="213" spans="1:1" s="129" customFormat="1">
      <c r="A213" s="128"/>
    </row>
    <row r="214" spans="1:1" s="129" customFormat="1">
      <c r="A214" s="128"/>
    </row>
    <row r="215" spans="1:1" s="129" customFormat="1">
      <c r="A215" s="128"/>
    </row>
    <row r="216" spans="1:1" s="129" customFormat="1">
      <c r="A216" s="128"/>
    </row>
    <row r="217" spans="1:1" s="129" customFormat="1">
      <c r="A217" s="128"/>
    </row>
    <row r="218" spans="1:1" s="129" customFormat="1">
      <c r="A218" s="128"/>
    </row>
    <row r="219" spans="1:1" s="129" customFormat="1">
      <c r="A219" s="128"/>
    </row>
    <row r="220" spans="1:1" s="129" customFormat="1">
      <c r="A220" s="128"/>
    </row>
    <row r="221" spans="1:1" s="129" customFormat="1">
      <c r="A221" s="128"/>
    </row>
    <row r="222" spans="1:1" s="129" customFormat="1">
      <c r="A222" s="128"/>
    </row>
    <row r="223" spans="1:1" s="129" customFormat="1">
      <c r="A223" s="128"/>
    </row>
    <row r="224" spans="1:1" s="129" customFormat="1">
      <c r="A224" s="128"/>
    </row>
    <row r="225" spans="1:1" s="129" customFormat="1">
      <c r="A225" s="128"/>
    </row>
    <row r="226" spans="1:1" s="129" customFormat="1">
      <c r="A226" s="128"/>
    </row>
    <row r="227" spans="1:1" s="129" customFormat="1">
      <c r="A227" s="128"/>
    </row>
    <row r="228" spans="1:1" s="129" customFormat="1">
      <c r="A228" s="128"/>
    </row>
    <row r="229" spans="1:1" s="129" customFormat="1">
      <c r="A229" s="128"/>
    </row>
    <row r="230" spans="1:1" s="129" customFormat="1">
      <c r="A230" s="128"/>
    </row>
    <row r="231" spans="1:1" s="129" customFormat="1">
      <c r="A231" s="128"/>
    </row>
    <row r="232" spans="1:1" s="129" customFormat="1">
      <c r="A232" s="128"/>
    </row>
    <row r="233" spans="1:1" s="129" customFormat="1">
      <c r="A233" s="128"/>
    </row>
    <row r="234" spans="1:1" s="129" customFormat="1">
      <c r="A234" s="128"/>
    </row>
    <row r="235" spans="1:1" s="129" customFormat="1">
      <c r="A235" s="128"/>
    </row>
    <row r="236" spans="1:1" s="129" customFormat="1">
      <c r="A236" s="128"/>
    </row>
    <row r="237" spans="1:1" s="129" customFormat="1">
      <c r="A237" s="128"/>
    </row>
    <row r="238" spans="1:1" s="129" customFormat="1">
      <c r="A238" s="128"/>
    </row>
    <row r="239" spans="1:1" s="129" customFormat="1">
      <c r="A239" s="128"/>
    </row>
    <row r="240" spans="1:1" s="129" customFormat="1">
      <c r="A240" s="128"/>
    </row>
    <row r="241" spans="1:1" s="129" customFormat="1">
      <c r="A241" s="128"/>
    </row>
    <row r="242" spans="1:1" s="129" customFormat="1">
      <c r="A242" s="128"/>
    </row>
    <row r="243" spans="1:1" s="129" customFormat="1">
      <c r="A243" s="128"/>
    </row>
    <row r="244" spans="1:1" s="129" customFormat="1">
      <c r="A244" s="128"/>
    </row>
    <row r="245" spans="1:1" s="129" customFormat="1">
      <c r="A245" s="128"/>
    </row>
    <row r="246" spans="1:1" s="129" customFormat="1">
      <c r="A246" s="128"/>
    </row>
    <row r="247" spans="1:1" s="129" customFormat="1">
      <c r="A247" s="128"/>
    </row>
    <row r="248" spans="1:1" s="129" customFormat="1">
      <c r="A248" s="128"/>
    </row>
    <row r="249" spans="1:1" s="129" customFormat="1">
      <c r="A249" s="128"/>
    </row>
    <row r="250" spans="1:1" s="129" customFormat="1">
      <c r="A250" s="128"/>
    </row>
    <row r="251" spans="1:1" s="129" customFormat="1">
      <c r="A251" s="128"/>
    </row>
    <row r="252" spans="1:1" s="129" customFormat="1">
      <c r="A252" s="128"/>
    </row>
    <row r="253" spans="1:1" s="129" customFormat="1">
      <c r="A253" s="128"/>
    </row>
    <row r="254" spans="1:1" s="129" customFormat="1">
      <c r="A254" s="128"/>
    </row>
    <row r="255" spans="1:1" s="129" customFormat="1">
      <c r="A255" s="128"/>
    </row>
    <row r="256" spans="1:1" s="129" customFormat="1">
      <c r="A256" s="128"/>
    </row>
    <row r="257" spans="1:1" s="129" customFormat="1">
      <c r="A257" s="128"/>
    </row>
    <row r="258" spans="1:1" s="129" customFormat="1">
      <c r="A258" s="128"/>
    </row>
    <row r="259" spans="1:1" s="129" customFormat="1">
      <c r="A259" s="128"/>
    </row>
    <row r="260" spans="1:1" s="129" customFormat="1">
      <c r="A260" s="128"/>
    </row>
    <row r="261" spans="1:1" s="129" customFormat="1">
      <c r="A261" s="128"/>
    </row>
    <row r="262" spans="1:1" s="129" customFormat="1">
      <c r="A262" s="128"/>
    </row>
    <row r="263" spans="1:1" s="129" customFormat="1">
      <c r="A263" s="128"/>
    </row>
    <row r="264" spans="1:1" s="129" customFormat="1">
      <c r="A264" s="128"/>
    </row>
    <row r="265" spans="1:1" s="129" customFormat="1">
      <c r="A265" s="128"/>
    </row>
    <row r="266" spans="1:1" s="129" customFormat="1">
      <c r="A266" s="128"/>
    </row>
    <row r="267" spans="1:1" s="129" customFormat="1">
      <c r="A267" s="128"/>
    </row>
    <row r="268" spans="1:1" s="129" customFormat="1">
      <c r="A268" s="128"/>
    </row>
    <row r="269" spans="1:1" s="129" customFormat="1">
      <c r="A269" s="128"/>
    </row>
    <row r="270" spans="1:1" s="129" customFormat="1">
      <c r="A270" s="128"/>
    </row>
    <row r="271" spans="1:1" s="129" customFormat="1">
      <c r="A271" s="128"/>
    </row>
    <row r="272" spans="1:1" s="129" customFormat="1">
      <c r="A272" s="128"/>
    </row>
    <row r="273" spans="1:1" s="129" customFormat="1">
      <c r="A273" s="128"/>
    </row>
    <row r="274" spans="1:1" s="129" customFormat="1">
      <c r="A274" s="128"/>
    </row>
    <row r="275" spans="1:1" s="129" customFormat="1">
      <c r="A275" s="128"/>
    </row>
    <row r="276" spans="1:1" s="129" customFormat="1">
      <c r="A276" s="128"/>
    </row>
    <row r="277" spans="1:1" s="129" customFormat="1">
      <c r="A277" s="128"/>
    </row>
    <row r="278" spans="1:1" s="129" customFormat="1">
      <c r="A278" s="128"/>
    </row>
    <row r="279" spans="1:1" s="129" customFormat="1">
      <c r="A279" s="128"/>
    </row>
    <row r="280" spans="1:1" s="129" customFormat="1">
      <c r="A280" s="128"/>
    </row>
    <row r="281" spans="1:1" s="129" customFormat="1">
      <c r="A281" s="128"/>
    </row>
    <row r="282" spans="1:1" s="129" customFormat="1">
      <c r="A282" s="128"/>
    </row>
    <row r="283" spans="1:1" s="129" customFormat="1">
      <c r="A283" s="128"/>
    </row>
    <row r="284" spans="1:1" s="129" customFormat="1">
      <c r="A284" s="128"/>
    </row>
    <row r="285" spans="1:1" s="129" customFormat="1">
      <c r="A285" s="128"/>
    </row>
    <row r="286" spans="1:1" s="129" customFormat="1">
      <c r="A286" s="128"/>
    </row>
    <row r="287" spans="1:1" s="129" customFormat="1">
      <c r="A287" s="128"/>
    </row>
    <row r="288" spans="1:1" s="129" customFormat="1">
      <c r="A288" s="128"/>
    </row>
    <row r="289" spans="1:1" s="129" customFormat="1">
      <c r="A289" s="128"/>
    </row>
    <row r="290" spans="1:1" s="129" customFormat="1">
      <c r="A290" s="128"/>
    </row>
    <row r="291" spans="1:1" s="129" customFormat="1">
      <c r="A291" s="128"/>
    </row>
    <row r="292" spans="1:1" s="129" customFormat="1">
      <c r="A292" s="128"/>
    </row>
    <row r="293" spans="1:1" s="129" customFormat="1">
      <c r="A293" s="128"/>
    </row>
    <row r="294" spans="1:1" s="129" customFormat="1">
      <c r="A294" s="128"/>
    </row>
    <row r="295" spans="1:1" s="129" customFormat="1">
      <c r="A295" s="128"/>
    </row>
    <row r="296" spans="1:1" s="129" customFormat="1">
      <c r="A296" s="128"/>
    </row>
    <row r="297" spans="1:1" s="129" customFormat="1">
      <c r="A297" s="128"/>
    </row>
    <row r="298" spans="1:1" s="129" customFormat="1">
      <c r="A298" s="128"/>
    </row>
    <row r="299" spans="1:1" s="129" customFormat="1">
      <c r="A299" s="128"/>
    </row>
    <row r="300" spans="1:1" s="129" customFormat="1">
      <c r="A300" s="128"/>
    </row>
    <row r="301" spans="1:1" s="129" customFormat="1">
      <c r="A301" s="128"/>
    </row>
    <row r="302" spans="1:1" s="129" customFormat="1">
      <c r="A302" s="128"/>
    </row>
    <row r="303" spans="1:1" s="129" customFormat="1">
      <c r="A303" s="128"/>
    </row>
    <row r="304" spans="1:1" s="129" customFormat="1">
      <c r="A304" s="128"/>
    </row>
    <row r="305" spans="1:1" s="129" customFormat="1">
      <c r="A305" s="128"/>
    </row>
    <row r="306" spans="1:1" s="129" customFormat="1">
      <c r="A306" s="128"/>
    </row>
    <row r="307" spans="1:1" s="129" customFormat="1">
      <c r="A307" s="128"/>
    </row>
    <row r="308" spans="1:1" s="129" customFormat="1">
      <c r="A308" s="128"/>
    </row>
    <row r="309" spans="1:1" s="129" customFormat="1">
      <c r="A309" s="128"/>
    </row>
    <row r="310" spans="1:1" s="129" customFormat="1">
      <c r="A310" s="128"/>
    </row>
    <row r="311" spans="1:1" s="129" customFormat="1">
      <c r="A311" s="128"/>
    </row>
    <row r="312" spans="1:1" s="129" customFormat="1">
      <c r="A312" s="128"/>
    </row>
    <row r="313" spans="1:1" s="129" customFormat="1">
      <c r="A313" s="128"/>
    </row>
    <row r="314" spans="1:1" s="129" customFormat="1">
      <c r="A314" s="128"/>
    </row>
    <row r="315" spans="1:1" s="129" customFormat="1">
      <c r="A315" s="128"/>
    </row>
    <row r="316" spans="1:1" s="129" customFormat="1">
      <c r="A316" s="128"/>
    </row>
    <row r="317" spans="1:1" s="129" customFormat="1">
      <c r="A317" s="128"/>
    </row>
    <row r="318" spans="1:1" s="129" customFormat="1">
      <c r="A318" s="128"/>
    </row>
    <row r="319" spans="1:1" s="129" customFormat="1">
      <c r="A319" s="128"/>
    </row>
    <row r="320" spans="1:1" s="129" customFormat="1">
      <c r="A320" s="128"/>
    </row>
    <row r="321" spans="1:1" s="129" customFormat="1">
      <c r="A321" s="128"/>
    </row>
    <row r="322" spans="1:1" s="129" customFormat="1">
      <c r="A322" s="128"/>
    </row>
    <row r="323" spans="1:1" s="129" customFormat="1">
      <c r="A323" s="128"/>
    </row>
    <row r="324" spans="1:1" s="129" customFormat="1">
      <c r="A324" s="128"/>
    </row>
    <row r="325" spans="1:1" s="129" customFormat="1">
      <c r="A325" s="128"/>
    </row>
    <row r="326" spans="1:1" s="129" customFormat="1">
      <c r="A326" s="128"/>
    </row>
    <row r="327" spans="1:1" s="129" customFormat="1">
      <c r="A327" s="128"/>
    </row>
    <row r="328" spans="1:1" s="129" customFormat="1">
      <c r="A328" s="128"/>
    </row>
    <row r="329" spans="1:1" s="129" customFormat="1">
      <c r="A329" s="128"/>
    </row>
    <row r="330" spans="1:1" s="129" customFormat="1">
      <c r="A330" s="128"/>
    </row>
    <row r="331" spans="1:1" s="129" customFormat="1">
      <c r="A331" s="128"/>
    </row>
    <row r="332" spans="1:1" s="129" customFormat="1">
      <c r="A332" s="128"/>
    </row>
    <row r="333" spans="1:1" s="129" customFormat="1">
      <c r="A333" s="128"/>
    </row>
    <row r="334" spans="1:1" s="129" customFormat="1">
      <c r="A334" s="128"/>
    </row>
    <row r="335" spans="1:1" s="129" customFormat="1">
      <c r="A335" s="128"/>
    </row>
    <row r="336" spans="1:1" s="129" customFormat="1">
      <c r="A336" s="128"/>
    </row>
    <row r="337" spans="1:1" s="129" customFormat="1">
      <c r="A337" s="128"/>
    </row>
    <row r="338" spans="1:1" s="129" customFormat="1">
      <c r="A338" s="128"/>
    </row>
    <row r="339" spans="1:1" s="129" customFormat="1">
      <c r="A339" s="128"/>
    </row>
    <row r="340" spans="1:1" s="129" customFormat="1">
      <c r="A340" s="128"/>
    </row>
    <row r="341" spans="1:1" s="129" customFormat="1">
      <c r="A341" s="128"/>
    </row>
    <row r="342" spans="1:1" s="129" customFormat="1">
      <c r="A342" s="128"/>
    </row>
    <row r="343" spans="1:1" s="129" customFormat="1">
      <c r="A343" s="128"/>
    </row>
    <row r="344" spans="1:1" s="129" customFormat="1">
      <c r="A344" s="128"/>
    </row>
    <row r="345" spans="1:1" s="129" customFormat="1">
      <c r="A345" s="128"/>
    </row>
    <row r="346" spans="1:1" s="129" customFormat="1">
      <c r="A346" s="128"/>
    </row>
    <row r="347" spans="1:1" s="129" customFormat="1">
      <c r="A347" s="128"/>
    </row>
    <row r="348" spans="1:1" s="129" customFormat="1">
      <c r="A348" s="128"/>
    </row>
    <row r="349" spans="1:1" s="129" customFormat="1">
      <c r="A349" s="128"/>
    </row>
    <row r="350" spans="1:1" s="129" customFormat="1">
      <c r="A350" s="128"/>
    </row>
    <row r="351" spans="1:1" s="129" customFormat="1">
      <c r="A351" s="128"/>
    </row>
    <row r="352" spans="1:1" s="129" customFormat="1">
      <c r="A352" s="128"/>
    </row>
    <row r="353" spans="1:1" s="129" customFormat="1">
      <c r="A353" s="128"/>
    </row>
    <row r="354" spans="1:1" s="129" customFormat="1">
      <c r="A354" s="128"/>
    </row>
    <row r="355" spans="1:1" s="129" customFormat="1">
      <c r="A355" s="128"/>
    </row>
    <row r="356" spans="1:1" s="129" customFormat="1">
      <c r="A356" s="128"/>
    </row>
    <row r="357" spans="1:1" s="129" customFormat="1">
      <c r="A357" s="128"/>
    </row>
    <row r="358" spans="1:1" s="129" customFormat="1">
      <c r="A358" s="128"/>
    </row>
    <row r="359" spans="1:1" s="129" customFormat="1">
      <c r="A359" s="128"/>
    </row>
    <row r="360" spans="1:1" s="129" customFormat="1">
      <c r="A360" s="128"/>
    </row>
    <row r="361" spans="1:1" s="129" customFormat="1">
      <c r="A361" s="128"/>
    </row>
    <row r="362" spans="1:1" s="129" customFormat="1">
      <c r="A362" s="128"/>
    </row>
    <row r="363" spans="1:1" s="129" customFormat="1">
      <c r="A363" s="128"/>
    </row>
    <row r="364" spans="1:1" s="129" customFormat="1">
      <c r="A364" s="128"/>
    </row>
    <row r="365" spans="1:1" s="129" customFormat="1">
      <c r="A365" s="128"/>
    </row>
    <row r="366" spans="1:1" s="129" customFormat="1">
      <c r="A366" s="128"/>
    </row>
    <row r="367" spans="1:1" s="129" customFormat="1">
      <c r="A367" s="128"/>
    </row>
    <row r="368" spans="1:1" s="129" customFormat="1">
      <c r="A368" s="128"/>
    </row>
    <row r="369" spans="1:1" s="129" customFormat="1">
      <c r="A369" s="128"/>
    </row>
    <row r="370" spans="1:1" s="129" customFormat="1">
      <c r="A370" s="128"/>
    </row>
    <row r="371" spans="1:1" s="129" customFormat="1">
      <c r="A371" s="128"/>
    </row>
    <row r="372" spans="1:1" s="129" customFormat="1">
      <c r="A372" s="128"/>
    </row>
    <row r="373" spans="1:1" s="129" customFormat="1">
      <c r="A373" s="128"/>
    </row>
    <row r="374" spans="1:1" s="129" customFormat="1">
      <c r="A374" s="128"/>
    </row>
    <row r="375" spans="1:1" s="129" customFormat="1">
      <c r="A375" s="128"/>
    </row>
    <row r="376" spans="1:1" s="129" customFormat="1">
      <c r="A376" s="128"/>
    </row>
    <row r="377" spans="1:1" s="129" customFormat="1">
      <c r="A377" s="128"/>
    </row>
    <row r="378" spans="1:1" s="129" customFormat="1">
      <c r="A378" s="128"/>
    </row>
    <row r="379" spans="1:1" s="129" customFormat="1">
      <c r="A379" s="128"/>
    </row>
    <row r="380" spans="1:1" s="129" customFormat="1">
      <c r="A380" s="128"/>
    </row>
    <row r="381" spans="1:1" s="129" customFormat="1">
      <c r="A381" s="128"/>
    </row>
    <row r="382" spans="1:1" s="129" customFormat="1">
      <c r="A382" s="128"/>
    </row>
    <row r="383" spans="1:1" s="129" customFormat="1">
      <c r="A383" s="128"/>
    </row>
    <row r="384" spans="1:1" s="129" customFormat="1">
      <c r="A384" s="128"/>
    </row>
    <row r="385" spans="1:1" s="129" customFormat="1">
      <c r="A385" s="128"/>
    </row>
    <row r="386" spans="1:1" s="129" customFormat="1">
      <c r="A386" s="128"/>
    </row>
    <row r="387" spans="1:1" s="129" customFormat="1">
      <c r="A387" s="128"/>
    </row>
    <row r="388" spans="1:1" s="129" customFormat="1">
      <c r="A388" s="128"/>
    </row>
    <row r="389" spans="1:1" s="129" customFormat="1">
      <c r="A389" s="128"/>
    </row>
    <row r="390" spans="1:1" s="129" customFormat="1">
      <c r="A390" s="128"/>
    </row>
    <row r="391" spans="1:1" s="129" customFormat="1">
      <c r="A391" s="128"/>
    </row>
    <row r="392" spans="1:1" s="129" customFormat="1">
      <c r="A392" s="128"/>
    </row>
    <row r="393" spans="1:1" s="129" customFormat="1">
      <c r="A393" s="128"/>
    </row>
    <row r="394" spans="1:1" s="129" customFormat="1">
      <c r="A394" s="128"/>
    </row>
    <row r="395" spans="1:1" s="129" customFormat="1">
      <c r="A395" s="128"/>
    </row>
    <row r="396" spans="1:1" s="129" customFormat="1">
      <c r="A396" s="128"/>
    </row>
    <row r="397" spans="1:1" s="129" customFormat="1">
      <c r="A397" s="128"/>
    </row>
    <row r="398" spans="1:1" s="129" customFormat="1">
      <c r="A398" s="128"/>
    </row>
    <row r="399" spans="1:1" s="129" customFormat="1">
      <c r="A399" s="128"/>
    </row>
    <row r="400" spans="1:1" s="129" customFormat="1">
      <c r="A400" s="128"/>
    </row>
    <row r="401" spans="1:1" s="129" customFormat="1">
      <c r="A401" s="128"/>
    </row>
    <row r="402" spans="1:1" s="129" customFormat="1">
      <c r="A402" s="128"/>
    </row>
    <row r="403" spans="1:1" s="129" customFormat="1">
      <c r="A403" s="128"/>
    </row>
    <row r="404" spans="1:1" s="129" customFormat="1">
      <c r="A404" s="128"/>
    </row>
    <row r="405" spans="1:1" s="129" customFormat="1">
      <c r="A405" s="128"/>
    </row>
    <row r="406" spans="1:1" s="129" customFormat="1">
      <c r="A406" s="128"/>
    </row>
    <row r="407" spans="1:1" s="129" customFormat="1">
      <c r="A407" s="128"/>
    </row>
    <row r="408" spans="1:1" s="129" customFormat="1">
      <c r="A408" s="128"/>
    </row>
    <row r="409" spans="1:1" s="129" customFormat="1">
      <c r="A409" s="128"/>
    </row>
    <row r="410" spans="1:1" s="129" customFormat="1">
      <c r="A410" s="128"/>
    </row>
    <row r="411" spans="1:1" s="129" customFormat="1">
      <c r="A411" s="128"/>
    </row>
    <row r="412" spans="1:1" s="129" customFormat="1">
      <c r="A412" s="128"/>
    </row>
    <row r="413" spans="1:1" s="129" customFormat="1">
      <c r="A413" s="128"/>
    </row>
    <row r="414" spans="1:1" s="129" customFormat="1">
      <c r="A414" s="128"/>
    </row>
    <row r="415" spans="1:1" s="129" customFormat="1">
      <c r="A415" s="128"/>
    </row>
    <row r="416" spans="1:1" s="129" customFormat="1">
      <c r="A416" s="128"/>
    </row>
    <row r="417" spans="1:1" s="129" customFormat="1">
      <c r="A417" s="128"/>
    </row>
    <row r="418" spans="1:1" s="129" customFormat="1">
      <c r="A418" s="128"/>
    </row>
    <row r="419" spans="1:1" s="129" customFormat="1">
      <c r="A419" s="128"/>
    </row>
    <row r="420" spans="1:1" s="129" customFormat="1">
      <c r="A420" s="128"/>
    </row>
    <row r="421" spans="1:1" s="129" customFormat="1">
      <c r="A421" s="128"/>
    </row>
    <row r="422" spans="1:1" s="129" customFormat="1">
      <c r="A422" s="128"/>
    </row>
    <row r="423" spans="1:1" s="129" customFormat="1">
      <c r="A423" s="128"/>
    </row>
    <row r="424" spans="1:1" s="129" customFormat="1">
      <c r="A424" s="128"/>
    </row>
    <row r="425" spans="1:1" s="129" customFormat="1">
      <c r="A425" s="128"/>
    </row>
    <row r="426" spans="1:1" s="129" customFormat="1">
      <c r="A426" s="128"/>
    </row>
    <row r="427" spans="1:1" s="129" customFormat="1">
      <c r="A427" s="128"/>
    </row>
    <row r="428" spans="1:1" s="129" customFormat="1">
      <c r="A428" s="128"/>
    </row>
    <row r="429" spans="1:1" s="129" customFormat="1">
      <c r="A429" s="128"/>
    </row>
    <row r="430" spans="1:1" s="129" customFormat="1">
      <c r="A430" s="128"/>
    </row>
    <row r="431" spans="1:1" s="129" customFormat="1">
      <c r="A431" s="128"/>
    </row>
    <row r="432" spans="1:1" s="129" customFormat="1">
      <c r="A432" s="128"/>
    </row>
    <row r="433" spans="1:1" s="129" customFormat="1">
      <c r="A433" s="128"/>
    </row>
    <row r="434" spans="1:1" s="129" customFormat="1">
      <c r="A434" s="128"/>
    </row>
  </sheetData>
  <mergeCells count="6">
    <mergeCell ref="B1:F1"/>
    <mergeCell ref="B2:F2"/>
    <mergeCell ref="B7:C7"/>
    <mergeCell ref="E7:F7"/>
    <mergeCell ref="E8:F8"/>
    <mergeCell ref="B4:F5"/>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D271-1D16-4BCD-98D2-043C91282B6F}">
  <sheetPr codeName="Hoja13">
    <tabColor rgb="FF75F04A"/>
  </sheetPr>
  <dimension ref="A1:AV52"/>
  <sheetViews>
    <sheetView workbookViewId="0">
      <selection activeCell="AS6" sqref="AS6"/>
    </sheetView>
  </sheetViews>
  <sheetFormatPr baseColWidth="10" defaultRowHeight="14.4"/>
  <cols>
    <col min="1" max="1" width="11.44140625" style="63"/>
    <col min="2" max="2" width="13" customWidth="1"/>
    <col min="4" max="4" width="15.6640625" customWidth="1"/>
    <col min="5" max="5" width="13.88671875" customWidth="1"/>
    <col min="7" max="7" width="15.6640625" bestFit="1" customWidth="1"/>
    <col min="8" max="8" width="14.88671875" customWidth="1"/>
    <col min="9" max="9" width="15.6640625" bestFit="1" customWidth="1"/>
    <col min="10" max="10" width="21.33203125" customWidth="1"/>
    <col min="11" max="11" width="13.109375" bestFit="1" customWidth="1"/>
    <col min="12" max="12" width="19.109375" customWidth="1"/>
    <col min="13" max="13" width="13" bestFit="1" customWidth="1"/>
    <col min="14" max="14" width="19.5546875" customWidth="1"/>
    <col min="15" max="15" width="15.44140625" customWidth="1"/>
    <col min="16" max="16" width="23.44140625" customWidth="1"/>
    <col min="17" max="17" width="24.5546875" customWidth="1"/>
    <col min="18" max="18" width="20.109375" customWidth="1"/>
    <col min="19" max="19" width="13.5546875" customWidth="1"/>
    <col min="20" max="20" width="16" customWidth="1"/>
    <col min="21" max="21" width="17.44140625" customWidth="1"/>
    <col min="22" max="24" width="13" bestFit="1" customWidth="1"/>
    <col min="25" max="25" width="12.88671875" customWidth="1"/>
    <col min="26" max="26" width="21" customWidth="1"/>
    <col min="27" max="27" width="12" customWidth="1"/>
    <col min="28" max="28" width="14.6640625" customWidth="1"/>
    <col min="29" max="29" width="11.5546875" bestFit="1" customWidth="1"/>
    <col min="30" max="30" width="19" customWidth="1"/>
    <col min="31" max="31" width="16.109375" customWidth="1"/>
    <col min="32" max="32" width="18.44140625" customWidth="1"/>
    <col min="33" max="33" width="20.44140625" customWidth="1"/>
    <col min="34" max="34" width="17.109375" customWidth="1"/>
    <col min="35" max="35" width="17.88671875" customWidth="1"/>
    <col min="36" max="36" width="17.44140625" customWidth="1"/>
    <col min="37" max="37" width="31.44140625" customWidth="1"/>
    <col min="38" max="38" width="21.33203125" customWidth="1"/>
    <col min="39" max="39" width="34.5546875" customWidth="1"/>
    <col min="40" max="40" width="29.44140625" customWidth="1"/>
    <col min="41" max="41" width="22.6640625" customWidth="1"/>
    <col min="43" max="43" width="12" bestFit="1" customWidth="1"/>
  </cols>
  <sheetData>
    <row r="1" spans="1:48" ht="36">
      <c r="A1" s="276" t="s">
        <v>84</v>
      </c>
      <c r="B1" s="276" t="s">
        <v>85</v>
      </c>
      <c r="C1" s="276" t="s">
        <v>67</v>
      </c>
      <c r="D1" s="277" t="s">
        <v>116</v>
      </c>
      <c r="E1" s="278" t="s">
        <v>88</v>
      </c>
      <c r="F1" s="279" t="s">
        <v>117</v>
      </c>
      <c r="G1" s="280" t="s">
        <v>118</v>
      </c>
      <c r="H1" s="281" t="s">
        <v>119</v>
      </c>
      <c r="I1" s="281" t="s">
        <v>120</v>
      </c>
      <c r="J1" s="282" t="s">
        <v>12</v>
      </c>
      <c r="K1" s="282" t="s">
        <v>121</v>
      </c>
      <c r="L1" s="282" t="s">
        <v>91</v>
      </c>
      <c r="M1" s="282" t="s">
        <v>92</v>
      </c>
      <c r="N1" s="282" t="s">
        <v>93</v>
      </c>
      <c r="O1" s="282" t="s">
        <v>94</v>
      </c>
      <c r="P1" s="282" t="s">
        <v>95</v>
      </c>
      <c r="Q1" s="282" t="s">
        <v>96</v>
      </c>
      <c r="R1" s="282" t="s">
        <v>122</v>
      </c>
      <c r="S1" s="282" t="s">
        <v>123</v>
      </c>
      <c r="T1" s="282" t="s">
        <v>99</v>
      </c>
      <c r="U1" s="282" t="s">
        <v>124</v>
      </c>
      <c r="V1" s="282" t="s">
        <v>125</v>
      </c>
      <c r="W1" s="282" t="s">
        <v>126</v>
      </c>
      <c r="X1" s="282" t="s">
        <v>127</v>
      </c>
      <c r="Y1" s="282" t="s">
        <v>128</v>
      </c>
      <c r="Z1" s="282" t="s">
        <v>100</v>
      </c>
      <c r="AA1" s="282" t="s">
        <v>101</v>
      </c>
      <c r="AB1" s="282" t="s">
        <v>102</v>
      </c>
      <c r="AC1" s="282" t="s">
        <v>103</v>
      </c>
      <c r="AD1" s="282" t="s">
        <v>129</v>
      </c>
      <c r="AE1" s="282" t="s">
        <v>130</v>
      </c>
      <c r="AF1" s="283" t="s">
        <v>282</v>
      </c>
      <c r="AG1" s="283" t="s">
        <v>283</v>
      </c>
      <c r="AH1" s="283" t="s">
        <v>284</v>
      </c>
      <c r="AI1" s="283" t="s">
        <v>285</v>
      </c>
      <c r="AJ1" s="283" t="s">
        <v>286</v>
      </c>
      <c r="AK1" s="283" t="s">
        <v>296</v>
      </c>
      <c r="AL1" s="283" t="s">
        <v>287</v>
      </c>
      <c r="AM1" s="283" t="s">
        <v>288</v>
      </c>
      <c r="AN1" s="283" t="s">
        <v>289</v>
      </c>
      <c r="AO1" s="283" t="s">
        <v>290</v>
      </c>
      <c r="AP1" s="283" t="s">
        <v>291</v>
      </c>
      <c r="AQ1" s="291" t="s">
        <v>297</v>
      </c>
    </row>
    <row r="2" spans="1:48">
      <c r="A2" s="284">
        <f>NÓMINA!B10</f>
        <v>1</v>
      </c>
      <c r="B2" s="285" t="str">
        <f>NÓMINA!C10</f>
        <v>DISNERIS AVEMARIA</v>
      </c>
      <c r="C2" s="285" t="str">
        <f>NÓMINA!D10</f>
        <v>Operario de máquinas</v>
      </c>
      <c r="D2" s="286">
        <f>NÓMINA!E10</f>
        <v>1300000</v>
      </c>
      <c r="E2" s="285">
        <f>NÓMINA!F10</f>
        <v>0</v>
      </c>
      <c r="F2" s="285">
        <f>NÓMINA!G10</f>
        <v>30</v>
      </c>
      <c r="G2" s="287">
        <f>NÓMINA!H10</f>
        <v>1300000</v>
      </c>
      <c r="H2" s="287">
        <f>NÓMINA!I10</f>
        <v>0</v>
      </c>
      <c r="I2" s="287">
        <f>NÓMINA!J10</f>
        <v>1300000</v>
      </c>
      <c r="J2" s="287">
        <f>NÓMINA!K10</f>
        <v>162000</v>
      </c>
      <c r="K2" s="287">
        <f>NÓMINA!L10</f>
        <v>0</v>
      </c>
      <c r="L2" s="287">
        <f>NÓMINA!M10</f>
        <v>0</v>
      </c>
      <c r="M2" s="287">
        <f>NÓMINA!N10</f>
        <v>0</v>
      </c>
      <c r="N2" s="287">
        <f>NÓMINA!O10</f>
        <v>0</v>
      </c>
      <c r="O2" s="287">
        <f>NÓMINA!P10</f>
        <v>0</v>
      </c>
      <c r="P2" s="287">
        <f>NÓMINA!Q10</f>
        <v>0</v>
      </c>
      <c r="Q2" s="287">
        <f>NÓMINA!R10</f>
        <v>0</v>
      </c>
      <c r="R2" s="287">
        <f>NÓMINA!S10</f>
        <v>0</v>
      </c>
      <c r="S2" s="287">
        <f>NÓMINA!T10</f>
        <v>0</v>
      </c>
      <c r="T2" s="287">
        <f>NÓMINA!U10</f>
        <v>0</v>
      </c>
      <c r="U2" s="287">
        <f>NÓMINA!V10</f>
        <v>1462000</v>
      </c>
      <c r="V2" s="287">
        <f>NÓMINA!W10</f>
        <v>52000</v>
      </c>
      <c r="W2" s="287">
        <f>NÓMINA!X10</f>
        <v>52000</v>
      </c>
      <c r="X2" s="287">
        <f>NÓMINA!Y10</f>
        <v>0</v>
      </c>
      <c r="Y2" s="287">
        <f>NÓMINA!Z10</f>
        <v>0</v>
      </c>
      <c r="Z2" s="287">
        <f>NÓMINA!AA10</f>
        <v>0</v>
      </c>
      <c r="AA2" s="287">
        <f>NÓMINA!AB10</f>
        <v>0</v>
      </c>
      <c r="AB2" s="287">
        <f>NÓMINA!AC10</f>
        <v>0</v>
      </c>
      <c r="AC2" s="287">
        <f>NÓMINA!AD10</f>
        <v>0</v>
      </c>
      <c r="AD2" s="287">
        <f>NÓMINA!AE10</f>
        <v>104000</v>
      </c>
      <c r="AE2" s="287">
        <f>NÓMINA!AF10</f>
        <v>1358000</v>
      </c>
      <c r="AF2" s="287">
        <f>PARAFISCALES!F10</f>
        <v>0</v>
      </c>
      <c r="AG2" s="287">
        <f>PARAFISCALES!G10</f>
        <v>156000</v>
      </c>
      <c r="AH2" s="287">
        <f>PARAFISCALES!H10</f>
        <v>6786</v>
      </c>
      <c r="AI2" s="287">
        <f>PARAFISCALES!I10</f>
        <v>0</v>
      </c>
      <c r="AJ2" s="287">
        <f>PARAFISCALES!J10</f>
        <v>0</v>
      </c>
      <c r="AK2" s="287">
        <f>SUM(Tabla12[[#This Row],[Parafiscales Salud]:[Parafiscales ICBF]])</f>
        <v>162786</v>
      </c>
      <c r="AL2" s="287">
        <f>PARAFISCALES!K10</f>
        <v>52000</v>
      </c>
      <c r="AM2" s="287">
        <f>PROVISIONES!E11</f>
        <v>108290</v>
      </c>
      <c r="AN2" s="287">
        <f>PROVISIONES!F11</f>
        <v>13000</v>
      </c>
      <c r="AO2" s="287">
        <f>PROVISIONES!G11</f>
        <v>108290</v>
      </c>
      <c r="AP2" s="287">
        <f>PROVISIONES!H11</f>
        <v>54210</v>
      </c>
      <c r="AQ2" s="290">
        <f>SUM(Tabla12[[#This Row],[Provisiones Cesantias]:[Provisiones Vacaciones]])</f>
        <v>283790</v>
      </c>
      <c r="AR2" s="285"/>
      <c r="AS2" s="285"/>
      <c r="AT2" s="285"/>
      <c r="AU2" s="285"/>
      <c r="AV2" s="285"/>
    </row>
    <row r="3" spans="1:48">
      <c r="A3" s="284">
        <f>NÓMINA!B11</f>
        <v>2</v>
      </c>
      <c r="B3" s="285" t="str">
        <f>NÓMINA!C11</f>
        <v>YILIMAR</v>
      </c>
      <c r="C3" s="285" t="str">
        <f>NÓMINA!D11</f>
        <v>Supervisor</v>
      </c>
      <c r="D3" s="286">
        <f>NÓMINA!E11</f>
        <v>1850000</v>
      </c>
      <c r="E3" s="285">
        <f>NÓMINA!F11</f>
        <v>0</v>
      </c>
      <c r="F3" s="285">
        <f>NÓMINA!G11</f>
        <v>30</v>
      </c>
      <c r="G3" s="287">
        <f>NÓMINA!H11</f>
        <v>1850000</v>
      </c>
      <c r="H3" s="287">
        <f>NÓMINA!I11</f>
        <v>0</v>
      </c>
      <c r="I3" s="287">
        <f>NÓMINA!J11</f>
        <v>1850000</v>
      </c>
      <c r="J3" s="287">
        <f>NÓMINA!K11</f>
        <v>162000</v>
      </c>
      <c r="K3" s="287">
        <f>NÓMINA!L11</f>
        <v>0</v>
      </c>
      <c r="L3" s="287">
        <f>NÓMINA!M11</f>
        <v>0</v>
      </c>
      <c r="M3" s="287">
        <f>NÓMINA!N11</f>
        <v>0</v>
      </c>
      <c r="N3" s="287">
        <f>NÓMINA!O11</f>
        <v>0</v>
      </c>
      <c r="O3" s="287">
        <f>NÓMINA!P11</f>
        <v>0</v>
      </c>
      <c r="P3" s="287">
        <f>NÓMINA!Q11</f>
        <v>0</v>
      </c>
      <c r="Q3" s="287">
        <f>NÓMINA!R11</f>
        <v>0</v>
      </c>
      <c r="R3" s="287">
        <f>NÓMINA!S11</f>
        <v>0</v>
      </c>
      <c r="S3" s="287">
        <f>NÓMINA!T11</f>
        <v>0</v>
      </c>
      <c r="T3" s="287">
        <f>NÓMINA!U11</f>
        <v>0</v>
      </c>
      <c r="U3" s="287">
        <f>NÓMINA!V11</f>
        <v>2012000</v>
      </c>
      <c r="V3" s="287">
        <f>NÓMINA!W11</f>
        <v>74000</v>
      </c>
      <c r="W3" s="287">
        <f>NÓMINA!X11</f>
        <v>74000</v>
      </c>
      <c r="X3" s="287">
        <f>NÓMINA!Y11</f>
        <v>0</v>
      </c>
      <c r="Y3" s="287">
        <f>NÓMINA!Z11</f>
        <v>0</v>
      </c>
      <c r="Z3" s="287">
        <f>NÓMINA!AA11</f>
        <v>0</v>
      </c>
      <c r="AA3" s="287">
        <f>NÓMINA!AB11</f>
        <v>0</v>
      </c>
      <c r="AB3" s="287">
        <f>NÓMINA!AC11</f>
        <v>0</v>
      </c>
      <c r="AC3" s="287">
        <f>NÓMINA!AD11</f>
        <v>0</v>
      </c>
      <c r="AD3" s="287">
        <f>NÓMINA!AE11</f>
        <v>148000</v>
      </c>
      <c r="AE3" s="287">
        <f>NÓMINA!AF11</f>
        <v>1864000</v>
      </c>
      <c r="AF3" s="287">
        <f>PARAFISCALES!F11</f>
        <v>0</v>
      </c>
      <c r="AG3" s="287">
        <f>PARAFISCALES!G11</f>
        <v>222000</v>
      </c>
      <c r="AH3" s="287">
        <f>PARAFISCALES!H11</f>
        <v>19314</v>
      </c>
      <c r="AI3" s="287">
        <f>PARAFISCALES!I11</f>
        <v>0</v>
      </c>
      <c r="AJ3" s="287">
        <f>PARAFISCALES!J11</f>
        <v>0</v>
      </c>
      <c r="AK3" s="287">
        <f>SUM(Tabla12[[#This Row],[Parafiscales Salud]:[Parafiscales ICBF]])</f>
        <v>241314</v>
      </c>
      <c r="AL3" s="287">
        <f>PARAFISCALES!K11</f>
        <v>74000</v>
      </c>
      <c r="AM3" s="287">
        <f>PROVISIONES!E12</f>
        <v>154105</v>
      </c>
      <c r="AN3" s="287">
        <f>PROVISIONES!F12</f>
        <v>18500</v>
      </c>
      <c r="AO3" s="287">
        <f>PROVISIONES!G12</f>
        <v>154105</v>
      </c>
      <c r="AP3" s="287">
        <f>PROVISIONES!H12</f>
        <v>77145</v>
      </c>
      <c r="AQ3" s="290">
        <f>SUM(Tabla12[[#This Row],[Provisiones Cesantias]:[Provisiones Vacaciones]])</f>
        <v>403855</v>
      </c>
      <c r="AR3" s="285"/>
      <c r="AS3" s="285"/>
      <c r="AT3" s="285"/>
      <c r="AU3" s="285"/>
      <c r="AV3" s="285"/>
    </row>
    <row r="4" spans="1:48">
      <c r="A4" s="284">
        <f>NÓMINA!B12</f>
        <v>3</v>
      </c>
      <c r="B4" s="285" t="str">
        <f>NÓMINA!C12</f>
        <v>SANDRA</v>
      </c>
      <c r="C4" s="285" t="str">
        <f>NÓMINA!D12</f>
        <v>Patinador</v>
      </c>
      <c r="D4" s="286">
        <f>NÓMINA!E12</f>
        <v>1600000</v>
      </c>
      <c r="E4" s="285">
        <f>NÓMINA!F12</f>
        <v>0</v>
      </c>
      <c r="F4" s="285">
        <f>NÓMINA!G12</f>
        <v>30</v>
      </c>
      <c r="G4" s="287">
        <f>NÓMINA!H12</f>
        <v>1600000</v>
      </c>
      <c r="H4" s="287">
        <f>NÓMINA!I12</f>
        <v>0</v>
      </c>
      <c r="I4" s="287">
        <f>NÓMINA!J12</f>
        <v>1600000</v>
      </c>
      <c r="J4" s="287">
        <f>NÓMINA!K12</f>
        <v>162000</v>
      </c>
      <c r="K4" s="287">
        <f>NÓMINA!L12</f>
        <v>0</v>
      </c>
      <c r="L4" s="287">
        <f>NÓMINA!M12</f>
        <v>0</v>
      </c>
      <c r="M4" s="287">
        <f>NÓMINA!N12</f>
        <v>0</v>
      </c>
      <c r="N4" s="287">
        <f>NÓMINA!O12</f>
        <v>0</v>
      </c>
      <c r="O4" s="287">
        <f>NÓMINA!P12</f>
        <v>0</v>
      </c>
      <c r="P4" s="287">
        <f>NÓMINA!Q12</f>
        <v>0</v>
      </c>
      <c r="Q4" s="287">
        <f>NÓMINA!R12</f>
        <v>0</v>
      </c>
      <c r="R4" s="287">
        <f>NÓMINA!S12</f>
        <v>0</v>
      </c>
      <c r="S4" s="287">
        <f>NÓMINA!T12</f>
        <v>0</v>
      </c>
      <c r="T4" s="287">
        <f>NÓMINA!U12</f>
        <v>0</v>
      </c>
      <c r="U4" s="287">
        <f>NÓMINA!V12</f>
        <v>1762000</v>
      </c>
      <c r="V4" s="287">
        <f>NÓMINA!W12</f>
        <v>64000</v>
      </c>
      <c r="W4" s="287">
        <f>NÓMINA!X12</f>
        <v>64000</v>
      </c>
      <c r="X4" s="287">
        <f>NÓMINA!Y12</f>
        <v>0</v>
      </c>
      <c r="Y4" s="287">
        <f>NÓMINA!Z12</f>
        <v>0</v>
      </c>
      <c r="Z4" s="287">
        <f>NÓMINA!AA12</f>
        <v>0</v>
      </c>
      <c r="AA4" s="287">
        <f>NÓMINA!AB12</f>
        <v>0</v>
      </c>
      <c r="AB4" s="287">
        <f>NÓMINA!AC12</f>
        <v>0</v>
      </c>
      <c r="AC4" s="287">
        <f>NÓMINA!AD12</f>
        <v>0</v>
      </c>
      <c r="AD4" s="287">
        <f>NÓMINA!AE12</f>
        <v>128000</v>
      </c>
      <c r="AE4" s="287">
        <f>NÓMINA!AF12</f>
        <v>1634000</v>
      </c>
      <c r="AF4" s="287">
        <f>PARAFISCALES!F12</f>
        <v>0</v>
      </c>
      <c r="AG4" s="287">
        <f>PARAFISCALES!G12</f>
        <v>192000</v>
      </c>
      <c r="AH4" s="287">
        <f>PARAFISCALES!H12</f>
        <v>8352</v>
      </c>
      <c r="AI4" s="287">
        <f>PARAFISCALES!I12</f>
        <v>0</v>
      </c>
      <c r="AJ4" s="287">
        <f>PARAFISCALES!J12</f>
        <v>0</v>
      </c>
      <c r="AK4" s="287">
        <f>SUM(Tabla12[[#This Row],[Parafiscales Salud]:[Parafiscales ICBF]])</f>
        <v>200352</v>
      </c>
      <c r="AL4" s="287">
        <f>PARAFISCALES!K12</f>
        <v>64000</v>
      </c>
      <c r="AM4" s="287">
        <f>PROVISIONES!E13</f>
        <v>133280</v>
      </c>
      <c r="AN4" s="287">
        <f>PROVISIONES!F13</f>
        <v>16000</v>
      </c>
      <c r="AO4" s="287">
        <f>PROVISIONES!G13</f>
        <v>133280</v>
      </c>
      <c r="AP4" s="287">
        <f>PROVISIONES!H13</f>
        <v>66720</v>
      </c>
      <c r="AQ4" s="290">
        <f>SUM(Tabla12[[#This Row],[Provisiones Cesantias]:[Provisiones Vacaciones]])</f>
        <v>349280</v>
      </c>
      <c r="AR4" s="285"/>
      <c r="AS4" s="285"/>
      <c r="AT4" s="285"/>
      <c r="AU4" s="285"/>
      <c r="AV4" s="285"/>
    </row>
    <row r="5" spans="1:48">
      <c r="A5" s="284">
        <f>NÓMINA!B13</f>
        <v>4</v>
      </c>
      <c r="B5" s="285" t="str">
        <f>NÓMINA!C13</f>
        <v>DUVAN</v>
      </c>
      <c r="C5" s="285" t="str">
        <f>NÓMINA!D13</f>
        <v>Operario de máquinas</v>
      </c>
      <c r="D5" s="286">
        <f>NÓMINA!E13</f>
        <v>1300000</v>
      </c>
      <c r="E5" s="285">
        <f>NÓMINA!F13</f>
        <v>0</v>
      </c>
      <c r="F5" s="285">
        <f>NÓMINA!G13</f>
        <v>30</v>
      </c>
      <c r="G5" s="287">
        <f>NÓMINA!H13</f>
        <v>1300000</v>
      </c>
      <c r="H5" s="287">
        <f>NÓMINA!I13</f>
        <v>0</v>
      </c>
      <c r="I5" s="287">
        <f>NÓMINA!J13</f>
        <v>1300000</v>
      </c>
      <c r="J5" s="287">
        <f>NÓMINA!K13</f>
        <v>162000</v>
      </c>
      <c r="K5" s="287">
        <f>NÓMINA!L13</f>
        <v>0</v>
      </c>
      <c r="L5" s="287">
        <f>NÓMINA!M13</f>
        <v>0</v>
      </c>
      <c r="M5" s="287">
        <f>NÓMINA!N13</f>
        <v>0</v>
      </c>
      <c r="N5" s="287">
        <f>NÓMINA!O13</f>
        <v>0</v>
      </c>
      <c r="O5" s="287">
        <f>NÓMINA!P13</f>
        <v>0</v>
      </c>
      <c r="P5" s="287">
        <f>NÓMINA!Q13</f>
        <v>0</v>
      </c>
      <c r="Q5" s="287">
        <f>NÓMINA!R13</f>
        <v>0</v>
      </c>
      <c r="R5" s="287">
        <f>NÓMINA!S13</f>
        <v>0</v>
      </c>
      <c r="S5" s="287">
        <f>NÓMINA!T13</f>
        <v>0</v>
      </c>
      <c r="T5" s="287">
        <f>NÓMINA!U13</f>
        <v>0</v>
      </c>
      <c r="U5" s="287">
        <f>NÓMINA!V13</f>
        <v>1462000</v>
      </c>
      <c r="V5" s="287">
        <f>NÓMINA!W13</f>
        <v>52000</v>
      </c>
      <c r="W5" s="287">
        <f>NÓMINA!X13</f>
        <v>52000</v>
      </c>
      <c r="X5" s="287">
        <f>NÓMINA!Y13</f>
        <v>0</v>
      </c>
      <c r="Y5" s="287">
        <f>NÓMINA!Z13</f>
        <v>0</v>
      </c>
      <c r="Z5" s="287">
        <f>NÓMINA!AA13</f>
        <v>0</v>
      </c>
      <c r="AA5" s="287">
        <f>NÓMINA!AB13</f>
        <v>0</v>
      </c>
      <c r="AB5" s="287">
        <f>NÓMINA!AC13</f>
        <v>0</v>
      </c>
      <c r="AC5" s="287">
        <f>NÓMINA!AD13</f>
        <v>0</v>
      </c>
      <c r="AD5" s="287">
        <f>NÓMINA!AE13</f>
        <v>104000</v>
      </c>
      <c r="AE5" s="287">
        <f>NÓMINA!AF13</f>
        <v>1358000</v>
      </c>
      <c r="AF5" s="287">
        <f>PARAFISCALES!F13</f>
        <v>0</v>
      </c>
      <c r="AG5" s="287">
        <f>PARAFISCALES!G13</f>
        <v>156000</v>
      </c>
      <c r="AH5" s="287">
        <f>PARAFISCALES!H13</f>
        <v>6786</v>
      </c>
      <c r="AI5" s="287">
        <f>PARAFISCALES!I13</f>
        <v>0</v>
      </c>
      <c r="AJ5" s="287">
        <f>PARAFISCALES!J13</f>
        <v>0</v>
      </c>
      <c r="AK5" s="287">
        <f>SUM(Tabla12[[#This Row],[Parafiscales Salud]:[Parafiscales ICBF]])</f>
        <v>162786</v>
      </c>
      <c r="AL5" s="287">
        <f>PARAFISCALES!K13</f>
        <v>52000</v>
      </c>
      <c r="AM5" s="287">
        <f>PROVISIONES!E14</f>
        <v>108290</v>
      </c>
      <c r="AN5" s="287">
        <f>PROVISIONES!F14</f>
        <v>13000</v>
      </c>
      <c r="AO5" s="287">
        <f>PROVISIONES!G14</f>
        <v>108290</v>
      </c>
      <c r="AP5" s="287">
        <f>PROVISIONES!H14</f>
        <v>54210</v>
      </c>
      <c r="AQ5" s="290">
        <f>SUM(Tabla12[[#This Row],[Provisiones Cesantias]:[Provisiones Vacaciones]])</f>
        <v>283790</v>
      </c>
      <c r="AR5" s="285"/>
      <c r="AS5" s="285"/>
      <c r="AT5" s="285"/>
      <c r="AU5" s="285"/>
      <c r="AV5" s="285"/>
    </row>
    <row r="6" spans="1:48">
      <c r="A6" s="284">
        <f>NÓMINA!B14</f>
        <v>5</v>
      </c>
      <c r="B6" s="285" t="str">
        <f>NÓMINA!C14</f>
        <v>NEICER</v>
      </c>
      <c r="C6" s="285" t="str">
        <f>NÓMINA!D14</f>
        <v>Operario de máquinas</v>
      </c>
      <c r="D6" s="286">
        <f>NÓMINA!E14</f>
        <v>1300000</v>
      </c>
      <c r="E6" s="285">
        <f>NÓMINA!F14</f>
        <v>0</v>
      </c>
      <c r="F6" s="285">
        <f>NÓMINA!G14</f>
        <v>30</v>
      </c>
      <c r="G6" s="287">
        <f>NÓMINA!H14</f>
        <v>1300000</v>
      </c>
      <c r="H6" s="287">
        <f>NÓMINA!I14</f>
        <v>0</v>
      </c>
      <c r="I6" s="287">
        <f>NÓMINA!J14</f>
        <v>1300000</v>
      </c>
      <c r="J6" s="287">
        <f>NÓMINA!K14</f>
        <v>162000</v>
      </c>
      <c r="K6" s="287">
        <f>NÓMINA!L14</f>
        <v>0</v>
      </c>
      <c r="L6" s="287">
        <f>NÓMINA!M14</f>
        <v>0</v>
      </c>
      <c r="M6" s="287">
        <f>NÓMINA!N14</f>
        <v>0</v>
      </c>
      <c r="N6" s="287">
        <f>NÓMINA!O14</f>
        <v>0</v>
      </c>
      <c r="O6" s="287">
        <f>NÓMINA!P14</f>
        <v>0</v>
      </c>
      <c r="P6" s="287">
        <f>NÓMINA!Q14</f>
        <v>0</v>
      </c>
      <c r="Q6" s="287">
        <f>NÓMINA!R14</f>
        <v>0</v>
      </c>
      <c r="R6" s="287">
        <f>NÓMINA!S14</f>
        <v>0</v>
      </c>
      <c r="S6" s="287">
        <f>NÓMINA!T14</f>
        <v>0</v>
      </c>
      <c r="T6" s="287">
        <f>NÓMINA!U14</f>
        <v>0</v>
      </c>
      <c r="U6" s="287">
        <f>NÓMINA!V14</f>
        <v>1462000</v>
      </c>
      <c r="V6" s="287">
        <f>NÓMINA!W14</f>
        <v>52000</v>
      </c>
      <c r="W6" s="287">
        <f>NÓMINA!X14</f>
        <v>52000</v>
      </c>
      <c r="X6" s="287">
        <f>NÓMINA!Y14</f>
        <v>0</v>
      </c>
      <c r="Y6" s="287">
        <f>NÓMINA!Z14</f>
        <v>0</v>
      </c>
      <c r="Z6" s="287">
        <f>NÓMINA!AA14</f>
        <v>0</v>
      </c>
      <c r="AA6" s="287">
        <f>NÓMINA!AB14</f>
        <v>0</v>
      </c>
      <c r="AB6" s="287">
        <f>NÓMINA!AC14</f>
        <v>0</v>
      </c>
      <c r="AC6" s="287">
        <f>NÓMINA!AD14</f>
        <v>0</v>
      </c>
      <c r="AD6" s="287">
        <f>NÓMINA!AE14</f>
        <v>104000</v>
      </c>
      <c r="AE6" s="287">
        <f>NÓMINA!AF14</f>
        <v>1358000</v>
      </c>
      <c r="AF6" s="287">
        <f>PARAFISCALES!F14</f>
        <v>0</v>
      </c>
      <c r="AG6" s="287">
        <f>PARAFISCALES!G14</f>
        <v>156000</v>
      </c>
      <c r="AH6" s="287">
        <f>PARAFISCALES!H14</f>
        <v>6786</v>
      </c>
      <c r="AI6" s="287">
        <f>PARAFISCALES!I14</f>
        <v>0</v>
      </c>
      <c r="AJ6" s="287">
        <f>PARAFISCALES!J14</f>
        <v>0</v>
      </c>
      <c r="AK6" s="287">
        <f>SUM(Tabla12[[#This Row],[Parafiscales Salud]:[Parafiscales ICBF]])</f>
        <v>162786</v>
      </c>
      <c r="AL6" s="287">
        <f>PARAFISCALES!K14</f>
        <v>52000</v>
      </c>
      <c r="AM6" s="287">
        <f>PROVISIONES!E15</f>
        <v>108290</v>
      </c>
      <c r="AN6" s="287">
        <f>PROVISIONES!F15</f>
        <v>13000</v>
      </c>
      <c r="AO6" s="287">
        <f>PROVISIONES!G15</f>
        <v>108290</v>
      </c>
      <c r="AP6" s="287">
        <f>PROVISIONES!H15</f>
        <v>54210</v>
      </c>
      <c r="AQ6" s="290">
        <f>SUM(Tabla12[[#This Row],[Provisiones Cesantias]:[Provisiones Vacaciones]])</f>
        <v>283790</v>
      </c>
      <c r="AR6" s="285"/>
      <c r="AS6" s="285"/>
      <c r="AT6" s="285"/>
      <c r="AU6" s="285"/>
      <c r="AV6" s="285"/>
    </row>
    <row r="7" spans="1:48">
      <c r="A7" s="284">
        <f>NÓMINA!B15</f>
        <v>6</v>
      </c>
      <c r="B7" s="285" t="str">
        <f>NÓMINA!C15</f>
        <v>BRAYAN</v>
      </c>
      <c r="C7" s="285" t="str">
        <f>NÓMINA!D15</f>
        <v>Operario de máquinas</v>
      </c>
      <c r="D7" s="286">
        <f>NÓMINA!E15</f>
        <v>1300000</v>
      </c>
      <c r="E7" s="285">
        <f>NÓMINA!F15</f>
        <v>0</v>
      </c>
      <c r="F7" s="285">
        <f>NÓMINA!G15</f>
        <v>30</v>
      </c>
      <c r="G7" s="287">
        <f>NÓMINA!H15</f>
        <v>1300000</v>
      </c>
      <c r="H7" s="287">
        <f>NÓMINA!I15</f>
        <v>0</v>
      </c>
      <c r="I7" s="287">
        <f>NÓMINA!J15</f>
        <v>1300000</v>
      </c>
      <c r="J7" s="287">
        <f>NÓMINA!K15</f>
        <v>162000</v>
      </c>
      <c r="K7" s="287">
        <f>NÓMINA!L15</f>
        <v>0</v>
      </c>
      <c r="L7" s="287">
        <f>NÓMINA!M15</f>
        <v>0</v>
      </c>
      <c r="M7" s="287">
        <f>NÓMINA!N15</f>
        <v>0</v>
      </c>
      <c r="N7" s="287">
        <f>NÓMINA!O15</f>
        <v>0</v>
      </c>
      <c r="O7" s="287">
        <f>NÓMINA!P15</f>
        <v>0</v>
      </c>
      <c r="P7" s="287">
        <f>NÓMINA!Q15</f>
        <v>0</v>
      </c>
      <c r="Q7" s="287">
        <f>NÓMINA!R15</f>
        <v>0</v>
      </c>
      <c r="R7" s="287">
        <f>NÓMINA!S15</f>
        <v>0</v>
      </c>
      <c r="S7" s="287">
        <f>NÓMINA!T15</f>
        <v>0</v>
      </c>
      <c r="T7" s="287">
        <f>NÓMINA!U15</f>
        <v>0</v>
      </c>
      <c r="U7" s="287">
        <f>NÓMINA!V15</f>
        <v>1462000</v>
      </c>
      <c r="V7" s="287">
        <f>NÓMINA!W15</f>
        <v>52000</v>
      </c>
      <c r="W7" s="287">
        <f>NÓMINA!X15</f>
        <v>52000</v>
      </c>
      <c r="X7" s="287">
        <f>NÓMINA!Y15</f>
        <v>0</v>
      </c>
      <c r="Y7" s="287">
        <f>NÓMINA!Z15</f>
        <v>0</v>
      </c>
      <c r="Z7" s="287">
        <f>NÓMINA!AA15</f>
        <v>0</v>
      </c>
      <c r="AA7" s="287">
        <f>NÓMINA!AB15</f>
        <v>0</v>
      </c>
      <c r="AB7" s="287">
        <f>NÓMINA!AC15</f>
        <v>0</v>
      </c>
      <c r="AC7" s="287">
        <f>NÓMINA!AD15</f>
        <v>0</v>
      </c>
      <c r="AD7" s="287">
        <f>NÓMINA!AE15</f>
        <v>104000</v>
      </c>
      <c r="AE7" s="287">
        <f>NÓMINA!AF15</f>
        <v>1358000</v>
      </c>
      <c r="AF7" s="287">
        <f>PARAFISCALES!F15</f>
        <v>0</v>
      </c>
      <c r="AG7" s="287">
        <f>PARAFISCALES!G15</f>
        <v>156000</v>
      </c>
      <c r="AH7" s="287">
        <f>PARAFISCALES!H15</f>
        <v>6786</v>
      </c>
      <c r="AI7" s="287">
        <f>PARAFISCALES!I15</f>
        <v>0</v>
      </c>
      <c r="AJ7" s="287">
        <f>PARAFISCALES!J15</f>
        <v>0</v>
      </c>
      <c r="AK7" s="287">
        <f>SUM(Tabla12[[#This Row],[Parafiscales Salud]:[Parafiscales ICBF]])</f>
        <v>162786</v>
      </c>
      <c r="AL7" s="287">
        <f>PARAFISCALES!K15</f>
        <v>52000</v>
      </c>
      <c r="AM7" s="287">
        <f>PROVISIONES!E16</f>
        <v>108290</v>
      </c>
      <c r="AN7" s="287">
        <f>PROVISIONES!F16</f>
        <v>13000</v>
      </c>
      <c r="AO7" s="287">
        <f>PROVISIONES!G16</f>
        <v>108290</v>
      </c>
      <c r="AP7" s="287">
        <f>PROVISIONES!H16</f>
        <v>54210</v>
      </c>
      <c r="AQ7" s="290">
        <f>SUM(Tabla12[[#This Row],[Provisiones Cesantias]:[Provisiones Vacaciones]])</f>
        <v>283790</v>
      </c>
      <c r="AR7" s="285"/>
      <c r="AS7" s="285"/>
      <c r="AT7" s="285"/>
      <c r="AU7" s="285"/>
      <c r="AV7" s="285"/>
    </row>
    <row r="8" spans="1:48">
      <c r="A8" s="284">
        <f>NÓMINA!B16</f>
        <v>7</v>
      </c>
      <c r="B8" s="285" t="str">
        <f>NÓMINA!C16</f>
        <v>YASMÍN</v>
      </c>
      <c r="C8" s="285" t="str">
        <f>NÓMINA!D16</f>
        <v>Jefe de Calidad</v>
      </c>
      <c r="D8" s="286">
        <f>NÓMINA!E16</f>
        <v>2000000</v>
      </c>
      <c r="E8" s="285">
        <f>NÓMINA!F16</f>
        <v>0</v>
      </c>
      <c r="F8" s="285">
        <f>NÓMINA!G16</f>
        <v>30</v>
      </c>
      <c r="G8" s="287">
        <f>NÓMINA!H16</f>
        <v>2000000.0000000002</v>
      </c>
      <c r="H8" s="287">
        <f>NÓMINA!I16</f>
        <v>0</v>
      </c>
      <c r="I8" s="287">
        <f>NÓMINA!J16</f>
        <v>2000000.0000000002</v>
      </c>
      <c r="J8" s="287">
        <f>NÓMINA!K16</f>
        <v>162000</v>
      </c>
      <c r="K8" s="287">
        <f>NÓMINA!L16</f>
        <v>0</v>
      </c>
      <c r="L8" s="287">
        <f>NÓMINA!M16</f>
        <v>0</v>
      </c>
      <c r="M8" s="287">
        <f>NÓMINA!N16</f>
        <v>0</v>
      </c>
      <c r="N8" s="287">
        <f>NÓMINA!O16</f>
        <v>0</v>
      </c>
      <c r="O8" s="287">
        <f>NÓMINA!P16</f>
        <v>0</v>
      </c>
      <c r="P8" s="287">
        <f>NÓMINA!Q16</f>
        <v>0</v>
      </c>
      <c r="Q8" s="287">
        <f>NÓMINA!R16</f>
        <v>0</v>
      </c>
      <c r="R8" s="287">
        <f>NÓMINA!S16</f>
        <v>0</v>
      </c>
      <c r="S8" s="287">
        <f>NÓMINA!T16</f>
        <v>0</v>
      </c>
      <c r="T8" s="287">
        <f>NÓMINA!U16</f>
        <v>0</v>
      </c>
      <c r="U8" s="287">
        <f>NÓMINA!V16</f>
        <v>2162000</v>
      </c>
      <c r="V8" s="287">
        <f>NÓMINA!W16</f>
        <v>80000.000000000015</v>
      </c>
      <c r="W8" s="287">
        <f>NÓMINA!X16</f>
        <v>80000.000000000015</v>
      </c>
      <c r="X8" s="287">
        <f>NÓMINA!Y16</f>
        <v>0</v>
      </c>
      <c r="Y8" s="287">
        <f>NÓMINA!Z16</f>
        <v>0</v>
      </c>
      <c r="Z8" s="287">
        <f>NÓMINA!AA16</f>
        <v>0</v>
      </c>
      <c r="AA8" s="287">
        <f>NÓMINA!AB16</f>
        <v>0</v>
      </c>
      <c r="AB8" s="287">
        <f>NÓMINA!AC16</f>
        <v>0</v>
      </c>
      <c r="AC8" s="287">
        <f>NÓMINA!AD16</f>
        <v>0</v>
      </c>
      <c r="AD8" s="287">
        <f>NÓMINA!AE16</f>
        <v>160000.00000000003</v>
      </c>
      <c r="AE8" s="287">
        <f>NÓMINA!AF16</f>
        <v>2002000</v>
      </c>
      <c r="AF8" s="287">
        <f>PARAFISCALES!F16</f>
        <v>0</v>
      </c>
      <c r="AG8" s="287">
        <f>PARAFISCALES!G16</f>
        <v>240000.00000000003</v>
      </c>
      <c r="AH8" s="287">
        <f>PARAFISCALES!H16</f>
        <v>10440</v>
      </c>
      <c r="AI8" s="287">
        <f>PARAFISCALES!I16</f>
        <v>0</v>
      </c>
      <c r="AJ8" s="287">
        <f>PARAFISCALES!J16</f>
        <v>0</v>
      </c>
      <c r="AK8" s="287">
        <f>SUM(Tabla12[[#This Row],[Parafiscales Salud]:[Parafiscales ICBF]])</f>
        <v>250440.00000000003</v>
      </c>
      <c r="AL8" s="287">
        <f>PARAFISCALES!K16</f>
        <v>80000.000000000015</v>
      </c>
      <c r="AM8" s="287">
        <f>PROVISIONES!E17</f>
        <v>166600.00000000003</v>
      </c>
      <c r="AN8" s="287">
        <f>PROVISIONES!F17</f>
        <v>20000.000000000004</v>
      </c>
      <c r="AO8" s="287">
        <f>PROVISIONES!G17</f>
        <v>166600.00000000003</v>
      </c>
      <c r="AP8" s="287">
        <f>PROVISIONES!H17</f>
        <v>83400.000000000015</v>
      </c>
      <c r="AQ8" s="290">
        <f>SUM(Tabla12[[#This Row],[Provisiones Cesantias]:[Provisiones Vacaciones]])</f>
        <v>436600.00000000006</v>
      </c>
      <c r="AR8" s="285"/>
      <c r="AS8" s="285"/>
      <c r="AT8" s="285"/>
      <c r="AU8" s="285"/>
      <c r="AV8" s="285"/>
    </row>
    <row r="9" spans="1:48">
      <c r="A9" s="284">
        <f>NÓMINA!B17</f>
        <v>8</v>
      </c>
      <c r="B9" s="285" t="str">
        <f>NÓMINA!C17</f>
        <v>JOSE</v>
      </c>
      <c r="C9" s="285" t="str">
        <f>NÓMINA!D17</f>
        <v>Planchador</v>
      </c>
      <c r="D9" s="286">
        <f>NÓMINA!E17</f>
        <v>1460000</v>
      </c>
      <c r="E9" s="285">
        <f>NÓMINA!F17</f>
        <v>0</v>
      </c>
      <c r="F9" s="285">
        <f>NÓMINA!G17</f>
        <v>30</v>
      </c>
      <c r="G9" s="287">
        <f>NÓMINA!H17</f>
        <v>1460000</v>
      </c>
      <c r="H9" s="287">
        <f>NÓMINA!I17</f>
        <v>0</v>
      </c>
      <c r="I9" s="287">
        <f>NÓMINA!J17</f>
        <v>1460000</v>
      </c>
      <c r="J9" s="287">
        <f>NÓMINA!K17</f>
        <v>162000</v>
      </c>
      <c r="K9" s="287">
        <f>NÓMINA!L17</f>
        <v>0</v>
      </c>
      <c r="L9" s="287">
        <f>NÓMINA!M17</f>
        <v>0</v>
      </c>
      <c r="M9" s="287">
        <f>NÓMINA!N17</f>
        <v>0</v>
      </c>
      <c r="N9" s="287">
        <f>NÓMINA!O17</f>
        <v>0</v>
      </c>
      <c r="O9" s="287">
        <f>NÓMINA!P17</f>
        <v>0</v>
      </c>
      <c r="P9" s="287">
        <f>NÓMINA!Q17</f>
        <v>0</v>
      </c>
      <c r="Q9" s="287">
        <f>NÓMINA!R17</f>
        <v>0</v>
      </c>
      <c r="R9" s="287">
        <f>NÓMINA!S17</f>
        <v>0</v>
      </c>
      <c r="S9" s="287">
        <f>NÓMINA!T17</f>
        <v>0</v>
      </c>
      <c r="T9" s="287">
        <f>NÓMINA!U17</f>
        <v>0</v>
      </c>
      <c r="U9" s="287">
        <f>NÓMINA!V17</f>
        <v>1622000</v>
      </c>
      <c r="V9" s="287">
        <f>NÓMINA!W17</f>
        <v>58400</v>
      </c>
      <c r="W9" s="287">
        <f>NÓMINA!X17</f>
        <v>58400</v>
      </c>
      <c r="X9" s="287">
        <f>NÓMINA!Y17</f>
        <v>0</v>
      </c>
      <c r="Y9" s="287">
        <f>NÓMINA!Z17</f>
        <v>0</v>
      </c>
      <c r="Z9" s="287">
        <f>NÓMINA!AA17</f>
        <v>0</v>
      </c>
      <c r="AA9" s="287">
        <f>NÓMINA!AB17</f>
        <v>0</v>
      </c>
      <c r="AB9" s="287">
        <f>NÓMINA!AC17</f>
        <v>0</v>
      </c>
      <c r="AC9" s="287">
        <f>NÓMINA!AD17</f>
        <v>0</v>
      </c>
      <c r="AD9" s="287">
        <f>NÓMINA!AE17</f>
        <v>116800</v>
      </c>
      <c r="AE9" s="287">
        <f>NÓMINA!AF17</f>
        <v>1505200</v>
      </c>
      <c r="AF9" s="287">
        <f>PARAFISCALES!F17</f>
        <v>0</v>
      </c>
      <c r="AG9" s="287">
        <f>PARAFISCALES!G17</f>
        <v>175200</v>
      </c>
      <c r="AH9" s="287">
        <f>PARAFISCALES!H17</f>
        <v>7621.2</v>
      </c>
      <c r="AI9" s="287">
        <f>PARAFISCALES!I17</f>
        <v>0</v>
      </c>
      <c r="AJ9" s="287">
        <f>PARAFISCALES!J17</f>
        <v>0</v>
      </c>
      <c r="AK9" s="287">
        <f>SUM(Tabla12[[#This Row],[Parafiscales Salud]:[Parafiscales ICBF]])</f>
        <v>182821.2</v>
      </c>
      <c r="AL9" s="287">
        <f>PARAFISCALES!K17</f>
        <v>58400</v>
      </c>
      <c r="AM9" s="287">
        <f>PROVISIONES!E18</f>
        <v>121618</v>
      </c>
      <c r="AN9" s="287">
        <f>PROVISIONES!F18</f>
        <v>14600</v>
      </c>
      <c r="AO9" s="287">
        <f>PROVISIONES!G18</f>
        <v>121618</v>
      </c>
      <c r="AP9" s="287">
        <f>PROVISIONES!H18</f>
        <v>60882</v>
      </c>
      <c r="AQ9" s="290">
        <f>SUM(Tabla12[[#This Row],[Provisiones Cesantias]:[Provisiones Vacaciones]])</f>
        <v>318718</v>
      </c>
      <c r="AR9" s="285"/>
      <c r="AS9" s="285"/>
      <c r="AT9" s="285"/>
      <c r="AU9" s="285"/>
      <c r="AV9" s="285"/>
    </row>
    <row r="10" spans="1:48">
      <c r="A10" s="284">
        <f>NÓMINA!B18</f>
        <v>9</v>
      </c>
      <c r="B10" s="285" t="str">
        <f>NÓMINA!C18</f>
        <v>RIGOBERTO URAN PEÑA</v>
      </c>
      <c r="C10" s="285" t="str">
        <f>NÓMINA!D18</f>
        <v>Servicios Generales</v>
      </c>
      <c r="D10" s="286">
        <f>NÓMINA!E18</f>
        <v>1320000</v>
      </c>
      <c r="E10" s="285">
        <f>NÓMINA!F18</f>
        <v>0</v>
      </c>
      <c r="F10" s="285">
        <f>NÓMINA!G18</f>
        <v>30</v>
      </c>
      <c r="G10" s="287">
        <f>NÓMINA!H18</f>
        <v>1320000</v>
      </c>
      <c r="H10" s="287">
        <f>NÓMINA!I18</f>
        <v>0</v>
      </c>
      <c r="I10" s="287">
        <f>NÓMINA!J18</f>
        <v>1320000</v>
      </c>
      <c r="J10" s="287">
        <f>NÓMINA!K18</f>
        <v>162000</v>
      </c>
      <c r="K10" s="287">
        <f>NÓMINA!L18</f>
        <v>0</v>
      </c>
      <c r="L10" s="287">
        <f>NÓMINA!M18</f>
        <v>0</v>
      </c>
      <c r="M10" s="287">
        <f>NÓMINA!N18</f>
        <v>0</v>
      </c>
      <c r="N10" s="287">
        <f>NÓMINA!O18</f>
        <v>0</v>
      </c>
      <c r="O10" s="287">
        <f>NÓMINA!P18</f>
        <v>0</v>
      </c>
      <c r="P10" s="287">
        <f>NÓMINA!Q18</f>
        <v>0</v>
      </c>
      <c r="Q10" s="287">
        <f>NÓMINA!R18</f>
        <v>0</v>
      </c>
      <c r="R10" s="287">
        <f>NÓMINA!S18</f>
        <v>0</v>
      </c>
      <c r="S10" s="287">
        <f>NÓMINA!T18</f>
        <v>0</v>
      </c>
      <c r="T10" s="287">
        <f>NÓMINA!U18</f>
        <v>0</v>
      </c>
      <c r="U10" s="287">
        <f>NÓMINA!V18</f>
        <v>1482000</v>
      </c>
      <c r="V10" s="287">
        <f>NÓMINA!W18</f>
        <v>52800</v>
      </c>
      <c r="W10" s="287">
        <f>NÓMINA!X18</f>
        <v>52800</v>
      </c>
      <c r="X10" s="287">
        <f>NÓMINA!Y18</f>
        <v>0</v>
      </c>
      <c r="Y10" s="287">
        <f>NÓMINA!Z18</f>
        <v>0</v>
      </c>
      <c r="Z10" s="287">
        <f>NÓMINA!AA18</f>
        <v>0</v>
      </c>
      <c r="AA10" s="287">
        <f>NÓMINA!AB18</f>
        <v>0</v>
      </c>
      <c r="AB10" s="287">
        <f>NÓMINA!AC18</f>
        <v>0</v>
      </c>
      <c r="AC10" s="287">
        <f>NÓMINA!AD18</f>
        <v>0</v>
      </c>
      <c r="AD10" s="287">
        <f>NÓMINA!AE18</f>
        <v>105600</v>
      </c>
      <c r="AE10" s="287">
        <f>NÓMINA!AF18</f>
        <v>1376400</v>
      </c>
      <c r="AF10" s="287">
        <f>PARAFISCALES!F18</f>
        <v>0</v>
      </c>
      <c r="AG10" s="287">
        <f>PARAFISCALES!G18</f>
        <v>158400</v>
      </c>
      <c r="AH10" s="287">
        <f>PARAFISCALES!H18</f>
        <v>6890.4</v>
      </c>
      <c r="AI10" s="287">
        <f>PARAFISCALES!I18</f>
        <v>0</v>
      </c>
      <c r="AJ10" s="287">
        <f>PARAFISCALES!J18</f>
        <v>0</v>
      </c>
      <c r="AK10" s="287">
        <f>SUM(Tabla12[[#This Row],[Parafiscales Salud]:[Parafiscales ICBF]])</f>
        <v>165290.4</v>
      </c>
      <c r="AL10" s="287">
        <f>PARAFISCALES!K18</f>
        <v>52800</v>
      </c>
      <c r="AM10" s="287">
        <f>PROVISIONES!E19</f>
        <v>109956</v>
      </c>
      <c r="AN10" s="287">
        <f>PROVISIONES!F19</f>
        <v>13200</v>
      </c>
      <c r="AO10" s="287">
        <f>PROVISIONES!G19</f>
        <v>109956</v>
      </c>
      <c r="AP10" s="287">
        <f>PROVISIONES!H19</f>
        <v>55044</v>
      </c>
      <c r="AQ10" s="290">
        <f>SUM(Tabla12[[#This Row],[Provisiones Cesantias]:[Provisiones Vacaciones]])</f>
        <v>288156</v>
      </c>
      <c r="AR10" s="285"/>
      <c r="AS10" s="285"/>
      <c r="AT10" s="285"/>
      <c r="AU10" s="285"/>
      <c r="AV10" s="285"/>
    </row>
    <row r="11" spans="1:48">
      <c r="A11" s="284">
        <f>NÓMINA!B19</f>
        <v>10</v>
      </c>
      <c r="B11" s="285" t="str">
        <f>NÓMINA!C19</f>
        <v>RENÉ HIGUITA SUAZA</v>
      </c>
      <c r="C11" s="285" t="str">
        <f>NÓMINA!D19</f>
        <v>Operarios manuales</v>
      </c>
      <c r="D11" s="286">
        <f>NÓMINA!E19</f>
        <v>1300000</v>
      </c>
      <c r="E11" s="285">
        <f>NÓMINA!F19</f>
        <v>0</v>
      </c>
      <c r="F11" s="285">
        <f>NÓMINA!G19</f>
        <v>30</v>
      </c>
      <c r="G11" s="287">
        <f>NÓMINA!H19</f>
        <v>1300000</v>
      </c>
      <c r="H11" s="287">
        <f>NÓMINA!I19</f>
        <v>0</v>
      </c>
      <c r="I11" s="287">
        <f>NÓMINA!J19</f>
        <v>1300000</v>
      </c>
      <c r="J11" s="287">
        <f>NÓMINA!K19</f>
        <v>162000</v>
      </c>
      <c r="K11" s="287">
        <f>NÓMINA!L19</f>
        <v>0</v>
      </c>
      <c r="L11" s="287">
        <f>NÓMINA!M19</f>
        <v>0</v>
      </c>
      <c r="M11" s="287">
        <f>NÓMINA!N19</f>
        <v>0</v>
      </c>
      <c r="N11" s="287">
        <f>NÓMINA!O19</f>
        <v>0</v>
      </c>
      <c r="O11" s="287">
        <f>NÓMINA!P19</f>
        <v>0</v>
      </c>
      <c r="P11" s="287">
        <f>NÓMINA!Q19</f>
        <v>0</v>
      </c>
      <c r="Q11" s="287">
        <f>NÓMINA!R19</f>
        <v>0</v>
      </c>
      <c r="R11" s="287">
        <f>NÓMINA!S19</f>
        <v>0</v>
      </c>
      <c r="S11" s="287">
        <f>NÓMINA!T19</f>
        <v>0</v>
      </c>
      <c r="T11" s="287">
        <f>NÓMINA!U19</f>
        <v>0</v>
      </c>
      <c r="U11" s="287">
        <f>NÓMINA!V19</f>
        <v>1462000</v>
      </c>
      <c r="V11" s="287">
        <f>NÓMINA!W19</f>
        <v>52000</v>
      </c>
      <c r="W11" s="287">
        <f>NÓMINA!X19</f>
        <v>52000</v>
      </c>
      <c r="X11" s="287">
        <f>NÓMINA!Y19</f>
        <v>0</v>
      </c>
      <c r="Y11" s="287">
        <f>NÓMINA!Z19</f>
        <v>0</v>
      </c>
      <c r="Z11" s="287">
        <f>NÓMINA!AA19</f>
        <v>0</v>
      </c>
      <c r="AA11" s="287">
        <f>NÓMINA!AB19</f>
        <v>0</v>
      </c>
      <c r="AB11" s="287">
        <f>NÓMINA!AC19</f>
        <v>0</v>
      </c>
      <c r="AC11" s="287">
        <f>NÓMINA!AD19</f>
        <v>0</v>
      </c>
      <c r="AD11" s="287">
        <f>NÓMINA!AE19</f>
        <v>104000</v>
      </c>
      <c r="AE11" s="287">
        <f>NÓMINA!AF19</f>
        <v>1358000</v>
      </c>
      <c r="AF11" s="287">
        <f>PARAFISCALES!F19</f>
        <v>0</v>
      </c>
      <c r="AG11" s="287">
        <f>PARAFISCALES!G19</f>
        <v>156000</v>
      </c>
      <c r="AH11" s="287">
        <f>PARAFISCALES!H19</f>
        <v>6786</v>
      </c>
      <c r="AI11" s="287">
        <f>PARAFISCALES!I19</f>
        <v>0</v>
      </c>
      <c r="AJ11" s="287">
        <f>PARAFISCALES!J19</f>
        <v>0</v>
      </c>
      <c r="AK11" s="287">
        <f>SUM(Tabla12[[#This Row],[Parafiscales Salud]:[Parafiscales ICBF]])</f>
        <v>162786</v>
      </c>
      <c r="AL11" s="287">
        <f>PARAFISCALES!K19</f>
        <v>52000</v>
      </c>
      <c r="AM11" s="287">
        <f>PROVISIONES!E20</f>
        <v>108290</v>
      </c>
      <c r="AN11" s="287">
        <f>PROVISIONES!F20</f>
        <v>13000</v>
      </c>
      <c r="AO11" s="287">
        <f>PROVISIONES!G20</f>
        <v>108290</v>
      </c>
      <c r="AP11" s="287">
        <f>PROVISIONES!H20</f>
        <v>54210</v>
      </c>
      <c r="AQ11" s="290">
        <f>SUM(Tabla12[[#This Row],[Provisiones Cesantias]:[Provisiones Vacaciones]])</f>
        <v>283790</v>
      </c>
      <c r="AR11" s="285"/>
      <c r="AS11" s="285"/>
      <c r="AT11" s="285"/>
      <c r="AU11" s="285"/>
      <c r="AV11" s="285"/>
    </row>
    <row r="12" spans="1:48">
      <c r="A12" s="284">
        <f>NÓMINA!B20</f>
        <v>0</v>
      </c>
      <c r="B12" s="285">
        <f>NÓMINA!C20</f>
        <v>0</v>
      </c>
      <c r="C12" s="285">
        <f>NÓMINA!D20</f>
        <v>0</v>
      </c>
      <c r="D12" s="286">
        <f>NÓMINA!E20</f>
        <v>0</v>
      </c>
      <c r="E12" s="285">
        <f>NÓMINA!F20</f>
        <v>0</v>
      </c>
      <c r="F12" s="285">
        <f>NÓMINA!G20</f>
        <v>0</v>
      </c>
      <c r="G12" s="287">
        <f>NÓMINA!H20</f>
        <v>0</v>
      </c>
      <c r="H12" s="287">
        <f>NÓMINA!I20</f>
        <v>0</v>
      </c>
      <c r="I12" s="287">
        <f>NÓMINA!J20</f>
        <v>0</v>
      </c>
      <c r="J12" s="287">
        <f>NÓMINA!K20</f>
        <v>0</v>
      </c>
      <c r="K12" s="287">
        <f>NÓMINA!L20</f>
        <v>0</v>
      </c>
      <c r="L12" s="287">
        <f>NÓMINA!M20</f>
        <v>0</v>
      </c>
      <c r="M12" s="287">
        <f>NÓMINA!N20</f>
        <v>0</v>
      </c>
      <c r="N12" s="287">
        <f>NÓMINA!O20</f>
        <v>0</v>
      </c>
      <c r="O12" s="287">
        <f>NÓMINA!P20</f>
        <v>0</v>
      </c>
      <c r="P12" s="287">
        <f>NÓMINA!Q20</f>
        <v>0</v>
      </c>
      <c r="Q12" s="287">
        <f>NÓMINA!R20</f>
        <v>0</v>
      </c>
      <c r="R12" s="287">
        <f>NÓMINA!S20</f>
        <v>0</v>
      </c>
      <c r="S12" s="287">
        <f>NÓMINA!T20</f>
        <v>0</v>
      </c>
      <c r="T12" s="287">
        <f>NÓMINA!U20</f>
        <v>0</v>
      </c>
      <c r="U12" s="287">
        <f>NÓMINA!V20</f>
        <v>0</v>
      </c>
      <c r="V12" s="287">
        <f>NÓMINA!W20</f>
        <v>0</v>
      </c>
      <c r="W12" s="287">
        <f>NÓMINA!X20</f>
        <v>0</v>
      </c>
      <c r="X12" s="287">
        <f>NÓMINA!Y20</f>
        <v>0</v>
      </c>
      <c r="Y12" s="287">
        <f>NÓMINA!Z20</f>
        <v>0</v>
      </c>
      <c r="Z12" s="287">
        <f>NÓMINA!AA20</f>
        <v>0</v>
      </c>
      <c r="AA12" s="287">
        <f>NÓMINA!AB20</f>
        <v>0</v>
      </c>
      <c r="AB12" s="287">
        <f>NÓMINA!AC20</f>
        <v>0</v>
      </c>
      <c r="AC12" s="287">
        <f>NÓMINA!AD20</f>
        <v>0</v>
      </c>
      <c r="AD12" s="287">
        <f>NÓMINA!AE20</f>
        <v>0</v>
      </c>
      <c r="AE12" s="287">
        <f>NÓMINA!AF20</f>
        <v>0</v>
      </c>
      <c r="AF12" s="287">
        <f>PARAFISCALES!F20</f>
        <v>0</v>
      </c>
      <c r="AG12" s="287">
        <f>PARAFISCALES!G20</f>
        <v>0</v>
      </c>
      <c r="AH12" s="287">
        <f>PARAFISCALES!H20</f>
        <v>0</v>
      </c>
      <c r="AI12" s="287">
        <f>PARAFISCALES!I20</f>
        <v>0</v>
      </c>
      <c r="AJ12" s="287">
        <f>PARAFISCALES!J20</f>
        <v>0</v>
      </c>
      <c r="AK12" s="287">
        <f>SUM(Tabla12[[#This Row],[Parafiscales Salud]:[Parafiscales ICBF]])</f>
        <v>0</v>
      </c>
      <c r="AL12" s="287">
        <f>PARAFISCALES!K20</f>
        <v>0</v>
      </c>
      <c r="AM12" s="287">
        <f>PROVISIONES!E21</f>
        <v>0</v>
      </c>
      <c r="AN12" s="287">
        <f>PROVISIONES!F21</f>
        <v>0</v>
      </c>
      <c r="AO12" s="287">
        <f>PROVISIONES!G21</f>
        <v>0</v>
      </c>
      <c r="AP12" s="287">
        <f>PROVISIONES!H21</f>
        <v>0</v>
      </c>
      <c r="AQ12" s="290">
        <f>SUM(Tabla12[[#This Row],[Provisiones Cesantias]:[Provisiones Vacaciones]])</f>
        <v>0</v>
      </c>
      <c r="AR12" s="285"/>
      <c r="AS12" s="285"/>
      <c r="AT12" s="285"/>
      <c r="AU12" s="285"/>
      <c r="AV12" s="285"/>
    </row>
    <row r="13" spans="1:48">
      <c r="A13" s="284">
        <f>NÓMINA!B21</f>
        <v>0</v>
      </c>
      <c r="B13" s="285">
        <f>NÓMINA!C21</f>
        <v>0</v>
      </c>
      <c r="C13" s="285">
        <f>NÓMINA!D21</f>
        <v>0</v>
      </c>
      <c r="D13" s="286">
        <f>NÓMINA!E21</f>
        <v>0</v>
      </c>
      <c r="E13" s="285">
        <f>NÓMINA!F21</f>
        <v>0</v>
      </c>
      <c r="F13" s="285">
        <f>NÓMINA!G21</f>
        <v>0</v>
      </c>
      <c r="G13" s="287">
        <f>NÓMINA!H21</f>
        <v>0</v>
      </c>
      <c r="H13" s="287">
        <f>NÓMINA!I21</f>
        <v>0</v>
      </c>
      <c r="I13" s="287">
        <f>NÓMINA!J21</f>
        <v>0</v>
      </c>
      <c r="J13" s="287">
        <f>NÓMINA!K21</f>
        <v>0</v>
      </c>
      <c r="K13" s="287">
        <f>NÓMINA!L21</f>
        <v>0</v>
      </c>
      <c r="L13" s="287">
        <f>NÓMINA!M21</f>
        <v>0</v>
      </c>
      <c r="M13" s="287">
        <f>NÓMINA!N21</f>
        <v>0</v>
      </c>
      <c r="N13" s="287">
        <f>NÓMINA!O21</f>
        <v>0</v>
      </c>
      <c r="O13" s="287">
        <f>NÓMINA!P21</f>
        <v>0</v>
      </c>
      <c r="P13" s="287">
        <f>NÓMINA!Q21</f>
        <v>0</v>
      </c>
      <c r="Q13" s="287">
        <f>NÓMINA!R21</f>
        <v>0</v>
      </c>
      <c r="R13" s="287">
        <f>NÓMINA!S21</f>
        <v>0</v>
      </c>
      <c r="S13" s="287">
        <f>NÓMINA!T21</f>
        <v>0</v>
      </c>
      <c r="T13" s="287">
        <f>NÓMINA!U21</f>
        <v>0</v>
      </c>
      <c r="U13" s="287">
        <f>NÓMINA!V21</f>
        <v>0</v>
      </c>
      <c r="V13" s="287">
        <f>NÓMINA!W21</f>
        <v>0</v>
      </c>
      <c r="W13" s="287">
        <f>NÓMINA!X21</f>
        <v>0</v>
      </c>
      <c r="X13" s="287">
        <f>NÓMINA!Y21</f>
        <v>0</v>
      </c>
      <c r="Y13" s="287">
        <f>NÓMINA!Z21</f>
        <v>0</v>
      </c>
      <c r="Z13" s="287">
        <f>NÓMINA!AA21</f>
        <v>0</v>
      </c>
      <c r="AA13" s="287">
        <f>NÓMINA!AB21</f>
        <v>0</v>
      </c>
      <c r="AB13" s="287">
        <f>NÓMINA!AC21</f>
        <v>0</v>
      </c>
      <c r="AC13" s="287">
        <f>NÓMINA!AD21</f>
        <v>0</v>
      </c>
      <c r="AD13" s="287">
        <f>NÓMINA!AE21</f>
        <v>0</v>
      </c>
      <c r="AE13" s="287">
        <f>NÓMINA!AF21</f>
        <v>0</v>
      </c>
      <c r="AF13" s="287">
        <f>PARAFISCALES!F21</f>
        <v>0</v>
      </c>
      <c r="AG13" s="287">
        <f>PARAFISCALES!G21</f>
        <v>0</v>
      </c>
      <c r="AH13" s="287">
        <f>PARAFISCALES!H21</f>
        <v>0</v>
      </c>
      <c r="AI13" s="287">
        <f>PARAFISCALES!I21</f>
        <v>0</v>
      </c>
      <c r="AJ13" s="287">
        <f>PARAFISCALES!J21</f>
        <v>0</v>
      </c>
      <c r="AK13" s="287">
        <f>SUM(Tabla12[[#This Row],[Parafiscales Salud]:[Parafiscales ICBF]])</f>
        <v>0</v>
      </c>
      <c r="AL13" s="287">
        <f>PARAFISCALES!K21</f>
        <v>0</v>
      </c>
      <c r="AM13" s="287">
        <f>PROVISIONES!E22</f>
        <v>0</v>
      </c>
      <c r="AN13" s="287">
        <f>PROVISIONES!F22</f>
        <v>0</v>
      </c>
      <c r="AO13" s="287">
        <f>PROVISIONES!G22</f>
        <v>0</v>
      </c>
      <c r="AP13" s="287">
        <f>PROVISIONES!H22</f>
        <v>0</v>
      </c>
      <c r="AQ13" s="290">
        <f>SUM(Tabla12[[#This Row],[Provisiones Cesantias]:[Provisiones Vacaciones]])</f>
        <v>0</v>
      </c>
      <c r="AR13" s="285"/>
      <c r="AS13" s="285"/>
      <c r="AT13" s="285"/>
      <c r="AU13" s="285"/>
      <c r="AV13" s="285"/>
    </row>
    <row r="14" spans="1:48">
      <c r="A14" s="284">
        <f>NÓMINA!B22</f>
        <v>0</v>
      </c>
      <c r="B14" s="285">
        <f>NÓMINA!C22</f>
        <v>0</v>
      </c>
      <c r="C14" s="285">
        <f>NÓMINA!D22</f>
        <v>0</v>
      </c>
      <c r="D14" s="286">
        <f>NÓMINA!E22</f>
        <v>0</v>
      </c>
      <c r="E14" s="285">
        <f>NÓMINA!F22</f>
        <v>0</v>
      </c>
      <c r="F14" s="285">
        <f>NÓMINA!G22</f>
        <v>0</v>
      </c>
      <c r="G14" s="287">
        <f>NÓMINA!H22</f>
        <v>0</v>
      </c>
      <c r="H14" s="287">
        <f>NÓMINA!I22</f>
        <v>0</v>
      </c>
      <c r="I14" s="287">
        <f>NÓMINA!J22</f>
        <v>0</v>
      </c>
      <c r="J14" s="287">
        <f>NÓMINA!K22</f>
        <v>0</v>
      </c>
      <c r="K14" s="287">
        <f>NÓMINA!L22</f>
        <v>0</v>
      </c>
      <c r="L14" s="287">
        <f>NÓMINA!M22</f>
        <v>0</v>
      </c>
      <c r="M14" s="287">
        <f>NÓMINA!N22</f>
        <v>0</v>
      </c>
      <c r="N14" s="287">
        <f>NÓMINA!O22</f>
        <v>0</v>
      </c>
      <c r="O14" s="287">
        <f>NÓMINA!P22</f>
        <v>0</v>
      </c>
      <c r="P14" s="287">
        <f>NÓMINA!Q22</f>
        <v>0</v>
      </c>
      <c r="Q14" s="287">
        <f>NÓMINA!R22</f>
        <v>0</v>
      </c>
      <c r="R14" s="287">
        <f>NÓMINA!S22</f>
        <v>0</v>
      </c>
      <c r="S14" s="287">
        <f>NÓMINA!T22</f>
        <v>0</v>
      </c>
      <c r="T14" s="287">
        <f>NÓMINA!U22</f>
        <v>0</v>
      </c>
      <c r="U14" s="287">
        <f>NÓMINA!V22</f>
        <v>0</v>
      </c>
      <c r="V14" s="287">
        <f>NÓMINA!W22</f>
        <v>0</v>
      </c>
      <c r="W14" s="287">
        <f>NÓMINA!X22</f>
        <v>0</v>
      </c>
      <c r="X14" s="287">
        <f>NÓMINA!Y22</f>
        <v>0</v>
      </c>
      <c r="Y14" s="287">
        <f>NÓMINA!Z22</f>
        <v>0</v>
      </c>
      <c r="Z14" s="287">
        <f>NÓMINA!AA22</f>
        <v>0</v>
      </c>
      <c r="AA14" s="287">
        <f>NÓMINA!AB22</f>
        <v>0</v>
      </c>
      <c r="AB14" s="287">
        <f>NÓMINA!AC22</f>
        <v>0</v>
      </c>
      <c r="AC14" s="287">
        <f>NÓMINA!AD22</f>
        <v>0</v>
      </c>
      <c r="AD14" s="287">
        <f>NÓMINA!AE22</f>
        <v>0</v>
      </c>
      <c r="AE14" s="287">
        <f>NÓMINA!AF22</f>
        <v>0</v>
      </c>
      <c r="AF14" s="287">
        <f>PARAFISCALES!F22</f>
        <v>0</v>
      </c>
      <c r="AG14" s="287">
        <f>PARAFISCALES!G22</f>
        <v>0</v>
      </c>
      <c r="AH14" s="287">
        <f>PARAFISCALES!H22</f>
        <v>0</v>
      </c>
      <c r="AI14" s="287">
        <f>PARAFISCALES!I22</f>
        <v>0</v>
      </c>
      <c r="AJ14" s="287">
        <f>PARAFISCALES!J22</f>
        <v>0</v>
      </c>
      <c r="AK14" s="287">
        <f>SUM(Tabla12[[#This Row],[Parafiscales Salud]:[Parafiscales ICBF]])</f>
        <v>0</v>
      </c>
      <c r="AL14" s="287">
        <f>PARAFISCALES!K22</f>
        <v>0</v>
      </c>
      <c r="AM14" s="287">
        <f>PROVISIONES!E23</f>
        <v>0</v>
      </c>
      <c r="AN14" s="287">
        <f>PROVISIONES!F23</f>
        <v>0</v>
      </c>
      <c r="AO14" s="287">
        <f>PROVISIONES!G23</f>
        <v>0</v>
      </c>
      <c r="AP14" s="287">
        <f>PROVISIONES!H23</f>
        <v>0</v>
      </c>
      <c r="AQ14" s="290">
        <f>SUM(Tabla12[[#This Row],[Provisiones Cesantias]:[Provisiones Vacaciones]])</f>
        <v>0</v>
      </c>
      <c r="AR14" s="285"/>
      <c r="AS14" s="285"/>
      <c r="AT14" s="285"/>
      <c r="AU14" s="285"/>
      <c r="AV14" s="285"/>
    </row>
    <row r="15" spans="1:48">
      <c r="A15" s="284">
        <f>NÓMINA!B23</f>
        <v>0</v>
      </c>
      <c r="B15" s="285">
        <f>NÓMINA!C23</f>
        <v>0</v>
      </c>
      <c r="C15" s="285">
        <f>NÓMINA!D23</f>
        <v>0</v>
      </c>
      <c r="D15" s="286">
        <f>NÓMINA!E23</f>
        <v>0</v>
      </c>
      <c r="E15" s="285">
        <f>NÓMINA!F23</f>
        <v>0</v>
      </c>
      <c r="F15" s="285">
        <f>NÓMINA!G23</f>
        <v>0</v>
      </c>
      <c r="G15" s="287">
        <f>NÓMINA!H23</f>
        <v>0</v>
      </c>
      <c r="H15" s="287">
        <f>NÓMINA!I23</f>
        <v>0</v>
      </c>
      <c r="I15" s="287">
        <f>NÓMINA!J23</f>
        <v>0</v>
      </c>
      <c r="J15" s="287">
        <f>NÓMINA!K23</f>
        <v>0</v>
      </c>
      <c r="K15" s="287">
        <f>NÓMINA!L23</f>
        <v>0</v>
      </c>
      <c r="L15" s="287">
        <f>NÓMINA!M23</f>
        <v>0</v>
      </c>
      <c r="M15" s="287">
        <f>NÓMINA!N23</f>
        <v>0</v>
      </c>
      <c r="N15" s="287">
        <f>NÓMINA!O23</f>
        <v>0</v>
      </c>
      <c r="O15" s="287">
        <f>NÓMINA!P23</f>
        <v>0</v>
      </c>
      <c r="P15" s="287">
        <f>NÓMINA!Q23</f>
        <v>0</v>
      </c>
      <c r="Q15" s="287">
        <f>NÓMINA!R23</f>
        <v>0</v>
      </c>
      <c r="R15" s="287">
        <f>NÓMINA!S23</f>
        <v>0</v>
      </c>
      <c r="S15" s="287">
        <f>NÓMINA!T23</f>
        <v>0</v>
      </c>
      <c r="T15" s="287">
        <f>NÓMINA!U23</f>
        <v>0</v>
      </c>
      <c r="U15" s="287">
        <f>NÓMINA!V23</f>
        <v>0</v>
      </c>
      <c r="V15" s="287">
        <f>NÓMINA!W23</f>
        <v>0</v>
      </c>
      <c r="W15" s="287">
        <f>NÓMINA!X23</f>
        <v>0</v>
      </c>
      <c r="X15" s="287">
        <f>NÓMINA!Y23</f>
        <v>0</v>
      </c>
      <c r="Y15" s="287">
        <f>NÓMINA!Z23</f>
        <v>0</v>
      </c>
      <c r="Z15" s="287">
        <f>NÓMINA!AA23</f>
        <v>0</v>
      </c>
      <c r="AA15" s="287">
        <f>NÓMINA!AB23</f>
        <v>0</v>
      </c>
      <c r="AB15" s="287">
        <f>NÓMINA!AC23</f>
        <v>0</v>
      </c>
      <c r="AC15" s="287">
        <f>NÓMINA!AD23</f>
        <v>0</v>
      </c>
      <c r="AD15" s="287">
        <f>NÓMINA!AE23</f>
        <v>0</v>
      </c>
      <c r="AE15" s="287">
        <f>NÓMINA!AF23</f>
        <v>0</v>
      </c>
      <c r="AF15" s="287">
        <f>PARAFISCALES!F23</f>
        <v>0</v>
      </c>
      <c r="AG15" s="287">
        <f>PARAFISCALES!G23</f>
        <v>0</v>
      </c>
      <c r="AH15" s="287">
        <f>PARAFISCALES!H23</f>
        <v>0</v>
      </c>
      <c r="AI15" s="287">
        <f>PARAFISCALES!I23</f>
        <v>0</v>
      </c>
      <c r="AJ15" s="287">
        <f>PARAFISCALES!J23</f>
        <v>0</v>
      </c>
      <c r="AK15" s="287">
        <f>SUM(Tabla12[[#This Row],[Parafiscales Salud]:[Parafiscales ICBF]])</f>
        <v>0</v>
      </c>
      <c r="AL15" s="287">
        <f>PARAFISCALES!K23</f>
        <v>0</v>
      </c>
      <c r="AM15" s="287">
        <f>PROVISIONES!E24</f>
        <v>0</v>
      </c>
      <c r="AN15" s="287">
        <f>PROVISIONES!F24</f>
        <v>0</v>
      </c>
      <c r="AO15" s="287">
        <f>PROVISIONES!G24</f>
        <v>0</v>
      </c>
      <c r="AP15" s="287">
        <f>PROVISIONES!H24</f>
        <v>0</v>
      </c>
      <c r="AQ15" s="290">
        <f>SUM(Tabla12[[#This Row],[Provisiones Cesantias]:[Provisiones Vacaciones]])</f>
        <v>0</v>
      </c>
      <c r="AR15" s="285"/>
      <c r="AS15" s="285"/>
      <c r="AT15" s="285"/>
      <c r="AU15" s="285"/>
      <c r="AV15" s="285"/>
    </row>
    <row r="16" spans="1:48">
      <c r="A16" s="284">
        <f>NÓMINA!B24</f>
        <v>0</v>
      </c>
      <c r="B16" s="285">
        <f>NÓMINA!C24</f>
        <v>0</v>
      </c>
      <c r="C16" s="285">
        <f>NÓMINA!D24</f>
        <v>0</v>
      </c>
      <c r="D16" s="286">
        <f>NÓMINA!E24</f>
        <v>0</v>
      </c>
      <c r="E16" s="285">
        <f>NÓMINA!F24</f>
        <v>0</v>
      </c>
      <c r="F16" s="285">
        <f>NÓMINA!G24</f>
        <v>0</v>
      </c>
      <c r="G16" s="287">
        <f>NÓMINA!H24</f>
        <v>0</v>
      </c>
      <c r="H16" s="287">
        <f>NÓMINA!I24</f>
        <v>0</v>
      </c>
      <c r="I16" s="287">
        <f>NÓMINA!J24</f>
        <v>0</v>
      </c>
      <c r="J16" s="287">
        <f>NÓMINA!K24</f>
        <v>0</v>
      </c>
      <c r="K16" s="287">
        <f>NÓMINA!L24</f>
        <v>0</v>
      </c>
      <c r="L16" s="287">
        <f>NÓMINA!M24</f>
        <v>0</v>
      </c>
      <c r="M16" s="287">
        <f>NÓMINA!N24</f>
        <v>0</v>
      </c>
      <c r="N16" s="287">
        <f>NÓMINA!O24</f>
        <v>0</v>
      </c>
      <c r="O16" s="287">
        <f>NÓMINA!P24</f>
        <v>0</v>
      </c>
      <c r="P16" s="287">
        <f>NÓMINA!Q24</f>
        <v>0</v>
      </c>
      <c r="Q16" s="287">
        <f>NÓMINA!R24</f>
        <v>0</v>
      </c>
      <c r="R16" s="287">
        <f>NÓMINA!S24</f>
        <v>0</v>
      </c>
      <c r="S16" s="287">
        <f>NÓMINA!T24</f>
        <v>0</v>
      </c>
      <c r="T16" s="287">
        <f>NÓMINA!U24</f>
        <v>0</v>
      </c>
      <c r="U16" s="287">
        <f>NÓMINA!V24</f>
        <v>0</v>
      </c>
      <c r="V16" s="287">
        <f>NÓMINA!W24</f>
        <v>0</v>
      </c>
      <c r="W16" s="287">
        <f>NÓMINA!X24</f>
        <v>0</v>
      </c>
      <c r="X16" s="287">
        <f>NÓMINA!Y24</f>
        <v>0</v>
      </c>
      <c r="Y16" s="287">
        <f>NÓMINA!Z24</f>
        <v>0</v>
      </c>
      <c r="Z16" s="287">
        <f>NÓMINA!AA24</f>
        <v>0</v>
      </c>
      <c r="AA16" s="287">
        <f>NÓMINA!AB24</f>
        <v>0</v>
      </c>
      <c r="AB16" s="287">
        <f>NÓMINA!AC24</f>
        <v>0</v>
      </c>
      <c r="AC16" s="287">
        <f>NÓMINA!AD24</f>
        <v>0</v>
      </c>
      <c r="AD16" s="287">
        <f>NÓMINA!AE24</f>
        <v>0</v>
      </c>
      <c r="AE16" s="287">
        <f>NÓMINA!AF24</f>
        <v>0</v>
      </c>
      <c r="AF16" s="287">
        <f>PARAFISCALES!F24</f>
        <v>0</v>
      </c>
      <c r="AG16" s="287">
        <f>PARAFISCALES!G24</f>
        <v>0</v>
      </c>
      <c r="AH16" s="287">
        <f>PARAFISCALES!H24</f>
        <v>0</v>
      </c>
      <c r="AI16" s="287">
        <f>PARAFISCALES!I24</f>
        <v>0</v>
      </c>
      <c r="AJ16" s="287">
        <f>PARAFISCALES!J24</f>
        <v>0</v>
      </c>
      <c r="AK16" s="287">
        <f>SUM(Tabla12[[#This Row],[Parafiscales Salud]:[Parafiscales ICBF]])</f>
        <v>0</v>
      </c>
      <c r="AL16" s="287">
        <f>PARAFISCALES!K24</f>
        <v>0</v>
      </c>
      <c r="AM16" s="287">
        <f>PROVISIONES!E25</f>
        <v>0</v>
      </c>
      <c r="AN16" s="287">
        <f>PROVISIONES!F25</f>
        <v>0</v>
      </c>
      <c r="AO16" s="287">
        <f>PROVISIONES!G25</f>
        <v>0</v>
      </c>
      <c r="AP16" s="287">
        <f>PROVISIONES!H25</f>
        <v>0</v>
      </c>
      <c r="AQ16" s="290">
        <f>SUM(Tabla12[[#This Row],[Provisiones Cesantias]:[Provisiones Vacaciones]])</f>
        <v>0</v>
      </c>
      <c r="AR16" s="285"/>
      <c r="AS16" s="285"/>
      <c r="AT16" s="285"/>
      <c r="AU16" s="285"/>
      <c r="AV16" s="285"/>
    </row>
    <row r="17" spans="1:48">
      <c r="A17" s="284">
        <f>NÓMINA!B25</f>
        <v>0</v>
      </c>
      <c r="B17" s="285">
        <f>NÓMINA!C25</f>
        <v>0</v>
      </c>
      <c r="C17" s="285">
        <f>NÓMINA!D25</f>
        <v>0</v>
      </c>
      <c r="D17" s="286">
        <f>NÓMINA!E25</f>
        <v>0</v>
      </c>
      <c r="E17" s="285">
        <f>NÓMINA!F25</f>
        <v>0</v>
      </c>
      <c r="F17" s="285">
        <f>NÓMINA!G25</f>
        <v>0</v>
      </c>
      <c r="G17" s="287">
        <f>NÓMINA!H25</f>
        <v>0</v>
      </c>
      <c r="H17" s="287">
        <f>NÓMINA!I25</f>
        <v>0</v>
      </c>
      <c r="I17" s="287">
        <f>NÓMINA!J25</f>
        <v>0</v>
      </c>
      <c r="J17" s="287">
        <f>NÓMINA!K25</f>
        <v>0</v>
      </c>
      <c r="K17" s="287">
        <f>NÓMINA!L25</f>
        <v>0</v>
      </c>
      <c r="L17" s="287">
        <f>NÓMINA!M25</f>
        <v>0</v>
      </c>
      <c r="M17" s="287">
        <f>NÓMINA!N25</f>
        <v>0</v>
      </c>
      <c r="N17" s="287">
        <f>NÓMINA!O25</f>
        <v>0</v>
      </c>
      <c r="O17" s="287">
        <f>NÓMINA!P25</f>
        <v>0</v>
      </c>
      <c r="P17" s="287">
        <f>NÓMINA!Q25</f>
        <v>0</v>
      </c>
      <c r="Q17" s="287">
        <f>NÓMINA!R25</f>
        <v>0</v>
      </c>
      <c r="R17" s="287">
        <f>NÓMINA!S25</f>
        <v>0</v>
      </c>
      <c r="S17" s="287">
        <f>NÓMINA!T25</f>
        <v>0</v>
      </c>
      <c r="T17" s="287">
        <f>NÓMINA!U25</f>
        <v>0</v>
      </c>
      <c r="U17" s="287">
        <f>NÓMINA!V25</f>
        <v>0</v>
      </c>
      <c r="V17" s="287">
        <f>NÓMINA!W25</f>
        <v>0</v>
      </c>
      <c r="W17" s="287">
        <f>NÓMINA!X25</f>
        <v>0</v>
      </c>
      <c r="X17" s="287">
        <f>NÓMINA!Y25</f>
        <v>0</v>
      </c>
      <c r="Y17" s="287">
        <f>NÓMINA!Z25</f>
        <v>0</v>
      </c>
      <c r="Z17" s="287">
        <f>NÓMINA!AA25</f>
        <v>0</v>
      </c>
      <c r="AA17" s="287">
        <f>NÓMINA!AB25</f>
        <v>0</v>
      </c>
      <c r="AB17" s="287">
        <f>NÓMINA!AC25</f>
        <v>0</v>
      </c>
      <c r="AC17" s="287">
        <f>NÓMINA!AD25</f>
        <v>0</v>
      </c>
      <c r="AD17" s="287">
        <f>NÓMINA!AE25</f>
        <v>0</v>
      </c>
      <c r="AE17" s="287">
        <f>NÓMINA!AF25</f>
        <v>0</v>
      </c>
      <c r="AF17" s="287">
        <f>PARAFISCALES!F25</f>
        <v>0</v>
      </c>
      <c r="AG17" s="287">
        <f>PARAFISCALES!G25</f>
        <v>0</v>
      </c>
      <c r="AH17" s="287">
        <f>PARAFISCALES!H25</f>
        <v>0</v>
      </c>
      <c r="AI17" s="287">
        <f>PARAFISCALES!I25</f>
        <v>0</v>
      </c>
      <c r="AJ17" s="287">
        <f>PARAFISCALES!J25</f>
        <v>0</v>
      </c>
      <c r="AK17" s="287">
        <f>SUM(Tabla12[[#This Row],[Parafiscales Salud]:[Parafiscales ICBF]])</f>
        <v>0</v>
      </c>
      <c r="AL17" s="287">
        <f>PARAFISCALES!K25</f>
        <v>0</v>
      </c>
      <c r="AM17" s="287">
        <f>PROVISIONES!E26</f>
        <v>0</v>
      </c>
      <c r="AN17" s="287">
        <f>PROVISIONES!F26</f>
        <v>0</v>
      </c>
      <c r="AO17" s="287">
        <f>PROVISIONES!G26</f>
        <v>0</v>
      </c>
      <c r="AP17" s="287">
        <f>PROVISIONES!H26</f>
        <v>0</v>
      </c>
      <c r="AQ17" s="290">
        <f>SUM(Tabla12[[#This Row],[Provisiones Cesantias]:[Provisiones Vacaciones]])</f>
        <v>0</v>
      </c>
      <c r="AR17" s="285"/>
      <c r="AS17" s="285"/>
      <c r="AT17" s="285"/>
      <c r="AU17" s="285"/>
      <c r="AV17" s="285"/>
    </row>
    <row r="18" spans="1:48">
      <c r="A18" s="284">
        <f>NÓMINA!B26</f>
        <v>0</v>
      </c>
      <c r="B18" s="285">
        <f>NÓMINA!C26</f>
        <v>0</v>
      </c>
      <c r="C18" s="285">
        <f>NÓMINA!D26</f>
        <v>0</v>
      </c>
      <c r="D18" s="286">
        <f>NÓMINA!E26</f>
        <v>0</v>
      </c>
      <c r="E18" s="285">
        <f>NÓMINA!F26</f>
        <v>0</v>
      </c>
      <c r="F18" s="285">
        <f>NÓMINA!G26</f>
        <v>0</v>
      </c>
      <c r="G18" s="287">
        <f>NÓMINA!H26</f>
        <v>0</v>
      </c>
      <c r="H18" s="287">
        <f>NÓMINA!I26</f>
        <v>0</v>
      </c>
      <c r="I18" s="287">
        <f>NÓMINA!J26</f>
        <v>0</v>
      </c>
      <c r="J18" s="287">
        <f>NÓMINA!K26</f>
        <v>0</v>
      </c>
      <c r="K18" s="287">
        <f>NÓMINA!L26</f>
        <v>0</v>
      </c>
      <c r="L18" s="287">
        <f>NÓMINA!M26</f>
        <v>0</v>
      </c>
      <c r="M18" s="287">
        <f>NÓMINA!N26</f>
        <v>0</v>
      </c>
      <c r="N18" s="287">
        <f>NÓMINA!O26</f>
        <v>0</v>
      </c>
      <c r="O18" s="287">
        <f>NÓMINA!P26</f>
        <v>0</v>
      </c>
      <c r="P18" s="287">
        <f>NÓMINA!Q26</f>
        <v>0</v>
      </c>
      <c r="Q18" s="287">
        <f>NÓMINA!R26</f>
        <v>0</v>
      </c>
      <c r="R18" s="287">
        <f>NÓMINA!S26</f>
        <v>0</v>
      </c>
      <c r="S18" s="287">
        <f>NÓMINA!T26</f>
        <v>0</v>
      </c>
      <c r="T18" s="287">
        <f>NÓMINA!U26</f>
        <v>0</v>
      </c>
      <c r="U18" s="287">
        <f>NÓMINA!V26</f>
        <v>0</v>
      </c>
      <c r="V18" s="287">
        <f>NÓMINA!W26</f>
        <v>0</v>
      </c>
      <c r="W18" s="287">
        <f>NÓMINA!X26</f>
        <v>0</v>
      </c>
      <c r="X18" s="287">
        <f>NÓMINA!Y26</f>
        <v>0</v>
      </c>
      <c r="Y18" s="287">
        <f>NÓMINA!Z26</f>
        <v>0</v>
      </c>
      <c r="Z18" s="287">
        <f>NÓMINA!AA26</f>
        <v>0</v>
      </c>
      <c r="AA18" s="287">
        <f>NÓMINA!AB26</f>
        <v>0</v>
      </c>
      <c r="AB18" s="287">
        <f>NÓMINA!AC26</f>
        <v>0</v>
      </c>
      <c r="AC18" s="287">
        <f>NÓMINA!AD26</f>
        <v>0</v>
      </c>
      <c r="AD18" s="287">
        <f>NÓMINA!AE26</f>
        <v>0</v>
      </c>
      <c r="AE18" s="287">
        <f>NÓMINA!AF26</f>
        <v>0</v>
      </c>
      <c r="AF18" s="287">
        <f>PARAFISCALES!F26</f>
        <v>0</v>
      </c>
      <c r="AG18" s="287">
        <f>PARAFISCALES!G26</f>
        <v>0</v>
      </c>
      <c r="AH18" s="287">
        <f>PARAFISCALES!H26</f>
        <v>0</v>
      </c>
      <c r="AI18" s="287">
        <f>PARAFISCALES!I26</f>
        <v>0</v>
      </c>
      <c r="AJ18" s="287">
        <f>PARAFISCALES!J26</f>
        <v>0</v>
      </c>
      <c r="AK18" s="287">
        <f>SUM(Tabla12[[#This Row],[Parafiscales Salud]:[Parafiscales ICBF]])</f>
        <v>0</v>
      </c>
      <c r="AL18" s="287">
        <f>PARAFISCALES!K26</f>
        <v>0</v>
      </c>
      <c r="AM18" s="287">
        <f>PROVISIONES!E27</f>
        <v>0</v>
      </c>
      <c r="AN18" s="287">
        <f>PROVISIONES!F27</f>
        <v>0</v>
      </c>
      <c r="AO18" s="287">
        <f>PROVISIONES!G27</f>
        <v>0</v>
      </c>
      <c r="AP18" s="287">
        <f>PROVISIONES!H27</f>
        <v>0</v>
      </c>
      <c r="AQ18" s="290">
        <f>SUM(Tabla12[[#This Row],[Provisiones Cesantias]:[Provisiones Vacaciones]])</f>
        <v>0</v>
      </c>
      <c r="AR18" s="285"/>
      <c r="AS18" s="285"/>
      <c r="AT18" s="285"/>
      <c r="AU18" s="285"/>
      <c r="AV18" s="285"/>
    </row>
    <row r="19" spans="1:48">
      <c r="A19" s="284">
        <f>NÓMINA!B27</f>
        <v>0</v>
      </c>
      <c r="B19" s="285">
        <f>NÓMINA!C27</f>
        <v>0</v>
      </c>
      <c r="C19" s="285">
        <f>NÓMINA!D27</f>
        <v>0</v>
      </c>
      <c r="D19" s="286">
        <f>NÓMINA!E27</f>
        <v>0</v>
      </c>
      <c r="E19" s="285">
        <f>NÓMINA!F27</f>
        <v>0</v>
      </c>
      <c r="F19" s="285">
        <f>NÓMINA!G27</f>
        <v>0</v>
      </c>
      <c r="G19" s="287">
        <f>NÓMINA!H27</f>
        <v>0</v>
      </c>
      <c r="H19" s="287">
        <f>NÓMINA!I27</f>
        <v>0</v>
      </c>
      <c r="I19" s="287">
        <f>NÓMINA!J27</f>
        <v>0</v>
      </c>
      <c r="J19" s="287">
        <f>NÓMINA!K27</f>
        <v>0</v>
      </c>
      <c r="K19" s="287">
        <f>NÓMINA!L27</f>
        <v>0</v>
      </c>
      <c r="L19" s="287">
        <f>NÓMINA!M27</f>
        <v>0</v>
      </c>
      <c r="M19" s="287">
        <f>NÓMINA!N27</f>
        <v>0</v>
      </c>
      <c r="N19" s="287">
        <f>NÓMINA!O27</f>
        <v>0</v>
      </c>
      <c r="O19" s="287">
        <f>NÓMINA!P27</f>
        <v>0</v>
      </c>
      <c r="P19" s="287">
        <f>NÓMINA!Q27</f>
        <v>0</v>
      </c>
      <c r="Q19" s="287">
        <f>NÓMINA!R27</f>
        <v>0</v>
      </c>
      <c r="R19" s="287">
        <f>NÓMINA!S27</f>
        <v>0</v>
      </c>
      <c r="S19" s="287">
        <f>NÓMINA!T27</f>
        <v>0</v>
      </c>
      <c r="T19" s="287">
        <f>NÓMINA!U27</f>
        <v>0</v>
      </c>
      <c r="U19" s="287">
        <f>NÓMINA!V27</f>
        <v>0</v>
      </c>
      <c r="V19" s="287">
        <f>NÓMINA!W27</f>
        <v>0</v>
      </c>
      <c r="W19" s="287">
        <f>NÓMINA!X27</f>
        <v>0</v>
      </c>
      <c r="X19" s="287">
        <f>NÓMINA!Y27</f>
        <v>0</v>
      </c>
      <c r="Y19" s="287">
        <f>NÓMINA!Z27</f>
        <v>0</v>
      </c>
      <c r="Z19" s="287">
        <f>NÓMINA!AA27</f>
        <v>0</v>
      </c>
      <c r="AA19" s="287">
        <f>NÓMINA!AB27</f>
        <v>0</v>
      </c>
      <c r="AB19" s="287">
        <f>NÓMINA!AC27</f>
        <v>0</v>
      </c>
      <c r="AC19" s="287">
        <f>NÓMINA!AD27</f>
        <v>0</v>
      </c>
      <c r="AD19" s="287">
        <f>NÓMINA!AE27</f>
        <v>0</v>
      </c>
      <c r="AE19" s="287">
        <f>NÓMINA!AF27</f>
        <v>0</v>
      </c>
      <c r="AF19" s="287">
        <f>PARAFISCALES!F27</f>
        <v>0</v>
      </c>
      <c r="AG19" s="287">
        <f>PARAFISCALES!G27</f>
        <v>0</v>
      </c>
      <c r="AH19" s="287">
        <f>PARAFISCALES!H27</f>
        <v>0</v>
      </c>
      <c r="AI19" s="287">
        <f>PARAFISCALES!I27</f>
        <v>0</v>
      </c>
      <c r="AJ19" s="287">
        <f>PARAFISCALES!J27</f>
        <v>0</v>
      </c>
      <c r="AK19" s="287">
        <f>SUM(Tabla12[[#This Row],[Parafiscales Salud]:[Parafiscales ICBF]])</f>
        <v>0</v>
      </c>
      <c r="AL19" s="287">
        <f>PARAFISCALES!K27</f>
        <v>0</v>
      </c>
      <c r="AM19" s="287">
        <f>PROVISIONES!E28</f>
        <v>0</v>
      </c>
      <c r="AN19" s="287">
        <f>PROVISIONES!F28</f>
        <v>0</v>
      </c>
      <c r="AO19" s="287">
        <f>PROVISIONES!G28</f>
        <v>0</v>
      </c>
      <c r="AP19" s="287">
        <f>PROVISIONES!H28</f>
        <v>0</v>
      </c>
      <c r="AQ19" s="290">
        <f>SUM(Tabla12[[#This Row],[Provisiones Cesantias]:[Provisiones Vacaciones]])</f>
        <v>0</v>
      </c>
      <c r="AR19" s="285"/>
      <c r="AS19" s="285"/>
      <c r="AT19" s="285"/>
      <c r="AU19" s="285"/>
      <c r="AV19" s="285"/>
    </row>
    <row r="20" spans="1:48">
      <c r="A20" s="284">
        <f>NÓMINA!B28</f>
        <v>0</v>
      </c>
      <c r="B20" s="285">
        <f>NÓMINA!C28</f>
        <v>0</v>
      </c>
      <c r="C20" s="285">
        <f>NÓMINA!D28</f>
        <v>0</v>
      </c>
      <c r="D20" s="286">
        <f>NÓMINA!E28</f>
        <v>0</v>
      </c>
      <c r="E20" s="285">
        <f>NÓMINA!F28</f>
        <v>0</v>
      </c>
      <c r="F20" s="285">
        <f>NÓMINA!G28</f>
        <v>0</v>
      </c>
      <c r="G20" s="287">
        <f>NÓMINA!H28</f>
        <v>0</v>
      </c>
      <c r="H20" s="287">
        <f>NÓMINA!I28</f>
        <v>0</v>
      </c>
      <c r="I20" s="287">
        <f>NÓMINA!J28</f>
        <v>0</v>
      </c>
      <c r="J20" s="287">
        <f>NÓMINA!K28</f>
        <v>0</v>
      </c>
      <c r="K20" s="287">
        <f>NÓMINA!L28</f>
        <v>0</v>
      </c>
      <c r="L20" s="287">
        <f>NÓMINA!M28</f>
        <v>0</v>
      </c>
      <c r="M20" s="287">
        <f>NÓMINA!N28</f>
        <v>0</v>
      </c>
      <c r="N20" s="287">
        <f>NÓMINA!O28</f>
        <v>0</v>
      </c>
      <c r="O20" s="287">
        <f>NÓMINA!P28</f>
        <v>0</v>
      </c>
      <c r="P20" s="287">
        <f>NÓMINA!Q28</f>
        <v>0</v>
      </c>
      <c r="Q20" s="287">
        <f>NÓMINA!R28</f>
        <v>0</v>
      </c>
      <c r="R20" s="287">
        <f>NÓMINA!S28</f>
        <v>0</v>
      </c>
      <c r="S20" s="287">
        <f>NÓMINA!T28</f>
        <v>0</v>
      </c>
      <c r="T20" s="287">
        <f>NÓMINA!U28</f>
        <v>0</v>
      </c>
      <c r="U20" s="287">
        <f>NÓMINA!V28</f>
        <v>0</v>
      </c>
      <c r="V20" s="287">
        <f>NÓMINA!W28</f>
        <v>0</v>
      </c>
      <c r="W20" s="287">
        <f>NÓMINA!X28</f>
        <v>0</v>
      </c>
      <c r="X20" s="287">
        <f>NÓMINA!Y28</f>
        <v>0</v>
      </c>
      <c r="Y20" s="287">
        <f>NÓMINA!Z28</f>
        <v>0</v>
      </c>
      <c r="Z20" s="287">
        <f>NÓMINA!AA28</f>
        <v>0</v>
      </c>
      <c r="AA20" s="287">
        <f>NÓMINA!AB28</f>
        <v>0</v>
      </c>
      <c r="AB20" s="287">
        <f>NÓMINA!AC28</f>
        <v>0</v>
      </c>
      <c r="AC20" s="287">
        <f>NÓMINA!AD28</f>
        <v>0</v>
      </c>
      <c r="AD20" s="287">
        <f>NÓMINA!AE28</f>
        <v>0</v>
      </c>
      <c r="AE20" s="287">
        <f>NÓMINA!AF28</f>
        <v>0</v>
      </c>
      <c r="AF20" s="287">
        <f>PARAFISCALES!F28</f>
        <v>0</v>
      </c>
      <c r="AG20" s="287">
        <f>PARAFISCALES!G28</f>
        <v>0</v>
      </c>
      <c r="AH20" s="287">
        <f>PARAFISCALES!H28</f>
        <v>0</v>
      </c>
      <c r="AI20" s="287">
        <f>PARAFISCALES!I28</f>
        <v>0</v>
      </c>
      <c r="AJ20" s="287">
        <f>PARAFISCALES!J28</f>
        <v>0</v>
      </c>
      <c r="AK20" s="287">
        <f>SUM(Tabla12[[#This Row],[Parafiscales Salud]:[Parafiscales ICBF]])</f>
        <v>0</v>
      </c>
      <c r="AL20" s="287">
        <f>PARAFISCALES!K28</f>
        <v>0</v>
      </c>
      <c r="AM20" s="287">
        <f>PROVISIONES!E29</f>
        <v>0</v>
      </c>
      <c r="AN20" s="287">
        <f>PROVISIONES!F29</f>
        <v>0</v>
      </c>
      <c r="AO20" s="287">
        <f>PROVISIONES!G29</f>
        <v>0</v>
      </c>
      <c r="AP20" s="287">
        <f>PROVISIONES!H29</f>
        <v>0</v>
      </c>
      <c r="AQ20" s="290">
        <f>SUM(Tabla12[[#This Row],[Provisiones Cesantias]:[Provisiones Vacaciones]])</f>
        <v>0</v>
      </c>
      <c r="AR20" s="285"/>
      <c r="AS20" s="285"/>
      <c r="AT20" s="285"/>
      <c r="AU20" s="285"/>
      <c r="AV20" s="285"/>
    </row>
    <row r="21" spans="1:48">
      <c r="A21" s="284">
        <f>NÓMINA!B29</f>
        <v>0</v>
      </c>
      <c r="B21" s="285">
        <f>NÓMINA!C29</f>
        <v>0</v>
      </c>
      <c r="C21" s="285">
        <f>NÓMINA!D29</f>
        <v>0</v>
      </c>
      <c r="D21" s="286">
        <f>NÓMINA!E29</f>
        <v>0</v>
      </c>
      <c r="E21" s="285">
        <f>NÓMINA!F29</f>
        <v>0</v>
      </c>
      <c r="F21" s="285">
        <f>NÓMINA!G29</f>
        <v>0</v>
      </c>
      <c r="G21" s="287">
        <f>NÓMINA!H29</f>
        <v>0</v>
      </c>
      <c r="H21" s="287">
        <f>NÓMINA!I29</f>
        <v>0</v>
      </c>
      <c r="I21" s="287">
        <f>NÓMINA!J29</f>
        <v>0</v>
      </c>
      <c r="J21" s="287">
        <f>NÓMINA!K29</f>
        <v>0</v>
      </c>
      <c r="K21" s="287">
        <f>NÓMINA!L29</f>
        <v>0</v>
      </c>
      <c r="L21" s="287">
        <f>NÓMINA!M29</f>
        <v>0</v>
      </c>
      <c r="M21" s="287">
        <f>NÓMINA!N29</f>
        <v>0</v>
      </c>
      <c r="N21" s="287">
        <f>NÓMINA!O29</f>
        <v>0</v>
      </c>
      <c r="O21" s="287">
        <f>NÓMINA!P29</f>
        <v>0</v>
      </c>
      <c r="P21" s="287">
        <f>NÓMINA!Q29</f>
        <v>0</v>
      </c>
      <c r="Q21" s="287">
        <f>NÓMINA!R29</f>
        <v>0</v>
      </c>
      <c r="R21" s="287">
        <f>NÓMINA!S29</f>
        <v>0</v>
      </c>
      <c r="S21" s="287">
        <f>NÓMINA!T29</f>
        <v>0</v>
      </c>
      <c r="T21" s="287">
        <f>NÓMINA!U29</f>
        <v>0</v>
      </c>
      <c r="U21" s="287">
        <f>NÓMINA!V29</f>
        <v>0</v>
      </c>
      <c r="V21" s="287">
        <f>NÓMINA!W29</f>
        <v>0</v>
      </c>
      <c r="W21" s="287">
        <f>NÓMINA!X29</f>
        <v>0</v>
      </c>
      <c r="X21" s="287">
        <f>NÓMINA!Y29</f>
        <v>0</v>
      </c>
      <c r="Y21" s="287">
        <f>NÓMINA!Z29</f>
        <v>0</v>
      </c>
      <c r="Z21" s="287">
        <f>NÓMINA!AA29</f>
        <v>0</v>
      </c>
      <c r="AA21" s="287">
        <f>NÓMINA!AB29</f>
        <v>0</v>
      </c>
      <c r="AB21" s="287">
        <f>NÓMINA!AC29</f>
        <v>0</v>
      </c>
      <c r="AC21" s="287">
        <f>NÓMINA!AD29</f>
        <v>0</v>
      </c>
      <c r="AD21" s="287">
        <f>NÓMINA!AE29</f>
        <v>0</v>
      </c>
      <c r="AE21" s="287">
        <f>NÓMINA!AF29</f>
        <v>0</v>
      </c>
      <c r="AF21" s="287">
        <f>PARAFISCALES!F29</f>
        <v>0</v>
      </c>
      <c r="AG21" s="287">
        <f>PARAFISCALES!G29</f>
        <v>0</v>
      </c>
      <c r="AH21" s="287">
        <f>PARAFISCALES!H29</f>
        <v>0</v>
      </c>
      <c r="AI21" s="287">
        <f>PARAFISCALES!I29</f>
        <v>0</v>
      </c>
      <c r="AJ21" s="287">
        <f>PARAFISCALES!J29</f>
        <v>0</v>
      </c>
      <c r="AK21" s="287">
        <f>SUM(Tabla12[[#This Row],[Parafiscales Salud]:[Parafiscales ICBF]])</f>
        <v>0</v>
      </c>
      <c r="AL21" s="287">
        <f>PARAFISCALES!K29</f>
        <v>0</v>
      </c>
      <c r="AM21" s="287">
        <f>PROVISIONES!E30</f>
        <v>0</v>
      </c>
      <c r="AN21" s="287">
        <f>PROVISIONES!F30</f>
        <v>0</v>
      </c>
      <c r="AO21" s="287">
        <f>PROVISIONES!G30</f>
        <v>0</v>
      </c>
      <c r="AP21" s="287">
        <f>PROVISIONES!H30</f>
        <v>0</v>
      </c>
      <c r="AQ21" s="290">
        <f>SUM(Tabla12[[#This Row],[Provisiones Cesantias]:[Provisiones Vacaciones]])</f>
        <v>0</v>
      </c>
      <c r="AR21" s="285"/>
      <c r="AS21" s="285"/>
      <c r="AT21" s="285"/>
      <c r="AU21" s="285"/>
      <c r="AV21" s="285"/>
    </row>
    <row r="22" spans="1:48">
      <c r="A22" s="284">
        <f>NÓMINA!B30</f>
        <v>0</v>
      </c>
      <c r="B22" s="285">
        <f>NÓMINA!C30</f>
        <v>0</v>
      </c>
      <c r="C22" s="285">
        <f>NÓMINA!D30</f>
        <v>0</v>
      </c>
      <c r="D22" s="286">
        <f>NÓMINA!E30</f>
        <v>0</v>
      </c>
      <c r="E22" s="285">
        <f>NÓMINA!F30</f>
        <v>0</v>
      </c>
      <c r="F22" s="285">
        <f>NÓMINA!G30</f>
        <v>0</v>
      </c>
      <c r="G22" s="287">
        <f>NÓMINA!H30</f>
        <v>0</v>
      </c>
      <c r="H22" s="287">
        <f>NÓMINA!I30</f>
        <v>0</v>
      </c>
      <c r="I22" s="287">
        <f>NÓMINA!J30</f>
        <v>0</v>
      </c>
      <c r="J22" s="287">
        <f>NÓMINA!K30</f>
        <v>0</v>
      </c>
      <c r="K22" s="287">
        <f>NÓMINA!L30</f>
        <v>0</v>
      </c>
      <c r="L22" s="287">
        <f>NÓMINA!M30</f>
        <v>0</v>
      </c>
      <c r="M22" s="287">
        <f>NÓMINA!N30</f>
        <v>0</v>
      </c>
      <c r="N22" s="287">
        <f>NÓMINA!O30</f>
        <v>0</v>
      </c>
      <c r="O22" s="287">
        <f>NÓMINA!P30</f>
        <v>0</v>
      </c>
      <c r="P22" s="287">
        <f>NÓMINA!Q30</f>
        <v>0</v>
      </c>
      <c r="Q22" s="287">
        <f>NÓMINA!R30</f>
        <v>0</v>
      </c>
      <c r="R22" s="287">
        <f>NÓMINA!S30</f>
        <v>0</v>
      </c>
      <c r="S22" s="287">
        <f>NÓMINA!T30</f>
        <v>0</v>
      </c>
      <c r="T22" s="287">
        <f>NÓMINA!U30</f>
        <v>0</v>
      </c>
      <c r="U22" s="287">
        <f>NÓMINA!V30</f>
        <v>0</v>
      </c>
      <c r="V22" s="287">
        <f>NÓMINA!W30</f>
        <v>0</v>
      </c>
      <c r="W22" s="287">
        <f>NÓMINA!X30</f>
        <v>0</v>
      </c>
      <c r="X22" s="287">
        <f>NÓMINA!Y30</f>
        <v>0</v>
      </c>
      <c r="Y22" s="287">
        <f>NÓMINA!Z30</f>
        <v>0</v>
      </c>
      <c r="Z22" s="287">
        <f>NÓMINA!AA30</f>
        <v>0</v>
      </c>
      <c r="AA22" s="287">
        <f>NÓMINA!AB30</f>
        <v>0</v>
      </c>
      <c r="AB22" s="287">
        <f>NÓMINA!AC30</f>
        <v>0</v>
      </c>
      <c r="AC22" s="287">
        <f>NÓMINA!AD30</f>
        <v>0</v>
      </c>
      <c r="AD22" s="287">
        <f>NÓMINA!AE30</f>
        <v>0</v>
      </c>
      <c r="AE22" s="287">
        <f>NÓMINA!AF30</f>
        <v>0</v>
      </c>
      <c r="AF22" s="287">
        <f>PARAFISCALES!F30</f>
        <v>0</v>
      </c>
      <c r="AG22" s="287">
        <f>PARAFISCALES!G30</f>
        <v>0</v>
      </c>
      <c r="AH22" s="287">
        <f>PARAFISCALES!H30</f>
        <v>0</v>
      </c>
      <c r="AI22" s="287">
        <f>PARAFISCALES!I30</f>
        <v>0</v>
      </c>
      <c r="AJ22" s="287">
        <f>PARAFISCALES!J30</f>
        <v>0</v>
      </c>
      <c r="AK22" s="287">
        <f>SUM(Tabla12[[#This Row],[Parafiscales Salud]:[Parafiscales ICBF]])</f>
        <v>0</v>
      </c>
      <c r="AL22" s="287">
        <f>PARAFISCALES!K30</f>
        <v>0</v>
      </c>
      <c r="AM22" s="287">
        <f>PROVISIONES!E31</f>
        <v>0</v>
      </c>
      <c r="AN22" s="287">
        <f>PROVISIONES!F31</f>
        <v>0</v>
      </c>
      <c r="AO22" s="287">
        <f>PROVISIONES!G31</f>
        <v>0</v>
      </c>
      <c r="AP22" s="287">
        <f>PROVISIONES!H31</f>
        <v>0</v>
      </c>
      <c r="AQ22" s="290">
        <f>SUM(Tabla12[[#This Row],[Provisiones Cesantias]:[Provisiones Vacaciones]])</f>
        <v>0</v>
      </c>
      <c r="AR22" s="285"/>
      <c r="AS22" s="285"/>
      <c r="AT22" s="285"/>
      <c r="AU22" s="285"/>
      <c r="AV22" s="285"/>
    </row>
    <row r="23" spans="1:48">
      <c r="A23" s="284">
        <f>NÓMINA!B31</f>
        <v>0</v>
      </c>
      <c r="B23" s="285">
        <f>NÓMINA!C31</f>
        <v>0</v>
      </c>
      <c r="C23" s="285">
        <f>NÓMINA!D31</f>
        <v>0</v>
      </c>
      <c r="D23" s="286">
        <f>NÓMINA!E31</f>
        <v>0</v>
      </c>
      <c r="E23" s="285">
        <f>NÓMINA!F31</f>
        <v>0</v>
      </c>
      <c r="F23" s="285">
        <f>NÓMINA!G31</f>
        <v>0</v>
      </c>
      <c r="G23" s="287">
        <f>NÓMINA!H31</f>
        <v>0</v>
      </c>
      <c r="H23" s="287">
        <f>NÓMINA!I31</f>
        <v>0</v>
      </c>
      <c r="I23" s="287">
        <f>NÓMINA!J31</f>
        <v>0</v>
      </c>
      <c r="J23" s="287">
        <f>NÓMINA!K31</f>
        <v>0</v>
      </c>
      <c r="K23" s="287">
        <f>NÓMINA!L31</f>
        <v>0</v>
      </c>
      <c r="L23" s="287">
        <f>NÓMINA!M31</f>
        <v>0</v>
      </c>
      <c r="M23" s="287">
        <f>NÓMINA!N31</f>
        <v>0</v>
      </c>
      <c r="N23" s="287">
        <f>NÓMINA!O31</f>
        <v>0</v>
      </c>
      <c r="O23" s="287">
        <f>NÓMINA!P31</f>
        <v>0</v>
      </c>
      <c r="P23" s="287">
        <f>NÓMINA!Q31</f>
        <v>0</v>
      </c>
      <c r="Q23" s="287">
        <f>NÓMINA!R31</f>
        <v>0</v>
      </c>
      <c r="R23" s="287">
        <f>NÓMINA!S31</f>
        <v>0</v>
      </c>
      <c r="S23" s="287">
        <f>NÓMINA!T31</f>
        <v>0</v>
      </c>
      <c r="T23" s="287">
        <f>NÓMINA!U31</f>
        <v>0</v>
      </c>
      <c r="U23" s="287">
        <f>NÓMINA!V31</f>
        <v>0</v>
      </c>
      <c r="V23" s="287">
        <f>NÓMINA!W31</f>
        <v>0</v>
      </c>
      <c r="W23" s="287">
        <f>NÓMINA!X31</f>
        <v>0</v>
      </c>
      <c r="X23" s="287">
        <f>NÓMINA!Y31</f>
        <v>0</v>
      </c>
      <c r="Y23" s="287">
        <f>NÓMINA!Z31</f>
        <v>0</v>
      </c>
      <c r="Z23" s="287">
        <f>NÓMINA!AA31</f>
        <v>0</v>
      </c>
      <c r="AA23" s="287">
        <f>NÓMINA!AB31</f>
        <v>0</v>
      </c>
      <c r="AB23" s="287">
        <f>NÓMINA!AC31</f>
        <v>0</v>
      </c>
      <c r="AC23" s="287">
        <f>NÓMINA!AD31</f>
        <v>0</v>
      </c>
      <c r="AD23" s="287">
        <f>NÓMINA!AE31</f>
        <v>0</v>
      </c>
      <c r="AE23" s="287">
        <f>NÓMINA!AF31</f>
        <v>0</v>
      </c>
      <c r="AF23" s="287">
        <f>PARAFISCALES!F31</f>
        <v>0</v>
      </c>
      <c r="AG23" s="287">
        <f>PARAFISCALES!G31</f>
        <v>0</v>
      </c>
      <c r="AH23" s="287">
        <f>PARAFISCALES!H31</f>
        <v>0</v>
      </c>
      <c r="AI23" s="287">
        <f>PARAFISCALES!I31</f>
        <v>0</v>
      </c>
      <c r="AJ23" s="287">
        <f>PARAFISCALES!J31</f>
        <v>0</v>
      </c>
      <c r="AK23" s="287">
        <f>SUM(Tabla12[[#This Row],[Parafiscales Salud]:[Parafiscales ICBF]])</f>
        <v>0</v>
      </c>
      <c r="AL23" s="287">
        <f>PARAFISCALES!K31</f>
        <v>0</v>
      </c>
      <c r="AM23" s="287">
        <f>PROVISIONES!E32</f>
        <v>0</v>
      </c>
      <c r="AN23" s="287">
        <f>PROVISIONES!F32</f>
        <v>0</v>
      </c>
      <c r="AO23" s="287">
        <f>PROVISIONES!G32</f>
        <v>0</v>
      </c>
      <c r="AP23" s="287">
        <f>PROVISIONES!H32</f>
        <v>0</v>
      </c>
      <c r="AQ23" s="290">
        <f>SUM(Tabla12[[#This Row],[Provisiones Cesantias]:[Provisiones Vacaciones]])</f>
        <v>0</v>
      </c>
      <c r="AR23" s="285"/>
      <c r="AS23" s="285"/>
      <c r="AT23" s="285"/>
      <c r="AU23" s="285"/>
      <c r="AV23" s="285"/>
    </row>
    <row r="24" spans="1:48">
      <c r="A24" s="284">
        <f>NÓMINA!B32</f>
        <v>0</v>
      </c>
      <c r="B24" s="285">
        <f>NÓMINA!C32</f>
        <v>0</v>
      </c>
      <c r="C24" s="285">
        <f>NÓMINA!D32</f>
        <v>0</v>
      </c>
      <c r="D24" s="286">
        <f>NÓMINA!E32</f>
        <v>0</v>
      </c>
      <c r="E24" s="285">
        <f>NÓMINA!F32</f>
        <v>0</v>
      </c>
      <c r="F24" s="285">
        <f>NÓMINA!G32</f>
        <v>0</v>
      </c>
      <c r="G24" s="287">
        <f>NÓMINA!H32</f>
        <v>0</v>
      </c>
      <c r="H24" s="287">
        <f>NÓMINA!I32</f>
        <v>0</v>
      </c>
      <c r="I24" s="287">
        <f>NÓMINA!J32</f>
        <v>0</v>
      </c>
      <c r="J24" s="287">
        <f>NÓMINA!K32</f>
        <v>0</v>
      </c>
      <c r="K24" s="287">
        <f>NÓMINA!L32</f>
        <v>0</v>
      </c>
      <c r="L24" s="287">
        <f>NÓMINA!M32</f>
        <v>0</v>
      </c>
      <c r="M24" s="287">
        <f>NÓMINA!N32</f>
        <v>0</v>
      </c>
      <c r="N24" s="287">
        <f>NÓMINA!O32</f>
        <v>0</v>
      </c>
      <c r="O24" s="287">
        <f>NÓMINA!P32</f>
        <v>0</v>
      </c>
      <c r="P24" s="287">
        <f>NÓMINA!Q32</f>
        <v>0</v>
      </c>
      <c r="Q24" s="287">
        <f>NÓMINA!R32</f>
        <v>0</v>
      </c>
      <c r="R24" s="287">
        <f>NÓMINA!S32</f>
        <v>0</v>
      </c>
      <c r="S24" s="287">
        <f>NÓMINA!T32</f>
        <v>0</v>
      </c>
      <c r="T24" s="287">
        <f>NÓMINA!U32</f>
        <v>0</v>
      </c>
      <c r="U24" s="287">
        <f>NÓMINA!V32</f>
        <v>0</v>
      </c>
      <c r="V24" s="287">
        <f>NÓMINA!W32</f>
        <v>0</v>
      </c>
      <c r="W24" s="287">
        <f>NÓMINA!X32</f>
        <v>0</v>
      </c>
      <c r="X24" s="287">
        <f>NÓMINA!Y32</f>
        <v>0</v>
      </c>
      <c r="Y24" s="287">
        <f>NÓMINA!Z32</f>
        <v>0</v>
      </c>
      <c r="Z24" s="287">
        <f>NÓMINA!AA32</f>
        <v>0</v>
      </c>
      <c r="AA24" s="287">
        <f>NÓMINA!AB32</f>
        <v>0</v>
      </c>
      <c r="AB24" s="287">
        <f>NÓMINA!AC32</f>
        <v>0</v>
      </c>
      <c r="AC24" s="287">
        <f>NÓMINA!AD32</f>
        <v>0</v>
      </c>
      <c r="AD24" s="287">
        <f>NÓMINA!AE32</f>
        <v>0</v>
      </c>
      <c r="AE24" s="287">
        <f>NÓMINA!AF32</f>
        <v>0</v>
      </c>
      <c r="AF24" s="287">
        <f>PARAFISCALES!F32</f>
        <v>0</v>
      </c>
      <c r="AG24" s="287">
        <f>PARAFISCALES!G32</f>
        <v>0</v>
      </c>
      <c r="AH24" s="287">
        <f>PARAFISCALES!H32</f>
        <v>0</v>
      </c>
      <c r="AI24" s="287">
        <f>PARAFISCALES!I32</f>
        <v>0</v>
      </c>
      <c r="AJ24" s="287">
        <f>PARAFISCALES!J32</f>
        <v>0</v>
      </c>
      <c r="AK24" s="287">
        <f>SUM(Tabla12[[#This Row],[Parafiscales Salud]:[Parafiscales ICBF]])</f>
        <v>0</v>
      </c>
      <c r="AL24" s="287">
        <f>PARAFISCALES!K32</f>
        <v>0</v>
      </c>
      <c r="AM24" s="287">
        <f>PROVISIONES!E33</f>
        <v>0</v>
      </c>
      <c r="AN24" s="287">
        <f>PROVISIONES!F33</f>
        <v>0</v>
      </c>
      <c r="AO24" s="287">
        <f>PROVISIONES!G33</f>
        <v>0</v>
      </c>
      <c r="AP24" s="287">
        <f>PROVISIONES!H33</f>
        <v>0</v>
      </c>
      <c r="AQ24" s="290">
        <f>SUM(Tabla12[[#This Row],[Provisiones Cesantias]:[Provisiones Vacaciones]])</f>
        <v>0</v>
      </c>
      <c r="AR24" s="285"/>
      <c r="AS24" s="285"/>
      <c r="AT24" s="285"/>
      <c r="AU24" s="285"/>
      <c r="AV24" s="285"/>
    </row>
    <row r="25" spans="1:48">
      <c r="A25" s="284">
        <f>NÓMINA!B33</f>
        <v>0</v>
      </c>
      <c r="B25" s="285">
        <f>NÓMINA!C33</f>
        <v>0</v>
      </c>
      <c r="C25" s="285">
        <f>NÓMINA!D33</f>
        <v>0</v>
      </c>
      <c r="D25" s="286">
        <f>NÓMINA!E33</f>
        <v>0</v>
      </c>
      <c r="E25" s="285">
        <f>NÓMINA!F33</f>
        <v>0</v>
      </c>
      <c r="F25" s="285">
        <f>NÓMINA!G33</f>
        <v>0</v>
      </c>
      <c r="G25" s="287">
        <f>NÓMINA!H33</f>
        <v>0</v>
      </c>
      <c r="H25" s="287">
        <f>NÓMINA!I33</f>
        <v>0</v>
      </c>
      <c r="I25" s="287">
        <f>NÓMINA!J33</f>
        <v>0</v>
      </c>
      <c r="J25" s="287">
        <f>NÓMINA!K33</f>
        <v>0</v>
      </c>
      <c r="K25" s="287">
        <f>NÓMINA!L33</f>
        <v>0</v>
      </c>
      <c r="L25" s="287">
        <f>NÓMINA!M33</f>
        <v>0</v>
      </c>
      <c r="M25" s="287">
        <f>NÓMINA!N33</f>
        <v>0</v>
      </c>
      <c r="N25" s="287">
        <f>NÓMINA!O33</f>
        <v>0</v>
      </c>
      <c r="O25" s="287">
        <f>NÓMINA!P33</f>
        <v>0</v>
      </c>
      <c r="P25" s="287">
        <f>NÓMINA!Q33</f>
        <v>0</v>
      </c>
      <c r="Q25" s="287">
        <f>NÓMINA!R33</f>
        <v>0</v>
      </c>
      <c r="R25" s="287">
        <f>NÓMINA!S33</f>
        <v>0</v>
      </c>
      <c r="S25" s="287">
        <f>NÓMINA!T33</f>
        <v>0</v>
      </c>
      <c r="T25" s="287">
        <f>NÓMINA!U33</f>
        <v>0</v>
      </c>
      <c r="U25" s="287">
        <f>NÓMINA!V33</f>
        <v>0</v>
      </c>
      <c r="V25" s="287">
        <f>NÓMINA!W33</f>
        <v>0</v>
      </c>
      <c r="W25" s="287">
        <f>NÓMINA!X33</f>
        <v>0</v>
      </c>
      <c r="X25" s="287">
        <f>NÓMINA!Y33</f>
        <v>0</v>
      </c>
      <c r="Y25" s="287">
        <f>NÓMINA!Z33</f>
        <v>0</v>
      </c>
      <c r="Z25" s="287">
        <f>NÓMINA!AA33</f>
        <v>0</v>
      </c>
      <c r="AA25" s="287">
        <f>NÓMINA!AB33</f>
        <v>0</v>
      </c>
      <c r="AB25" s="287">
        <f>NÓMINA!AC33</f>
        <v>0</v>
      </c>
      <c r="AC25" s="287">
        <f>NÓMINA!AD33</f>
        <v>0</v>
      </c>
      <c r="AD25" s="287">
        <f>NÓMINA!AE33</f>
        <v>0</v>
      </c>
      <c r="AE25" s="287">
        <f>NÓMINA!AF33</f>
        <v>0</v>
      </c>
      <c r="AF25" s="287">
        <f>PARAFISCALES!F33</f>
        <v>0</v>
      </c>
      <c r="AG25" s="287">
        <f>PARAFISCALES!G33</f>
        <v>0</v>
      </c>
      <c r="AH25" s="287">
        <f>PARAFISCALES!H33</f>
        <v>0</v>
      </c>
      <c r="AI25" s="287">
        <f>PARAFISCALES!I33</f>
        <v>0</v>
      </c>
      <c r="AJ25" s="287">
        <f>PARAFISCALES!J33</f>
        <v>0</v>
      </c>
      <c r="AK25" s="287">
        <f>SUM(Tabla12[[#This Row],[Parafiscales Salud]:[Parafiscales ICBF]])</f>
        <v>0</v>
      </c>
      <c r="AL25" s="287">
        <f>PARAFISCALES!K33</f>
        <v>0</v>
      </c>
      <c r="AM25" s="287">
        <f>PROVISIONES!E34</f>
        <v>0</v>
      </c>
      <c r="AN25" s="287">
        <f>PROVISIONES!F34</f>
        <v>0</v>
      </c>
      <c r="AO25" s="287">
        <f>PROVISIONES!G34</f>
        <v>0</v>
      </c>
      <c r="AP25" s="287">
        <f>PROVISIONES!H34</f>
        <v>0</v>
      </c>
      <c r="AQ25" s="290">
        <f>SUM(Tabla12[[#This Row],[Provisiones Cesantias]:[Provisiones Vacaciones]])</f>
        <v>0</v>
      </c>
      <c r="AR25" s="285"/>
      <c r="AS25" s="285"/>
      <c r="AT25" s="285"/>
      <c r="AU25" s="285"/>
      <c r="AV25" s="285"/>
    </row>
    <row r="26" spans="1:48">
      <c r="A26" s="284">
        <f>NÓMINA!B34</f>
        <v>0</v>
      </c>
      <c r="B26" s="285">
        <f>NÓMINA!C34</f>
        <v>0</v>
      </c>
      <c r="C26" s="285">
        <f>NÓMINA!D34</f>
        <v>0</v>
      </c>
      <c r="D26" s="286">
        <f>NÓMINA!E34</f>
        <v>0</v>
      </c>
      <c r="E26" s="285">
        <f>NÓMINA!F34</f>
        <v>0</v>
      </c>
      <c r="F26" s="285">
        <f>NÓMINA!G34</f>
        <v>0</v>
      </c>
      <c r="G26" s="287">
        <f>NÓMINA!H34</f>
        <v>0</v>
      </c>
      <c r="H26" s="287">
        <f>NÓMINA!I34</f>
        <v>0</v>
      </c>
      <c r="I26" s="287">
        <f>NÓMINA!J34</f>
        <v>0</v>
      </c>
      <c r="J26" s="287">
        <f>NÓMINA!K34</f>
        <v>0</v>
      </c>
      <c r="K26" s="287">
        <f>NÓMINA!L34</f>
        <v>0</v>
      </c>
      <c r="L26" s="287">
        <f>NÓMINA!M34</f>
        <v>0</v>
      </c>
      <c r="M26" s="287">
        <f>NÓMINA!N34</f>
        <v>0</v>
      </c>
      <c r="N26" s="287">
        <f>NÓMINA!O34</f>
        <v>0</v>
      </c>
      <c r="O26" s="287">
        <f>NÓMINA!P34</f>
        <v>0</v>
      </c>
      <c r="P26" s="287">
        <f>NÓMINA!Q34</f>
        <v>0</v>
      </c>
      <c r="Q26" s="287">
        <f>NÓMINA!R34</f>
        <v>0</v>
      </c>
      <c r="R26" s="287">
        <f>NÓMINA!S34</f>
        <v>0</v>
      </c>
      <c r="S26" s="287">
        <f>NÓMINA!T34</f>
        <v>0</v>
      </c>
      <c r="T26" s="287">
        <f>NÓMINA!U34</f>
        <v>0</v>
      </c>
      <c r="U26" s="287">
        <f>NÓMINA!V34</f>
        <v>0</v>
      </c>
      <c r="V26" s="287">
        <f>NÓMINA!W34</f>
        <v>0</v>
      </c>
      <c r="W26" s="287">
        <f>NÓMINA!X34</f>
        <v>0</v>
      </c>
      <c r="X26" s="287">
        <f>NÓMINA!Y34</f>
        <v>0</v>
      </c>
      <c r="Y26" s="287">
        <f>NÓMINA!Z34</f>
        <v>0</v>
      </c>
      <c r="Z26" s="287">
        <f>NÓMINA!AA34</f>
        <v>0</v>
      </c>
      <c r="AA26" s="287">
        <f>NÓMINA!AB34</f>
        <v>0</v>
      </c>
      <c r="AB26" s="287">
        <f>NÓMINA!AC34</f>
        <v>0</v>
      </c>
      <c r="AC26" s="287">
        <f>NÓMINA!AD34</f>
        <v>0</v>
      </c>
      <c r="AD26" s="287">
        <f>NÓMINA!AE34</f>
        <v>0</v>
      </c>
      <c r="AE26" s="287">
        <f>NÓMINA!AF34</f>
        <v>0</v>
      </c>
      <c r="AF26" s="287">
        <f>PARAFISCALES!F34</f>
        <v>0</v>
      </c>
      <c r="AG26" s="287">
        <f>PARAFISCALES!G34</f>
        <v>0</v>
      </c>
      <c r="AH26" s="287">
        <f>PARAFISCALES!H34</f>
        <v>0</v>
      </c>
      <c r="AI26" s="287">
        <f>PARAFISCALES!I34</f>
        <v>0</v>
      </c>
      <c r="AJ26" s="287">
        <f>PARAFISCALES!J34</f>
        <v>0</v>
      </c>
      <c r="AK26" s="287">
        <f>SUM(Tabla12[[#This Row],[Parafiscales Salud]:[Parafiscales ICBF]])</f>
        <v>0</v>
      </c>
      <c r="AL26" s="287">
        <f>PARAFISCALES!K34</f>
        <v>0</v>
      </c>
      <c r="AM26" s="287">
        <f>PROVISIONES!E35</f>
        <v>0</v>
      </c>
      <c r="AN26" s="287">
        <f>PROVISIONES!F35</f>
        <v>0</v>
      </c>
      <c r="AO26" s="287">
        <f>PROVISIONES!G35</f>
        <v>0</v>
      </c>
      <c r="AP26" s="287">
        <f>PROVISIONES!H35</f>
        <v>0</v>
      </c>
      <c r="AQ26" s="290">
        <f>SUM(Tabla12[[#This Row],[Provisiones Cesantias]:[Provisiones Vacaciones]])</f>
        <v>0</v>
      </c>
      <c r="AR26" s="285"/>
      <c r="AS26" s="285"/>
      <c r="AT26" s="285"/>
      <c r="AU26" s="285"/>
      <c r="AV26" s="285"/>
    </row>
    <row r="27" spans="1:48">
      <c r="A27" s="284">
        <f>NÓMINA!B35</f>
        <v>0</v>
      </c>
      <c r="B27" s="285">
        <f>NÓMINA!C35</f>
        <v>0</v>
      </c>
      <c r="C27" s="285">
        <f>NÓMINA!D35</f>
        <v>0</v>
      </c>
      <c r="D27" s="286">
        <f>NÓMINA!E35</f>
        <v>0</v>
      </c>
      <c r="E27" s="285">
        <f>NÓMINA!F35</f>
        <v>0</v>
      </c>
      <c r="F27" s="285">
        <f>NÓMINA!G35</f>
        <v>0</v>
      </c>
      <c r="G27" s="287">
        <f>NÓMINA!H35</f>
        <v>0</v>
      </c>
      <c r="H27" s="287">
        <f>NÓMINA!I35</f>
        <v>0</v>
      </c>
      <c r="I27" s="287">
        <f>NÓMINA!J35</f>
        <v>0</v>
      </c>
      <c r="J27" s="287">
        <f>NÓMINA!K35</f>
        <v>0</v>
      </c>
      <c r="K27" s="287">
        <f>NÓMINA!L35</f>
        <v>0</v>
      </c>
      <c r="L27" s="287">
        <f>NÓMINA!M35</f>
        <v>0</v>
      </c>
      <c r="M27" s="287">
        <f>NÓMINA!N35</f>
        <v>0</v>
      </c>
      <c r="N27" s="287">
        <f>NÓMINA!O35</f>
        <v>0</v>
      </c>
      <c r="O27" s="287">
        <f>NÓMINA!P35</f>
        <v>0</v>
      </c>
      <c r="P27" s="287">
        <f>NÓMINA!Q35</f>
        <v>0</v>
      </c>
      <c r="Q27" s="287">
        <f>NÓMINA!R35</f>
        <v>0</v>
      </c>
      <c r="R27" s="287">
        <f>NÓMINA!S35</f>
        <v>0</v>
      </c>
      <c r="S27" s="287">
        <f>NÓMINA!T35</f>
        <v>0</v>
      </c>
      <c r="T27" s="287">
        <f>NÓMINA!U35</f>
        <v>0</v>
      </c>
      <c r="U27" s="287">
        <f>NÓMINA!V35</f>
        <v>0</v>
      </c>
      <c r="V27" s="287">
        <f>NÓMINA!W35</f>
        <v>0</v>
      </c>
      <c r="W27" s="287">
        <f>NÓMINA!X35</f>
        <v>0</v>
      </c>
      <c r="X27" s="287">
        <f>NÓMINA!Y35</f>
        <v>0</v>
      </c>
      <c r="Y27" s="287">
        <f>NÓMINA!Z35</f>
        <v>0</v>
      </c>
      <c r="Z27" s="287">
        <f>NÓMINA!AA35</f>
        <v>0</v>
      </c>
      <c r="AA27" s="287">
        <f>NÓMINA!AB35</f>
        <v>0</v>
      </c>
      <c r="AB27" s="287">
        <f>NÓMINA!AC35</f>
        <v>0</v>
      </c>
      <c r="AC27" s="287">
        <f>NÓMINA!AD35</f>
        <v>0</v>
      </c>
      <c r="AD27" s="287">
        <f>NÓMINA!AE35</f>
        <v>0</v>
      </c>
      <c r="AE27" s="287">
        <f>NÓMINA!AF35</f>
        <v>0</v>
      </c>
      <c r="AF27" s="287">
        <f>PARAFISCALES!F35</f>
        <v>0</v>
      </c>
      <c r="AG27" s="287">
        <f>PARAFISCALES!G35</f>
        <v>0</v>
      </c>
      <c r="AH27" s="287">
        <f>PARAFISCALES!H35</f>
        <v>0</v>
      </c>
      <c r="AI27" s="287">
        <f>PARAFISCALES!I35</f>
        <v>0</v>
      </c>
      <c r="AJ27" s="287">
        <f>PARAFISCALES!J35</f>
        <v>0</v>
      </c>
      <c r="AK27" s="287">
        <f>SUM(Tabla12[[#This Row],[Parafiscales Salud]:[Parafiscales ICBF]])</f>
        <v>0</v>
      </c>
      <c r="AL27" s="287">
        <f>PARAFISCALES!K35</f>
        <v>0</v>
      </c>
      <c r="AM27" s="287">
        <f>PROVISIONES!E36</f>
        <v>0</v>
      </c>
      <c r="AN27" s="287">
        <f>PROVISIONES!F36</f>
        <v>0</v>
      </c>
      <c r="AO27" s="287">
        <f>PROVISIONES!G36</f>
        <v>0</v>
      </c>
      <c r="AP27" s="287">
        <f>PROVISIONES!H36</f>
        <v>0</v>
      </c>
      <c r="AQ27" s="290">
        <f>SUM(Tabla12[[#This Row],[Provisiones Cesantias]:[Provisiones Vacaciones]])</f>
        <v>0</v>
      </c>
      <c r="AR27" s="285"/>
      <c r="AS27" s="285"/>
      <c r="AT27" s="285"/>
      <c r="AU27" s="285"/>
      <c r="AV27" s="285"/>
    </row>
    <row r="28" spans="1:48">
      <c r="A28" s="284">
        <f>NÓMINA!B36</f>
        <v>0</v>
      </c>
      <c r="B28" s="285">
        <f>NÓMINA!C36</f>
        <v>0</v>
      </c>
      <c r="C28" s="285">
        <f>NÓMINA!D36</f>
        <v>0</v>
      </c>
      <c r="D28" s="286">
        <f>NÓMINA!E36</f>
        <v>0</v>
      </c>
      <c r="E28" s="285">
        <f>NÓMINA!F36</f>
        <v>0</v>
      </c>
      <c r="F28" s="285">
        <f>NÓMINA!G36</f>
        <v>0</v>
      </c>
      <c r="G28" s="287">
        <f>NÓMINA!H36</f>
        <v>0</v>
      </c>
      <c r="H28" s="287">
        <f>NÓMINA!I36</f>
        <v>0</v>
      </c>
      <c r="I28" s="287">
        <f>NÓMINA!J36</f>
        <v>0</v>
      </c>
      <c r="J28" s="287">
        <f>NÓMINA!K36</f>
        <v>0</v>
      </c>
      <c r="K28" s="287">
        <f>NÓMINA!L36</f>
        <v>0</v>
      </c>
      <c r="L28" s="287">
        <f>NÓMINA!M36</f>
        <v>0</v>
      </c>
      <c r="M28" s="287">
        <f>NÓMINA!N36</f>
        <v>0</v>
      </c>
      <c r="N28" s="287">
        <f>NÓMINA!O36</f>
        <v>0</v>
      </c>
      <c r="O28" s="287">
        <f>NÓMINA!P36</f>
        <v>0</v>
      </c>
      <c r="P28" s="287">
        <f>NÓMINA!Q36</f>
        <v>0</v>
      </c>
      <c r="Q28" s="287">
        <f>NÓMINA!R36</f>
        <v>0</v>
      </c>
      <c r="R28" s="287">
        <f>NÓMINA!S36</f>
        <v>0</v>
      </c>
      <c r="S28" s="287">
        <f>NÓMINA!T36</f>
        <v>0</v>
      </c>
      <c r="T28" s="287">
        <f>NÓMINA!U36</f>
        <v>0</v>
      </c>
      <c r="U28" s="287">
        <f>NÓMINA!V36</f>
        <v>0</v>
      </c>
      <c r="V28" s="287">
        <f>NÓMINA!W36</f>
        <v>0</v>
      </c>
      <c r="W28" s="287">
        <f>NÓMINA!X36</f>
        <v>0</v>
      </c>
      <c r="X28" s="287">
        <f>NÓMINA!Y36</f>
        <v>0</v>
      </c>
      <c r="Y28" s="287">
        <f>NÓMINA!Z36</f>
        <v>0</v>
      </c>
      <c r="Z28" s="287">
        <f>NÓMINA!AA36</f>
        <v>0</v>
      </c>
      <c r="AA28" s="287">
        <f>NÓMINA!AB36</f>
        <v>0</v>
      </c>
      <c r="AB28" s="287">
        <f>NÓMINA!AC36</f>
        <v>0</v>
      </c>
      <c r="AC28" s="287">
        <f>NÓMINA!AD36</f>
        <v>0</v>
      </c>
      <c r="AD28" s="287">
        <f>NÓMINA!AE36</f>
        <v>0</v>
      </c>
      <c r="AE28" s="287">
        <f>NÓMINA!AF36</f>
        <v>0</v>
      </c>
      <c r="AF28" s="287">
        <f>PARAFISCALES!F36</f>
        <v>0</v>
      </c>
      <c r="AG28" s="287">
        <f>PARAFISCALES!G36</f>
        <v>0</v>
      </c>
      <c r="AH28" s="287">
        <f>PARAFISCALES!H36</f>
        <v>0</v>
      </c>
      <c r="AI28" s="287">
        <f>PARAFISCALES!I36</f>
        <v>0</v>
      </c>
      <c r="AJ28" s="287">
        <f>PARAFISCALES!J36</f>
        <v>0</v>
      </c>
      <c r="AK28" s="287">
        <f>SUM(Tabla12[[#This Row],[Parafiscales Salud]:[Parafiscales ICBF]])</f>
        <v>0</v>
      </c>
      <c r="AL28" s="287">
        <f>PARAFISCALES!K36</f>
        <v>0</v>
      </c>
      <c r="AM28" s="287">
        <f>PROVISIONES!E37</f>
        <v>0</v>
      </c>
      <c r="AN28" s="287">
        <f>PROVISIONES!F37</f>
        <v>0</v>
      </c>
      <c r="AO28" s="287">
        <f>PROVISIONES!G37</f>
        <v>0</v>
      </c>
      <c r="AP28" s="287">
        <f>PROVISIONES!H37</f>
        <v>0</v>
      </c>
      <c r="AQ28" s="290">
        <f>SUM(Tabla12[[#This Row],[Provisiones Cesantias]:[Provisiones Vacaciones]])</f>
        <v>0</v>
      </c>
      <c r="AR28" s="285"/>
      <c r="AS28" s="285"/>
      <c r="AT28" s="285"/>
      <c r="AU28" s="285"/>
      <c r="AV28" s="285"/>
    </row>
    <row r="29" spans="1:48">
      <c r="A29" s="284">
        <f>NÓMINA!B37</f>
        <v>0</v>
      </c>
      <c r="B29" s="285">
        <f>NÓMINA!C37</f>
        <v>0</v>
      </c>
      <c r="C29" s="285">
        <f>NÓMINA!D37</f>
        <v>0</v>
      </c>
      <c r="D29" s="286">
        <f>NÓMINA!E37</f>
        <v>0</v>
      </c>
      <c r="E29" s="285">
        <f>NÓMINA!F37</f>
        <v>0</v>
      </c>
      <c r="F29" s="285">
        <f>NÓMINA!G37</f>
        <v>0</v>
      </c>
      <c r="G29" s="287">
        <f>NÓMINA!H37</f>
        <v>0</v>
      </c>
      <c r="H29" s="287">
        <f>NÓMINA!I37</f>
        <v>0</v>
      </c>
      <c r="I29" s="287">
        <f>NÓMINA!J37</f>
        <v>0</v>
      </c>
      <c r="J29" s="287">
        <f>NÓMINA!K37</f>
        <v>0</v>
      </c>
      <c r="K29" s="287">
        <f>NÓMINA!L37</f>
        <v>0</v>
      </c>
      <c r="L29" s="287">
        <f>NÓMINA!M37</f>
        <v>0</v>
      </c>
      <c r="M29" s="287">
        <f>NÓMINA!N37</f>
        <v>0</v>
      </c>
      <c r="N29" s="287">
        <f>NÓMINA!O37</f>
        <v>0</v>
      </c>
      <c r="O29" s="287">
        <f>NÓMINA!P37</f>
        <v>0</v>
      </c>
      <c r="P29" s="287">
        <f>NÓMINA!Q37</f>
        <v>0</v>
      </c>
      <c r="Q29" s="287">
        <f>NÓMINA!R37</f>
        <v>0</v>
      </c>
      <c r="R29" s="287">
        <f>NÓMINA!S37</f>
        <v>0</v>
      </c>
      <c r="S29" s="287">
        <f>NÓMINA!T37</f>
        <v>0</v>
      </c>
      <c r="T29" s="287">
        <f>NÓMINA!U37</f>
        <v>0</v>
      </c>
      <c r="U29" s="287">
        <f>NÓMINA!V37</f>
        <v>0</v>
      </c>
      <c r="V29" s="287">
        <f>NÓMINA!W37</f>
        <v>0</v>
      </c>
      <c r="W29" s="287">
        <f>NÓMINA!X37</f>
        <v>0</v>
      </c>
      <c r="X29" s="287">
        <f>NÓMINA!Y37</f>
        <v>0</v>
      </c>
      <c r="Y29" s="287">
        <f>NÓMINA!Z37</f>
        <v>0</v>
      </c>
      <c r="Z29" s="287">
        <f>NÓMINA!AA37</f>
        <v>0</v>
      </c>
      <c r="AA29" s="287">
        <f>NÓMINA!AB37</f>
        <v>0</v>
      </c>
      <c r="AB29" s="287">
        <f>NÓMINA!AC37</f>
        <v>0</v>
      </c>
      <c r="AC29" s="287">
        <f>NÓMINA!AD37</f>
        <v>0</v>
      </c>
      <c r="AD29" s="287">
        <f>NÓMINA!AE37</f>
        <v>0</v>
      </c>
      <c r="AE29" s="287">
        <f>NÓMINA!AF37</f>
        <v>0</v>
      </c>
      <c r="AF29" s="287">
        <f>PARAFISCALES!F37</f>
        <v>0</v>
      </c>
      <c r="AG29" s="287">
        <f>PARAFISCALES!G37</f>
        <v>0</v>
      </c>
      <c r="AH29" s="287">
        <f>PARAFISCALES!H37</f>
        <v>0</v>
      </c>
      <c r="AI29" s="287">
        <f>PARAFISCALES!I37</f>
        <v>0</v>
      </c>
      <c r="AJ29" s="287">
        <f>PARAFISCALES!J37</f>
        <v>0</v>
      </c>
      <c r="AK29" s="287">
        <f>SUM(Tabla12[[#This Row],[Parafiscales Salud]:[Parafiscales ICBF]])</f>
        <v>0</v>
      </c>
      <c r="AL29" s="287">
        <f>PARAFISCALES!K37</f>
        <v>0</v>
      </c>
      <c r="AM29" s="287">
        <f>PROVISIONES!E38</f>
        <v>0</v>
      </c>
      <c r="AN29" s="287">
        <f>PROVISIONES!F38</f>
        <v>0</v>
      </c>
      <c r="AO29" s="287">
        <f>PROVISIONES!G38</f>
        <v>0</v>
      </c>
      <c r="AP29" s="287">
        <f>PROVISIONES!H38</f>
        <v>0</v>
      </c>
      <c r="AQ29" s="290">
        <f>SUM(Tabla12[[#This Row],[Provisiones Cesantias]:[Provisiones Vacaciones]])</f>
        <v>0</v>
      </c>
      <c r="AR29" s="285"/>
      <c r="AS29" s="285"/>
      <c r="AT29" s="285"/>
      <c r="AU29" s="285"/>
      <c r="AV29" s="285"/>
    </row>
    <row r="30" spans="1:48">
      <c r="A30" s="284">
        <f>NÓMINA!B38</f>
        <v>0</v>
      </c>
      <c r="B30" s="285">
        <f>NÓMINA!C38</f>
        <v>0</v>
      </c>
      <c r="C30" s="285">
        <f>NÓMINA!D38</f>
        <v>0</v>
      </c>
      <c r="D30" s="286">
        <f>NÓMINA!E38</f>
        <v>0</v>
      </c>
      <c r="E30" s="285">
        <f>NÓMINA!F38</f>
        <v>0</v>
      </c>
      <c r="F30" s="285">
        <f>NÓMINA!G38</f>
        <v>0</v>
      </c>
      <c r="G30" s="287">
        <f>NÓMINA!H38</f>
        <v>0</v>
      </c>
      <c r="H30" s="287">
        <f>NÓMINA!I38</f>
        <v>0</v>
      </c>
      <c r="I30" s="287">
        <f>NÓMINA!J38</f>
        <v>0</v>
      </c>
      <c r="J30" s="287">
        <f>NÓMINA!K38</f>
        <v>0</v>
      </c>
      <c r="K30" s="287">
        <f>NÓMINA!L38</f>
        <v>0</v>
      </c>
      <c r="L30" s="287">
        <f>NÓMINA!M38</f>
        <v>0</v>
      </c>
      <c r="M30" s="287">
        <f>NÓMINA!N38</f>
        <v>0</v>
      </c>
      <c r="N30" s="287">
        <f>NÓMINA!O38</f>
        <v>0</v>
      </c>
      <c r="O30" s="287">
        <f>NÓMINA!P38</f>
        <v>0</v>
      </c>
      <c r="P30" s="287">
        <f>NÓMINA!Q38</f>
        <v>0</v>
      </c>
      <c r="Q30" s="287">
        <f>NÓMINA!R38</f>
        <v>0</v>
      </c>
      <c r="R30" s="287">
        <f>NÓMINA!S38</f>
        <v>0</v>
      </c>
      <c r="S30" s="287">
        <f>NÓMINA!T38</f>
        <v>0</v>
      </c>
      <c r="T30" s="287">
        <f>NÓMINA!U38</f>
        <v>0</v>
      </c>
      <c r="U30" s="287">
        <f>NÓMINA!V38</f>
        <v>0</v>
      </c>
      <c r="V30" s="287">
        <f>NÓMINA!W38</f>
        <v>0</v>
      </c>
      <c r="W30" s="287">
        <f>NÓMINA!X38</f>
        <v>0</v>
      </c>
      <c r="X30" s="287">
        <f>NÓMINA!Y38</f>
        <v>0</v>
      </c>
      <c r="Y30" s="287">
        <f>NÓMINA!Z38</f>
        <v>0</v>
      </c>
      <c r="Z30" s="287">
        <f>NÓMINA!AA38</f>
        <v>0</v>
      </c>
      <c r="AA30" s="287">
        <f>NÓMINA!AB38</f>
        <v>0</v>
      </c>
      <c r="AB30" s="287">
        <f>NÓMINA!AC38</f>
        <v>0</v>
      </c>
      <c r="AC30" s="287">
        <f>NÓMINA!AD38</f>
        <v>0</v>
      </c>
      <c r="AD30" s="287">
        <f>NÓMINA!AE38</f>
        <v>0</v>
      </c>
      <c r="AE30" s="287">
        <f>NÓMINA!AF38</f>
        <v>0</v>
      </c>
      <c r="AF30" s="287">
        <f>PARAFISCALES!F38</f>
        <v>0</v>
      </c>
      <c r="AG30" s="287">
        <f>PARAFISCALES!G38</f>
        <v>0</v>
      </c>
      <c r="AH30" s="287">
        <f>PARAFISCALES!H38</f>
        <v>0</v>
      </c>
      <c r="AI30" s="287">
        <f>PARAFISCALES!I38</f>
        <v>0</v>
      </c>
      <c r="AJ30" s="287">
        <f>PARAFISCALES!J38</f>
        <v>0</v>
      </c>
      <c r="AK30" s="287">
        <f>SUM(Tabla12[[#This Row],[Parafiscales Salud]:[Parafiscales ICBF]])</f>
        <v>0</v>
      </c>
      <c r="AL30" s="287">
        <f>PARAFISCALES!K38</f>
        <v>0</v>
      </c>
      <c r="AM30" s="287">
        <f>PROVISIONES!E39</f>
        <v>0</v>
      </c>
      <c r="AN30" s="287">
        <f>PROVISIONES!F39</f>
        <v>0</v>
      </c>
      <c r="AO30" s="287">
        <f>PROVISIONES!G39</f>
        <v>0</v>
      </c>
      <c r="AP30" s="287">
        <f>PROVISIONES!H39</f>
        <v>0</v>
      </c>
      <c r="AQ30" s="290">
        <f>SUM(Tabla12[[#This Row],[Provisiones Cesantias]:[Provisiones Vacaciones]])</f>
        <v>0</v>
      </c>
      <c r="AR30" s="285"/>
      <c r="AS30" s="285"/>
      <c r="AT30" s="285"/>
      <c r="AU30" s="285"/>
      <c r="AV30" s="285"/>
    </row>
    <row r="31" spans="1:48">
      <c r="A31" s="284">
        <f>NÓMINA!B39</f>
        <v>0</v>
      </c>
      <c r="B31" s="285">
        <f>NÓMINA!C39</f>
        <v>0</v>
      </c>
      <c r="C31" s="285">
        <f>NÓMINA!D39</f>
        <v>0</v>
      </c>
      <c r="D31" s="286">
        <f>NÓMINA!E39</f>
        <v>0</v>
      </c>
      <c r="E31" s="285">
        <f>NÓMINA!F39</f>
        <v>0</v>
      </c>
      <c r="F31" s="285">
        <f>NÓMINA!G39</f>
        <v>0</v>
      </c>
      <c r="G31" s="287">
        <f>NÓMINA!H39</f>
        <v>0</v>
      </c>
      <c r="H31" s="287">
        <f>NÓMINA!I39</f>
        <v>0</v>
      </c>
      <c r="I31" s="287">
        <f>NÓMINA!J39</f>
        <v>0</v>
      </c>
      <c r="J31" s="287">
        <f>NÓMINA!K39</f>
        <v>0</v>
      </c>
      <c r="K31" s="287">
        <f>NÓMINA!L39</f>
        <v>0</v>
      </c>
      <c r="L31" s="287">
        <f>NÓMINA!M39</f>
        <v>0</v>
      </c>
      <c r="M31" s="287">
        <f>NÓMINA!N39</f>
        <v>0</v>
      </c>
      <c r="N31" s="287">
        <f>NÓMINA!O39</f>
        <v>0</v>
      </c>
      <c r="O31" s="287">
        <f>NÓMINA!P39</f>
        <v>0</v>
      </c>
      <c r="P31" s="287">
        <f>NÓMINA!Q39</f>
        <v>0</v>
      </c>
      <c r="Q31" s="287">
        <f>NÓMINA!R39</f>
        <v>0</v>
      </c>
      <c r="R31" s="287">
        <f>NÓMINA!S39</f>
        <v>0</v>
      </c>
      <c r="S31" s="287">
        <f>NÓMINA!T39</f>
        <v>0</v>
      </c>
      <c r="T31" s="287">
        <f>NÓMINA!U39</f>
        <v>0</v>
      </c>
      <c r="U31" s="287">
        <f>NÓMINA!V39</f>
        <v>0</v>
      </c>
      <c r="V31" s="287">
        <f>NÓMINA!W39</f>
        <v>0</v>
      </c>
      <c r="W31" s="287">
        <f>NÓMINA!X39</f>
        <v>0</v>
      </c>
      <c r="X31" s="287">
        <f>NÓMINA!Y39</f>
        <v>0</v>
      </c>
      <c r="Y31" s="287">
        <f>NÓMINA!Z39</f>
        <v>0</v>
      </c>
      <c r="Z31" s="287">
        <f>NÓMINA!AA39</f>
        <v>0</v>
      </c>
      <c r="AA31" s="287">
        <f>NÓMINA!AB39</f>
        <v>0</v>
      </c>
      <c r="AB31" s="287">
        <f>NÓMINA!AC39</f>
        <v>0</v>
      </c>
      <c r="AC31" s="287">
        <f>NÓMINA!AD39</f>
        <v>0</v>
      </c>
      <c r="AD31" s="287">
        <f>NÓMINA!AE39</f>
        <v>0</v>
      </c>
      <c r="AE31" s="287">
        <f>NÓMINA!AF39</f>
        <v>0</v>
      </c>
      <c r="AF31" s="287">
        <f>PARAFISCALES!F39</f>
        <v>0</v>
      </c>
      <c r="AG31" s="287">
        <f>PARAFISCALES!G39</f>
        <v>0</v>
      </c>
      <c r="AH31" s="287">
        <f>PARAFISCALES!H39</f>
        <v>0</v>
      </c>
      <c r="AI31" s="287">
        <f>PARAFISCALES!I39</f>
        <v>0</v>
      </c>
      <c r="AJ31" s="287">
        <f>PARAFISCALES!J39</f>
        <v>0</v>
      </c>
      <c r="AK31" s="287">
        <f>SUM(Tabla12[[#This Row],[Parafiscales Salud]:[Parafiscales ICBF]])</f>
        <v>0</v>
      </c>
      <c r="AL31" s="287">
        <f>PARAFISCALES!K39</f>
        <v>0</v>
      </c>
      <c r="AM31" s="287">
        <f>PROVISIONES!E40</f>
        <v>0</v>
      </c>
      <c r="AN31" s="287">
        <f>PROVISIONES!F40</f>
        <v>0</v>
      </c>
      <c r="AO31" s="287">
        <f>PROVISIONES!G40</f>
        <v>0</v>
      </c>
      <c r="AP31" s="287">
        <f>PROVISIONES!H40</f>
        <v>0</v>
      </c>
      <c r="AQ31" s="290">
        <f>SUM(Tabla12[[#This Row],[Provisiones Cesantias]:[Provisiones Vacaciones]])</f>
        <v>0</v>
      </c>
      <c r="AR31" s="285"/>
      <c r="AS31" s="285"/>
      <c r="AT31" s="285"/>
      <c r="AU31" s="285"/>
      <c r="AV31" s="285"/>
    </row>
    <row r="32" spans="1:48">
      <c r="A32" s="284">
        <f>NÓMINA!B40</f>
        <v>0</v>
      </c>
      <c r="B32" s="285">
        <f>NÓMINA!C40</f>
        <v>0</v>
      </c>
      <c r="C32" s="285">
        <f>NÓMINA!D40</f>
        <v>0</v>
      </c>
      <c r="D32" s="286">
        <f>NÓMINA!E40</f>
        <v>0</v>
      </c>
      <c r="E32" s="285">
        <f>NÓMINA!F40</f>
        <v>0</v>
      </c>
      <c r="F32" s="285">
        <f>NÓMINA!G40</f>
        <v>0</v>
      </c>
      <c r="G32" s="287">
        <f>NÓMINA!H40</f>
        <v>0</v>
      </c>
      <c r="H32" s="287">
        <f>NÓMINA!I40</f>
        <v>0</v>
      </c>
      <c r="I32" s="287">
        <f>NÓMINA!J40</f>
        <v>0</v>
      </c>
      <c r="J32" s="287">
        <f>NÓMINA!K40</f>
        <v>0</v>
      </c>
      <c r="K32" s="287">
        <f>NÓMINA!L40</f>
        <v>0</v>
      </c>
      <c r="L32" s="287">
        <f>NÓMINA!M40</f>
        <v>0</v>
      </c>
      <c r="M32" s="287">
        <f>NÓMINA!N40</f>
        <v>0</v>
      </c>
      <c r="N32" s="287">
        <f>NÓMINA!O40</f>
        <v>0</v>
      </c>
      <c r="O32" s="287">
        <f>NÓMINA!P40</f>
        <v>0</v>
      </c>
      <c r="P32" s="287">
        <f>NÓMINA!Q40</f>
        <v>0</v>
      </c>
      <c r="Q32" s="287">
        <f>NÓMINA!R40</f>
        <v>0</v>
      </c>
      <c r="R32" s="287">
        <f>NÓMINA!S40</f>
        <v>0</v>
      </c>
      <c r="S32" s="287">
        <f>NÓMINA!T40</f>
        <v>0</v>
      </c>
      <c r="T32" s="287">
        <f>NÓMINA!U40</f>
        <v>0</v>
      </c>
      <c r="U32" s="287">
        <f>NÓMINA!V40</f>
        <v>0</v>
      </c>
      <c r="V32" s="287">
        <f>NÓMINA!W40</f>
        <v>0</v>
      </c>
      <c r="W32" s="287">
        <f>NÓMINA!X40</f>
        <v>0</v>
      </c>
      <c r="X32" s="287">
        <f>NÓMINA!Y40</f>
        <v>0</v>
      </c>
      <c r="Y32" s="287">
        <f>NÓMINA!Z40</f>
        <v>0</v>
      </c>
      <c r="Z32" s="287">
        <f>NÓMINA!AA40</f>
        <v>0</v>
      </c>
      <c r="AA32" s="287">
        <f>NÓMINA!AB40</f>
        <v>0</v>
      </c>
      <c r="AB32" s="287">
        <f>NÓMINA!AC40</f>
        <v>0</v>
      </c>
      <c r="AC32" s="287">
        <f>NÓMINA!AD40</f>
        <v>0</v>
      </c>
      <c r="AD32" s="287">
        <f>NÓMINA!AE40</f>
        <v>0</v>
      </c>
      <c r="AE32" s="287">
        <f>NÓMINA!AF40</f>
        <v>0</v>
      </c>
      <c r="AF32" s="287">
        <f>PARAFISCALES!F40</f>
        <v>0</v>
      </c>
      <c r="AG32" s="287">
        <f>PARAFISCALES!G40</f>
        <v>0</v>
      </c>
      <c r="AH32" s="287">
        <f>PARAFISCALES!H40</f>
        <v>0</v>
      </c>
      <c r="AI32" s="287">
        <f>PARAFISCALES!I40</f>
        <v>0</v>
      </c>
      <c r="AJ32" s="287">
        <f>PARAFISCALES!J40</f>
        <v>0</v>
      </c>
      <c r="AK32" s="287">
        <f>SUM(Tabla12[[#This Row],[Parafiscales Salud]:[Parafiscales ICBF]])</f>
        <v>0</v>
      </c>
      <c r="AL32" s="287">
        <f>PARAFISCALES!K40</f>
        <v>0</v>
      </c>
      <c r="AM32" s="287">
        <f>PROVISIONES!E41</f>
        <v>0</v>
      </c>
      <c r="AN32" s="287">
        <f>PROVISIONES!F41</f>
        <v>0</v>
      </c>
      <c r="AO32" s="287">
        <f>PROVISIONES!G41</f>
        <v>0</v>
      </c>
      <c r="AP32" s="287">
        <f>PROVISIONES!H41</f>
        <v>0</v>
      </c>
      <c r="AQ32" s="290">
        <f>SUM(Tabla12[[#This Row],[Provisiones Cesantias]:[Provisiones Vacaciones]])</f>
        <v>0</v>
      </c>
      <c r="AR32" s="285"/>
      <c r="AS32" s="285"/>
      <c r="AT32" s="285"/>
      <c r="AU32" s="285"/>
      <c r="AV32" s="285"/>
    </row>
    <row r="33" spans="1:48">
      <c r="A33" s="284">
        <f>NÓMINA!B41</f>
        <v>0</v>
      </c>
      <c r="B33" s="285">
        <f>NÓMINA!C41</f>
        <v>0</v>
      </c>
      <c r="C33" s="285">
        <f>NÓMINA!D41</f>
        <v>0</v>
      </c>
      <c r="D33" s="286">
        <f>NÓMINA!E41</f>
        <v>0</v>
      </c>
      <c r="E33" s="285">
        <f>NÓMINA!F41</f>
        <v>0</v>
      </c>
      <c r="F33" s="285">
        <f>NÓMINA!G41</f>
        <v>0</v>
      </c>
      <c r="G33" s="287">
        <f>NÓMINA!H41</f>
        <v>0</v>
      </c>
      <c r="H33" s="287">
        <f>NÓMINA!I41</f>
        <v>0</v>
      </c>
      <c r="I33" s="287">
        <f>NÓMINA!J41</f>
        <v>0</v>
      </c>
      <c r="J33" s="287">
        <f>NÓMINA!K41</f>
        <v>0</v>
      </c>
      <c r="K33" s="287">
        <f>NÓMINA!L41</f>
        <v>0</v>
      </c>
      <c r="L33" s="287">
        <f>NÓMINA!M41</f>
        <v>0</v>
      </c>
      <c r="M33" s="287">
        <f>NÓMINA!N41</f>
        <v>0</v>
      </c>
      <c r="N33" s="287">
        <f>NÓMINA!O41</f>
        <v>0</v>
      </c>
      <c r="O33" s="287">
        <f>NÓMINA!P41</f>
        <v>0</v>
      </c>
      <c r="P33" s="287">
        <f>NÓMINA!Q41</f>
        <v>0</v>
      </c>
      <c r="Q33" s="287">
        <f>NÓMINA!R41</f>
        <v>0</v>
      </c>
      <c r="R33" s="287">
        <f>NÓMINA!S41</f>
        <v>0</v>
      </c>
      <c r="S33" s="287">
        <f>NÓMINA!T41</f>
        <v>0</v>
      </c>
      <c r="T33" s="287">
        <f>NÓMINA!U41</f>
        <v>0</v>
      </c>
      <c r="U33" s="287">
        <f>NÓMINA!V41</f>
        <v>0</v>
      </c>
      <c r="V33" s="287">
        <f>NÓMINA!W41</f>
        <v>0</v>
      </c>
      <c r="W33" s="287">
        <f>NÓMINA!X41</f>
        <v>0</v>
      </c>
      <c r="X33" s="287">
        <f>NÓMINA!Y41</f>
        <v>0</v>
      </c>
      <c r="Y33" s="287">
        <f>NÓMINA!Z41</f>
        <v>0</v>
      </c>
      <c r="Z33" s="287">
        <f>NÓMINA!AA41</f>
        <v>0</v>
      </c>
      <c r="AA33" s="287">
        <f>NÓMINA!AB41</f>
        <v>0</v>
      </c>
      <c r="AB33" s="287">
        <f>NÓMINA!AC41</f>
        <v>0</v>
      </c>
      <c r="AC33" s="287">
        <f>NÓMINA!AD41</f>
        <v>0</v>
      </c>
      <c r="AD33" s="287">
        <f>NÓMINA!AE41</f>
        <v>0</v>
      </c>
      <c r="AE33" s="287">
        <f>NÓMINA!AF41</f>
        <v>0</v>
      </c>
      <c r="AF33" s="287">
        <f>PARAFISCALES!F41</f>
        <v>0</v>
      </c>
      <c r="AG33" s="287">
        <f>PARAFISCALES!G41</f>
        <v>0</v>
      </c>
      <c r="AH33" s="287">
        <f>PARAFISCALES!H41</f>
        <v>0</v>
      </c>
      <c r="AI33" s="287">
        <f>PARAFISCALES!I41</f>
        <v>0</v>
      </c>
      <c r="AJ33" s="287">
        <f>PARAFISCALES!J41</f>
        <v>0</v>
      </c>
      <c r="AK33" s="287">
        <f>SUM(Tabla12[[#This Row],[Parafiscales Salud]:[Parafiscales ICBF]])</f>
        <v>0</v>
      </c>
      <c r="AL33" s="287">
        <f>PARAFISCALES!K41</f>
        <v>0</v>
      </c>
      <c r="AM33" s="287">
        <f>PROVISIONES!E42</f>
        <v>0</v>
      </c>
      <c r="AN33" s="287">
        <f>PROVISIONES!F42</f>
        <v>0</v>
      </c>
      <c r="AO33" s="287">
        <f>PROVISIONES!G42</f>
        <v>0</v>
      </c>
      <c r="AP33" s="287">
        <f>PROVISIONES!H42</f>
        <v>0</v>
      </c>
      <c r="AQ33" s="290">
        <f>SUM(Tabla12[[#This Row],[Provisiones Cesantias]:[Provisiones Vacaciones]])</f>
        <v>0</v>
      </c>
      <c r="AR33" s="285"/>
      <c r="AS33" s="285"/>
      <c r="AT33" s="285"/>
      <c r="AU33" s="285"/>
      <c r="AV33" s="285"/>
    </row>
    <row r="34" spans="1:48">
      <c r="A34" s="284">
        <f>NÓMINA!B42</f>
        <v>0</v>
      </c>
      <c r="B34" s="285">
        <f>NÓMINA!C42</f>
        <v>0</v>
      </c>
      <c r="C34" s="285">
        <f>NÓMINA!D42</f>
        <v>0</v>
      </c>
      <c r="D34" s="286">
        <f>NÓMINA!E42</f>
        <v>0</v>
      </c>
      <c r="E34" s="285">
        <f>NÓMINA!F42</f>
        <v>0</v>
      </c>
      <c r="F34" s="285">
        <f>NÓMINA!G42</f>
        <v>0</v>
      </c>
      <c r="G34" s="287">
        <f>NÓMINA!H42</f>
        <v>0</v>
      </c>
      <c r="H34" s="287">
        <f>NÓMINA!I42</f>
        <v>0</v>
      </c>
      <c r="I34" s="287">
        <f>NÓMINA!J42</f>
        <v>0</v>
      </c>
      <c r="J34" s="287">
        <f>NÓMINA!K42</f>
        <v>0</v>
      </c>
      <c r="K34" s="287">
        <f>NÓMINA!L42</f>
        <v>0</v>
      </c>
      <c r="L34" s="287">
        <f>NÓMINA!M42</f>
        <v>0</v>
      </c>
      <c r="M34" s="287">
        <f>NÓMINA!N42</f>
        <v>0</v>
      </c>
      <c r="N34" s="287">
        <f>NÓMINA!O42</f>
        <v>0</v>
      </c>
      <c r="O34" s="287">
        <f>NÓMINA!P42</f>
        <v>0</v>
      </c>
      <c r="P34" s="287">
        <f>NÓMINA!Q42</f>
        <v>0</v>
      </c>
      <c r="Q34" s="287">
        <f>NÓMINA!R42</f>
        <v>0</v>
      </c>
      <c r="R34" s="287">
        <f>NÓMINA!S42</f>
        <v>0</v>
      </c>
      <c r="S34" s="287">
        <f>NÓMINA!T42</f>
        <v>0</v>
      </c>
      <c r="T34" s="287">
        <f>NÓMINA!U42</f>
        <v>0</v>
      </c>
      <c r="U34" s="287">
        <f>NÓMINA!V42</f>
        <v>0</v>
      </c>
      <c r="V34" s="287">
        <f>NÓMINA!W42</f>
        <v>0</v>
      </c>
      <c r="W34" s="287">
        <f>NÓMINA!X42</f>
        <v>0</v>
      </c>
      <c r="X34" s="287">
        <f>NÓMINA!Y42</f>
        <v>0</v>
      </c>
      <c r="Y34" s="287">
        <f>NÓMINA!Z42</f>
        <v>0</v>
      </c>
      <c r="Z34" s="287">
        <f>NÓMINA!AA42</f>
        <v>0</v>
      </c>
      <c r="AA34" s="287">
        <f>NÓMINA!AB42</f>
        <v>0</v>
      </c>
      <c r="AB34" s="287">
        <f>NÓMINA!AC42</f>
        <v>0</v>
      </c>
      <c r="AC34" s="287">
        <f>NÓMINA!AD42</f>
        <v>0</v>
      </c>
      <c r="AD34" s="287">
        <f>NÓMINA!AE42</f>
        <v>0</v>
      </c>
      <c r="AE34" s="287">
        <f>NÓMINA!AF42</f>
        <v>0</v>
      </c>
      <c r="AF34" s="287">
        <f>PARAFISCALES!F42</f>
        <v>0</v>
      </c>
      <c r="AG34" s="287">
        <f>PARAFISCALES!G42</f>
        <v>0</v>
      </c>
      <c r="AH34" s="287">
        <f>PARAFISCALES!H42</f>
        <v>0</v>
      </c>
      <c r="AI34" s="287">
        <f>PARAFISCALES!I42</f>
        <v>0</v>
      </c>
      <c r="AJ34" s="287">
        <f>PARAFISCALES!J42</f>
        <v>0</v>
      </c>
      <c r="AK34" s="287">
        <f>SUM(Tabla12[[#This Row],[Parafiscales Salud]:[Parafiscales ICBF]])</f>
        <v>0</v>
      </c>
      <c r="AL34" s="287">
        <f>PARAFISCALES!K42</f>
        <v>0</v>
      </c>
      <c r="AM34" s="287">
        <f>PROVISIONES!E43</f>
        <v>0</v>
      </c>
      <c r="AN34" s="287">
        <f>PROVISIONES!F43</f>
        <v>0</v>
      </c>
      <c r="AO34" s="287">
        <f>PROVISIONES!G43</f>
        <v>0</v>
      </c>
      <c r="AP34" s="287">
        <f>PROVISIONES!H43</f>
        <v>0</v>
      </c>
      <c r="AQ34" s="290">
        <f>SUM(Tabla12[[#This Row],[Provisiones Cesantias]:[Provisiones Vacaciones]])</f>
        <v>0</v>
      </c>
      <c r="AR34" s="285"/>
      <c r="AS34" s="285"/>
      <c r="AT34" s="285"/>
      <c r="AU34" s="285"/>
      <c r="AV34" s="285"/>
    </row>
    <row r="35" spans="1:48">
      <c r="A35" s="284">
        <f>NÓMINA!B43</f>
        <v>0</v>
      </c>
      <c r="B35" s="285">
        <f>NÓMINA!C43</f>
        <v>0</v>
      </c>
      <c r="C35" s="285">
        <f>NÓMINA!D43</f>
        <v>0</v>
      </c>
      <c r="D35" s="286">
        <f>NÓMINA!E43</f>
        <v>0</v>
      </c>
      <c r="E35" s="285">
        <f>NÓMINA!F43</f>
        <v>0</v>
      </c>
      <c r="F35" s="285">
        <f>NÓMINA!G43</f>
        <v>0</v>
      </c>
      <c r="G35" s="287">
        <f>NÓMINA!H43</f>
        <v>0</v>
      </c>
      <c r="H35" s="287">
        <f>NÓMINA!I43</f>
        <v>0</v>
      </c>
      <c r="I35" s="287">
        <f>NÓMINA!J43</f>
        <v>0</v>
      </c>
      <c r="J35" s="287">
        <f>NÓMINA!K43</f>
        <v>0</v>
      </c>
      <c r="K35" s="287">
        <f>NÓMINA!L43</f>
        <v>0</v>
      </c>
      <c r="L35" s="287">
        <f>NÓMINA!M43</f>
        <v>0</v>
      </c>
      <c r="M35" s="287">
        <f>NÓMINA!N43</f>
        <v>0</v>
      </c>
      <c r="N35" s="287">
        <f>NÓMINA!O43</f>
        <v>0</v>
      </c>
      <c r="O35" s="287">
        <f>NÓMINA!P43</f>
        <v>0</v>
      </c>
      <c r="P35" s="287">
        <f>NÓMINA!Q43</f>
        <v>0</v>
      </c>
      <c r="Q35" s="287">
        <f>NÓMINA!R43</f>
        <v>0</v>
      </c>
      <c r="R35" s="287">
        <f>NÓMINA!S43</f>
        <v>0</v>
      </c>
      <c r="S35" s="287">
        <f>NÓMINA!T43</f>
        <v>0</v>
      </c>
      <c r="T35" s="287">
        <f>NÓMINA!U43</f>
        <v>0</v>
      </c>
      <c r="U35" s="287">
        <f>NÓMINA!V43</f>
        <v>0</v>
      </c>
      <c r="V35" s="287">
        <f>NÓMINA!W43</f>
        <v>0</v>
      </c>
      <c r="W35" s="287">
        <f>NÓMINA!X43</f>
        <v>0</v>
      </c>
      <c r="X35" s="287">
        <f>NÓMINA!Y43</f>
        <v>0</v>
      </c>
      <c r="Y35" s="287">
        <f>NÓMINA!Z43</f>
        <v>0</v>
      </c>
      <c r="Z35" s="287">
        <f>NÓMINA!AA43</f>
        <v>0</v>
      </c>
      <c r="AA35" s="287">
        <f>NÓMINA!AB43</f>
        <v>0</v>
      </c>
      <c r="AB35" s="287">
        <f>NÓMINA!AC43</f>
        <v>0</v>
      </c>
      <c r="AC35" s="287">
        <f>NÓMINA!AD43</f>
        <v>0</v>
      </c>
      <c r="AD35" s="287">
        <f>NÓMINA!AE43</f>
        <v>0</v>
      </c>
      <c r="AE35" s="287">
        <f>NÓMINA!AF43</f>
        <v>0</v>
      </c>
      <c r="AF35" s="287">
        <f>PARAFISCALES!F43</f>
        <v>0</v>
      </c>
      <c r="AG35" s="287">
        <f>PARAFISCALES!G43</f>
        <v>0</v>
      </c>
      <c r="AH35" s="287">
        <f>PARAFISCALES!H43</f>
        <v>0</v>
      </c>
      <c r="AI35" s="287">
        <f>PARAFISCALES!I43</f>
        <v>0</v>
      </c>
      <c r="AJ35" s="287">
        <f>PARAFISCALES!J43</f>
        <v>0</v>
      </c>
      <c r="AK35" s="287">
        <f>SUM(Tabla12[[#This Row],[Parafiscales Salud]:[Parafiscales ICBF]])</f>
        <v>0</v>
      </c>
      <c r="AL35" s="287">
        <f>PARAFISCALES!K43</f>
        <v>0</v>
      </c>
      <c r="AM35" s="287">
        <f>PROVISIONES!E44</f>
        <v>0</v>
      </c>
      <c r="AN35" s="287">
        <f>PROVISIONES!F44</f>
        <v>0</v>
      </c>
      <c r="AO35" s="287">
        <f>PROVISIONES!G44</f>
        <v>0</v>
      </c>
      <c r="AP35" s="287">
        <f>PROVISIONES!H44</f>
        <v>0</v>
      </c>
      <c r="AQ35" s="290">
        <f>SUM(Tabla12[[#This Row],[Provisiones Cesantias]:[Provisiones Vacaciones]])</f>
        <v>0</v>
      </c>
      <c r="AR35" s="285"/>
      <c r="AS35" s="285"/>
      <c r="AT35" s="285"/>
      <c r="AU35" s="285"/>
      <c r="AV35" s="285"/>
    </row>
    <row r="36" spans="1:48">
      <c r="A36" s="284">
        <f>NÓMINA!B44</f>
        <v>0</v>
      </c>
      <c r="B36" s="285">
        <f>NÓMINA!C44</f>
        <v>0</v>
      </c>
      <c r="C36" s="285">
        <f>NÓMINA!D44</f>
        <v>0</v>
      </c>
      <c r="D36" s="286">
        <f>NÓMINA!E44</f>
        <v>0</v>
      </c>
      <c r="E36" s="285">
        <f>NÓMINA!F44</f>
        <v>0</v>
      </c>
      <c r="F36" s="285">
        <f>NÓMINA!G44</f>
        <v>0</v>
      </c>
      <c r="G36" s="287">
        <f>NÓMINA!H44</f>
        <v>0</v>
      </c>
      <c r="H36" s="287">
        <f>NÓMINA!I44</f>
        <v>0</v>
      </c>
      <c r="I36" s="287">
        <f>NÓMINA!J44</f>
        <v>0</v>
      </c>
      <c r="J36" s="287">
        <f>NÓMINA!K44</f>
        <v>0</v>
      </c>
      <c r="K36" s="287">
        <f>NÓMINA!L44</f>
        <v>0</v>
      </c>
      <c r="L36" s="287">
        <f>NÓMINA!M44</f>
        <v>0</v>
      </c>
      <c r="M36" s="287">
        <f>NÓMINA!N44</f>
        <v>0</v>
      </c>
      <c r="N36" s="287">
        <f>NÓMINA!O44</f>
        <v>0</v>
      </c>
      <c r="O36" s="287">
        <f>NÓMINA!P44</f>
        <v>0</v>
      </c>
      <c r="P36" s="287">
        <f>NÓMINA!Q44</f>
        <v>0</v>
      </c>
      <c r="Q36" s="287">
        <f>NÓMINA!R44</f>
        <v>0</v>
      </c>
      <c r="R36" s="287">
        <f>NÓMINA!S44</f>
        <v>0</v>
      </c>
      <c r="S36" s="287">
        <f>NÓMINA!T44</f>
        <v>0</v>
      </c>
      <c r="T36" s="287">
        <f>NÓMINA!U44</f>
        <v>0</v>
      </c>
      <c r="U36" s="287">
        <f>NÓMINA!V44</f>
        <v>0</v>
      </c>
      <c r="V36" s="287">
        <f>NÓMINA!W44</f>
        <v>0</v>
      </c>
      <c r="W36" s="287">
        <f>NÓMINA!X44</f>
        <v>0</v>
      </c>
      <c r="X36" s="287">
        <f>NÓMINA!Y44</f>
        <v>0</v>
      </c>
      <c r="Y36" s="287">
        <f>NÓMINA!Z44</f>
        <v>0</v>
      </c>
      <c r="Z36" s="287">
        <f>NÓMINA!AA44</f>
        <v>0</v>
      </c>
      <c r="AA36" s="287">
        <f>NÓMINA!AB44</f>
        <v>0</v>
      </c>
      <c r="AB36" s="287">
        <f>NÓMINA!AC44</f>
        <v>0</v>
      </c>
      <c r="AC36" s="287">
        <f>NÓMINA!AD44</f>
        <v>0</v>
      </c>
      <c r="AD36" s="287">
        <f>NÓMINA!AE44</f>
        <v>0</v>
      </c>
      <c r="AE36" s="287">
        <f>NÓMINA!AF44</f>
        <v>0</v>
      </c>
      <c r="AF36" s="287">
        <f>PARAFISCALES!F44</f>
        <v>0</v>
      </c>
      <c r="AG36" s="287">
        <f>PARAFISCALES!G44</f>
        <v>0</v>
      </c>
      <c r="AH36" s="287">
        <f>PARAFISCALES!H44</f>
        <v>0</v>
      </c>
      <c r="AI36" s="287">
        <f>PARAFISCALES!I44</f>
        <v>0</v>
      </c>
      <c r="AJ36" s="287">
        <f>PARAFISCALES!J44</f>
        <v>0</v>
      </c>
      <c r="AK36" s="287">
        <f>SUM(Tabla12[[#This Row],[Parafiscales Salud]:[Parafiscales ICBF]])</f>
        <v>0</v>
      </c>
      <c r="AL36" s="287">
        <f>PARAFISCALES!K44</f>
        <v>0</v>
      </c>
      <c r="AM36" s="287">
        <f>PROVISIONES!E45</f>
        <v>0</v>
      </c>
      <c r="AN36" s="287">
        <f>PROVISIONES!F45</f>
        <v>0</v>
      </c>
      <c r="AO36" s="287">
        <f>PROVISIONES!G45</f>
        <v>0</v>
      </c>
      <c r="AP36" s="287">
        <f>PROVISIONES!H45</f>
        <v>0</v>
      </c>
      <c r="AQ36" s="290">
        <f>SUM(Tabla12[[#This Row],[Provisiones Cesantias]:[Provisiones Vacaciones]])</f>
        <v>0</v>
      </c>
      <c r="AR36" s="285"/>
      <c r="AS36" s="285"/>
      <c r="AT36" s="285"/>
      <c r="AU36" s="285"/>
      <c r="AV36" s="285"/>
    </row>
    <row r="37" spans="1:48">
      <c r="A37" s="284">
        <f>NÓMINA!B45</f>
        <v>0</v>
      </c>
      <c r="B37" s="285">
        <f>NÓMINA!C45</f>
        <v>0</v>
      </c>
      <c r="C37" s="285">
        <f>NÓMINA!D45</f>
        <v>0</v>
      </c>
      <c r="D37" s="286">
        <f>NÓMINA!E45</f>
        <v>0</v>
      </c>
      <c r="E37" s="285">
        <f>NÓMINA!F45</f>
        <v>0</v>
      </c>
      <c r="F37" s="285">
        <f>NÓMINA!G45</f>
        <v>0</v>
      </c>
      <c r="G37" s="287">
        <f>NÓMINA!H45</f>
        <v>0</v>
      </c>
      <c r="H37" s="287">
        <f>NÓMINA!I45</f>
        <v>0</v>
      </c>
      <c r="I37" s="287">
        <f>NÓMINA!J45</f>
        <v>0</v>
      </c>
      <c r="J37" s="287">
        <f>NÓMINA!K45</f>
        <v>0</v>
      </c>
      <c r="K37" s="287">
        <f>NÓMINA!L45</f>
        <v>0</v>
      </c>
      <c r="L37" s="287">
        <f>NÓMINA!M45</f>
        <v>0</v>
      </c>
      <c r="M37" s="287">
        <f>NÓMINA!N45</f>
        <v>0</v>
      </c>
      <c r="N37" s="287">
        <f>NÓMINA!O45</f>
        <v>0</v>
      </c>
      <c r="O37" s="287">
        <f>NÓMINA!P45</f>
        <v>0</v>
      </c>
      <c r="P37" s="287">
        <f>NÓMINA!Q45</f>
        <v>0</v>
      </c>
      <c r="Q37" s="287">
        <f>NÓMINA!R45</f>
        <v>0</v>
      </c>
      <c r="R37" s="287">
        <f>NÓMINA!S45</f>
        <v>0</v>
      </c>
      <c r="S37" s="287">
        <f>NÓMINA!T45</f>
        <v>0</v>
      </c>
      <c r="T37" s="287">
        <f>NÓMINA!U45</f>
        <v>0</v>
      </c>
      <c r="U37" s="287">
        <f>NÓMINA!V45</f>
        <v>0</v>
      </c>
      <c r="V37" s="287">
        <f>NÓMINA!W45</f>
        <v>0</v>
      </c>
      <c r="W37" s="287">
        <f>NÓMINA!X45</f>
        <v>0</v>
      </c>
      <c r="X37" s="287">
        <f>NÓMINA!Y45</f>
        <v>0</v>
      </c>
      <c r="Y37" s="287">
        <f>NÓMINA!Z45</f>
        <v>0</v>
      </c>
      <c r="Z37" s="287">
        <f>NÓMINA!AA45</f>
        <v>0</v>
      </c>
      <c r="AA37" s="287">
        <f>NÓMINA!AB45</f>
        <v>0</v>
      </c>
      <c r="AB37" s="287">
        <f>NÓMINA!AC45</f>
        <v>0</v>
      </c>
      <c r="AC37" s="287">
        <f>NÓMINA!AD45</f>
        <v>0</v>
      </c>
      <c r="AD37" s="287">
        <f>NÓMINA!AE45</f>
        <v>0</v>
      </c>
      <c r="AE37" s="287">
        <f>NÓMINA!AF45</f>
        <v>0</v>
      </c>
      <c r="AF37" s="287">
        <f>PARAFISCALES!F45</f>
        <v>0</v>
      </c>
      <c r="AG37" s="287">
        <f>PARAFISCALES!G45</f>
        <v>0</v>
      </c>
      <c r="AH37" s="287">
        <f>PARAFISCALES!H45</f>
        <v>0</v>
      </c>
      <c r="AI37" s="287">
        <f>PARAFISCALES!I45</f>
        <v>0</v>
      </c>
      <c r="AJ37" s="287">
        <f>PARAFISCALES!J45</f>
        <v>0</v>
      </c>
      <c r="AK37" s="287">
        <f>SUM(Tabla12[[#This Row],[Parafiscales Salud]:[Parafiscales ICBF]])</f>
        <v>0</v>
      </c>
      <c r="AL37" s="287">
        <f>PARAFISCALES!K45</f>
        <v>0</v>
      </c>
      <c r="AM37" s="287">
        <f>PROVISIONES!E46</f>
        <v>0</v>
      </c>
      <c r="AN37" s="287">
        <f>PROVISIONES!F46</f>
        <v>0</v>
      </c>
      <c r="AO37" s="287">
        <f>PROVISIONES!G46</f>
        <v>0</v>
      </c>
      <c r="AP37" s="287">
        <f>PROVISIONES!H46</f>
        <v>0</v>
      </c>
      <c r="AQ37" s="290">
        <f>SUM(Tabla12[[#This Row],[Provisiones Cesantias]:[Provisiones Vacaciones]])</f>
        <v>0</v>
      </c>
      <c r="AR37" s="285"/>
      <c r="AS37" s="285"/>
      <c r="AT37" s="285"/>
      <c r="AU37" s="285"/>
      <c r="AV37" s="285"/>
    </row>
    <row r="38" spans="1:48">
      <c r="A38" s="284">
        <f>NÓMINA!B46</f>
        <v>0</v>
      </c>
      <c r="B38" s="285">
        <f>NÓMINA!C46</f>
        <v>0</v>
      </c>
      <c r="C38" s="285">
        <f>NÓMINA!D46</f>
        <v>0</v>
      </c>
      <c r="D38" s="286">
        <f>NÓMINA!E46</f>
        <v>0</v>
      </c>
      <c r="E38" s="285">
        <f>NÓMINA!F46</f>
        <v>0</v>
      </c>
      <c r="F38" s="285">
        <f>NÓMINA!G46</f>
        <v>0</v>
      </c>
      <c r="G38" s="287">
        <f>NÓMINA!H46</f>
        <v>0</v>
      </c>
      <c r="H38" s="287">
        <f>NÓMINA!I46</f>
        <v>0</v>
      </c>
      <c r="I38" s="287">
        <f>NÓMINA!J46</f>
        <v>0</v>
      </c>
      <c r="J38" s="287">
        <f>NÓMINA!K46</f>
        <v>0</v>
      </c>
      <c r="K38" s="287">
        <f>NÓMINA!L46</f>
        <v>0</v>
      </c>
      <c r="L38" s="287">
        <f>NÓMINA!M46</f>
        <v>0</v>
      </c>
      <c r="M38" s="287">
        <f>NÓMINA!N46</f>
        <v>0</v>
      </c>
      <c r="N38" s="287">
        <f>NÓMINA!O46</f>
        <v>0</v>
      </c>
      <c r="O38" s="287">
        <f>NÓMINA!P46</f>
        <v>0</v>
      </c>
      <c r="P38" s="287">
        <f>NÓMINA!Q46</f>
        <v>0</v>
      </c>
      <c r="Q38" s="287">
        <f>NÓMINA!R46</f>
        <v>0</v>
      </c>
      <c r="R38" s="287">
        <f>NÓMINA!S46</f>
        <v>0</v>
      </c>
      <c r="S38" s="287">
        <f>NÓMINA!T46</f>
        <v>0</v>
      </c>
      <c r="T38" s="287">
        <f>NÓMINA!U46</f>
        <v>0</v>
      </c>
      <c r="U38" s="287">
        <f>NÓMINA!V46</f>
        <v>0</v>
      </c>
      <c r="V38" s="287">
        <f>NÓMINA!W46</f>
        <v>0</v>
      </c>
      <c r="W38" s="287">
        <f>NÓMINA!X46</f>
        <v>0</v>
      </c>
      <c r="X38" s="287">
        <f>NÓMINA!Y46</f>
        <v>0</v>
      </c>
      <c r="Y38" s="287">
        <f>NÓMINA!Z46</f>
        <v>0</v>
      </c>
      <c r="Z38" s="287">
        <f>NÓMINA!AA46</f>
        <v>0</v>
      </c>
      <c r="AA38" s="287">
        <f>NÓMINA!AB46</f>
        <v>0</v>
      </c>
      <c r="AB38" s="287">
        <f>NÓMINA!AC46</f>
        <v>0</v>
      </c>
      <c r="AC38" s="287">
        <f>NÓMINA!AD46</f>
        <v>0</v>
      </c>
      <c r="AD38" s="287">
        <f>NÓMINA!AE46</f>
        <v>0</v>
      </c>
      <c r="AE38" s="287">
        <f>NÓMINA!AF46</f>
        <v>0</v>
      </c>
      <c r="AF38" s="287">
        <f>PARAFISCALES!F46</f>
        <v>0</v>
      </c>
      <c r="AG38" s="287">
        <f>PARAFISCALES!G46</f>
        <v>0</v>
      </c>
      <c r="AH38" s="287">
        <f>PARAFISCALES!H46</f>
        <v>0</v>
      </c>
      <c r="AI38" s="287">
        <f>PARAFISCALES!I46</f>
        <v>0</v>
      </c>
      <c r="AJ38" s="287">
        <f>PARAFISCALES!J46</f>
        <v>0</v>
      </c>
      <c r="AK38" s="287">
        <f>SUM(Tabla12[[#This Row],[Parafiscales Salud]:[Parafiscales ICBF]])</f>
        <v>0</v>
      </c>
      <c r="AL38" s="287">
        <f>PARAFISCALES!K46</f>
        <v>0</v>
      </c>
      <c r="AM38" s="287">
        <f>PROVISIONES!E47</f>
        <v>0</v>
      </c>
      <c r="AN38" s="287">
        <f>PROVISIONES!F47</f>
        <v>0</v>
      </c>
      <c r="AO38" s="287">
        <f>PROVISIONES!G47</f>
        <v>0</v>
      </c>
      <c r="AP38" s="287">
        <f>PROVISIONES!H47</f>
        <v>0</v>
      </c>
      <c r="AQ38" s="290">
        <f>SUM(Tabla12[[#This Row],[Provisiones Cesantias]:[Provisiones Vacaciones]])</f>
        <v>0</v>
      </c>
      <c r="AR38" s="285"/>
      <c r="AS38" s="285"/>
      <c r="AT38" s="285"/>
      <c r="AU38" s="285"/>
      <c r="AV38" s="285"/>
    </row>
    <row r="39" spans="1:48">
      <c r="A39" s="284">
        <f>NÓMINA!B47</f>
        <v>0</v>
      </c>
      <c r="B39" s="285">
        <f>NÓMINA!C47</f>
        <v>0</v>
      </c>
      <c r="C39" s="285">
        <f>NÓMINA!D47</f>
        <v>0</v>
      </c>
      <c r="D39" s="286">
        <f>NÓMINA!E47</f>
        <v>0</v>
      </c>
      <c r="E39" s="285">
        <f>NÓMINA!F47</f>
        <v>0</v>
      </c>
      <c r="F39" s="285">
        <f>NÓMINA!G47</f>
        <v>0</v>
      </c>
      <c r="G39" s="287">
        <f>NÓMINA!H47</f>
        <v>0</v>
      </c>
      <c r="H39" s="287">
        <f>NÓMINA!I47</f>
        <v>0</v>
      </c>
      <c r="I39" s="287">
        <f>NÓMINA!J47</f>
        <v>0</v>
      </c>
      <c r="J39" s="287">
        <f>NÓMINA!K47</f>
        <v>0</v>
      </c>
      <c r="K39" s="287">
        <f>NÓMINA!L47</f>
        <v>0</v>
      </c>
      <c r="L39" s="287">
        <f>NÓMINA!M47</f>
        <v>0</v>
      </c>
      <c r="M39" s="287">
        <f>NÓMINA!N47</f>
        <v>0</v>
      </c>
      <c r="N39" s="287">
        <f>NÓMINA!O47</f>
        <v>0</v>
      </c>
      <c r="O39" s="287">
        <f>NÓMINA!P47</f>
        <v>0</v>
      </c>
      <c r="P39" s="287">
        <f>NÓMINA!Q47</f>
        <v>0</v>
      </c>
      <c r="Q39" s="287">
        <f>NÓMINA!R47</f>
        <v>0</v>
      </c>
      <c r="R39" s="287">
        <f>NÓMINA!S47</f>
        <v>0</v>
      </c>
      <c r="S39" s="287">
        <f>NÓMINA!T47</f>
        <v>0</v>
      </c>
      <c r="T39" s="287">
        <f>NÓMINA!U47</f>
        <v>0</v>
      </c>
      <c r="U39" s="287">
        <f>NÓMINA!V47</f>
        <v>0</v>
      </c>
      <c r="V39" s="287">
        <f>NÓMINA!W47</f>
        <v>0</v>
      </c>
      <c r="W39" s="287">
        <f>NÓMINA!X47</f>
        <v>0</v>
      </c>
      <c r="X39" s="287">
        <f>NÓMINA!Y47</f>
        <v>0</v>
      </c>
      <c r="Y39" s="287">
        <f>NÓMINA!Z47</f>
        <v>0</v>
      </c>
      <c r="Z39" s="287">
        <f>NÓMINA!AA47</f>
        <v>0</v>
      </c>
      <c r="AA39" s="287">
        <f>NÓMINA!AB47</f>
        <v>0</v>
      </c>
      <c r="AB39" s="287">
        <f>NÓMINA!AC47</f>
        <v>0</v>
      </c>
      <c r="AC39" s="287">
        <f>NÓMINA!AD47</f>
        <v>0</v>
      </c>
      <c r="AD39" s="287">
        <f>NÓMINA!AE47</f>
        <v>0</v>
      </c>
      <c r="AE39" s="287">
        <f>NÓMINA!AF47</f>
        <v>0</v>
      </c>
      <c r="AF39" s="287">
        <f>PARAFISCALES!F47</f>
        <v>0</v>
      </c>
      <c r="AG39" s="287">
        <f>PARAFISCALES!G47</f>
        <v>0</v>
      </c>
      <c r="AH39" s="287">
        <f>PARAFISCALES!H47</f>
        <v>0</v>
      </c>
      <c r="AI39" s="287">
        <f>PARAFISCALES!I47</f>
        <v>0</v>
      </c>
      <c r="AJ39" s="287">
        <f>PARAFISCALES!J47</f>
        <v>0</v>
      </c>
      <c r="AK39" s="287">
        <f>SUM(Tabla12[[#This Row],[Parafiscales Salud]:[Parafiscales ICBF]])</f>
        <v>0</v>
      </c>
      <c r="AL39" s="287">
        <f>PARAFISCALES!K47</f>
        <v>0</v>
      </c>
      <c r="AM39" s="287">
        <f>PROVISIONES!E48</f>
        <v>0</v>
      </c>
      <c r="AN39" s="287">
        <f>PROVISIONES!F48</f>
        <v>0</v>
      </c>
      <c r="AO39" s="287">
        <f>PROVISIONES!G48</f>
        <v>0</v>
      </c>
      <c r="AP39" s="287">
        <f>PROVISIONES!H48</f>
        <v>0</v>
      </c>
      <c r="AQ39" s="290">
        <f>SUM(Tabla12[[#This Row],[Provisiones Cesantias]:[Provisiones Vacaciones]])</f>
        <v>0</v>
      </c>
      <c r="AR39" s="285"/>
      <c r="AS39" s="285"/>
      <c r="AT39" s="285"/>
      <c r="AU39" s="285"/>
      <c r="AV39" s="285"/>
    </row>
    <row r="40" spans="1:48">
      <c r="A40" s="284">
        <f>NÓMINA!B48</f>
        <v>0</v>
      </c>
      <c r="B40" s="285">
        <f>NÓMINA!C48</f>
        <v>0</v>
      </c>
      <c r="C40" s="285">
        <f>NÓMINA!D48</f>
        <v>0</v>
      </c>
      <c r="D40" s="286">
        <f>NÓMINA!E48</f>
        <v>0</v>
      </c>
      <c r="E40" s="285">
        <f>NÓMINA!F48</f>
        <v>0</v>
      </c>
      <c r="F40" s="285">
        <f>NÓMINA!G48</f>
        <v>0</v>
      </c>
      <c r="G40" s="287">
        <f>NÓMINA!H48</f>
        <v>0</v>
      </c>
      <c r="H40" s="287">
        <f>NÓMINA!I48</f>
        <v>0</v>
      </c>
      <c r="I40" s="287">
        <f>NÓMINA!J48</f>
        <v>0</v>
      </c>
      <c r="J40" s="287">
        <f>NÓMINA!K48</f>
        <v>0</v>
      </c>
      <c r="K40" s="287">
        <f>NÓMINA!L48</f>
        <v>0</v>
      </c>
      <c r="L40" s="287">
        <f>NÓMINA!M48</f>
        <v>0</v>
      </c>
      <c r="M40" s="287">
        <f>NÓMINA!N48</f>
        <v>0</v>
      </c>
      <c r="N40" s="287">
        <f>NÓMINA!O48</f>
        <v>0</v>
      </c>
      <c r="O40" s="287">
        <f>NÓMINA!P48</f>
        <v>0</v>
      </c>
      <c r="P40" s="287">
        <f>NÓMINA!Q48</f>
        <v>0</v>
      </c>
      <c r="Q40" s="287">
        <f>NÓMINA!R48</f>
        <v>0</v>
      </c>
      <c r="R40" s="287">
        <f>NÓMINA!S48</f>
        <v>0</v>
      </c>
      <c r="S40" s="287">
        <f>NÓMINA!T48</f>
        <v>0</v>
      </c>
      <c r="T40" s="287">
        <f>NÓMINA!U48</f>
        <v>0</v>
      </c>
      <c r="U40" s="287">
        <f>NÓMINA!V48</f>
        <v>0</v>
      </c>
      <c r="V40" s="287">
        <f>NÓMINA!W48</f>
        <v>0</v>
      </c>
      <c r="W40" s="287">
        <f>NÓMINA!X48</f>
        <v>0</v>
      </c>
      <c r="X40" s="287">
        <f>NÓMINA!Y48</f>
        <v>0</v>
      </c>
      <c r="Y40" s="287">
        <f>NÓMINA!Z48</f>
        <v>0</v>
      </c>
      <c r="Z40" s="287">
        <f>NÓMINA!AA48</f>
        <v>0</v>
      </c>
      <c r="AA40" s="287">
        <f>NÓMINA!AB48</f>
        <v>0</v>
      </c>
      <c r="AB40" s="287">
        <f>NÓMINA!AC48</f>
        <v>0</v>
      </c>
      <c r="AC40" s="287">
        <f>NÓMINA!AD48</f>
        <v>0</v>
      </c>
      <c r="AD40" s="287">
        <f>NÓMINA!AE48</f>
        <v>0</v>
      </c>
      <c r="AE40" s="287">
        <f>NÓMINA!AF48</f>
        <v>0</v>
      </c>
      <c r="AF40" s="287">
        <f>PARAFISCALES!F48</f>
        <v>0</v>
      </c>
      <c r="AG40" s="287">
        <f>PARAFISCALES!G48</f>
        <v>0</v>
      </c>
      <c r="AH40" s="287">
        <f>PARAFISCALES!H48</f>
        <v>0</v>
      </c>
      <c r="AI40" s="287">
        <f>PARAFISCALES!I48</f>
        <v>0</v>
      </c>
      <c r="AJ40" s="287">
        <f>PARAFISCALES!J48</f>
        <v>0</v>
      </c>
      <c r="AK40" s="287">
        <f>SUM(Tabla12[[#This Row],[Parafiscales Salud]:[Parafiscales ICBF]])</f>
        <v>0</v>
      </c>
      <c r="AL40" s="287">
        <f>PARAFISCALES!K48</f>
        <v>0</v>
      </c>
      <c r="AM40" s="287">
        <f>PROVISIONES!E49</f>
        <v>0</v>
      </c>
      <c r="AN40" s="287">
        <f>PROVISIONES!F49</f>
        <v>0</v>
      </c>
      <c r="AO40" s="287">
        <f>PROVISIONES!G49</f>
        <v>0</v>
      </c>
      <c r="AP40" s="287">
        <f>PROVISIONES!H49</f>
        <v>0</v>
      </c>
      <c r="AQ40" s="290">
        <f>SUM(Tabla12[[#This Row],[Provisiones Cesantias]:[Provisiones Vacaciones]])</f>
        <v>0</v>
      </c>
      <c r="AR40" s="285"/>
      <c r="AS40" s="285"/>
      <c r="AT40" s="285"/>
      <c r="AU40" s="285"/>
      <c r="AV40" s="285"/>
    </row>
    <row r="41" spans="1:48">
      <c r="A41" s="284">
        <f>NÓMINA!B49</f>
        <v>0</v>
      </c>
      <c r="B41" s="285">
        <f>NÓMINA!C49</f>
        <v>0</v>
      </c>
      <c r="C41" s="285">
        <f>NÓMINA!D49</f>
        <v>0</v>
      </c>
      <c r="D41" s="286">
        <f>NÓMINA!E49</f>
        <v>0</v>
      </c>
      <c r="E41" s="285">
        <f>NÓMINA!F49</f>
        <v>0</v>
      </c>
      <c r="F41" s="285">
        <f>NÓMINA!G49</f>
        <v>0</v>
      </c>
      <c r="G41" s="287">
        <f>NÓMINA!H49</f>
        <v>0</v>
      </c>
      <c r="H41" s="287">
        <f>NÓMINA!I49</f>
        <v>0</v>
      </c>
      <c r="I41" s="287">
        <f>NÓMINA!J49</f>
        <v>0</v>
      </c>
      <c r="J41" s="287">
        <f>NÓMINA!K49</f>
        <v>0</v>
      </c>
      <c r="K41" s="287">
        <f>NÓMINA!L49</f>
        <v>0</v>
      </c>
      <c r="L41" s="287">
        <f>NÓMINA!M49</f>
        <v>0</v>
      </c>
      <c r="M41" s="287">
        <f>NÓMINA!N49</f>
        <v>0</v>
      </c>
      <c r="N41" s="287">
        <f>NÓMINA!O49</f>
        <v>0</v>
      </c>
      <c r="O41" s="287">
        <f>NÓMINA!P49</f>
        <v>0</v>
      </c>
      <c r="P41" s="287">
        <f>NÓMINA!Q49</f>
        <v>0</v>
      </c>
      <c r="Q41" s="287">
        <f>NÓMINA!R49</f>
        <v>0</v>
      </c>
      <c r="R41" s="287">
        <f>NÓMINA!S49</f>
        <v>0</v>
      </c>
      <c r="S41" s="287">
        <f>NÓMINA!T49</f>
        <v>0</v>
      </c>
      <c r="T41" s="287">
        <f>NÓMINA!U49</f>
        <v>0</v>
      </c>
      <c r="U41" s="287">
        <f>NÓMINA!V49</f>
        <v>0</v>
      </c>
      <c r="V41" s="287">
        <f>NÓMINA!W49</f>
        <v>0</v>
      </c>
      <c r="W41" s="287">
        <f>NÓMINA!X49</f>
        <v>0</v>
      </c>
      <c r="X41" s="287">
        <f>NÓMINA!Y49</f>
        <v>0</v>
      </c>
      <c r="Y41" s="287">
        <f>NÓMINA!Z49</f>
        <v>0</v>
      </c>
      <c r="Z41" s="287">
        <f>NÓMINA!AA49</f>
        <v>0</v>
      </c>
      <c r="AA41" s="287">
        <f>NÓMINA!AB49</f>
        <v>0</v>
      </c>
      <c r="AB41" s="287">
        <f>NÓMINA!AC49</f>
        <v>0</v>
      </c>
      <c r="AC41" s="287">
        <f>NÓMINA!AD49</f>
        <v>0</v>
      </c>
      <c r="AD41" s="287">
        <f>NÓMINA!AE49</f>
        <v>0</v>
      </c>
      <c r="AE41" s="287">
        <f>NÓMINA!AF49</f>
        <v>0</v>
      </c>
      <c r="AF41" s="287">
        <f>PARAFISCALES!F49</f>
        <v>0</v>
      </c>
      <c r="AG41" s="287">
        <f>PARAFISCALES!G49</f>
        <v>0</v>
      </c>
      <c r="AH41" s="287">
        <f>PARAFISCALES!H49</f>
        <v>0</v>
      </c>
      <c r="AI41" s="287">
        <f>PARAFISCALES!I49</f>
        <v>0</v>
      </c>
      <c r="AJ41" s="287">
        <f>PARAFISCALES!J49</f>
        <v>0</v>
      </c>
      <c r="AK41" s="287">
        <f>SUM(Tabla12[[#This Row],[Parafiscales Salud]:[Parafiscales ICBF]])</f>
        <v>0</v>
      </c>
      <c r="AL41" s="287">
        <f>PARAFISCALES!K49</f>
        <v>0</v>
      </c>
      <c r="AM41" s="287">
        <f>PROVISIONES!E50</f>
        <v>0</v>
      </c>
      <c r="AN41" s="287">
        <f>PROVISIONES!F50</f>
        <v>0</v>
      </c>
      <c r="AO41" s="287">
        <f>PROVISIONES!G50</f>
        <v>0</v>
      </c>
      <c r="AP41" s="287">
        <f>PROVISIONES!H50</f>
        <v>0</v>
      </c>
      <c r="AQ41" s="290">
        <f>SUM(Tabla12[[#This Row],[Provisiones Cesantias]:[Provisiones Vacaciones]])</f>
        <v>0</v>
      </c>
      <c r="AR41" s="285"/>
      <c r="AS41" s="285"/>
      <c r="AT41" s="285"/>
      <c r="AU41" s="285"/>
      <c r="AV41" s="285"/>
    </row>
    <row r="42" spans="1:48">
      <c r="A42" s="284">
        <f>NÓMINA!B50</f>
        <v>0</v>
      </c>
      <c r="B42" s="285">
        <f>NÓMINA!C50</f>
        <v>0</v>
      </c>
      <c r="C42" s="285">
        <f>NÓMINA!D50</f>
        <v>0</v>
      </c>
      <c r="D42" s="286">
        <f>NÓMINA!E50</f>
        <v>0</v>
      </c>
      <c r="E42" s="285">
        <f>NÓMINA!F50</f>
        <v>0</v>
      </c>
      <c r="F42" s="285">
        <f>NÓMINA!G50</f>
        <v>0</v>
      </c>
      <c r="G42" s="287">
        <f>NÓMINA!H50</f>
        <v>0</v>
      </c>
      <c r="H42" s="287">
        <f>NÓMINA!I50</f>
        <v>0</v>
      </c>
      <c r="I42" s="287">
        <f>NÓMINA!J50</f>
        <v>0</v>
      </c>
      <c r="J42" s="287">
        <f>NÓMINA!K50</f>
        <v>0</v>
      </c>
      <c r="K42" s="287">
        <f>NÓMINA!L50</f>
        <v>0</v>
      </c>
      <c r="L42" s="287">
        <f>NÓMINA!M50</f>
        <v>0</v>
      </c>
      <c r="M42" s="287">
        <f>NÓMINA!N50</f>
        <v>0</v>
      </c>
      <c r="N42" s="287">
        <f>NÓMINA!O50</f>
        <v>0</v>
      </c>
      <c r="O42" s="287">
        <f>NÓMINA!P50</f>
        <v>0</v>
      </c>
      <c r="P42" s="287">
        <f>NÓMINA!Q50</f>
        <v>0</v>
      </c>
      <c r="Q42" s="287">
        <f>NÓMINA!R50</f>
        <v>0</v>
      </c>
      <c r="R42" s="287">
        <f>NÓMINA!S50</f>
        <v>0</v>
      </c>
      <c r="S42" s="287">
        <f>NÓMINA!T50</f>
        <v>0</v>
      </c>
      <c r="T42" s="287">
        <f>NÓMINA!U50</f>
        <v>0</v>
      </c>
      <c r="U42" s="287">
        <f>NÓMINA!V50</f>
        <v>0</v>
      </c>
      <c r="V42" s="287">
        <f>NÓMINA!W50</f>
        <v>0</v>
      </c>
      <c r="W42" s="287">
        <f>NÓMINA!X50</f>
        <v>0</v>
      </c>
      <c r="X42" s="287">
        <f>NÓMINA!Y50</f>
        <v>0</v>
      </c>
      <c r="Y42" s="287">
        <f>NÓMINA!Z50</f>
        <v>0</v>
      </c>
      <c r="Z42" s="287">
        <f>NÓMINA!AA50</f>
        <v>0</v>
      </c>
      <c r="AA42" s="287">
        <f>NÓMINA!AB50</f>
        <v>0</v>
      </c>
      <c r="AB42" s="287">
        <f>NÓMINA!AC50</f>
        <v>0</v>
      </c>
      <c r="AC42" s="287">
        <f>NÓMINA!AD50</f>
        <v>0</v>
      </c>
      <c r="AD42" s="287">
        <f>NÓMINA!AE50</f>
        <v>0</v>
      </c>
      <c r="AE42" s="287">
        <f>NÓMINA!AF50</f>
        <v>0</v>
      </c>
      <c r="AF42" s="287">
        <f>PARAFISCALES!F50</f>
        <v>0</v>
      </c>
      <c r="AG42" s="287">
        <f>PARAFISCALES!G50</f>
        <v>0</v>
      </c>
      <c r="AH42" s="287">
        <f>PARAFISCALES!H50</f>
        <v>0</v>
      </c>
      <c r="AI42" s="287">
        <f>PARAFISCALES!I50</f>
        <v>0</v>
      </c>
      <c r="AJ42" s="287">
        <f>PARAFISCALES!J50</f>
        <v>0</v>
      </c>
      <c r="AK42" s="287">
        <f>SUM(Tabla12[[#This Row],[Parafiscales Salud]:[Parafiscales ICBF]])</f>
        <v>0</v>
      </c>
      <c r="AL42" s="287">
        <f>PARAFISCALES!K50</f>
        <v>0</v>
      </c>
      <c r="AM42" s="287">
        <f>PROVISIONES!E51</f>
        <v>0</v>
      </c>
      <c r="AN42" s="287">
        <f>PROVISIONES!F51</f>
        <v>0</v>
      </c>
      <c r="AO42" s="287">
        <f>PROVISIONES!G51</f>
        <v>0</v>
      </c>
      <c r="AP42" s="287">
        <f>PROVISIONES!H51</f>
        <v>0</v>
      </c>
      <c r="AQ42" s="290">
        <f>SUM(Tabla12[[#This Row],[Provisiones Cesantias]:[Provisiones Vacaciones]])</f>
        <v>0</v>
      </c>
      <c r="AR42" s="285"/>
      <c r="AS42" s="285"/>
      <c r="AT42" s="285"/>
      <c r="AU42" s="285"/>
      <c r="AV42" s="285"/>
    </row>
    <row r="43" spans="1:48">
      <c r="A43" s="284">
        <f>NÓMINA!B51</f>
        <v>0</v>
      </c>
      <c r="B43" s="285">
        <f>NÓMINA!C51</f>
        <v>0</v>
      </c>
      <c r="C43" s="285">
        <f>NÓMINA!D51</f>
        <v>0</v>
      </c>
      <c r="D43" s="286">
        <f>NÓMINA!E51</f>
        <v>0</v>
      </c>
      <c r="E43" s="285">
        <f>NÓMINA!F51</f>
        <v>0</v>
      </c>
      <c r="F43" s="285">
        <f>NÓMINA!G51</f>
        <v>0</v>
      </c>
      <c r="G43" s="287">
        <f>NÓMINA!H51</f>
        <v>0</v>
      </c>
      <c r="H43" s="287">
        <f>NÓMINA!I51</f>
        <v>0</v>
      </c>
      <c r="I43" s="287">
        <f>NÓMINA!J51</f>
        <v>0</v>
      </c>
      <c r="J43" s="287">
        <f>NÓMINA!K51</f>
        <v>0</v>
      </c>
      <c r="K43" s="287">
        <f>NÓMINA!L51</f>
        <v>0</v>
      </c>
      <c r="L43" s="287">
        <f>NÓMINA!M51</f>
        <v>0</v>
      </c>
      <c r="M43" s="287">
        <f>NÓMINA!N51</f>
        <v>0</v>
      </c>
      <c r="N43" s="287">
        <f>NÓMINA!O51</f>
        <v>0</v>
      </c>
      <c r="O43" s="287">
        <f>NÓMINA!P51</f>
        <v>0</v>
      </c>
      <c r="P43" s="287">
        <f>NÓMINA!Q51</f>
        <v>0</v>
      </c>
      <c r="Q43" s="287">
        <f>NÓMINA!R51</f>
        <v>0</v>
      </c>
      <c r="R43" s="287">
        <f>NÓMINA!S51</f>
        <v>0</v>
      </c>
      <c r="S43" s="287">
        <f>NÓMINA!T51</f>
        <v>0</v>
      </c>
      <c r="T43" s="287">
        <f>NÓMINA!U51</f>
        <v>0</v>
      </c>
      <c r="U43" s="287">
        <f>NÓMINA!V51</f>
        <v>0</v>
      </c>
      <c r="V43" s="287">
        <f>NÓMINA!W51</f>
        <v>0</v>
      </c>
      <c r="W43" s="287">
        <f>NÓMINA!X51</f>
        <v>0</v>
      </c>
      <c r="X43" s="287">
        <f>NÓMINA!Y51</f>
        <v>0</v>
      </c>
      <c r="Y43" s="287">
        <f>NÓMINA!Z51</f>
        <v>0</v>
      </c>
      <c r="Z43" s="287">
        <f>NÓMINA!AA51</f>
        <v>0</v>
      </c>
      <c r="AA43" s="287">
        <f>NÓMINA!AB51</f>
        <v>0</v>
      </c>
      <c r="AB43" s="287">
        <f>NÓMINA!AC51</f>
        <v>0</v>
      </c>
      <c r="AC43" s="287">
        <f>NÓMINA!AD51</f>
        <v>0</v>
      </c>
      <c r="AD43" s="287">
        <f>NÓMINA!AE51</f>
        <v>0</v>
      </c>
      <c r="AE43" s="287">
        <f>NÓMINA!AF51</f>
        <v>0</v>
      </c>
      <c r="AF43" s="287">
        <f>PARAFISCALES!F51</f>
        <v>0</v>
      </c>
      <c r="AG43" s="287">
        <f>PARAFISCALES!G51</f>
        <v>0</v>
      </c>
      <c r="AH43" s="287">
        <f>PARAFISCALES!H51</f>
        <v>0</v>
      </c>
      <c r="AI43" s="287">
        <f>PARAFISCALES!I51</f>
        <v>0</v>
      </c>
      <c r="AJ43" s="287">
        <f>PARAFISCALES!J51</f>
        <v>0</v>
      </c>
      <c r="AK43" s="287">
        <f>SUM(Tabla12[[#This Row],[Parafiscales Salud]:[Parafiscales ICBF]])</f>
        <v>0</v>
      </c>
      <c r="AL43" s="287">
        <f>PARAFISCALES!K51</f>
        <v>0</v>
      </c>
      <c r="AM43" s="287">
        <f>PROVISIONES!E52</f>
        <v>0</v>
      </c>
      <c r="AN43" s="287">
        <f>PROVISIONES!F52</f>
        <v>0</v>
      </c>
      <c r="AO43" s="287">
        <f>PROVISIONES!G52</f>
        <v>0</v>
      </c>
      <c r="AP43" s="287">
        <f>PROVISIONES!H52</f>
        <v>0</v>
      </c>
      <c r="AQ43" s="290">
        <f>SUM(Tabla12[[#This Row],[Provisiones Cesantias]:[Provisiones Vacaciones]])</f>
        <v>0</v>
      </c>
      <c r="AR43" s="285"/>
      <c r="AS43" s="285"/>
      <c r="AT43" s="285"/>
      <c r="AU43" s="285"/>
      <c r="AV43" s="285"/>
    </row>
    <row r="44" spans="1:48">
      <c r="A44" s="284">
        <f>NÓMINA!B52</f>
        <v>0</v>
      </c>
      <c r="B44" s="285">
        <f>NÓMINA!C52</f>
        <v>0</v>
      </c>
      <c r="C44" s="285">
        <f>NÓMINA!D52</f>
        <v>0</v>
      </c>
      <c r="D44" s="286">
        <f>NÓMINA!E52</f>
        <v>0</v>
      </c>
      <c r="E44" s="285">
        <f>NÓMINA!F52</f>
        <v>0</v>
      </c>
      <c r="F44" s="285">
        <f>NÓMINA!G52</f>
        <v>0</v>
      </c>
      <c r="G44" s="287">
        <f>NÓMINA!H52</f>
        <v>0</v>
      </c>
      <c r="H44" s="287">
        <f>NÓMINA!I52</f>
        <v>0</v>
      </c>
      <c r="I44" s="287">
        <f>NÓMINA!J52</f>
        <v>0</v>
      </c>
      <c r="J44" s="287">
        <f>NÓMINA!K52</f>
        <v>0</v>
      </c>
      <c r="K44" s="287">
        <f>NÓMINA!L52</f>
        <v>0</v>
      </c>
      <c r="L44" s="287">
        <f>NÓMINA!M52</f>
        <v>0</v>
      </c>
      <c r="M44" s="287">
        <f>NÓMINA!N52</f>
        <v>0</v>
      </c>
      <c r="N44" s="287">
        <f>NÓMINA!O52</f>
        <v>0</v>
      </c>
      <c r="O44" s="287">
        <f>NÓMINA!P52</f>
        <v>0</v>
      </c>
      <c r="P44" s="287">
        <f>NÓMINA!Q52</f>
        <v>0</v>
      </c>
      <c r="Q44" s="287">
        <f>NÓMINA!R52</f>
        <v>0</v>
      </c>
      <c r="R44" s="287">
        <f>NÓMINA!S52</f>
        <v>0</v>
      </c>
      <c r="S44" s="287">
        <f>NÓMINA!T52</f>
        <v>0</v>
      </c>
      <c r="T44" s="287">
        <f>NÓMINA!U52</f>
        <v>0</v>
      </c>
      <c r="U44" s="287">
        <f>NÓMINA!V52</f>
        <v>0</v>
      </c>
      <c r="V44" s="287">
        <f>NÓMINA!W52</f>
        <v>0</v>
      </c>
      <c r="W44" s="287">
        <f>NÓMINA!X52</f>
        <v>0</v>
      </c>
      <c r="X44" s="287">
        <f>NÓMINA!Y52</f>
        <v>0</v>
      </c>
      <c r="Y44" s="287">
        <f>NÓMINA!Z52</f>
        <v>0</v>
      </c>
      <c r="Z44" s="287">
        <f>NÓMINA!AA52</f>
        <v>0</v>
      </c>
      <c r="AA44" s="287">
        <f>NÓMINA!AB52</f>
        <v>0</v>
      </c>
      <c r="AB44" s="287">
        <f>NÓMINA!AC52</f>
        <v>0</v>
      </c>
      <c r="AC44" s="287">
        <f>NÓMINA!AD52</f>
        <v>0</v>
      </c>
      <c r="AD44" s="287">
        <f>NÓMINA!AE52</f>
        <v>0</v>
      </c>
      <c r="AE44" s="287">
        <f>NÓMINA!AF52</f>
        <v>0</v>
      </c>
      <c r="AF44" s="287">
        <f>PARAFISCALES!F52</f>
        <v>0</v>
      </c>
      <c r="AG44" s="287">
        <f>PARAFISCALES!G52</f>
        <v>0</v>
      </c>
      <c r="AH44" s="287">
        <f>PARAFISCALES!H52</f>
        <v>0</v>
      </c>
      <c r="AI44" s="287">
        <f>PARAFISCALES!I52</f>
        <v>0</v>
      </c>
      <c r="AJ44" s="287">
        <f>PARAFISCALES!J52</f>
        <v>0</v>
      </c>
      <c r="AK44" s="287">
        <f>SUM(Tabla12[[#This Row],[Parafiscales Salud]:[Parafiscales ICBF]])</f>
        <v>0</v>
      </c>
      <c r="AL44" s="287">
        <f>PARAFISCALES!K52</f>
        <v>0</v>
      </c>
      <c r="AM44" s="287">
        <f>PROVISIONES!E53</f>
        <v>0</v>
      </c>
      <c r="AN44" s="287">
        <f>PROVISIONES!F53</f>
        <v>0</v>
      </c>
      <c r="AO44" s="287">
        <f>PROVISIONES!G53</f>
        <v>0</v>
      </c>
      <c r="AP44" s="287">
        <f>PROVISIONES!H53</f>
        <v>0</v>
      </c>
      <c r="AQ44" s="290">
        <f>SUM(Tabla12[[#This Row],[Provisiones Cesantias]:[Provisiones Vacaciones]])</f>
        <v>0</v>
      </c>
      <c r="AR44" s="285"/>
      <c r="AS44" s="285"/>
      <c r="AT44" s="285"/>
      <c r="AU44" s="285"/>
      <c r="AV44" s="285"/>
    </row>
    <row r="45" spans="1:48">
      <c r="A45" s="284">
        <f>NÓMINA!B53</f>
        <v>0</v>
      </c>
      <c r="B45" s="285">
        <f>NÓMINA!C53</f>
        <v>0</v>
      </c>
      <c r="C45" s="285">
        <f>NÓMINA!D53</f>
        <v>0</v>
      </c>
      <c r="D45" s="286">
        <f>NÓMINA!E53</f>
        <v>0</v>
      </c>
      <c r="E45" s="285">
        <f>NÓMINA!F53</f>
        <v>0</v>
      </c>
      <c r="F45" s="285">
        <f>NÓMINA!G53</f>
        <v>0</v>
      </c>
      <c r="G45" s="287">
        <f>NÓMINA!H53</f>
        <v>0</v>
      </c>
      <c r="H45" s="287">
        <f>NÓMINA!I53</f>
        <v>0</v>
      </c>
      <c r="I45" s="287">
        <f>NÓMINA!J53</f>
        <v>0</v>
      </c>
      <c r="J45" s="287">
        <f>NÓMINA!K53</f>
        <v>0</v>
      </c>
      <c r="K45" s="287">
        <f>NÓMINA!L53</f>
        <v>0</v>
      </c>
      <c r="L45" s="287">
        <f>NÓMINA!M53</f>
        <v>0</v>
      </c>
      <c r="M45" s="287">
        <f>NÓMINA!N53</f>
        <v>0</v>
      </c>
      <c r="N45" s="287">
        <f>NÓMINA!O53</f>
        <v>0</v>
      </c>
      <c r="O45" s="287">
        <f>NÓMINA!P53</f>
        <v>0</v>
      </c>
      <c r="P45" s="287">
        <f>NÓMINA!Q53</f>
        <v>0</v>
      </c>
      <c r="Q45" s="287">
        <f>NÓMINA!R53</f>
        <v>0</v>
      </c>
      <c r="R45" s="287">
        <f>NÓMINA!S53</f>
        <v>0</v>
      </c>
      <c r="S45" s="287">
        <f>NÓMINA!T53</f>
        <v>0</v>
      </c>
      <c r="T45" s="287">
        <f>NÓMINA!U53</f>
        <v>0</v>
      </c>
      <c r="U45" s="287">
        <f>NÓMINA!V53</f>
        <v>0</v>
      </c>
      <c r="V45" s="287">
        <f>NÓMINA!W53</f>
        <v>0</v>
      </c>
      <c r="W45" s="287">
        <f>NÓMINA!X53</f>
        <v>0</v>
      </c>
      <c r="X45" s="287">
        <f>NÓMINA!Y53</f>
        <v>0</v>
      </c>
      <c r="Y45" s="287">
        <f>NÓMINA!Z53</f>
        <v>0</v>
      </c>
      <c r="Z45" s="287">
        <f>NÓMINA!AA53</f>
        <v>0</v>
      </c>
      <c r="AA45" s="287">
        <f>NÓMINA!AB53</f>
        <v>0</v>
      </c>
      <c r="AB45" s="287">
        <f>NÓMINA!AC53</f>
        <v>0</v>
      </c>
      <c r="AC45" s="287">
        <f>NÓMINA!AD53</f>
        <v>0</v>
      </c>
      <c r="AD45" s="287">
        <f>NÓMINA!AE53</f>
        <v>0</v>
      </c>
      <c r="AE45" s="287">
        <f>NÓMINA!AF53</f>
        <v>0</v>
      </c>
      <c r="AF45" s="287">
        <f>PARAFISCALES!F53</f>
        <v>0</v>
      </c>
      <c r="AG45" s="287">
        <f>PARAFISCALES!G53</f>
        <v>0</v>
      </c>
      <c r="AH45" s="287">
        <f>PARAFISCALES!H53</f>
        <v>0</v>
      </c>
      <c r="AI45" s="287">
        <f>PARAFISCALES!I53</f>
        <v>0</v>
      </c>
      <c r="AJ45" s="287">
        <f>PARAFISCALES!J53</f>
        <v>0</v>
      </c>
      <c r="AK45" s="287">
        <f>SUM(Tabla12[[#This Row],[Parafiscales Salud]:[Parafiscales ICBF]])</f>
        <v>0</v>
      </c>
      <c r="AL45" s="287">
        <f>PARAFISCALES!K53</f>
        <v>0</v>
      </c>
      <c r="AM45" s="287">
        <f>PROVISIONES!E54</f>
        <v>0</v>
      </c>
      <c r="AN45" s="287">
        <f>PROVISIONES!F54</f>
        <v>0</v>
      </c>
      <c r="AO45" s="287">
        <f>PROVISIONES!G54</f>
        <v>0</v>
      </c>
      <c r="AP45" s="287">
        <f>PROVISIONES!H54</f>
        <v>0</v>
      </c>
      <c r="AQ45" s="290">
        <f>SUM(Tabla12[[#This Row],[Provisiones Cesantias]:[Provisiones Vacaciones]])</f>
        <v>0</v>
      </c>
      <c r="AR45" s="285"/>
      <c r="AS45" s="285"/>
      <c r="AT45" s="285"/>
      <c r="AU45" s="285"/>
      <c r="AV45" s="285"/>
    </row>
    <row r="46" spans="1:48">
      <c r="A46" s="284">
        <f>NÓMINA!B54</f>
        <v>0</v>
      </c>
      <c r="B46" s="285">
        <f>NÓMINA!C54</f>
        <v>0</v>
      </c>
      <c r="C46" s="285">
        <f>NÓMINA!D54</f>
        <v>0</v>
      </c>
      <c r="D46" s="286">
        <f>NÓMINA!E54</f>
        <v>0</v>
      </c>
      <c r="E46" s="285">
        <f>NÓMINA!F54</f>
        <v>0</v>
      </c>
      <c r="F46" s="285">
        <f>NÓMINA!G54</f>
        <v>0</v>
      </c>
      <c r="G46" s="287">
        <f>NÓMINA!H54</f>
        <v>0</v>
      </c>
      <c r="H46" s="287">
        <f>NÓMINA!I54</f>
        <v>0</v>
      </c>
      <c r="I46" s="287">
        <f>NÓMINA!J54</f>
        <v>0</v>
      </c>
      <c r="J46" s="287">
        <f>NÓMINA!K54</f>
        <v>0</v>
      </c>
      <c r="K46" s="287">
        <f>NÓMINA!L54</f>
        <v>0</v>
      </c>
      <c r="L46" s="287">
        <f>NÓMINA!M54</f>
        <v>0</v>
      </c>
      <c r="M46" s="287">
        <f>NÓMINA!N54</f>
        <v>0</v>
      </c>
      <c r="N46" s="287">
        <f>NÓMINA!O54</f>
        <v>0</v>
      </c>
      <c r="O46" s="287">
        <f>NÓMINA!P54</f>
        <v>0</v>
      </c>
      <c r="P46" s="287">
        <f>NÓMINA!Q54</f>
        <v>0</v>
      </c>
      <c r="Q46" s="287">
        <f>NÓMINA!R54</f>
        <v>0</v>
      </c>
      <c r="R46" s="287">
        <f>NÓMINA!S54</f>
        <v>0</v>
      </c>
      <c r="S46" s="287">
        <f>NÓMINA!T54</f>
        <v>0</v>
      </c>
      <c r="T46" s="287">
        <f>NÓMINA!U54</f>
        <v>0</v>
      </c>
      <c r="U46" s="287">
        <f>NÓMINA!V54</f>
        <v>0</v>
      </c>
      <c r="V46" s="287">
        <f>NÓMINA!W54</f>
        <v>0</v>
      </c>
      <c r="W46" s="287">
        <f>NÓMINA!X54</f>
        <v>0</v>
      </c>
      <c r="X46" s="287">
        <f>NÓMINA!Y54</f>
        <v>0</v>
      </c>
      <c r="Y46" s="287">
        <f>NÓMINA!Z54</f>
        <v>0</v>
      </c>
      <c r="Z46" s="287">
        <f>NÓMINA!AA54</f>
        <v>0</v>
      </c>
      <c r="AA46" s="287">
        <f>NÓMINA!AB54</f>
        <v>0</v>
      </c>
      <c r="AB46" s="287">
        <f>NÓMINA!AC54</f>
        <v>0</v>
      </c>
      <c r="AC46" s="287">
        <f>NÓMINA!AD54</f>
        <v>0</v>
      </c>
      <c r="AD46" s="287">
        <f>NÓMINA!AE54</f>
        <v>0</v>
      </c>
      <c r="AE46" s="287">
        <f>NÓMINA!AF54</f>
        <v>0</v>
      </c>
      <c r="AF46" s="287">
        <f>PARAFISCALES!F54</f>
        <v>0</v>
      </c>
      <c r="AG46" s="287">
        <f>PARAFISCALES!G54</f>
        <v>0</v>
      </c>
      <c r="AH46" s="287">
        <f>PARAFISCALES!H54</f>
        <v>0</v>
      </c>
      <c r="AI46" s="287">
        <f>PARAFISCALES!I54</f>
        <v>0</v>
      </c>
      <c r="AJ46" s="287">
        <f>PARAFISCALES!J54</f>
        <v>0</v>
      </c>
      <c r="AK46" s="287">
        <f>SUM(Tabla12[[#This Row],[Parafiscales Salud]:[Parafiscales ICBF]])</f>
        <v>0</v>
      </c>
      <c r="AL46" s="287">
        <f>PARAFISCALES!K54</f>
        <v>0</v>
      </c>
      <c r="AM46" s="287">
        <f>PROVISIONES!E55</f>
        <v>0</v>
      </c>
      <c r="AN46" s="287">
        <f>PROVISIONES!F55</f>
        <v>0</v>
      </c>
      <c r="AO46" s="287">
        <f>PROVISIONES!G55</f>
        <v>0</v>
      </c>
      <c r="AP46" s="287">
        <f>PROVISIONES!H55</f>
        <v>0</v>
      </c>
      <c r="AQ46" s="290">
        <f>SUM(Tabla12[[#This Row],[Provisiones Cesantias]:[Provisiones Vacaciones]])</f>
        <v>0</v>
      </c>
      <c r="AR46" s="285"/>
      <c r="AS46" s="285"/>
      <c r="AT46" s="285"/>
      <c r="AU46" s="285"/>
      <c r="AV46" s="285"/>
    </row>
    <row r="47" spans="1:48">
      <c r="A47" s="284">
        <f>NÓMINA!B55</f>
        <v>0</v>
      </c>
      <c r="B47" s="285">
        <f>NÓMINA!C55</f>
        <v>0</v>
      </c>
      <c r="C47" s="285">
        <f>NÓMINA!D55</f>
        <v>0</v>
      </c>
      <c r="D47" s="286">
        <f>NÓMINA!E55</f>
        <v>0</v>
      </c>
      <c r="E47" s="285">
        <f>NÓMINA!F55</f>
        <v>0</v>
      </c>
      <c r="F47" s="285">
        <f>NÓMINA!G55</f>
        <v>0</v>
      </c>
      <c r="G47" s="287">
        <f>NÓMINA!H55</f>
        <v>0</v>
      </c>
      <c r="H47" s="287">
        <f>NÓMINA!I55</f>
        <v>0</v>
      </c>
      <c r="I47" s="287">
        <f>NÓMINA!J55</f>
        <v>0</v>
      </c>
      <c r="J47" s="287">
        <f>NÓMINA!K55</f>
        <v>0</v>
      </c>
      <c r="K47" s="287">
        <f>NÓMINA!L55</f>
        <v>0</v>
      </c>
      <c r="L47" s="287">
        <f>NÓMINA!M55</f>
        <v>0</v>
      </c>
      <c r="M47" s="287">
        <f>NÓMINA!N55</f>
        <v>0</v>
      </c>
      <c r="N47" s="287">
        <f>NÓMINA!O55</f>
        <v>0</v>
      </c>
      <c r="O47" s="287">
        <f>NÓMINA!P55</f>
        <v>0</v>
      </c>
      <c r="P47" s="287">
        <f>NÓMINA!Q55</f>
        <v>0</v>
      </c>
      <c r="Q47" s="287">
        <f>NÓMINA!R55</f>
        <v>0</v>
      </c>
      <c r="R47" s="287">
        <f>NÓMINA!S55</f>
        <v>0</v>
      </c>
      <c r="S47" s="287">
        <f>NÓMINA!T55</f>
        <v>0</v>
      </c>
      <c r="T47" s="287">
        <f>NÓMINA!U55</f>
        <v>0</v>
      </c>
      <c r="U47" s="287">
        <f>NÓMINA!V55</f>
        <v>0</v>
      </c>
      <c r="V47" s="287">
        <f>NÓMINA!W55</f>
        <v>0</v>
      </c>
      <c r="W47" s="287">
        <f>NÓMINA!X55</f>
        <v>0</v>
      </c>
      <c r="X47" s="287">
        <f>NÓMINA!Y55</f>
        <v>0</v>
      </c>
      <c r="Y47" s="287">
        <f>NÓMINA!Z55</f>
        <v>0</v>
      </c>
      <c r="Z47" s="287">
        <f>NÓMINA!AA55</f>
        <v>0</v>
      </c>
      <c r="AA47" s="287">
        <f>NÓMINA!AB55</f>
        <v>0</v>
      </c>
      <c r="AB47" s="287">
        <f>NÓMINA!AC55</f>
        <v>0</v>
      </c>
      <c r="AC47" s="287">
        <f>NÓMINA!AD55</f>
        <v>0</v>
      </c>
      <c r="AD47" s="287">
        <f>NÓMINA!AE55</f>
        <v>0</v>
      </c>
      <c r="AE47" s="287">
        <f>NÓMINA!AF55</f>
        <v>0</v>
      </c>
      <c r="AF47" s="287">
        <f>PARAFISCALES!F55</f>
        <v>0</v>
      </c>
      <c r="AG47" s="287">
        <f>PARAFISCALES!G55</f>
        <v>0</v>
      </c>
      <c r="AH47" s="287">
        <f>PARAFISCALES!H55</f>
        <v>0</v>
      </c>
      <c r="AI47" s="287">
        <f>PARAFISCALES!I55</f>
        <v>0</v>
      </c>
      <c r="AJ47" s="287">
        <f>PARAFISCALES!J55</f>
        <v>0</v>
      </c>
      <c r="AK47" s="287">
        <f>SUM(Tabla12[[#This Row],[Parafiscales Salud]:[Parafiscales ICBF]])</f>
        <v>0</v>
      </c>
      <c r="AL47" s="287">
        <f>PARAFISCALES!K55</f>
        <v>0</v>
      </c>
      <c r="AM47" s="287">
        <f>PROVISIONES!E56</f>
        <v>0</v>
      </c>
      <c r="AN47" s="287">
        <f>PROVISIONES!F56</f>
        <v>0</v>
      </c>
      <c r="AO47" s="287">
        <f>PROVISIONES!G56</f>
        <v>0</v>
      </c>
      <c r="AP47" s="287">
        <f>PROVISIONES!H56</f>
        <v>0</v>
      </c>
      <c r="AQ47" s="290">
        <f>SUM(Tabla12[[#This Row],[Provisiones Cesantias]:[Provisiones Vacaciones]])</f>
        <v>0</v>
      </c>
      <c r="AR47" s="285"/>
      <c r="AS47" s="285"/>
      <c r="AT47" s="285"/>
      <c r="AU47" s="285"/>
      <c r="AV47" s="285"/>
    </row>
    <row r="48" spans="1:48">
      <c r="A48" s="284">
        <f>NÓMINA!B56</f>
        <v>0</v>
      </c>
      <c r="B48" s="285">
        <f>NÓMINA!C56</f>
        <v>0</v>
      </c>
      <c r="C48" s="285">
        <f>NÓMINA!D56</f>
        <v>0</v>
      </c>
      <c r="D48" s="286">
        <f>NÓMINA!E56</f>
        <v>0</v>
      </c>
      <c r="E48" s="285">
        <f>NÓMINA!F56</f>
        <v>0</v>
      </c>
      <c r="F48" s="285">
        <f>NÓMINA!G56</f>
        <v>0</v>
      </c>
      <c r="G48" s="287">
        <f>NÓMINA!H56</f>
        <v>0</v>
      </c>
      <c r="H48" s="287">
        <f>NÓMINA!I56</f>
        <v>0</v>
      </c>
      <c r="I48" s="287">
        <f>NÓMINA!J56</f>
        <v>0</v>
      </c>
      <c r="J48" s="287">
        <f>NÓMINA!K56</f>
        <v>0</v>
      </c>
      <c r="K48" s="287">
        <f>NÓMINA!L56</f>
        <v>0</v>
      </c>
      <c r="L48" s="287">
        <f>NÓMINA!M56</f>
        <v>0</v>
      </c>
      <c r="M48" s="287">
        <f>NÓMINA!N56</f>
        <v>0</v>
      </c>
      <c r="N48" s="287">
        <f>NÓMINA!O56</f>
        <v>0</v>
      </c>
      <c r="O48" s="287">
        <f>NÓMINA!P56</f>
        <v>0</v>
      </c>
      <c r="P48" s="287">
        <f>NÓMINA!Q56</f>
        <v>0</v>
      </c>
      <c r="Q48" s="287">
        <f>NÓMINA!R56</f>
        <v>0</v>
      </c>
      <c r="R48" s="287">
        <f>NÓMINA!S56</f>
        <v>0</v>
      </c>
      <c r="S48" s="287">
        <f>NÓMINA!T56</f>
        <v>0</v>
      </c>
      <c r="T48" s="287">
        <f>NÓMINA!U56</f>
        <v>0</v>
      </c>
      <c r="U48" s="287">
        <f>NÓMINA!V56</f>
        <v>0</v>
      </c>
      <c r="V48" s="287">
        <f>NÓMINA!W56</f>
        <v>0</v>
      </c>
      <c r="W48" s="287">
        <f>NÓMINA!X56</f>
        <v>0</v>
      </c>
      <c r="X48" s="287">
        <f>NÓMINA!Y56</f>
        <v>0</v>
      </c>
      <c r="Y48" s="287">
        <f>NÓMINA!Z56</f>
        <v>0</v>
      </c>
      <c r="Z48" s="287">
        <f>NÓMINA!AA56</f>
        <v>0</v>
      </c>
      <c r="AA48" s="287">
        <f>NÓMINA!AB56</f>
        <v>0</v>
      </c>
      <c r="AB48" s="287">
        <f>NÓMINA!AC56</f>
        <v>0</v>
      </c>
      <c r="AC48" s="287">
        <f>NÓMINA!AD56</f>
        <v>0</v>
      </c>
      <c r="AD48" s="287">
        <f>NÓMINA!AE56</f>
        <v>0</v>
      </c>
      <c r="AE48" s="287">
        <f>NÓMINA!AF56</f>
        <v>0</v>
      </c>
      <c r="AF48" s="287">
        <f>PARAFISCALES!F56</f>
        <v>0</v>
      </c>
      <c r="AG48" s="287">
        <f>PARAFISCALES!G56</f>
        <v>0</v>
      </c>
      <c r="AH48" s="287">
        <f>PARAFISCALES!H56</f>
        <v>0</v>
      </c>
      <c r="AI48" s="287">
        <f>PARAFISCALES!I56</f>
        <v>0</v>
      </c>
      <c r="AJ48" s="287">
        <f>PARAFISCALES!J56</f>
        <v>0</v>
      </c>
      <c r="AK48" s="287">
        <f>SUM(Tabla12[[#This Row],[Parafiscales Salud]:[Parafiscales ICBF]])</f>
        <v>0</v>
      </c>
      <c r="AL48" s="287">
        <f>PARAFISCALES!K56</f>
        <v>0</v>
      </c>
      <c r="AM48" s="287">
        <f>PROVISIONES!E57</f>
        <v>0</v>
      </c>
      <c r="AN48" s="287">
        <f>PROVISIONES!F57</f>
        <v>0</v>
      </c>
      <c r="AO48" s="287">
        <f>PROVISIONES!G57</f>
        <v>0</v>
      </c>
      <c r="AP48" s="287">
        <f>PROVISIONES!H57</f>
        <v>0</v>
      </c>
      <c r="AQ48" s="290">
        <f>SUM(Tabla12[[#This Row],[Provisiones Cesantias]:[Provisiones Vacaciones]])</f>
        <v>0</v>
      </c>
      <c r="AR48" s="285"/>
      <c r="AS48" s="285"/>
      <c r="AT48" s="285"/>
      <c r="AU48" s="285"/>
      <c r="AV48" s="285"/>
    </row>
    <row r="49" spans="1:48">
      <c r="A49" s="284">
        <f>NÓMINA!B57</f>
        <v>0</v>
      </c>
      <c r="B49" s="285">
        <f>NÓMINA!C57</f>
        <v>0</v>
      </c>
      <c r="C49" s="285">
        <f>NÓMINA!D57</f>
        <v>0</v>
      </c>
      <c r="D49" s="286">
        <f>NÓMINA!E57</f>
        <v>0</v>
      </c>
      <c r="E49" s="285">
        <f>NÓMINA!F57</f>
        <v>0</v>
      </c>
      <c r="F49" s="285">
        <f>NÓMINA!G57</f>
        <v>0</v>
      </c>
      <c r="G49" s="287">
        <f>NÓMINA!H57</f>
        <v>0</v>
      </c>
      <c r="H49" s="287">
        <f>NÓMINA!I57</f>
        <v>0</v>
      </c>
      <c r="I49" s="287">
        <f>NÓMINA!J57</f>
        <v>0</v>
      </c>
      <c r="J49" s="287">
        <f>NÓMINA!K57</f>
        <v>0</v>
      </c>
      <c r="K49" s="287">
        <f>NÓMINA!L57</f>
        <v>0</v>
      </c>
      <c r="L49" s="287">
        <f>NÓMINA!M57</f>
        <v>0</v>
      </c>
      <c r="M49" s="287">
        <f>NÓMINA!N57</f>
        <v>0</v>
      </c>
      <c r="N49" s="287">
        <f>NÓMINA!O57</f>
        <v>0</v>
      </c>
      <c r="O49" s="287">
        <f>NÓMINA!P57</f>
        <v>0</v>
      </c>
      <c r="P49" s="287">
        <f>NÓMINA!Q57</f>
        <v>0</v>
      </c>
      <c r="Q49" s="287">
        <f>NÓMINA!R57</f>
        <v>0</v>
      </c>
      <c r="R49" s="287">
        <f>NÓMINA!S57</f>
        <v>0</v>
      </c>
      <c r="S49" s="287">
        <f>NÓMINA!T57</f>
        <v>0</v>
      </c>
      <c r="T49" s="287">
        <f>NÓMINA!U57</f>
        <v>0</v>
      </c>
      <c r="U49" s="287">
        <f>NÓMINA!V57</f>
        <v>0</v>
      </c>
      <c r="V49" s="287">
        <f>NÓMINA!W57</f>
        <v>0</v>
      </c>
      <c r="W49" s="287">
        <f>NÓMINA!X57</f>
        <v>0</v>
      </c>
      <c r="X49" s="287">
        <f>NÓMINA!Y57</f>
        <v>0</v>
      </c>
      <c r="Y49" s="287">
        <f>NÓMINA!Z57</f>
        <v>0</v>
      </c>
      <c r="Z49" s="287">
        <f>NÓMINA!AA57</f>
        <v>0</v>
      </c>
      <c r="AA49" s="287">
        <f>NÓMINA!AB57</f>
        <v>0</v>
      </c>
      <c r="AB49" s="287">
        <f>NÓMINA!AC57</f>
        <v>0</v>
      </c>
      <c r="AC49" s="287">
        <f>NÓMINA!AD57</f>
        <v>0</v>
      </c>
      <c r="AD49" s="287">
        <f>NÓMINA!AE57</f>
        <v>0</v>
      </c>
      <c r="AE49" s="287">
        <f>NÓMINA!AF57</f>
        <v>0</v>
      </c>
      <c r="AF49" s="287">
        <f>PARAFISCALES!F57</f>
        <v>0</v>
      </c>
      <c r="AG49" s="287">
        <f>PARAFISCALES!G57</f>
        <v>0</v>
      </c>
      <c r="AH49" s="287">
        <f>PARAFISCALES!H57</f>
        <v>0</v>
      </c>
      <c r="AI49" s="287">
        <f>PARAFISCALES!I57</f>
        <v>0</v>
      </c>
      <c r="AJ49" s="287">
        <f>PARAFISCALES!J57</f>
        <v>0</v>
      </c>
      <c r="AK49" s="287">
        <f>SUM(Tabla12[[#This Row],[Parafiscales Salud]:[Parafiscales ICBF]])</f>
        <v>0</v>
      </c>
      <c r="AL49" s="287">
        <f>PARAFISCALES!K57</f>
        <v>0</v>
      </c>
      <c r="AM49" s="287">
        <f>PROVISIONES!E58</f>
        <v>0</v>
      </c>
      <c r="AN49" s="287">
        <f>PROVISIONES!F58</f>
        <v>0</v>
      </c>
      <c r="AO49" s="287">
        <f>PROVISIONES!G58</f>
        <v>0</v>
      </c>
      <c r="AP49" s="287">
        <f>PROVISIONES!H58</f>
        <v>0</v>
      </c>
      <c r="AQ49" s="290">
        <f>SUM(Tabla12[[#This Row],[Provisiones Cesantias]:[Provisiones Vacaciones]])</f>
        <v>0</v>
      </c>
      <c r="AR49" s="285"/>
      <c r="AS49" s="285"/>
      <c r="AT49" s="285"/>
      <c r="AU49" s="285"/>
      <c r="AV49" s="285"/>
    </row>
    <row r="50" spans="1:48">
      <c r="A50" s="284">
        <f>NÓMINA!B58</f>
        <v>0</v>
      </c>
      <c r="B50" s="285">
        <f>NÓMINA!C58</f>
        <v>0</v>
      </c>
      <c r="C50" s="285">
        <f>NÓMINA!D58</f>
        <v>0</v>
      </c>
      <c r="D50" s="286">
        <f>NÓMINA!E58</f>
        <v>0</v>
      </c>
      <c r="E50" s="285">
        <f>NÓMINA!F58</f>
        <v>0</v>
      </c>
      <c r="F50" s="285">
        <f>NÓMINA!G58</f>
        <v>0</v>
      </c>
      <c r="G50" s="287">
        <f>NÓMINA!H58</f>
        <v>0</v>
      </c>
      <c r="H50" s="287">
        <f>NÓMINA!I58</f>
        <v>0</v>
      </c>
      <c r="I50" s="287">
        <f>NÓMINA!J58</f>
        <v>0</v>
      </c>
      <c r="J50" s="287">
        <f>NÓMINA!K58</f>
        <v>0</v>
      </c>
      <c r="K50" s="287">
        <f>NÓMINA!L58</f>
        <v>0</v>
      </c>
      <c r="L50" s="287">
        <f>NÓMINA!M58</f>
        <v>0</v>
      </c>
      <c r="M50" s="287">
        <f>NÓMINA!N58</f>
        <v>0</v>
      </c>
      <c r="N50" s="287">
        <f>NÓMINA!O58</f>
        <v>0</v>
      </c>
      <c r="O50" s="287">
        <f>NÓMINA!P58</f>
        <v>0</v>
      </c>
      <c r="P50" s="287">
        <f>NÓMINA!Q58</f>
        <v>0</v>
      </c>
      <c r="Q50" s="287">
        <f>NÓMINA!R58</f>
        <v>0</v>
      </c>
      <c r="R50" s="287">
        <f>NÓMINA!S58</f>
        <v>0</v>
      </c>
      <c r="S50" s="287">
        <f>NÓMINA!T58</f>
        <v>0</v>
      </c>
      <c r="T50" s="287">
        <f>NÓMINA!U58</f>
        <v>0</v>
      </c>
      <c r="U50" s="287">
        <f>NÓMINA!V58</f>
        <v>0</v>
      </c>
      <c r="V50" s="287">
        <f>NÓMINA!W58</f>
        <v>0</v>
      </c>
      <c r="W50" s="287">
        <f>NÓMINA!X58</f>
        <v>0</v>
      </c>
      <c r="X50" s="287">
        <f>NÓMINA!Y58</f>
        <v>0</v>
      </c>
      <c r="Y50" s="287">
        <f>NÓMINA!Z58</f>
        <v>0</v>
      </c>
      <c r="Z50" s="287">
        <f>NÓMINA!AA58</f>
        <v>0</v>
      </c>
      <c r="AA50" s="287">
        <f>NÓMINA!AB58</f>
        <v>0</v>
      </c>
      <c r="AB50" s="287">
        <f>NÓMINA!AC58</f>
        <v>0</v>
      </c>
      <c r="AC50" s="287">
        <f>NÓMINA!AD58</f>
        <v>0</v>
      </c>
      <c r="AD50" s="287">
        <f>NÓMINA!AE58</f>
        <v>0</v>
      </c>
      <c r="AE50" s="287">
        <f>NÓMINA!AF58</f>
        <v>0</v>
      </c>
      <c r="AF50" s="287">
        <f>PARAFISCALES!F58</f>
        <v>0</v>
      </c>
      <c r="AG50" s="287">
        <f>PARAFISCALES!G58</f>
        <v>0</v>
      </c>
      <c r="AH50" s="287">
        <f>PARAFISCALES!H58</f>
        <v>0</v>
      </c>
      <c r="AI50" s="287">
        <f>PARAFISCALES!I58</f>
        <v>0</v>
      </c>
      <c r="AJ50" s="287">
        <f>PARAFISCALES!J58</f>
        <v>0</v>
      </c>
      <c r="AK50" s="287">
        <f>SUM(Tabla12[[#This Row],[Parafiscales Salud]:[Parafiscales ICBF]])</f>
        <v>0</v>
      </c>
      <c r="AL50" s="287">
        <f>PARAFISCALES!K58</f>
        <v>0</v>
      </c>
      <c r="AM50" s="287">
        <f>PROVISIONES!E59</f>
        <v>0</v>
      </c>
      <c r="AN50" s="287">
        <f>PROVISIONES!F59</f>
        <v>0</v>
      </c>
      <c r="AO50" s="287">
        <f>PROVISIONES!G59</f>
        <v>0</v>
      </c>
      <c r="AP50" s="287">
        <f>PROVISIONES!H59</f>
        <v>0</v>
      </c>
      <c r="AQ50" s="290">
        <f>SUM(Tabla12[[#This Row],[Provisiones Cesantias]:[Provisiones Vacaciones]])</f>
        <v>0</v>
      </c>
      <c r="AR50" s="285"/>
      <c r="AS50" s="285"/>
      <c r="AT50" s="285"/>
      <c r="AU50" s="285"/>
      <c r="AV50" s="285"/>
    </row>
    <row r="51" spans="1:48">
      <c r="A51" s="284">
        <f>NÓMINA!B59</f>
        <v>0</v>
      </c>
      <c r="B51" s="285">
        <f>NÓMINA!C59</f>
        <v>0</v>
      </c>
      <c r="C51" s="285">
        <f>NÓMINA!D59</f>
        <v>0</v>
      </c>
      <c r="D51" s="286">
        <f>NÓMINA!E59</f>
        <v>0</v>
      </c>
      <c r="E51" s="285">
        <f>NÓMINA!F59</f>
        <v>0</v>
      </c>
      <c r="F51" s="285">
        <f>NÓMINA!G59</f>
        <v>0</v>
      </c>
      <c r="G51" s="287">
        <f>NÓMINA!H59</f>
        <v>0</v>
      </c>
      <c r="H51" s="287">
        <f>NÓMINA!I59</f>
        <v>0</v>
      </c>
      <c r="I51" s="287">
        <f>NÓMINA!J59</f>
        <v>0</v>
      </c>
      <c r="J51" s="287">
        <f>NÓMINA!K59</f>
        <v>0</v>
      </c>
      <c r="K51" s="287">
        <f>NÓMINA!L59</f>
        <v>0</v>
      </c>
      <c r="L51" s="287">
        <f>NÓMINA!M59</f>
        <v>0</v>
      </c>
      <c r="M51" s="287">
        <f>NÓMINA!N59</f>
        <v>0</v>
      </c>
      <c r="N51" s="287">
        <f>NÓMINA!O59</f>
        <v>0</v>
      </c>
      <c r="O51" s="287">
        <f>NÓMINA!P59</f>
        <v>0</v>
      </c>
      <c r="P51" s="287">
        <f>NÓMINA!Q59</f>
        <v>0</v>
      </c>
      <c r="Q51" s="287">
        <f>NÓMINA!R59</f>
        <v>0</v>
      </c>
      <c r="R51" s="287">
        <f>NÓMINA!S59</f>
        <v>0</v>
      </c>
      <c r="S51" s="287">
        <f>NÓMINA!T59</f>
        <v>0</v>
      </c>
      <c r="T51" s="287">
        <f>NÓMINA!U59</f>
        <v>0</v>
      </c>
      <c r="U51" s="287">
        <f>NÓMINA!V59</f>
        <v>0</v>
      </c>
      <c r="V51" s="287">
        <f>NÓMINA!W59</f>
        <v>0</v>
      </c>
      <c r="W51" s="287">
        <f>NÓMINA!X59</f>
        <v>0</v>
      </c>
      <c r="X51" s="287">
        <f>NÓMINA!Y59</f>
        <v>0</v>
      </c>
      <c r="Y51" s="287">
        <f>NÓMINA!Z59</f>
        <v>0</v>
      </c>
      <c r="Z51" s="287">
        <f>NÓMINA!AA59</f>
        <v>0</v>
      </c>
      <c r="AA51" s="287">
        <f>NÓMINA!AB59</f>
        <v>0</v>
      </c>
      <c r="AB51" s="287">
        <f>NÓMINA!AC59</f>
        <v>0</v>
      </c>
      <c r="AC51" s="287">
        <f>NÓMINA!AD59</f>
        <v>0</v>
      </c>
      <c r="AD51" s="287">
        <f>NÓMINA!AE59</f>
        <v>0</v>
      </c>
      <c r="AE51" s="287">
        <f>NÓMINA!AF59</f>
        <v>0</v>
      </c>
      <c r="AF51" s="287">
        <f>PARAFISCALES!F59</f>
        <v>0</v>
      </c>
      <c r="AG51" s="287">
        <f>PARAFISCALES!G59</f>
        <v>0</v>
      </c>
      <c r="AH51" s="287">
        <f>PARAFISCALES!H59</f>
        <v>0</v>
      </c>
      <c r="AI51" s="287">
        <f>PARAFISCALES!I59</f>
        <v>0</v>
      </c>
      <c r="AJ51" s="287">
        <f>PARAFISCALES!J59</f>
        <v>0</v>
      </c>
      <c r="AK51" s="287">
        <f>SUM(Tabla12[[#This Row],[Parafiscales Salud]:[Parafiscales ICBF]])</f>
        <v>0</v>
      </c>
      <c r="AL51" s="287">
        <f>PARAFISCALES!K59</f>
        <v>0</v>
      </c>
      <c r="AM51" s="287">
        <f>PROVISIONES!E60</f>
        <v>0</v>
      </c>
      <c r="AN51" s="287">
        <f>PROVISIONES!F60</f>
        <v>0</v>
      </c>
      <c r="AO51" s="287">
        <f>PROVISIONES!G60</f>
        <v>0</v>
      </c>
      <c r="AP51" s="287">
        <f>PROVISIONES!H60</f>
        <v>0</v>
      </c>
      <c r="AQ51" s="290">
        <f>SUM(Tabla12[[#This Row],[Provisiones Cesantias]:[Provisiones Vacaciones]])</f>
        <v>0</v>
      </c>
      <c r="AR51" s="285"/>
      <c r="AS51" s="285"/>
      <c r="AT51" s="285"/>
      <c r="AU51" s="285"/>
      <c r="AV51" s="285"/>
    </row>
    <row r="52" spans="1:48">
      <c r="D52" s="207"/>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A1BF-5AC0-41CA-AF7D-9A9615EEA83D}">
  <sheetPr codeName="Hoja14"/>
  <dimension ref="A1:H34"/>
  <sheetViews>
    <sheetView topLeftCell="A10" workbookViewId="0">
      <selection activeCell="F13" sqref="F13"/>
    </sheetView>
  </sheetViews>
  <sheetFormatPr baseColWidth="10" defaultRowHeight="14.4"/>
  <cols>
    <col min="1" max="1" width="18.88671875" bestFit="1" customWidth="1"/>
    <col min="2" max="2" width="10.44140625" bestFit="1" customWidth="1"/>
    <col min="3" max="3" width="19.44140625" bestFit="1" customWidth="1"/>
    <col min="4" max="4" width="13.6640625" bestFit="1" customWidth="1"/>
    <col min="5" max="5" width="23.109375" bestFit="1" customWidth="1"/>
    <col min="6" max="6" width="24.44140625" bestFit="1" customWidth="1"/>
    <col min="7" max="7" width="39.44140625" bestFit="1" customWidth="1"/>
    <col min="8" max="8" width="26.109375" bestFit="1" customWidth="1"/>
  </cols>
  <sheetData>
    <row r="1" spans="1:6">
      <c r="A1" s="288" t="s">
        <v>292</v>
      </c>
      <c r="B1" t="s">
        <v>294</v>
      </c>
    </row>
    <row r="2" spans="1:6">
      <c r="A2" s="289">
        <v>0</v>
      </c>
      <c r="B2" s="74">
        <v>0</v>
      </c>
    </row>
    <row r="3" spans="1:6">
      <c r="A3" s="289" t="s">
        <v>183</v>
      </c>
      <c r="B3" s="74">
        <v>0</v>
      </c>
    </row>
    <row r="4" spans="1:6">
      <c r="A4" s="289" t="s">
        <v>186</v>
      </c>
      <c r="B4" s="74">
        <v>2</v>
      </c>
    </row>
    <row r="5" spans="1:6">
      <c r="A5" s="289" t="s">
        <v>74</v>
      </c>
      <c r="B5" s="74">
        <v>0</v>
      </c>
    </row>
    <row r="6" spans="1:6">
      <c r="A6" s="289" t="s">
        <v>182</v>
      </c>
      <c r="B6" s="74">
        <v>0</v>
      </c>
    </row>
    <row r="7" spans="1:6">
      <c r="A7" s="289" t="s">
        <v>202</v>
      </c>
      <c r="B7" s="74">
        <v>8</v>
      </c>
    </row>
    <row r="8" spans="1:6">
      <c r="A8" s="289" t="s">
        <v>204</v>
      </c>
      <c r="B8" s="74">
        <v>2</v>
      </c>
    </row>
    <row r="9" spans="1:6">
      <c r="A9" s="289" t="s">
        <v>79</v>
      </c>
      <c r="B9" s="74">
        <v>6</v>
      </c>
    </row>
    <row r="10" spans="1:6">
      <c r="A10" s="289" t="s">
        <v>200</v>
      </c>
      <c r="B10" s="74">
        <v>1</v>
      </c>
    </row>
    <row r="11" spans="1:6">
      <c r="A11" s="289" t="s">
        <v>81</v>
      </c>
      <c r="B11" s="74">
        <v>0</v>
      </c>
    </row>
    <row r="12" spans="1:6">
      <c r="A12" s="289" t="s">
        <v>293</v>
      </c>
      <c r="B12" s="74">
        <v>19</v>
      </c>
    </row>
    <row r="14" spans="1:6">
      <c r="A14" t="s">
        <v>299</v>
      </c>
      <c r="B14" t="s">
        <v>300</v>
      </c>
      <c r="C14" t="s">
        <v>301</v>
      </c>
      <c r="D14" t="s">
        <v>302</v>
      </c>
      <c r="E14" t="s">
        <v>303</v>
      </c>
      <c r="F14" t="s">
        <v>304</v>
      </c>
    </row>
    <row r="15" spans="1:6">
      <c r="A15" s="74">
        <v>782608.69565217383</v>
      </c>
      <c r="B15" s="74">
        <v>136347.82608695654</v>
      </c>
      <c r="C15" s="74">
        <v>65217.391304347831</v>
      </c>
      <c r="D15" s="74">
        <v>715217.3913043479</v>
      </c>
      <c r="E15" s="74">
        <v>1123913.043478261</v>
      </c>
      <c r="F15" s="74">
        <v>104347.82608695653</v>
      </c>
    </row>
    <row r="17" spans="1:8">
      <c r="A17" s="288" t="s">
        <v>292</v>
      </c>
      <c r="B17" t="s">
        <v>295</v>
      </c>
      <c r="C17" s="288"/>
      <c r="D17" s="288"/>
      <c r="E17" s="288"/>
      <c r="F17" s="288"/>
      <c r="G17" s="288"/>
      <c r="H17" s="288"/>
    </row>
    <row r="18" spans="1:8">
      <c r="A18" s="289">
        <v>0</v>
      </c>
      <c r="B18" s="74">
        <v>0</v>
      </c>
    </row>
    <row r="19" spans="1:8">
      <c r="A19" s="289" t="s">
        <v>183</v>
      </c>
      <c r="B19" s="74">
        <v>4312000</v>
      </c>
    </row>
    <row r="20" spans="1:8">
      <c r="A20" s="289" t="s">
        <v>186</v>
      </c>
      <c r="B20" s="74">
        <v>13914426.086956521</v>
      </c>
    </row>
    <row r="21" spans="1:8">
      <c r="A21" s="289" t="s">
        <v>74</v>
      </c>
      <c r="B21" s="74">
        <v>2875043.4782608696</v>
      </c>
    </row>
    <row r="22" spans="1:8">
      <c r="A22" s="289" t="s">
        <v>182</v>
      </c>
      <c r="B22" s="74">
        <v>1749000</v>
      </c>
    </row>
    <row r="23" spans="1:8">
      <c r="A23" s="289" t="s">
        <v>202</v>
      </c>
      <c r="B23" s="74">
        <v>1495800</v>
      </c>
    </row>
    <row r="24" spans="1:8">
      <c r="A24" s="289" t="s">
        <v>204</v>
      </c>
      <c r="B24" s="74">
        <v>1600533.3333333333</v>
      </c>
    </row>
    <row r="25" spans="1:8">
      <c r="A25" s="289" t="s">
        <v>79</v>
      </c>
      <c r="B25" s="74">
        <v>1602773.9130434783</v>
      </c>
    </row>
    <row r="26" spans="1:8">
      <c r="A26" s="289" t="s">
        <v>200</v>
      </c>
      <c r="B26" s="74">
        <v>1212794.2028985505</v>
      </c>
    </row>
    <row r="27" spans="1:8">
      <c r="A27" s="289" t="s">
        <v>81</v>
      </c>
      <c r="B27" s="74">
        <v>4149000</v>
      </c>
    </row>
    <row r="28" spans="1:8">
      <c r="A28" s="289" t="s">
        <v>293</v>
      </c>
      <c r="B28" s="74">
        <v>32911371.014492754</v>
      </c>
    </row>
    <row r="34" spans="4:8">
      <c r="D34" s="288"/>
      <c r="E34" s="288"/>
      <c r="F34" s="288"/>
      <c r="G34" s="288"/>
      <c r="H34" s="28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801CD-E5AC-4EF6-A4C5-86745928E2DD}">
  <sheetPr codeName="Hoja1">
    <tabColor rgb="FFFFC000"/>
  </sheetPr>
  <dimension ref="A1:O24"/>
  <sheetViews>
    <sheetView workbookViewId="0">
      <selection activeCell="J19" sqref="J19"/>
    </sheetView>
  </sheetViews>
  <sheetFormatPr baseColWidth="10" defaultColWidth="11.44140625" defaultRowHeight="14.4"/>
  <cols>
    <col min="1" max="1" width="22.44140625" style="292" bestFit="1" customWidth="1"/>
    <col min="2" max="2" width="11.44140625" style="292"/>
    <col min="3" max="3" width="22.6640625" style="292" customWidth="1"/>
    <col min="4" max="16384" width="11.44140625" style="292"/>
  </cols>
  <sheetData>
    <row r="1" spans="1:15">
      <c r="A1" s="331" t="s">
        <v>298</v>
      </c>
      <c r="B1" s="331"/>
      <c r="C1" s="331"/>
      <c r="D1" s="331"/>
      <c r="E1" s="331"/>
      <c r="F1" s="331"/>
      <c r="G1" s="331"/>
      <c r="H1" s="331"/>
      <c r="I1" s="331"/>
      <c r="J1" s="331"/>
      <c r="K1" s="331"/>
      <c r="L1" s="331"/>
      <c r="M1" s="331"/>
      <c r="N1" s="331"/>
      <c r="O1" s="331"/>
    </row>
    <row r="2" spans="1:15">
      <c r="A2" s="331"/>
      <c r="B2" s="331"/>
      <c r="C2" s="331"/>
      <c r="D2" s="331"/>
      <c r="E2" s="331"/>
      <c r="F2" s="331"/>
      <c r="G2" s="331"/>
      <c r="H2" s="331"/>
      <c r="I2" s="331"/>
      <c r="J2" s="331"/>
      <c r="K2" s="331"/>
      <c r="L2" s="331"/>
      <c r="M2" s="331"/>
      <c r="N2" s="331"/>
      <c r="O2" s="331"/>
    </row>
    <row r="3" spans="1:15">
      <c r="A3" s="331"/>
      <c r="B3" s="331"/>
      <c r="C3" s="331"/>
      <c r="D3" s="331"/>
      <c r="E3" s="331"/>
      <c r="F3" s="331"/>
      <c r="G3" s="331"/>
      <c r="H3" s="331"/>
      <c r="I3" s="331"/>
      <c r="J3" s="331"/>
      <c r="K3" s="331"/>
      <c r="L3" s="331"/>
      <c r="M3" s="331"/>
      <c r="N3" s="331"/>
      <c r="O3" s="331"/>
    </row>
    <row r="17" spans="1:3" ht="21">
      <c r="A17" s="294" t="s">
        <v>305</v>
      </c>
      <c r="C17" s="296">
        <f>GETPIVOTDATA("Total Devengado",$A$17)+GETPIVOTDATA("TOTAL PARAFISCALES",$A$20)+GETPIVOTDATA("TOTAL SUMA PROVISIONES",$A$23)</f>
        <v>45461761.579826087</v>
      </c>
    </row>
    <row r="18" spans="1:3" ht="15.6">
      <c r="A18" s="293">
        <v>32911371.014492754</v>
      </c>
    </row>
    <row r="20" spans="1:3" ht="15.6">
      <c r="A20" s="294" t="s">
        <v>306</v>
      </c>
    </row>
    <row r="21" spans="1:3" ht="15.6">
      <c r="A21" s="293">
        <v>5846281.4041739134</v>
      </c>
    </row>
    <row r="23" spans="1:3" ht="15.6">
      <c r="A23" s="295" t="s">
        <v>307</v>
      </c>
    </row>
    <row r="24" spans="1:3" ht="15.6">
      <c r="A24" s="293">
        <v>6704109.1611594204</v>
      </c>
    </row>
  </sheetData>
  <mergeCells count="1">
    <mergeCell ref="A1:O3"/>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A3E6-70D8-4187-82DF-294078CA6143}">
  <sheetPr codeName="Hoja12"/>
  <dimension ref="A1:E66"/>
  <sheetViews>
    <sheetView showGridLines="0" zoomScale="150" zoomScaleNormal="150" workbookViewId="0">
      <selection activeCell="D16" sqref="D16"/>
    </sheetView>
  </sheetViews>
  <sheetFormatPr baseColWidth="10" defaultColWidth="0" defaultRowHeight="21" zeroHeight="1"/>
  <cols>
    <col min="1" max="1" width="59.44140625" style="232" customWidth="1"/>
    <col min="2" max="2" width="27.6640625" style="258" customWidth="1"/>
    <col min="3" max="3" width="63" style="232" customWidth="1"/>
    <col min="4" max="4" width="56.33203125" customWidth="1"/>
    <col min="5" max="5" width="11.44140625" customWidth="1"/>
    <col min="6" max="16384" width="11.44140625" hidden="1"/>
  </cols>
  <sheetData>
    <row r="1" spans="1:4" ht="82.5" customHeight="1" thickBot="1">
      <c r="A1" s="334" t="s">
        <v>217</v>
      </c>
      <c r="B1" s="334"/>
      <c r="C1" s="334"/>
    </row>
    <row r="2" spans="1:4" ht="19.2" thickTop="1" thickBot="1">
      <c r="A2" s="335" t="s">
        <v>218</v>
      </c>
      <c r="B2" s="335"/>
      <c r="C2" s="173" t="s">
        <v>219</v>
      </c>
      <c r="D2" s="174"/>
    </row>
    <row r="3" spans="1:4" ht="102.75" customHeight="1" thickTop="1" thickBot="1">
      <c r="A3" s="175" t="s">
        <v>220</v>
      </c>
      <c r="B3" s="240">
        <v>9493298</v>
      </c>
      <c r="C3" s="176"/>
      <c r="D3" s="174"/>
    </row>
    <row r="4" spans="1:4" ht="195" customHeight="1" thickTop="1" thickBot="1">
      <c r="A4" s="177" t="s">
        <v>221</v>
      </c>
      <c r="B4" s="241">
        <v>0</v>
      </c>
      <c r="C4" s="178"/>
    </row>
    <row r="5" spans="1:4" ht="19.2" thickTop="1" thickBot="1">
      <c r="A5" s="336" t="s">
        <v>222</v>
      </c>
      <c r="B5" s="336"/>
      <c r="C5" s="336"/>
    </row>
    <row r="6" spans="1:4" ht="250.8" thickTop="1" thickBot="1">
      <c r="A6" s="179" t="s">
        <v>223</v>
      </c>
      <c r="B6" s="242">
        <v>379732</v>
      </c>
      <c r="C6" s="180" t="s">
        <v>224</v>
      </c>
    </row>
    <row r="7" spans="1:4" ht="73.5" customHeight="1" thickTop="1" thickBot="1">
      <c r="A7" s="175" t="s">
        <v>225</v>
      </c>
      <c r="B7" s="243">
        <v>379732</v>
      </c>
      <c r="C7" s="181" t="s">
        <v>224</v>
      </c>
      <c r="D7" s="174"/>
    </row>
    <row r="8" spans="1:4" ht="24.6" thickTop="1" thickBot="1">
      <c r="A8" s="175" t="s">
        <v>226</v>
      </c>
      <c r="B8" s="243">
        <v>94934</v>
      </c>
      <c r="C8" s="182" t="s">
        <v>224</v>
      </c>
    </row>
    <row r="9" spans="1:4" ht="209.25" customHeight="1" thickTop="1" thickBot="1">
      <c r="A9" s="175" t="s">
        <v>227</v>
      </c>
      <c r="B9" s="245">
        <v>150000</v>
      </c>
      <c r="C9" s="183" t="s">
        <v>228</v>
      </c>
    </row>
    <row r="10" spans="1:4" ht="42.6" thickTop="1">
      <c r="A10" s="184" t="s">
        <v>229</v>
      </c>
      <c r="B10" s="246">
        <f>SUM(B3:B4)-SUM(B6:B9)</f>
        <v>8488900</v>
      </c>
      <c r="C10" s="185"/>
    </row>
    <row r="11" spans="1:4">
      <c r="A11" s="186"/>
      <c r="B11" s="247"/>
      <c r="C11" s="187"/>
    </row>
    <row r="12" spans="1:4" ht="18">
      <c r="A12" s="337" t="s">
        <v>230</v>
      </c>
      <c r="B12" s="337"/>
      <c r="C12" s="337"/>
    </row>
    <row r="13" spans="1:4" ht="21.6" thickBot="1">
      <c r="A13" s="188"/>
      <c r="B13" s="248"/>
      <c r="C13" s="189"/>
    </row>
    <row r="14" spans="1:4" ht="145.5" customHeight="1" thickTop="1" thickBot="1">
      <c r="A14" s="175" t="s">
        <v>231</v>
      </c>
      <c r="B14" s="195">
        <v>392208.3</v>
      </c>
      <c r="C14" s="190" t="s">
        <v>271</v>
      </c>
    </row>
    <row r="15" spans="1:4" ht="24.6" thickTop="1" thickBot="1">
      <c r="A15" s="191"/>
      <c r="B15" s="249"/>
      <c r="C15" s="192"/>
    </row>
    <row r="16" spans="1:4" ht="96.75" customHeight="1" thickTop="1" thickBot="1">
      <c r="A16" s="175" t="s">
        <v>232</v>
      </c>
      <c r="B16" s="195">
        <v>496000</v>
      </c>
      <c r="C16" s="190" t="s">
        <v>233</v>
      </c>
    </row>
    <row r="17" spans="1:4" ht="22.2" thickTop="1" thickBot="1">
      <c r="A17" s="193"/>
      <c r="B17" s="250"/>
      <c r="C17" s="194"/>
    </row>
    <row r="18" spans="1:4" ht="193.5" customHeight="1" thickTop="1" thickBot="1">
      <c r="A18" s="177" t="s">
        <v>234</v>
      </c>
      <c r="B18" s="195">
        <f>B3*10%</f>
        <v>949329.8</v>
      </c>
      <c r="C18" s="196" t="s">
        <v>235</v>
      </c>
    </row>
    <row r="19" spans="1:4" ht="21.6" thickTop="1">
      <c r="A19" s="197"/>
      <c r="B19" s="247"/>
      <c r="C19" s="187"/>
    </row>
    <row r="20" spans="1:4" ht="18">
      <c r="A20" s="337" t="s">
        <v>236</v>
      </c>
      <c r="B20" s="337"/>
      <c r="C20"/>
    </row>
    <row r="21" spans="1:4" ht="21.6" thickBot="1">
      <c r="A21" s="188"/>
      <c r="B21" s="248"/>
      <c r="C21" s="189"/>
    </row>
    <row r="22" spans="1:4" ht="218.25" customHeight="1" thickTop="1" thickBot="1">
      <c r="A22" s="177" t="s">
        <v>237</v>
      </c>
      <c r="B22" s="206"/>
      <c r="C22" s="199" t="s">
        <v>238</v>
      </c>
      <c r="D22" s="200" t="s">
        <v>239</v>
      </c>
    </row>
    <row r="23" spans="1:4" ht="84.75" customHeight="1" thickTop="1" thickBot="1">
      <c r="A23" s="175" t="s">
        <v>240</v>
      </c>
      <c r="B23" s="244"/>
      <c r="C23" s="182"/>
    </row>
    <row r="24" spans="1:4" ht="120.75" customHeight="1" thickTop="1" thickBot="1">
      <c r="A24" s="175" t="s">
        <v>241</v>
      </c>
      <c r="B24" s="206"/>
      <c r="C24" s="198"/>
    </row>
    <row r="25" spans="1:4" ht="108" customHeight="1" thickTop="1" thickBot="1">
      <c r="A25" s="177" t="s">
        <v>242</v>
      </c>
      <c r="B25" s="206"/>
      <c r="C25" s="198"/>
    </row>
    <row r="26" spans="1:4" ht="43.2" thickTop="1" thickBot="1">
      <c r="A26" s="201" t="s">
        <v>243</v>
      </c>
      <c r="B26" s="202">
        <f>(B10-SUM(B14:B18)-SUM(B22:B25))</f>
        <v>6651361.9000000004</v>
      </c>
      <c r="C26" s="203"/>
    </row>
    <row r="27" spans="1:4" ht="22.2" thickTop="1" thickBot="1">
      <c r="A27" s="204"/>
      <c r="B27" s="251"/>
      <c r="C27" s="205"/>
    </row>
    <row r="28" spans="1:4" ht="79.2" thickTop="1" thickBot="1">
      <c r="A28" s="179" t="s">
        <v>244</v>
      </c>
      <c r="B28" s="206">
        <f>B26*25%</f>
        <v>1662840.4750000001</v>
      </c>
      <c r="C28" s="206" t="s">
        <v>245</v>
      </c>
      <c r="D28" s="207"/>
    </row>
    <row r="29" spans="1:4" ht="22.2" thickTop="1" thickBot="1">
      <c r="A29" s="208"/>
      <c r="B29" s="252"/>
      <c r="C29" s="205"/>
    </row>
    <row r="30" spans="1:4" ht="22.2" thickTop="1" thickBot="1">
      <c r="A30" s="209" t="s">
        <v>246</v>
      </c>
      <c r="B30" s="210">
        <f>B28</f>
        <v>1662840.4750000001</v>
      </c>
      <c r="C30" s="211"/>
    </row>
    <row r="31" spans="1:4" ht="22.2" thickTop="1" thickBot="1">
      <c r="A31" s="212"/>
      <c r="B31" s="252"/>
      <c r="C31" s="205"/>
    </row>
    <row r="32" spans="1:4" ht="22.2" thickTop="1" thickBot="1">
      <c r="A32"/>
      <c r="B32" s="253"/>
      <c r="C32" s="213"/>
    </row>
    <row r="33" spans="1:5" ht="118.5" customHeight="1" thickTop="1" thickBot="1">
      <c r="A33" s="175" t="s">
        <v>247</v>
      </c>
      <c r="B33" s="254">
        <f>SUM(B14:B18)+SUM(B22:B25)+B28</f>
        <v>3500378.5750000002</v>
      </c>
      <c r="C33" s="214"/>
      <c r="D33" s="207"/>
    </row>
    <row r="34" spans="1:5" ht="101.25" customHeight="1" thickTop="1" thickBot="1">
      <c r="A34" s="215" t="s">
        <v>248</v>
      </c>
      <c r="B34" s="254">
        <f>B10*40%</f>
        <v>3395560</v>
      </c>
      <c r="C34" s="216" t="s">
        <v>272</v>
      </c>
      <c r="D34" s="261"/>
    </row>
    <row r="35" spans="1:5" ht="72.75" customHeight="1" thickTop="1" thickBot="1">
      <c r="A35" s="215" t="s">
        <v>249</v>
      </c>
      <c r="B35" s="255"/>
      <c r="C35" s="217"/>
      <c r="D35" s="174"/>
    </row>
    <row r="36" spans="1:5" ht="22.2" thickTop="1" thickBot="1">
      <c r="A36" s="218" t="s">
        <v>250</v>
      </c>
      <c r="B36" s="219">
        <f>B10-MIN(B33,B34)</f>
        <v>5093340</v>
      </c>
      <c r="C36" s="220"/>
    </row>
    <row r="37" spans="1:5" ht="22.2" thickTop="1" thickBot="1">
      <c r="A37" s="221"/>
      <c r="B37" s="256"/>
      <c r="C37" s="222"/>
    </row>
    <row r="38" spans="1:5" ht="22.2" thickTop="1" thickBot="1">
      <c r="A38" s="223" t="s">
        <v>251</v>
      </c>
      <c r="B38" s="224">
        <v>47065</v>
      </c>
      <c r="C38" s="225"/>
      <c r="D38">
        <f>108-95</f>
        <v>13</v>
      </c>
    </row>
    <row r="39" spans="1:5" ht="32.4" thickTop="1" thickBot="1">
      <c r="A39" s="223" t="s">
        <v>252</v>
      </c>
      <c r="B39" s="226">
        <f>B36/B38</f>
        <v>108.21927122065229</v>
      </c>
      <c r="C39" s="227"/>
      <c r="D39">
        <f>D38*19%</f>
        <v>2.4700000000000002</v>
      </c>
    </row>
    <row r="40" spans="1:5" ht="22.2" thickTop="1" thickBot="1">
      <c r="A40" s="228" t="s">
        <v>253</v>
      </c>
      <c r="B40" s="229">
        <f>_xlfn.IFS(B39&gt;0&lt;=95,0,95&lt;=150,((B39-95)*19%)*B38,150&lt;=360,(((B39-150)*28%)+10)*B38,360&lt;=640,(((B39-360)*33%)+69)*B38,640&lt;=945,(((B39-640)*35%)+162)*B38,945&lt;=2300,(((B39-360)*37%)+268)*B38,2300&lt;=100000,(((B39-2300)*39%)+770)*B38)</f>
        <v>118211.34999999999</v>
      </c>
      <c r="C40" s="230"/>
      <c r="D40" s="263">
        <f>D39*B38</f>
        <v>116250.55</v>
      </c>
    </row>
    <row r="41" spans="1:5" ht="21.6" thickTop="1">
      <c r="A41" s="231"/>
      <c r="B41" s="257"/>
      <c r="C41" s="262"/>
    </row>
    <row r="42" spans="1:5">
      <c r="C42" s="262"/>
    </row>
    <row r="43" spans="1:5" ht="21.6" thickBot="1"/>
    <row r="44" spans="1:5" ht="19.2" thickTop="1" thickBot="1">
      <c r="A44" s="332" t="s">
        <v>254</v>
      </c>
      <c r="B44" s="333"/>
      <c r="C44" s="233" t="s">
        <v>255</v>
      </c>
      <c r="D44" s="233" t="s">
        <v>256</v>
      </c>
    </row>
    <row r="45" spans="1:5" ht="45.75" customHeight="1" thickTop="1" thickBot="1">
      <c r="A45" s="234" t="s">
        <v>257</v>
      </c>
      <c r="B45" s="259">
        <v>95</v>
      </c>
      <c r="C45" s="235">
        <v>0</v>
      </c>
      <c r="D45" s="236">
        <v>0</v>
      </c>
      <c r="E45" s="174"/>
    </row>
    <row r="46" spans="1:5" ht="45.75" customHeight="1" thickTop="1" thickBot="1">
      <c r="A46" s="234" t="s">
        <v>258</v>
      </c>
      <c r="B46" s="259">
        <v>150</v>
      </c>
      <c r="C46" s="235">
        <v>0.19</v>
      </c>
      <c r="D46" s="236" t="s">
        <v>259</v>
      </c>
      <c r="E46" s="174"/>
    </row>
    <row r="47" spans="1:5" ht="45.75" customHeight="1" thickTop="1" thickBot="1">
      <c r="A47" s="234" t="s">
        <v>260</v>
      </c>
      <c r="B47" s="259">
        <v>360</v>
      </c>
      <c r="C47" s="235">
        <v>0.28000000000000003</v>
      </c>
      <c r="D47" s="236" t="s">
        <v>261</v>
      </c>
      <c r="E47" s="174"/>
    </row>
    <row r="48" spans="1:5" ht="45.75" customHeight="1" thickTop="1" thickBot="1">
      <c r="A48" s="234" t="s">
        <v>262</v>
      </c>
      <c r="B48" s="259">
        <v>640</v>
      </c>
      <c r="C48" s="235">
        <v>0.33</v>
      </c>
      <c r="D48" s="236" t="s">
        <v>263</v>
      </c>
      <c r="E48" s="174"/>
    </row>
    <row r="49" spans="1:5" ht="45.75" customHeight="1" thickTop="1" thickBot="1">
      <c r="A49" s="234" t="s">
        <v>264</v>
      </c>
      <c r="B49" s="259">
        <v>945</v>
      </c>
      <c r="C49" s="235">
        <v>0.35</v>
      </c>
      <c r="D49" s="236" t="s">
        <v>265</v>
      </c>
      <c r="E49" s="174"/>
    </row>
    <row r="50" spans="1:5" ht="45.75" customHeight="1" thickTop="1" thickBot="1">
      <c r="A50" s="234" t="s">
        <v>266</v>
      </c>
      <c r="B50" s="259">
        <v>2300</v>
      </c>
      <c r="C50" s="235">
        <v>0.37</v>
      </c>
      <c r="D50" s="236" t="s">
        <v>267</v>
      </c>
      <c r="E50" s="174"/>
    </row>
    <row r="51" spans="1:5" ht="45.75" customHeight="1" thickTop="1" thickBot="1">
      <c r="A51" s="234" t="s">
        <v>268</v>
      </c>
      <c r="B51" s="259" t="s">
        <v>269</v>
      </c>
      <c r="C51" s="235">
        <v>0.39</v>
      </c>
      <c r="D51" s="236" t="s">
        <v>270</v>
      </c>
      <c r="E51" s="174"/>
    </row>
    <row r="52" spans="1:5" ht="21.6" thickTop="1">
      <c r="D52" s="237"/>
    </row>
    <row r="53" spans="1:5"/>
    <row r="54" spans="1:5"/>
    <row r="55" spans="1:5"/>
    <row r="56" spans="1:5"/>
    <row r="57" spans="1:5"/>
    <row r="61" spans="1:5" ht="28.8" hidden="1">
      <c r="B61" s="260"/>
      <c r="C61" s="238"/>
    </row>
    <row r="62" spans="1:5" ht="28.8" hidden="1">
      <c r="B62" s="260"/>
      <c r="C62" s="238"/>
    </row>
    <row r="63" spans="1:5" ht="28.8" hidden="1">
      <c r="B63" s="260"/>
      <c r="C63" s="238"/>
    </row>
    <row r="64" spans="1:5" ht="28.8" hidden="1">
      <c r="B64" s="260"/>
      <c r="C64" s="238"/>
    </row>
    <row r="65" spans="2:3" ht="28.8" hidden="1">
      <c r="B65" s="260"/>
      <c r="C65" s="238"/>
    </row>
    <row r="66" spans="2:3" ht="28.8" hidden="1">
      <c r="C66" s="239"/>
    </row>
  </sheetData>
  <mergeCells count="6">
    <mergeCell ref="A44:B44"/>
    <mergeCell ref="A1:C1"/>
    <mergeCell ref="A2:B2"/>
    <mergeCell ref="A5:C5"/>
    <mergeCell ref="A12:C12"/>
    <mergeCell ref="A20:B20"/>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DATOS</vt:lpstr>
      <vt:lpstr>EMPLEADOS</vt:lpstr>
      <vt:lpstr>NOVEDADES EMPLEADOS</vt:lpstr>
      <vt:lpstr>NÓMINA</vt:lpstr>
      <vt:lpstr>PARAFISCALES</vt:lpstr>
      <vt:lpstr>PROVISIONES</vt:lpstr>
      <vt:lpstr>RECIBO</vt:lpstr>
      <vt:lpstr>LIQUIDACIÓN</vt:lpstr>
      <vt:lpstr>BaseDatos</vt:lpstr>
      <vt:lpstr>Tablas</vt:lpstr>
      <vt:lpstr>Reporte</vt:lpstr>
      <vt:lpstr>RETENCIÓN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RUTH</dc:creator>
  <cp:keywords/>
  <dc:description/>
  <cp:lastModifiedBy>ALBERT ARGENIS MOTA  GARAY</cp:lastModifiedBy>
  <cp:revision/>
  <dcterms:created xsi:type="dcterms:W3CDTF">2024-02-18T09:10:08Z</dcterms:created>
  <dcterms:modified xsi:type="dcterms:W3CDTF">2024-09-10T16:24:17Z</dcterms:modified>
  <cp:category/>
  <cp:contentStatus/>
</cp:coreProperties>
</file>