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filterPrivacy="1" defaultThemeVersion="124226"/>
  <xr:revisionPtr revIDLastSave="0" documentId="8_{5C6E8855-2BDD-47BD-B324-6D25B5081513}" xr6:coauthVersionLast="47" xr6:coauthVersionMax="47" xr10:uidLastSave="{00000000-0000-0000-0000-000000000000}"/>
  <bookViews>
    <workbookView xWindow="-120" yWindow="-120" windowWidth="29040" windowHeight="15840" tabRatio="868" firstSheet="1" activeTab="1" xr2:uid="{00000000-000D-0000-FFFF-FFFF00000000}"/>
  </bookViews>
  <sheets>
    <sheet name="Listas" sheetId="22" state="hidden" r:id="rId1"/>
    <sheet name="OP ADULTO" sheetId="2" r:id="rId2"/>
  </sheets>
  <definedNames>
    <definedName name="_xlnm.Print_Area" localSheetId="1">'OP ADULTO'!$A$1:$H$74</definedName>
    <definedName name="SEDES">Listas!$A$2</definedName>
    <definedName name="SIGLAS">Listas!$B$2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2" l="1"/>
  <c r="B41" i="2"/>
  <c r="B40" i="2"/>
  <c r="B39" i="2"/>
  <c r="B38" i="2"/>
  <c r="W82" i="22"/>
  <c r="W83" i="22"/>
  <c r="W84" i="22"/>
  <c r="W85" i="22"/>
  <c r="W86" i="22"/>
  <c r="W87" i="22"/>
  <c r="W88" i="22"/>
  <c r="W89" i="22"/>
  <c r="W90" i="22"/>
  <c r="W91" i="22"/>
  <c r="W92" i="22"/>
  <c r="W93" i="22"/>
  <c r="W94" i="22"/>
  <c r="W95" i="22"/>
  <c r="W96" i="22"/>
  <c r="W97" i="22"/>
  <c r="W81" i="22"/>
  <c r="U79" i="22"/>
  <c r="T82" i="22"/>
  <c r="T83" i="22"/>
  <c r="T84" i="22"/>
  <c r="T85" i="22"/>
  <c r="U85" i="22" s="1"/>
  <c r="T86" i="22"/>
  <c r="T87" i="22"/>
  <c r="T88" i="22"/>
  <c r="T89" i="22"/>
  <c r="U89" i="22" s="1"/>
  <c r="T90" i="22"/>
  <c r="U90" i="22" s="1"/>
  <c r="J41" i="22" s="1"/>
  <c r="J49" i="22" s="1"/>
  <c r="T91" i="22"/>
  <c r="U91" i="22" s="1"/>
  <c r="J42" i="22" s="1"/>
  <c r="T92" i="22"/>
  <c r="U92" i="22" s="1"/>
  <c r="J43" i="22" s="1"/>
  <c r="T93" i="22"/>
  <c r="U93" i="22" s="1"/>
  <c r="T94" i="22"/>
  <c r="U94" i="22" s="1"/>
  <c r="T95" i="22"/>
  <c r="U95" i="22" s="1"/>
  <c r="J46" i="22" s="1"/>
  <c r="T96" i="22"/>
  <c r="T97" i="22"/>
  <c r="U97" i="22" s="1"/>
  <c r="T81" i="22"/>
  <c r="Q82" i="22"/>
  <c r="Q83" i="22"/>
  <c r="Q84" i="22"/>
  <c r="Q85" i="22"/>
  <c r="Q86" i="22"/>
  <c r="Q87" i="22"/>
  <c r="Q88" i="22"/>
  <c r="Q89" i="22"/>
  <c r="Q90" i="22"/>
  <c r="Q91" i="22"/>
  <c r="Q92" i="22"/>
  <c r="Q93" i="22"/>
  <c r="Q94" i="22"/>
  <c r="Q95" i="22"/>
  <c r="Q96" i="22"/>
  <c r="Q97" i="22"/>
  <c r="Q81" i="22"/>
  <c r="O79" i="22"/>
  <c r="H82" i="22"/>
  <c r="H83" i="22"/>
  <c r="H84" i="22"/>
  <c r="H85" i="22"/>
  <c r="H86" i="22"/>
  <c r="H87" i="22"/>
  <c r="H88" i="22"/>
  <c r="H89" i="22"/>
  <c r="H90" i="22"/>
  <c r="H91" i="22"/>
  <c r="H92" i="22"/>
  <c r="H93" i="22"/>
  <c r="H94" i="22"/>
  <c r="H95" i="22"/>
  <c r="H96" i="22"/>
  <c r="H97" i="22"/>
  <c r="N82" i="22"/>
  <c r="N83" i="22"/>
  <c r="N84" i="22"/>
  <c r="N85" i="22"/>
  <c r="O85" i="22" s="1"/>
  <c r="I36" i="22" s="1"/>
  <c r="N86" i="22"/>
  <c r="O86" i="22" s="1"/>
  <c r="I37" i="22" s="1"/>
  <c r="N87" i="22"/>
  <c r="N88" i="22"/>
  <c r="N89" i="22"/>
  <c r="O89" i="22" s="1"/>
  <c r="I40" i="22" s="1"/>
  <c r="N90" i="22"/>
  <c r="O90" i="22" s="1"/>
  <c r="I41" i="22" s="1"/>
  <c r="I49" i="22" s="1"/>
  <c r="N91" i="22"/>
  <c r="O91" i="22" s="1"/>
  <c r="R91" i="22" s="1"/>
  <c r="N92" i="22"/>
  <c r="O92" i="22" s="1"/>
  <c r="N93" i="22"/>
  <c r="O93" i="22" s="1"/>
  <c r="I44" i="22" s="1"/>
  <c r="N94" i="22"/>
  <c r="O94" i="22" s="1"/>
  <c r="I45" i="22" s="1"/>
  <c r="N95" i="22"/>
  <c r="O95" i="22" s="1"/>
  <c r="N96" i="22"/>
  <c r="N97" i="22"/>
  <c r="O97" i="22" s="1"/>
  <c r="I48" i="22" s="1"/>
  <c r="N81" i="22"/>
  <c r="R95" i="22" l="1"/>
  <c r="R92" i="22"/>
  <c r="O87" i="22"/>
  <c r="R87" i="22" s="1"/>
  <c r="J45" i="22"/>
  <c r="J44" i="22"/>
  <c r="J40" i="22"/>
  <c r="J48" i="22"/>
  <c r="J36" i="22"/>
  <c r="I43" i="22"/>
  <c r="I46" i="22"/>
  <c r="I42" i="22"/>
  <c r="O82" i="22"/>
  <c r="I33" i="22" s="1"/>
  <c r="O96" i="22"/>
  <c r="P96" i="22" s="1"/>
  <c r="U86" i="22"/>
  <c r="O84" i="22"/>
  <c r="O83" i="22"/>
  <c r="X97" i="22"/>
  <c r="X93" i="22"/>
  <c r="X89" i="22"/>
  <c r="X85" i="22"/>
  <c r="U87" i="22"/>
  <c r="U96" i="22"/>
  <c r="J47" i="22" s="1"/>
  <c r="U88" i="22"/>
  <c r="J39" i="22" s="1"/>
  <c r="U81" i="22"/>
  <c r="U83" i="22"/>
  <c r="U82" i="22"/>
  <c r="U84" i="22"/>
  <c r="J35" i="22" s="1"/>
  <c r="V95" i="22"/>
  <c r="X95" i="22"/>
  <c r="V90" i="22"/>
  <c r="X90" i="22"/>
  <c r="X92" i="22"/>
  <c r="V92" i="22"/>
  <c r="V91" i="22"/>
  <c r="X91" i="22"/>
  <c r="V94" i="22"/>
  <c r="X94" i="22"/>
  <c r="V85" i="22"/>
  <c r="V89" i="22"/>
  <c r="V93" i="22"/>
  <c r="V97" i="22"/>
  <c r="R97" i="22"/>
  <c r="R93" i="22"/>
  <c r="R89" i="22"/>
  <c r="R85" i="22"/>
  <c r="R94" i="22"/>
  <c r="R90" i="22"/>
  <c r="R86" i="22"/>
  <c r="O88" i="22"/>
  <c r="O81" i="22"/>
  <c r="P85" i="22"/>
  <c r="P86" i="22"/>
  <c r="P89" i="22"/>
  <c r="P90" i="22"/>
  <c r="P91" i="22"/>
  <c r="P92" i="22"/>
  <c r="P93" i="22"/>
  <c r="P94" i="22"/>
  <c r="P95" i="22"/>
  <c r="P97" i="22"/>
  <c r="K82" i="22"/>
  <c r="K83" i="22"/>
  <c r="K84" i="22"/>
  <c r="K85" i="22"/>
  <c r="K86" i="22"/>
  <c r="K87" i="22"/>
  <c r="K88" i="22"/>
  <c r="K89" i="22"/>
  <c r="K90" i="22"/>
  <c r="K91" i="22"/>
  <c r="K92" i="22"/>
  <c r="K93" i="22"/>
  <c r="K94" i="22"/>
  <c r="K95" i="22"/>
  <c r="K96" i="22"/>
  <c r="K97" i="22"/>
  <c r="K81" i="22"/>
  <c r="B82" i="22"/>
  <c r="B83" i="22"/>
  <c r="B84" i="22"/>
  <c r="B85" i="22"/>
  <c r="B86" i="22"/>
  <c r="B87" i="22"/>
  <c r="B88" i="22"/>
  <c r="B89" i="22"/>
  <c r="B90" i="22"/>
  <c r="B91" i="22"/>
  <c r="B92" i="22"/>
  <c r="B93" i="22"/>
  <c r="B94" i="22"/>
  <c r="B95" i="22"/>
  <c r="B96" i="22"/>
  <c r="B97" i="22"/>
  <c r="B81" i="22"/>
  <c r="I85" i="22"/>
  <c r="H36" i="22" s="1"/>
  <c r="I86" i="22"/>
  <c r="H37" i="22" s="1"/>
  <c r="I89" i="22"/>
  <c r="H40" i="22" s="1"/>
  <c r="I90" i="22"/>
  <c r="I91" i="22"/>
  <c r="I92" i="22"/>
  <c r="I93" i="22"/>
  <c r="H44" i="22" s="1"/>
  <c r="I94" i="22"/>
  <c r="I95" i="22"/>
  <c r="I97" i="22"/>
  <c r="H81" i="22"/>
  <c r="I79" i="22"/>
  <c r="I83" i="22" s="1"/>
  <c r="H34" i="22" s="1"/>
  <c r="E82" i="22"/>
  <c r="E83" i="22"/>
  <c r="E84" i="22"/>
  <c r="E85" i="22"/>
  <c r="E86" i="22"/>
  <c r="E87" i="22"/>
  <c r="E88" i="22"/>
  <c r="E89" i="22"/>
  <c r="E90" i="22"/>
  <c r="E91" i="22"/>
  <c r="E92" i="22"/>
  <c r="E93" i="22"/>
  <c r="E94" i="22"/>
  <c r="E95" i="22"/>
  <c r="E96" i="22"/>
  <c r="E97" i="22"/>
  <c r="E81" i="22"/>
  <c r="P87" i="22" l="1"/>
  <c r="I38" i="22"/>
  <c r="J32" i="22"/>
  <c r="J37" i="22"/>
  <c r="V83" i="22"/>
  <c r="J34" i="22"/>
  <c r="X87" i="22"/>
  <c r="J38" i="22"/>
  <c r="X82" i="22"/>
  <c r="J33" i="22"/>
  <c r="P82" i="22"/>
  <c r="R82" i="22"/>
  <c r="R88" i="22"/>
  <c r="I39" i="22"/>
  <c r="R96" i="22"/>
  <c r="I47" i="22"/>
  <c r="R81" i="22"/>
  <c r="I32" i="22"/>
  <c r="R83" i="22"/>
  <c r="I34" i="22"/>
  <c r="R84" i="22"/>
  <c r="I35" i="22"/>
  <c r="H45" i="22"/>
  <c r="J90" i="22"/>
  <c r="H41" i="22"/>
  <c r="H49" i="22" s="1"/>
  <c r="J97" i="22"/>
  <c r="H48" i="22"/>
  <c r="J92" i="22"/>
  <c r="H43" i="22"/>
  <c r="J95" i="22"/>
  <c r="H46" i="22"/>
  <c r="J91" i="22"/>
  <c r="H42" i="22"/>
  <c r="I84" i="22"/>
  <c r="H35" i="22" s="1"/>
  <c r="I81" i="22"/>
  <c r="I96" i="22"/>
  <c r="H47" i="22" s="1"/>
  <c r="I88" i="22"/>
  <c r="H39" i="22" s="1"/>
  <c r="I82" i="22"/>
  <c r="H33" i="22" s="1"/>
  <c r="V86" i="22"/>
  <c r="X86" i="22"/>
  <c r="P83" i="22"/>
  <c r="P88" i="22"/>
  <c r="P84" i="22"/>
  <c r="I87" i="22"/>
  <c r="J87" i="22" s="1"/>
  <c r="V81" i="22"/>
  <c r="X84" i="22"/>
  <c r="V88" i="22"/>
  <c r="X96" i="22"/>
  <c r="V96" i="22"/>
  <c r="U104" i="22" s="1"/>
  <c r="X83" i="22"/>
  <c r="V87" i="22"/>
  <c r="X88" i="22"/>
  <c r="V82" i="22"/>
  <c r="V84" i="22"/>
  <c r="U103" i="22" s="1"/>
  <c r="U98" i="22"/>
  <c r="X81" i="22"/>
  <c r="P81" i="22"/>
  <c r="J83" i="22"/>
  <c r="J94" i="22"/>
  <c r="J86" i="22"/>
  <c r="J93" i="22"/>
  <c r="J89" i="22"/>
  <c r="J85" i="22"/>
  <c r="O101" i="22" l="1"/>
  <c r="U101" i="22"/>
  <c r="J84" i="22"/>
  <c r="J88" i="22"/>
  <c r="J96" i="22"/>
  <c r="H38" i="22"/>
  <c r="J82" i="22"/>
  <c r="J81" i="22"/>
  <c r="H32" i="22"/>
  <c r="V98" i="22"/>
  <c r="U102" i="22"/>
  <c r="U100" i="22" s="1"/>
  <c r="X98" i="22"/>
  <c r="I101" i="22" l="1"/>
  <c r="L95" i="22"/>
  <c r="L88" i="22"/>
  <c r="I104" i="22"/>
  <c r="L86" i="22"/>
  <c r="L90" i="22"/>
  <c r="L92" i="22"/>
  <c r="L94" i="22"/>
  <c r="L84" i="22"/>
  <c r="I103" i="22"/>
  <c r="L91" i="22"/>
  <c r="L96" i="22"/>
  <c r="L85" i="22"/>
  <c r="L89" i="22"/>
  <c r="L93" i="22"/>
  <c r="L97" i="22"/>
  <c r="L83" i="22" l="1"/>
  <c r="O104" i="22"/>
  <c r="L81" i="22"/>
  <c r="I98" i="22"/>
  <c r="L82" i="22"/>
  <c r="O103" i="22"/>
  <c r="I102" i="22"/>
  <c r="I100" i="22" s="1"/>
  <c r="L87" i="22"/>
  <c r="O98" i="22"/>
  <c r="O102" i="22"/>
  <c r="O100" i="22" s="1"/>
  <c r="L98" i="22" l="1"/>
  <c r="P98" i="22"/>
  <c r="R98" i="22"/>
  <c r="J98" i="22"/>
  <c r="E62" i="2"/>
  <c r="F62" i="2" s="1"/>
  <c r="E60" i="2" l="1"/>
  <c r="C97" i="22"/>
  <c r="D97" i="22" l="1"/>
  <c r="G48" i="22"/>
  <c r="K48" i="22" s="1"/>
  <c r="F97" i="22"/>
  <c r="C79" i="22" l="1"/>
  <c r="C85" i="22"/>
  <c r="C86" i="22"/>
  <c r="C89" i="22"/>
  <c r="C90" i="22"/>
  <c r="C91" i="22"/>
  <c r="C92" i="22"/>
  <c r="C93" i="22"/>
  <c r="C94" i="22"/>
  <c r="C95" i="22"/>
  <c r="G28" i="2" l="1"/>
  <c r="G27" i="2"/>
  <c r="G32" i="2"/>
  <c r="G31" i="2"/>
  <c r="G33" i="2"/>
  <c r="D92" i="22"/>
  <c r="G43" i="22"/>
  <c r="K43" i="22" s="1"/>
  <c r="D86" i="22"/>
  <c r="G37" i="22"/>
  <c r="K37" i="22" s="1"/>
  <c r="D91" i="22"/>
  <c r="G42" i="22"/>
  <c r="K42" i="22" s="1"/>
  <c r="D85" i="22"/>
  <c r="G36" i="22"/>
  <c r="K36" i="22" s="1"/>
  <c r="D95" i="22"/>
  <c r="G46" i="22"/>
  <c r="K46" i="22" s="1"/>
  <c r="D94" i="22"/>
  <c r="G45" i="22"/>
  <c r="K45" i="22" s="1"/>
  <c r="D90" i="22"/>
  <c r="G41" i="22"/>
  <c r="D93" i="22"/>
  <c r="G44" i="22"/>
  <c r="K44" i="22" s="1"/>
  <c r="D89" i="22"/>
  <c r="G40" i="22"/>
  <c r="K40" i="22" s="1"/>
  <c r="F95" i="22"/>
  <c r="F85" i="22"/>
  <c r="F90" i="22"/>
  <c r="C87" i="22"/>
  <c r="F89" i="22"/>
  <c r="F86" i="22"/>
  <c r="C81" i="22"/>
  <c r="F91" i="22"/>
  <c r="F92" i="22"/>
  <c r="F94" i="22"/>
  <c r="F93" i="22"/>
  <c r="E59" i="2"/>
  <c r="F59" i="2" s="1"/>
  <c r="C96" i="22"/>
  <c r="C84" i="22"/>
  <c r="C82" i="22"/>
  <c r="C83" i="22"/>
  <c r="C88" i="22"/>
  <c r="G30" i="2" l="1"/>
  <c r="G26" i="2"/>
  <c r="G25" i="2"/>
  <c r="G29" i="2"/>
  <c r="G24" i="2"/>
  <c r="G34" i="2"/>
  <c r="G35" i="2"/>
  <c r="K41" i="22"/>
  <c r="G49" i="22"/>
  <c r="K49" i="22" s="1"/>
  <c r="B101" i="22"/>
  <c r="D88" i="22"/>
  <c r="G39" i="22"/>
  <c r="K39" i="22" s="1"/>
  <c r="D84" i="22"/>
  <c r="G35" i="22"/>
  <c r="K35" i="22" s="1"/>
  <c r="D96" i="22"/>
  <c r="G47" i="22"/>
  <c r="K47" i="22" s="1"/>
  <c r="D83" i="22"/>
  <c r="G34" i="22"/>
  <c r="K34" i="22" s="1"/>
  <c r="D87" i="22"/>
  <c r="G38" i="22"/>
  <c r="K38" i="22" s="1"/>
  <c r="D82" i="22"/>
  <c r="G33" i="22"/>
  <c r="K33" i="22" s="1"/>
  <c r="D81" i="22"/>
  <c r="G32" i="22"/>
  <c r="K32" i="22" s="1"/>
  <c r="F88" i="22"/>
  <c r="F87" i="22"/>
  <c r="F96" i="22"/>
  <c r="B104" i="22"/>
  <c r="F84" i="22"/>
  <c r="B103" i="22"/>
  <c r="F81" i="22"/>
  <c r="C98" i="22"/>
  <c r="F82" i="22"/>
  <c r="F83" i="22"/>
  <c r="C72" i="2" l="1"/>
  <c r="C42" i="2" s="1"/>
  <c r="C71" i="2"/>
  <c r="C41" i="2" s="1"/>
  <c r="C69" i="2"/>
  <c r="C39" i="2" s="1"/>
  <c r="L49" i="22"/>
  <c r="F64" i="2"/>
  <c r="F98" i="22"/>
  <c r="E61" i="2"/>
  <c r="F61" i="2" s="1"/>
  <c r="E65" i="2"/>
  <c r="F65" i="2" s="1"/>
  <c r="B102" i="22"/>
  <c r="G36" i="2"/>
  <c r="D98" i="22"/>
  <c r="C70" i="2" l="1"/>
  <c r="C40" i="2" s="1"/>
  <c r="C20" i="2"/>
  <c r="C18" i="2"/>
  <c r="B100" i="22"/>
  <c r="E56" i="2"/>
  <c r="F56" i="2" s="1"/>
  <c r="E63" i="2"/>
  <c r="F63" i="2" s="1"/>
  <c r="E64" i="2"/>
  <c r="E55" i="2"/>
  <c r="F55" i="2" s="1"/>
  <c r="E58" i="2"/>
  <c r="F58" i="2" s="1"/>
  <c r="E57" i="2"/>
  <c r="F57" i="2" s="1"/>
  <c r="C68" i="2" l="1"/>
  <c r="C38" i="2" s="1"/>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12" authorId="0" shapeId="0" xr:uid="{8C0C3092-D390-4AAE-BFB5-9EC803952E68}">
      <text>
        <r>
          <rPr>
            <b/>
            <sz val="9"/>
            <color indexed="81"/>
            <rFont val="Tahoma"/>
            <family val="2"/>
          </rPr>
          <t>Autor:</t>
        </r>
        <r>
          <rPr>
            <sz val="9"/>
            <color indexed="81"/>
            <rFont val="Tahoma"/>
            <family val="2"/>
          </rPr>
          <t xml:space="preserve">
EN API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6" authorId="0" shapeId="0" xr:uid="{4D2C306A-98FE-4DFB-A2A1-A45A0BD30944}">
      <text>
        <r>
          <rPr>
            <b/>
            <sz val="9"/>
            <color indexed="81"/>
            <rFont val="Tahoma"/>
            <family val="2"/>
          </rPr>
          <t>Autor:</t>
        </r>
        <r>
          <rPr>
            <sz val="9"/>
            <color indexed="81"/>
            <rFont val="Tahoma"/>
            <family val="2"/>
          </rPr>
          <t xml:space="preserve">
SI ES &gt;4 VERIFICAR FLUJO METABOLICO</t>
        </r>
      </text>
    </comment>
    <comment ref="F55" authorId="0" shapeId="0" xr:uid="{C188C4F2-DB14-4051-A612-9AE130A3F890}">
      <text>
        <r>
          <rPr>
            <b/>
            <sz val="9"/>
            <color indexed="81"/>
            <rFont val="Tahoma"/>
            <family val="2"/>
          </rPr>
          <t>Autor:</t>
        </r>
        <r>
          <rPr>
            <sz val="9"/>
            <color indexed="81"/>
            <rFont val="Tahoma"/>
            <family val="2"/>
          </rPr>
          <t xml:space="preserve">
EN CASO DE NO CUMPLIR ÉSTE PARÁMETRO, SE RECOMIENDA DISMINUIR REQUERIMIENTO DE LÍQUIDOS O AUMENTAR APORTE DE PROTEÍNA.</t>
        </r>
      </text>
    </comment>
    <comment ref="F56" authorId="0" shapeId="0" xr:uid="{A347279B-01B9-4F9D-A8C7-943E0834A590}">
      <text>
        <r>
          <rPr>
            <b/>
            <sz val="9"/>
            <color indexed="81"/>
            <rFont val="Tahoma"/>
            <family val="2"/>
          </rPr>
          <t>Autor:</t>
        </r>
        <r>
          <rPr>
            <sz val="9"/>
            <color indexed="81"/>
            <rFont val="Tahoma"/>
            <family val="2"/>
          </rPr>
          <t xml:space="preserve">
SI &gt;24,5% RIESGO DE HIGADO GRASO</t>
        </r>
      </text>
    </comment>
    <comment ref="F57" authorId="0" shapeId="0" xr:uid="{F9EAEB01-4FB3-4457-9D34-A9EAD6D61E4E}">
      <text>
        <r>
          <rPr>
            <b/>
            <sz val="9"/>
            <color indexed="81"/>
            <rFont val="Tahoma"/>
            <family val="2"/>
          </rPr>
          <t>Autor:</t>
        </r>
        <r>
          <rPr>
            <sz val="9"/>
            <color indexed="81"/>
            <rFont val="Tahoma"/>
            <family val="2"/>
          </rPr>
          <t xml:space="preserve">
SI &gt; 30 NO ES ESTABLE, RIESGO DE PRECIPITACION</t>
        </r>
      </text>
    </comment>
    <comment ref="F58" authorId="0" shapeId="0" xr:uid="{F3DED19E-3DEF-444B-BC9E-BA10C3ECF14F}">
      <text>
        <r>
          <rPr>
            <b/>
            <sz val="9"/>
            <color indexed="81"/>
            <rFont val="Tahoma"/>
            <family val="2"/>
          </rPr>
          <t>Autor:</t>
        </r>
        <r>
          <rPr>
            <sz val="9"/>
            <color indexed="81"/>
            <rFont val="Tahoma"/>
            <family val="2"/>
          </rPr>
          <t xml:space="preserve">
SI &gt; 20 RIESGO DE HIPERMAGNESEMIA</t>
        </r>
      </text>
    </comment>
    <comment ref="F59" authorId="0" shapeId="0" xr:uid="{84E1A71A-91C9-44E6-A657-4AD6D2D15E62}">
      <text>
        <r>
          <rPr>
            <b/>
            <sz val="9"/>
            <color indexed="81"/>
            <rFont val="Tahoma"/>
            <family val="2"/>
          </rPr>
          <t>Autor:</t>
        </r>
        <r>
          <rPr>
            <sz val="9"/>
            <color indexed="81"/>
            <rFont val="Tahoma"/>
            <family val="2"/>
          </rPr>
          <t xml:space="preserve">
SI &gt;2 RIESGO HIPERNATREMIA</t>
        </r>
      </text>
    </comment>
    <comment ref="F62" authorId="0" shapeId="0" xr:uid="{B637952E-49EB-41A3-9625-7C00B299EE31}">
      <text>
        <r>
          <rPr>
            <b/>
            <sz val="9"/>
            <color indexed="81"/>
            <rFont val="Tahoma"/>
            <family val="2"/>
          </rPr>
          <t>Autor:</t>
        </r>
        <r>
          <rPr>
            <sz val="9"/>
            <color indexed="81"/>
            <rFont val="Tahoma"/>
            <family val="2"/>
          </rPr>
          <t xml:space="preserve">
SI &gt; 2 NO ESTABLE, DISMINUYE EL PH RIESGO DE PRECIPITACION</t>
        </r>
      </text>
    </comment>
    <comment ref="F64" authorId="0" shapeId="0" xr:uid="{97371965-D4FF-425E-87C0-07F15906E590}">
      <text>
        <r>
          <rPr>
            <b/>
            <sz val="9"/>
            <color indexed="81"/>
            <rFont val="Tahoma"/>
            <family val="2"/>
          </rPr>
          <t>Autor:</t>
        </r>
        <r>
          <rPr>
            <sz val="9"/>
            <color indexed="81"/>
            <rFont val="Tahoma"/>
            <family val="2"/>
          </rPr>
          <t xml:space="preserve">
EN CASO DE NO CUMPLIR ÉSTE PARÁMETRO, SE RECOMIENDA DISMINUIR REQUERIMIENTO DE LÍQUIDOS O AUMENTAR APORTE DE LÍPIDOS.</t>
        </r>
      </text>
    </comment>
  </commentList>
</comments>
</file>

<file path=xl/sharedStrings.xml><?xml version="1.0" encoding="utf-8"?>
<sst xmlns="http://schemas.openxmlformats.org/spreadsheetml/2006/main" count="384" uniqueCount="194">
  <si>
    <t>Concentración Carbohidratos</t>
  </si>
  <si>
    <t>Concentración Aminoácidos</t>
  </si>
  <si>
    <t>PESO</t>
  </si>
  <si>
    <t>ORDEN DE ADICIÓN</t>
  </si>
  <si>
    <t>REQUERIMIENTO FORMULADO</t>
  </si>
  <si>
    <t>Historia Clínica:</t>
  </si>
  <si>
    <t xml:space="preserve">Servicio: </t>
  </si>
  <si>
    <t>Nombre del Paciente:</t>
  </si>
  <si>
    <t>NPT No.</t>
  </si>
  <si>
    <t>Fecha:</t>
  </si>
  <si>
    <t>INSTITUCIÓN/SEDE</t>
  </si>
  <si>
    <t>SUBGERENCIA</t>
  </si>
  <si>
    <t xml:space="preserve">APROBÓ: </t>
  </si>
  <si>
    <t xml:space="preserve">REVISÓ: </t>
  </si>
  <si>
    <t>ELABORÓ</t>
  </si>
  <si>
    <t>ESTADO: vigente</t>
  </si>
  <si>
    <t xml:space="preserve">PÁGINAS: 1 </t>
  </si>
  <si>
    <t>FECHA APROBACIÓN</t>
  </si>
  <si>
    <t>FECHA REVISIÓN</t>
  </si>
  <si>
    <t>FECHA ELABORACION</t>
  </si>
  <si>
    <t>FORMATO</t>
  </si>
  <si>
    <t>REQUERIMIENTO</t>
  </si>
  <si>
    <t>JERINGA 20 ML</t>
  </si>
  <si>
    <t>N/A</t>
  </si>
  <si>
    <t>Peso del paciente (Kg) :</t>
  </si>
  <si>
    <t>CLINICA MEDICAL S.A.S - .</t>
  </si>
  <si>
    <t>SEDE KENNEDY</t>
  </si>
  <si>
    <t>SEDE SANTA JULIANA</t>
  </si>
  <si>
    <t>SEDE NORTE</t>
  </si>
  <si>
    <t>SEDE FONTIBON</t>
  </si>
  <si>
    <t>SEDES</t>
  </si>
  <si>
    <t>SIGLA</t>
  </si>
  <si>
    <t>KN-</t>
  </si>
  <si>
    <t>SJ-</t>
  </si>
  <si>
    <t>NT-</t>
  </si>
  <si>
    <t>FT-</t>
  </si>
  <si>
    <t>TIPO DE CAMPAÑA</t>
  </si>
  <si>
    <t>NUTRICION PARENTERAL</t>
  </si>
  <si>
    <t>NUTRIENTE</t>
  </si>
  <si>
    <t>OSMOLARIDADES (mosm/l)</t>
  </si>
  <si>
    <t>NITROGENO (g/l)</t>
  </si>
  <si>
    <t>ENERGIA (kcal/l)</t>
  </si>
  <si>
    <t>LABORATORIO</t>
  </si>
  <si>
    <t xml:space="preserve">GLUTAMINA  20% </t>
  </si>
  <si>
    <t xml:space="preserve">D.A.D. 50% </t>
  </si>
  <si>
    <t>MULTIVITAMINAS</t>
  </si>
  <si>
    <t>FRESENIUS</t>
  </si>
  <si>
    <t>PRESENTACION (ml)</t>
  </si>
  <si>
    <t>ROPSOHN</t>
  </si>
  <si>
    <t>BAXTER</t>
  </si>
  <si>
    <t>VITAMINA B 12 (CIANOCOBALAMINA 1 MG / ML SOLUCION INYECTABLE VIAL X 10 ML)</t>
  </si>
  <si>
    <t>VITAMINA B1 (TIAMINA 1000 MG / 10 ML SOLUCIÓN INYECTABLE VIAL X 10 ML)</t>
  </si>
  <si>
    <t>VITAMINA C (ASCORBICO ACIDO 500 mg /5ml SOLUCION INYECTABLE AMPOLLA X 5 ML)</t>
  </si>
  <si>
    <t>MAGNESIO SULFATO 20 % SOLUCION INYECTABLE AMPOULEPACK X 10 ml</t>
  </si>
  <si>
    <t>SODIO CLORURO 2 meq / ml SOLUCION INYECTABLE AMPOLLA X 10 ml</t>
  </si>
  <si>
    <t>POTASIO CLORURO 2 meq / ml SOLUCION INYECTABLE X 10 ml</t>
  </si>
  <si>
    <t>CALCIO GLUCONATO 10 % SOLUCION INYECTABLE AMPOLLA X 10 ML</t>
  </si>
  <si>
    <t>RYAN</t>
  </si>
  <si>
    <t>ECAR</t>
  </si>
  <si>
    <t>ELEMENTOS TRAZA</t>
  </si>
  <si>
    <t>CORPAUL</t>
  </si>
  <si>
    <t>ZINC</t>
  </si>
  <si>
    <t>BOLSAS EVA</t>
  </si>
  <si>
    <t>PESO (mg)</t>
  </si>
  <si>
    <t>DENSIDAD</t>
  </si>
  <si>
    <t>no hay</t>
  </si>
  <si>
    <t>AMINOACIDOS 10% CON TAURINA SOLUCIÓN INYECTABLE X FRASCO 1000ML</t>
  </si>
  <si>
    <t>AMINOACIDOS 10% S/E CON TAURINA FCOX500ML</t>
  </si>
  <si>
    <t>GLICEROL FOSFATO DE SODIO (20 mmol de FOSFATO + 40 mmol de SODIO) SOLUCION INYECTABLE FRASCO X 20 ml</t>
  </si>
  <si>
    <t>MULTIVITAMINAS ELEMENT BAXTER CERNEVIT V</t>
  </si>
  <si>
    <t>VITAMINAS HIDROSOLUBLES, VITAMINA B + VITAMINA C SOLUVIT N X VIAL X 10 ml</t>
  </si>
  <si>
    <t>VITAMINAS LIPOSOLUBLES A,D,E,K ADULTOS VITALIPID N X VIAL X 10 ml</t>
  </si>
  <si>
    <t>ELEMENTOS TRAZA ADULTOS NULANZA N X 10ML</t>
  </si>
  <si>
    <t>ELEMENTOS TRAZA AMP. X 10 ML (SENSITRACE)</t>
  </si>
  <si>
    <t>ACEITESOYA30%ACEITECOCO30%ACEITEOLIVA25%ACEITEPESCADO15%VITAMINAE SMOFLIPID X 500ML</t>
  </si>
  <si>
    <t>DESCRPCION</t>
  </si>
  <si>
    <t>BOLSA EVA NUTRICION PARENTERAL X 150ML FREKA MIX</t>
  </si>
  <si>
    <t>BOLSA EVA NUTRICION PARENTERAL X 1000ML FREKA MIX</t>
  </si>
  <si>
    <t>BOLSA EVA NUTRICION PARENTERAL X 2000ML FREKA MIX</t>
  </si>
  <si>
    <t>BOLSA EVA PARA NUTRICION PARENTERAL X 3000 ML FREKA MIX</t>
  </si>
  <si>
    <t>ALTERNATIVA</t>
  </si>
  <si>
    <t>LABORATORIO SANDERSON S.A.
VIDRIO TÉCNICO DE COLOMBIA S.A. VITECO S.A.
RYAN - VITAMINA C INYECTABLE</t>
  </si>
  <si>
    <t>QUIMICO FARMACEUTICO RESPONSABLE</t>
  </si>
  <si>
    <t>CINDY LORENA PEREZ AGUIRRE</t>
  </si>
  <si>
    <t>CRISTIAN CAMILO BLANCO LÓPEZ</t>
  </si>
  <si>
    <t>PAOLA ANDREA GÓMEZ NIÑO</t>
  </si>
  <si>
    <t>ESTHER YULIANA GUIO BURGOS</t>
  </si>
  <si>
    <t>ANGIE KATHERINE PARRA ROBAYO</t>
  </si>
  <si>
    <t>GABRIELA ROSALES GUEVARA</t>
  </si>
  <si>
    <t>A.A. ADULTO 10%</t>
  </si>
  <si>
    <t xml:space="preserve">A.A. ADULTO 10% </t>
  </si>
  <si>
    <t>D.A.D. 50%</t>
  </si>
  <si>
    <t>FOSFORO</t>
  </si>
  <si>
    <t>MAGNESIO ELEMENTAL</t>
  </si>
  <si>
    <t>SODIO CLORURO</t>
  </si>
  <si>
    <t>POTASIO CLORURO</t>
  </si>
  <si>
    <t>CALCIO GLUCONATO</t>
  </si>
  <si>
    <t xml:space="preserve">LÍPIDOS LCT/MCT 20% </t>
  </si>
  <si>
    <t xml:space="preserve">POTASIO CLORURO </t>
  </si>
  <si>
    <t xml:space="preserve">CALCIO GLUCONATO  </t>
  </si>
  <si>
    <t>REQUERIMIENTO 
(Minimo)</t>
  </si>
  <si>
    <t>REQUERIMIENTO 
(Maximo)</t>
  </si>
  <si>
    <t xml:space="preserve"> VITAMINAS SOLUVIT (vial x 10 ml)
+ VITALIPID (vial x 10 ml)</t>
  </si>
  <si>
    <t>DESCRIPCION</t>
  </si>
  <si>
    <t>REQUERIMIENTOS NUTRICIONALES</t>
  </si>
  <si>
    <t xml:space="preserve">MULTIVITAMINAS </t>
  </si>
  <si>
    <t>LÍPIDOS LCT/MCT 20%</t>
  </si>
  <si>
    <t>DEXTROSA EN AGUA DESTILADA 50 % SOLUCION PARA INFUSION BOLSA X 500 ml</t>
  </si>
  <si>
    <t>VOLUMEN</t>
  </si>
  <si>
    <t xml:space="preserve">FACTOR </t>
  </si>
  <si>
    <t>AGUA ESTÉRIL</t>
  </si>
  <si>
    <t>(ml)</t>
  </si>
  <si>
    <t>AGUA ESTERIL PARA INYECCION SOLUCION INYECTABLE BOLSA X 500 ml</t>
  </si>
  <si>
    <t>QUIBI</t>
  </si>
  <si>
    <t>VOLUMEN TOTAL</t>
  </si>
  <si>
    <t>CRITERIO</t>
  </si>
  <si>
    <t>Concentracion Fosfato</t>
  </si>
  <si>
    <t>Concentracion Magnesio</t>
  </si>
  <si>
    <t>Sodio Total</t>
  </si>
  <si>
    <t>Cloro Total</t>
  </si>
  <si>
    <t>VOLUMEN ELABORADO
(mL)</t>
  </si>
  <si>
    <t>mEq
(1 ml = 2 mEq)</t>
  </si>
  <si>
    <t>mEq de sodio aportados por el Glicerol fosfato de sodio</t>
  </si>
  <si>
    <t>Relación Mg/Ca</t>
  </si>
  <si>
    <t>Concentración Calcio</t>
  </si>
  <si>
    <t>Concentración de Lípidos</t>
  </si>
  <si>
    <t>PARAMETRO</t>
  </si>
  <si>
    <t>RANGO</t>
  </si>
  <si>
    <t>RESULTADO</t>
  </si>
  <si>
    <t>NPT para (Horas)</t>
  </si>
  <si>
    <t>Via de Administración</t>
  </si>
  <si>
    <t>OSMOLARIDAD</t>
  </si>
  <si>
    <t>NPT 1</t>
  </si>
  <si>
    <t>Calorías Totales/kg  Peso</t>
  </si>
  <si>
    <t>CRITERIOS DE SEGURIDAD, ESTABILIDAD Y CALIDAD</t>
  </si>
  <si>
    <t>Relación: Cal No proteícas/g Nitrogeno</t>
  </si>
  <si>
    <t>Gramos Totales de Nitrógeno</t>
  </si>
  <si>
    <t>Calorías Totales Protéicas</t>
  </si>
  <si>
    <t>Calorías No Protéicas CHO´S</t>
  </si>
  <si>
    <t>Calorías No Protéicas Lípidos</t>
  </si>
  <si>
    <t>Segura si &gt; 25</t>
  </si>
  <si>
    <r>
      <rPr>
        <sz val="12"/>
        <color rgb="FFFF0000"/>
        <rFont val="Arial"/>
        <family val="2"/>
      </rPr>
      <t>0,8 a 2,0</t>
    </r>
    <r>
      <rPr>
        <sz val="12"/>
        <rFont val="Arial"/>
        <family val="2"/>
      </rPr>
      <t xml:space="preserve">
(g/Kg/día)</t>
    </r>
  </si>
  <si>
    <r>
      <rPr>
        <sz val="12"/>
        <color rgb="FFFF0000"/>
        <rFont val="Arial"/>
        <family val="2"/>
      </rPr>
      <t>1 a 5</t>
    </r>
    <r>
      <rPr>
        <sz val="12"/>
        <rFont val="Arial"/>
        <family val="2"/>
      </rPr>
      <t xml:space="preserve">
(mg/Kg/min)</t>
    </r>
  </si>
  <si>
    <r>
      <rPr>
        <sz val="12"/>
        <color rgb="FFFF0000"/>
        <rFont val="Arial"/>
        <family val="2"/>
      </rPr>
      <t>20 a 40</t>
    </r>
    <r>
      <rPr>
        <sz val="12"/>
        <rFont val="Arial"/>
        <family val="2"/>
      </rPr>
      <t xml:space="preserve">
(mmol/día)</t>
    </r>
  </si>
  <si>
    <r>
      <rPr>
        <sz val="12"/>
        <color rgb="FFFF0000"/>
        <rFont val="Arial"/>
        <family val="2"/>
      </rPr>
      <t>8 a 20</t>
    </r>
    <r>
      <rPr>
        <sz val="12"/>
        <rFont val="Arial"/>
        <family val="2"/>
      </rPr>
      <t xml:space="preserve">
(mEq/día)</t>
    </r>
  </si>
  <si>
    <r>
      <rPr>
        <sz val="12"/>
        <color rgb="FFFF0000"/>
        <rFont val="Arial"/>
        <family val="2"/>
      </rPr>
      <t>1 a 2</t>
    </r>
    <r>
      <rPr>
        <sz val="12"/>
        <rFont val="Arial"/>
        <family val="2"/>
      </rPr>
      <t xml:space="preserve">
(mEq/Kg/día)</t>
    </r>
  </si>
  <si>
    <r>
      <rPr>
        <sz val="12"/>
        <color rgb="FFFF0000"/>
        <rFont val="Arial"/>
        <family val="2"/>
      </rPr>
      <t>10</t>
    </r>
    <r>
      <rPr>
        <sz val="12"/>
        <rFont val="Arial"/>
        <family val="2"/>
      </rPr>
      <t xml:space="preserve">
(ml/día)</t>
    </r>
  </si>
  <si>
    <r>
      <rPr>
        <sz val="12"/>
        <color rgb="FFFF0000"/>
        <rFont val="Arial"/>
        <family val="2"/>
      </rPr>
      <t>0,5 a 1,5</t>
    </r>
    <r>
      <rPr>
        <sz val="12"/>
        <rFont val="Arial"/>
        <family val="2"/>
      </rPr>
      <t xml:space="preserve">
(g/Kg/día)</t>
    </r>
  </si>
  <si>
    <r>
      <rPr>
        <sz val="12"/>
        <color rgb="FF0070C0"/>
        <rFont val="Arial"/>
        <family val="2"/>
      </rPr>
      <t>Estable si ≥ 1</t>
    </r>
    <r>
      <rPr>
        <sz val="12"/>
        <rFont val="Arial"/>
        <family val="2"/>
      </rPr>
      <t xml:space="preserve">
(%)</t>
    </r>
  </si>
  <si>
    <r>
      <rPr>
        <sz val="12"/>
        <color rgb="FFFF0000"/>
        <rFont val="Arial"/>
        <family val="2"/>
      </rPr>
      <t>Segura si &lt; 24,5%</t>
    </r>
    <r>
      <rPr>
        <sz val="12"/>
        <rFont val="Arial"/>
        <family val="2"/>
      </rPr>
      <t xml:space="preserve">
(%)</t>
    </r>
  </si>
  <si>
    <r>
      <rPr>
        <sz val="12"/>
        <color rgb="FF0070C0"/>
        <rFont val="Arial"/>
        <family val="2"/>
      </rPr>
      <t>Estable si ≤ 30</t>
    </r>
    <r>
      <rPr>
        <sz val="12"/>
        <rFont val="Arial"/>
        <family val="2"/>
      </rPr>
      <t xml:space="preserve">
(mmol/L )</t>
    </r>
  </si>
  <si>
    <r>
      <rPr>
        <sz val="12"/>
        <color rgb="FFFF0000"/>
        <rFont val="Arial"/>
        <family val="2"/>
      </rPr>
      <t>Segura si &lt; 20</t>
    </r>
    <r>
      <rPr>
        <sz val="12"/>
        <rFont val="Arial"/>
        <family val="2"/>
      </rPr>
      <t xml:space="preserve">
(mEq/L)</t>
    </r>
  </si>
  <si>
    <r>
      <rPr>
        <sz val="12"/>
        <color rgb="FFFF0000"/>
        <rFont val="Arial"/>
        <family val="2"/>
      </rPr>
      <t xml:space="preserve">Segura si &lt; 2
</t>
    </r>
    <r>
      <rPr>
        <sz val="12"/>
        <rFont val="Arial"/>
        <family val="2"/>
      </rPr>
      <t>(mEq/Kg)</t>
    </r>
  </si>
  <si>
    <r>
      <rPr>
        <sz val="12"/>
        <color rgb="FFFF0000"/>
        <rFont val="Arial"/>
        <family val="2"/>
      </rPr>
      <t>Segura de 1 a 5</t>
    </r>
    <r>
      <rPr>
        <sz val="12"/>
        <rFont val="Arial"/>
        <family val="2"/>
      </rPr>
      <t xml:space="preserve">
(mEq/Kg/día)</t>
    </r>
  </si>
  <si>
    <r>
      <rPr>
        <sz val="12"/>
        <color rgb="FF0070C0"/>
        <rFont val="Arial"/>
        <family val="2"/>
      </rPr>
      <t>Estable si &lt; 2</t>
    </r>
    <r>
      <rPr>
        <sz val="12"/>
        <rFont val="Arial"/>
        <family val="2"/>
      </rPr>
      <t xml:space="preserve">
(mEq)</t>
    </r>
  </si>
  <si>
    <r>
      <rPr>
        <sz val="12"/>
        <color rgb="FF0070C0"/>
        <rFont val="Arial"/>
        <family val="2"/>
      </rPr>
      <t>Estable si &lt;10</t>
    </r>
    <r>
      <rPr>
        <sz val="12"/>
        <rFont val="Arial"/>
        <family val="2"/>
      </rPr>
      <t xml:space="preserve">
(mEq/L)</t>
    </r>
  </si>
  <si>
    <t>NPT 2</t>
  </si>
  <si>
    <t>Osmolaridad (mOsm/L)</t>
  </si>
  <si>
    <t>Velocidad de infusión (mL/h)</t>
  </si>
  <si>
    <t>CONCENTRACION</t>
  </si>
  <si>
    <t>UNIDADES</t>
  </si>
  <si>
    <t>%</t>
  </si>
  <si>
    <t>mmol</t>
  </si>
  <si>
    <t>mEq / mL</t>
  </si>
  <si>
    <t>NPT 3</t>
  </si>
  <si>
    <t>NPT 4</t>
  </si>
  <si>
    <t>Requerimiento</t>
  </si>
  <si>
    <t>volumen total</t>
  </si>
  <si>
    <t>EQUIPO BURETROL 150 ML</t>
  </si>
  <si>
    <t>JERINGA 1 ML CON AGUJA 27 G X 1/2"</t>
  </si>
  <si>
    <t xml:space="preserve">JERINGA 10 ML </t>
  </si>
  <si>
    <t>JERINGA 50 ML CON AGUJA 21G X 1 1/2 "</t>
  </si>
  <si>
    <t>AGUJA HIPODERMICA DESECHABLE No. 18 G</t>
  </si>
  <si>
    <t xml:space="preserve"> 	EQUIPO DE BOMBA DE INFUSION NIPRO RADIOPACO</t>
  </si>
  <si>
    <t>NPT-</t>
  </si>
  <si>
    <t xml:space="preserve">AGUA ESTERIL PARA INYECCION X AMPOLLAS 10 ml SOLUCION INYECTABLE </t>
  </si>
  <si>
    <t>SEVEN PHARMA</t>
  </si>
  <si>
    <r>
      <rPr>
        <sz val="12"/>
        <color rgb="FFFF0000"/>
        <rFont val="Arial"/>
        <family val="2"/>
      </rPr>
      <t>5 a 20 ml</t>
    </r>
    <r>
      <rPr>
        <sz val="12"/>
        <rFont val="Arial"/>
        <family val="2"/>
      </rPr>
      <t xml:space="preserve">
(ml/día)</t>
    </r>
  </si>
  <si>
    <r>
      <rPr>
        <sz val="12"/>
        <color rgb="FFFF0000"/>
        <rFont val="Arial"/>
        <family val="2"/>
      </rPr>
      <t>10 a 20</t>
    </r>
    <r>
      <rPr>
        <sz val="12"/>
        <rFont val="Arial"/>
        <family val="2"/>
      </rPr>
      <t xml:space="preserve">
(mEq/día)</t>
    </r>
  </si>
  <si>
    <r>
      <rPr>
        <sz val="12"/>
        <color rgb="FFFF0000"/>
        <rFont val="Arial"/>
        <family val="2"/>
      </rPr>
      <t>0,3 a 0,5</t>
    </r>
    <r>
      <rPr>
        <sz val="12"/>
        <rFont val="Arial"/>
        <family val="2"/>
      </rPr>
      <t xml:space="preserve">
(g/Kg/día)</t>
    </r>
  </si>
  <si>
    <t xml:space="preserve">HOSPITALIZACION </t>
  </si>
  <si>
    <t>PRESCRIPCION NUTRICION PARENTERAL</t>
  </si>
  <si>
    <t>NUTRICIONISTA</t>
  </si>
  <si>
    <t>COORDINADOR  DE CALIDAD</t>
  </si>
  <si>
    <t>MAYO 4  DE 2023</t>
  </si>
  <si>
    <t>VERSION: 003</t>
  </si>
  <si>
    <t>FIRMA MEDICO TRATANTE</t>
  </si>
  <si>
    <t>FIRMA NUTRICIONISTA</t>
  </si>
  <si>
    <t>NOMBRE DEL MEDICO:</t>
  </si>
  <si>
    <t>REGISTRO MEDICO:</t>
  </si>
  <si>
    <t>ESPECIALIDAD:</t>
  </si>
  <si>
    <t>NOMBRE NUTRICIONISTA:</t>
  </si>
  <si>
    <r>
      <t xml:space="preserve">RANGO DE REQUERIMIENTO
</t>
    </r>
    <r>
      <rPr>
        <sz val="9"/>
        <rFont val="Arial"/>
        <family val="2"/>
      </rPr>
      <t>(Paciente adulto)</t>
    </r>
  </si>
  <si>
    <t>CODIGO: FOR-SF- PRESCRIPCION  DE NUTRICIÓN PARENTERAL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</si>
</sst>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_-* #,##0.00\ &quot;€&quot;_-;\-* #,##0.00\ &quot;€&quot;_-;_-* &quot;-&quot;??\ &quot;€&quot;_-;_-@_-"/>
    <numFmt numFmtId="167" formatCode="0.0000"/>
  </numFmts>
  <fonts count="37" x14ac:knownFonts="1">
    <font>
      <sz val="11"/>
      <color theme="1"/>
      <name val="Calibri"/>
      <family val="2"/>
      <scheme val="minor"/>
    </font>
    <font>
      <sz val="10"/>
      <name val="Arial"/>
      <family val="2"/>
    </font>
    <font>
      <sz val="8"/>
      <name val="Tahoma"/>
      <family val="2"/>
    </font>
    <font>
      <sz val="8"/>
      <color indexed="10"/>
      <name val="Tahoma"/>
      <family val="2"/>
    </font>
    <font>
      <b/>
      <sz val="12"/>
      <color indexed="18"/>
      <name val="Arial"/>
      <family val="2"/>
    </font>
    <font>
      <sz val="10"/>
      <name val="Tahoma"/>
      <family val="2"/>
    </font>
    <font>
      <b/>
      <sz val="10"/>
      <name val="Tahoma"/>
      <family val="2"/>
    </font>
    <font>
      <sz val="10"/>
      <name val="Arial"/>
      <family val="2"/>
    </font>
    <font>
      <sz val="9"/>
      <name val="Arial"/>
      <family val="2"/>
    </font>
    <font>
      <sz val="9"/>
      <color indexed="10"/>
      <name val="Arial"/>
      <family val="2"/>
    </font>
    <font>
      <b/>
      <sz val="9"/>
      <color indexed="18"/>
      <name val="Arial"/>
      <family val="2"/>
    </font>
    <font>
      <sz val="9"/>
      <color theme="1"/>
      <name val="Arial"/>
      <family val="2"/>
    </font>
    <font>
      <b/>
      <sz val="9"/>
      <color theme="1"/>
      <name val="Arial"/>
      <family val="2"/>
    </font>
    <font>
      <b/>
      <sz val="9"/>
      <name val="Arial"/>
      <family val="2"/>
    </font>
    <font>
      <sz val="6"/>
      <name val="Arial"/>
      <family val="2"/>
    </font>
    <font>
      <b/>
      <sz val="10"/>
      <name val="Arial"/>
      <family val="2"/>
    </font>
    <font>
      <b/>
      <sz val="9"/>
      <color indexed="81"/>
      <name val="Tahoma"/>
      <family val="2"/>
    </font>
    <font>
      <sz val="9"/>
      <color indexed="81"/>
      <name val="Tahoma"/>
      <family val="2"/>
    </font>
    <font>
      <b/>
      <sz val="11"/>
      <color theme="1"/>
      <name val="Arial"/>
      <family val="2"/>
    </font>
    <font>
      <sz val="11"/>
      <color theme="1"/>
      <name val="Arial"/>
      <family val="2"/>
    </font>
    <font>
      <b/>
      <sz val="12"/>
      <color theme="1"/>
      <name val="Arial"/>
      <family val="2"/>
    </font>
    <font>
      <sz val="12"/>
      <color theme="1"/>
      <name val="Arial"/>
      <family val="2"/>
    </font>
    <font>
      <sz val="11"/>
      <name val="Arial"/>
      <family val="2"/>
    </font>
    <font>
      <sz val="10"/>
      <name val="Arial"/>
      <family val="2"/>
    </font>
    <font>
      <sz val="11"/>
      <color theme="1"/>
      <name val="Calibri"/>
      <family val="2"/>
      <scheme val="minor"/>
    </font>
    <font>
      <sz val="10"/>
      <name val="Arial"/>
      <family val="2"/>
    </font>
    <font>
      <sz val="11"/>
      <color rgb="FF0E0101"/>
      <name val="Arial"/>
      <family val="2"/>
    </font>
    <font>
      <b/>
      <u/>
      <sz val="12"/>
      <name val="Arial"/>
      <family val="2"/>
    </font>
    <font>
      <b/>
      <sz val="12"/>
      <name val="Arial"/>
      <family val="2"/>
    </font>
    <font>
      <sz val="12"/>
      <name val="Arial"/>
      <family val="2"/>
    </font>
    <font>
      <sz val="12"/>
      <color indexed="10"/>
      <name val="Arial"/>
      <family val="2"/>
    </font>
    <font>
      <sz val="12"/>
      <color rgb="FFFF0000"/>
      <name val="Arial"/>
      <family val="2"/>
    </font>
    <font>
      <sz val="12"/>
      <color rgb="FF0070C0"/>
      <name val="Arial"/>
      <family val="2"/>
    </font>
    <font>
      <b/>
      <sz val="12"/>
      <color rgb="FF0070C0"/>
      <name val="Arial"/>
      <family val="2"/>
    </font>
    <font>
      <sz val="8"/>
      <name val="Arial"/>
      <family val="2"/>
    </font>
    <font>
      <b/>
      <sz val="10"/>
      <color rgb="FF000080"/>
      <name val="Tahoma"/>
      <family val="2"/>
    </font>
    <font>
      <b/>
      <sz val="8"/>
      <name val="Arial"/>
      <family val="2"/>
    </font>
  </fonts>
  <fills count="2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7030A0"/>
        <bgColor indexed="64"/>
      </patternFill>
    </fill>
    <fill>
      <patternFill patternType="solid">
        <fgColor rgb="FF00B0F0"/>
        <bgColor indexed="64"/>
      </patternFill>
    </fill>
    <fill>
      <patternFill patternType="solid">
        <fgColor theme="9"/>
        <bgColor indexed="64"/>
      </patternFill>
    </fill>
    <fill>
      <patternFill patternType="solid">
        <fgColor rgb="FFFFFF00"/>
        <bgColor indexed="64"/>
      </patternFill>
    </fill>
    <fill>
      <patternFill patternType="solid">
        <fgColor rgb="FFFF00FF"/>
        <bgColor indexed="64"/>
      </patternFill>
    </fill>
    <fill>
      <patternFill patternType="solid">
        <fgColor rgb="FF00FF00"/>
        <bgColor indexed="64"/>
      </patternFill>
    </fill>
    <fill>
      <patternFill patternType="solid">
        <fgColor rgb="FF00FFFF"/>
        <bgColor indexed="64"/>
      </patternFill>
    </fill>
    <fill>
      <patternFill patternType="solid">
        <fgColor rgb="FFFFFFFF"/>
        <bgColor rgb="FF000000"/>
      </patternFill>
    </fill>
  </fills>
  <borders count="58">
    <border>
      <left/>
      <right/>
      <top/>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top/>
      <bottom style="thick">
        <color indexed="64"/>
      </bottom>
      <diagonal/>
    </border>
    <border>
      <left/>
      <right/>
      <top style="thick">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2">
    <xf numFmtId="0" fontId="0" fillId="0" borderId="0"/>
    <xf numFmtId="0" fontId="1" fillId="0" borderId="0"/>
    <xf numFmtId="166" fontId="7" fillId="0" borderId="0" applyFont="0" applyFill="0" applyBorder="0" applyAlignment="0" applyProtection="0"/>
    <xf numFmtId="0" fontId="7" fillId="0" borderId="0"/>
    <xf numFmtId="0" fontId="23" fillId="0" borderId="0"/>
    <xf numFmtId="166" fontId="1" fillId="0" borderId="0" applyFont="0" applyFill="0" applyBorder="0" applyAlignment="0" applyProtection="0"/>
    <xf numFmtId="0" fontId="1" fillId="0" borderId="0"/>
    <xf numFmtId="0" fontId="1" fillId="0" borderId="0"/>
    <xf numFmtId="0" fontId="25" fillId="0" borderId="0"/>
    <xf numFmtId="0" fontId="24" fillId="0" borderId="0"/>
    <xf numFmtId="0" fontId="1" fillId="0" borderId="0"/>
    <xf numFmtId="0" fontId="1" fillId="0" borderId="0"/>
  </cellStyleXfs>
  <cellXfs count="205">
    <xf numFmtId="0" fontId="0" fillId="0" borderId="0" xfId="0"/>
    <xf numFmtId="2" fontId="19" fillId="0" borderId="0" xfId="0" applyNumberFormat="1" applyFont="1" applyAlignment="1">
      <alignment horizontal="center" vertical="center"/>
    </xf>
    <xf numFmtId="0" fontId="19" fillId="0" borderId="0" xfId="0" applyFont="1" applyAlignment="1">
      <alignment horizontal="center" vertical="center"/>
    </xf>
    <xf numFmtId="0" fontId="19" fillId="4" borderId="0" xfId="0" applyFont="1" applyFill="1" applyAlignment="1">
      <alignment horizontal="center" vertical="center"/>
    </xf>
    <xf numFmtId="0" fontId="19" fillId="11" borderId="0" xfId="0" applyFont="1" applyFill="1" applyAlignment="1">
      <alignment horizontal="center" vertical="center" wrapText="1"/>
    </xf>
    <xf numFmtId="0" fontId="19" fillId="0" borderId="0" xfId="0" applyFont="1" applyAlignment="1">
      <alignment horizontal="center" vertical="center" wrapText="1"/>
    </xf>
    <xf numFmtId="0" fontId="19" fillId="10" borderId="0" xfId="0" applyFont="1" applyFill="1" applyAlignment="1">
      <alignment horizontal="center" vertical="center" wrapText="1"/>
    </xf>
    <xf numFmtId="164" fontId="19" fillId="0" borderId="0" xfId="0" applyNumberFormat="1" applyFont="1" applyAlignment="1">
      <alignment horizontal="center" vertical="center"/>
    </xf>
    <xf numFmtId="0" fontId="19" fillId="13" borderId="0" xfId="0" applyFont="1" applyFill="1" applyAlignment="1">
      <alignment horizontal="center" vertical="center"/>
    </xf>
    <xf numFmtId="164" fontId="19" fillId="9" borderId="0" xfId="0" applyNumberFormat="1" applyFont="1" applyFill="1" applyAlignment="1">
      <alignment horizontal="center" vertical="center"/>
    </xf>
    <xf numFmtId="0" fontId="19" fillId="7" borderId="0" xfId="0" applyFont="1" applyFill="1" applyAlignment="1">
      <alignment horizontal="center" vertical="center" wrapText="1"/>
    </xf>
    <xf numFmtId="0" fontId="19" fillId="5" borderId="0" xfId="0" applyFont="1" applyFill="1" applyAlignment="1">
      <alignment horizontal="center" vertical="center" wrapText="1"/>
    </xf>
    <xf numFmtId="0" fontId="19" fillId="7" borderId="0" xfId="0" applyFont="1" applyFill="1" applyAlignment="1">
      <alignment horizontal="center" vertical="center"/>
    </xf>
    <xf numFmtId="165" fontId="19" fillId="0" borderId="0" xfId="0" applyNumberFormat="1" applyFont="1" applyAlignment="1">
      <alignment horizontal="center" vertical="center"/>
    </xf>
    <xf numFmtId="0" fontId="18" fillId="0" borderId="0" xfId="0" applyFont="1" applyAlignment="1">
      <alignment horizontal="center" vertical="center"/>
    </xf>
    <xf numFmtId="0" fontId="19" fillId="14" borderId="33" xfId="0" applyFont="1" applyFill="1" applyBorder="1" applyAlignment="1">
      <alignment horizontal="center" vertical="center" wrapText="1"/>
    </xf>
    <xf numFmtId="0" fontId="19" fillId="14" borderId="32" xfId="0" applyFont="1" applyFill="1" applyBorder="1" applyAlignment="1">
      <alignment horizontal="center" vertical="center" wrapText="1"/>
    </xf>
    <xf numFmtId="0" fontId="19" fillId="13" borderId="0" xfId="0" applyFont="1" applyFill="1" applyAlignment="1">
      <alignment horizontal="center" vertical="center" wrapText="1"/>
    </xf>
    <xf numFmtId="0" fontId="19" fillId="0" borderId="32" xfId="0" applyFont="1" applyBorder="1" applyAlignment="1">
      <alignment horizontal="center" vertical="center" wrapText="1"/>
    </xf>
    <xf numFmtId="0" fontId="19" fillId="14" borderId="32" xfId="0" applyFont="1" applyFill="1" applyBorder="1" applyAlignment="1">
      <alignment horizontal="center" vertical="center"/>
    </xf>
    <xf numFmtId="167" fontId="19" fillId="0" borderId="0" xfId="0" applyNumberFormat="1" applyFont="1" applyAlignment="1">
      <alignment horizontal="center" vertical="center"/>
    </xf>
    <xf numFmtId="0" fontId="19" fillId="14" borderId="33" xfId="0" applyFont="1" applyFill="1" applyBorder="1" applyAlignment="1">
      <alignment horizontal="center" vertical="center"/>
    </xf>
    <xf numFmtId="0" fontId="19" fillId="0" borderId="33" xfId="0" applyFont="1" applyBorder="1" applyAlignment="1">
      <alignment horizontal="center" vertical="center" wrapText="1"/>
    </xf>
    <xf numFmtId="0" fontId="26" fillId="0" borderId="0" xfId="0" applyFont="1" applyAlignment="1">
      <alignment horizontal="center" vertical="center" wrapText="1"/>
    </xf>
    <xf numFmtId="0" fontId="26" fillId="12" borderId="0" xfId="0" applyFont="1" applyFill="1" applyAlignment="1">
      <alignment horizontal="center" vertical="center" wrapText="1"/>
    </xf>
    <xf numFmtId="0" fontId="19" fillId="15" borderId="0" xfId="0" applyFont="1" applyFill="1" applyAlignment="1">
      <alignment horizontal="center" vertical="center" wrapText="1"/>
    </xf>
    <xf numFmtId="0" fontId="22" fillId="0" borderId="0" xfId="1" applyFont="1" applyAlignment="1">
      <alignment vertical="center" wrapText="1"/>
    </xf>
    <xf numFmtId="2" fontId="28" fillId="0" borderId="0" xfId="1" applyNumberFormat="1" applyFont="1" applyAlignment="1" applyProtection="1">
      <alignment horizontal="left" vertical="center" wrapText="1"/>
      <protection locked="0"/>
    </xf>
    <xf numFmtId="0" fontId="28" fillId="0" borderId="0" xfId="1" applyFont="1" applyAlignment="1" applyProtection="1">
      <alignment horizontal="left" vertical="center" wrapText="1"/>
      <protection locked="0"/>
    </xf>
    <xf numFmtId="165" fontId="28" fillId="0" borderId="0" xfId="1" applyNumberFormat="1" applyFont="1" applyAlignment="1" applyProtection="1">
      <alignment horizontal="left" vertical="center" wrapText="1"/>
      <protection locked="0"/>
    </xf>
    <xf numFmtId="1" fontId="28" fillId="0" borderId="0" xfId="1" applyNumberFormat="1" applyFont="1" applyAlignment="1" applyProtection="1">
      <alignment horizontal="left" vertical="center" wrapText="1"/>
      <protection locked="0"/>
    </xf>
    <xf numFmtId="0" fontId="28" fillId="0" borderId="0" xfId="1" applyFont="1" applyAlignment="1" applyProtection="1">
      <alignment horizontal="center" vertical="center" wrapText="1"/>
      <protection locked="0"/>
    </xf>
    <xf numFmtId="0" fontId="28" fillId="6" borderId="38" xfId="1" applyFont="1" applyFill="1" applyBorder="1" applyAlignment="1" applyProtection="1">
      <alignment horizontal="center" vertical="center" wrapText="1"/>
      <protection locked="0"/>
    </xf>
    <xf numFmtId="2" fontId="28" fillId="0" borderId="40" xfId="1" applyNumberFormat="1" applyFont="1" applyBorder="1" applyAlignment="1" applyProtection="1">
      <alignment horizontal="center" vertical="center" wrapText="1"/>
      <protection locked="0"/>
    </xf>
    <xf numFmtId="0" fontId="28" fillId="0" borderId="40" xfId="1" applyFont="1" applyBorder="1" applyAlignment="1" applyProtection="1">
      <alignment horizontal="center" vertical="center" wrapText="1"/>
      <protection locked="0"/>
    </xf>
    <xf numFmtId="2" fontId="28" fillId="0" borderId="39" xfId="1" applyNumberFormat="1" applyFont="1" applyBorder="1" applyAlignment="1" applyProtection="1">
      <alignment horizontal="center" vertical="center" wrapText="1"/>
      <protection locked="0"/>
    </xf>
    <xf numFmtId="2" fontId="19" fillId="0" borderId="14" xfId="0" applyNumberFormat="1" applyFont="1" applyBorder="1" applyAlignment="1">
      <alignment horizontal="center" vertical="center"/>
    </xf>
    <xf numFmtId="0" fontId="19" fillId="0" borderId="14" xfId="0" applyFont="1" applyBorder="1" applyAlignment="1">
      <alignment horizontal="center" vertical="center"/>
    </xf>
    <xf numFmtId="0" fontId="19" fillId="0" borderId="41" xfId="0" applyFont="1" applyBorder="1" applyAlignment="1">
      <alignment horizontal="center" vertical="center"/>
    </xf>
    <xf numFmtId="0" fontId="19" fillId="17" borderId="0" xfId="0" applyFont="1" applyFill="1" applyAlignment="1">
      <alignment horizontal="center" vertical="center"/>
    </xf>
    <xf numFmtId="0" fontId="19" fillId="9" borderId="0" xfId="0" applyFont="1" applyFill="1" applyAlignment="1">
      <alignment horizontal="center" vertical="center"/>
    </xf>
    <xf numFmtId="0" fontId="19" fillId="16" borderId="17" xfId="0" applyFont="1" applyFill="1" applyBorder="1" applyAlignment="1">
      <alignment horizontal="center" vertical="center"/>
    </xf>
    <xf numFmtId="2" fontId="19" fillId="0" borderId="18" xfId="0" applyNumberFormat="1" applyFont="1" applyBorder="1" applyAlignment="1">
      <alignment horizontal="center" vertical="center"/>
    </xf>
    <xf numFmtId="2" fontId="19" fillId="0" borderId="17" xfId="0" applyNumberFormat="1" applyFont="1" applyBorder="1" applyAlignment="1">
      <alignment horizontal="center" vertical="center"/>
    </xf>
    <xf numFmtId="2" fontId="19" fillId="0" borderId="45" xfId="0" applyNumberFormat="1" applyFont="1" applyBorder="1" applyAlignment="1">
      <alignment horizontal="center" vertical="center"/>
    </xf>
    <xf numFmtId="2" fontId="19" fillId="17" borderId="46" xfId="0" applyNumberFormat="1" applyFont="1" applyFill="1" applyBorder="1" applyAlignment="1">
      <alignment horizontal="center" vertical="center"/>
    </xf>
    <xf numFmtId="2" fontId="19" fillId="9" borderId="46" xfId="0" applyNumberFormat="1" applyFont="1" applyFill="1" applyBorder="1" applyAlignment="1">
      <alignment horizontal="center" vertical="center"/>
    </xf>
    <xf numFmtId="0" fontId="19" fillId="0" borderId="46" xfId="0" applyFont="1" applyBorder="1" applyAlignment="1">
      <alignment horizontal="center" vertical="center"/>
    </xf>
    <xf numFmtId="2" fontId="19" fillId="16" borderId="47" xfId="0" applyNumberFormat="1" applyFont="1" applyFill="1" applyBorder="1" applyAlignment="1">
      <alignment horizontal="center" vertical="center"/>
    </xf>
    <xf numFmtId="0" fontId="24" fillId="0" borderId="15" xfId="0" applyFont="1" applyBorder="1" applyAlignment="1">
      <alignment horizontal="center" wrapText="1"/>
    </xf>
    <xf numFmtId="2" fontId="22" fillId="0" borderId="41" xfId="1" applyNumberFormat="1" applyFont="1" applyBorder="1" applyAlignment="1">
      <alignment vertical="center" wrapText="1"/>
    </xf>
    <xf numFmtId="0" fontId="24" fillId="0" borderId="18" xfId="0" applyFont="1" applyBorder="1" applyAlignment="1">
      <alignment horizontal="center" wrapText="1"/>
    </xf>
    <xf numFmtId="2" fontId="22" fillId="0" borderId="17" xfId="1" applyNumberFormat="1" applyFont="1" applyBorder="1" applyAlignment="1">
      <alignment vertical="center" wrapText="1"/>
    </xf>
    <xf numFmtId="0" fontId="24" fillId="0" borderId="45" xfId="0" applyFont="1" applyBorder="1" applyAlignment="1">
      <alignment horizontal="center" wrapText="1"/>
    </xf>
    <xf numFmtId="2" fontId="22" fillId="0" borderId="47" xfId="1" applyNumberFormat="1" applyFont="1" applyBorder="1" applyAlignment="1">
      <alignment vertical="center" wrapText="1"/>
    </xf>
    <xf numFmtId="0" fontId="19" fillId="18" borderId="15" xfId="0" applyFont="1" applyFill="1" applyBorder="1" applyAlignment="1">
      <alignment horizontal="center" vertical="center"/>
    </xf>
    <xf numFmtId="0" fontId="19" fillId="19" borderId="15" xfId="0" applyFont="1" applyFill="1" applyBorder="1" applyAlignment="1">
      <alignment horizontal="center" vertical="center"/>
    </xf>
    <xf numFmtId="0" fontId="19" fillId="20" borderId="15" xfId="0" applyFont="1" applyFill="1" applyBorder="1" applyAlignment="1">
      <alignment horizontal="center" vertical="center"/>
    </xf>
    <xf numFmtId="0" fontId="18" fillId="18" borderId="18" xfId="0" applyFont="1" applyFill="1" applyBorder="1" applyAlignment="1">
      <alignment horizontal="center" vertical="center"/>
    </xf>
    <xf numFmtId="0" fontId="18" fillId="19" borderId="18" xfId="0" applyFont="1" applyFill="1" applyBorder="1" applyAlignment="1">
      <alignment horizontal="center" vertical="center"/>
    </xf>
    <xf numFmtId="0" fontId="19" fillId="21" borderId="15" xfId="0" applyFont="1" applyFill="1" applyBorder="1" applyAlignment="1">
      <alignment horizontal="center" vertical="center"/>
    </xf>
    <xf numFmtId="0" fontId="18" fillId="20" borderId="18" xfId="0" applyFont="1" applyFill="1" applyBorder="1" applyAlignment="1">
      <alignment horizontal="center" vertical="center"/>
    </xf>
    <xf numFmtId="0" fontId="18" fillId="21" borderId="18" xfId="0" applyFont="1" applyFill="1" applyBorder="1" applyAlignment="1">
      <alignment horizontal="center" vertical="center"/>
    </xf>
    <xf numFmtId="0" fontId="19" fillId="0" borderId="0" xfId="0" applyFont="1" applyAlignment="1">
      <alignment horizontal="left" vertical="center"/>
    </xf>
    <xf numFmtId="0" fontId="29" fillId="6" borderId="36" xfId="1" applyFont="1" applyFill="1" applyBorder="1" applyAlignment="1" applyProtection="1">
      <alignment horizontal="center" vertical="center" wrapText="1"/>
      <protection locked="0"/>
    </xf>
    <xf numFmtId="0" fontId="5" fillId="2" borderId="29" xfId="1" applyFont="1" applyFill="1" applyBorder="1" applyAlignment="1">
      <alignment vertical="center" wrapText="1"/>
    </xf>
    <xf numFmtId="0" fontId="5" fillId="2" borderId="28" xfId="1" applyFont="1" applyFill="1" applyBorder="1" applyAlignment="1">
      <alignment vertical="center" wrapText="1"/>
    </xf>
    <xf numFmtId="0" fontId="4" fillId="0" borderId="0" xfId="1" applyFont="1" applyAlignment="1">
      <alignment horizontal="center" vertical="center" wrapText="1"/>
    </xf>
    <xf numFmtId="0" fontId="2" fillId="2" borderId="0" xfId="1" applyFont="1" applyFill="1" applyAlignment="1">
      <alignment horizontal="right" vertical="center" wrapText="1"/>
    </xf>
    <xf numFmtId="0" fontId="3" fillId="2" borderId="0" xfId="1" applyFont="1" applyFill="1" applyAlignment="1">
      <alignment horizontal="center" vertical="center" wrapText="1"/>
    </xf>
    <xf numFmtId="0" fontId="5" fillId="2" borderId="24" xfId="1" applyFont="1" applyFill="1" applyBorder="1" applyAlignment="1">
      <alignment vertical="center" wrapText="1"/>
    </xf>
    <xf numFmtId="0" fontId="5" fillId="2" borderId="0" xfId="1" applyFont="1" applyFill="1" applyAlignment="1">
      <alignment vertical="center" wrapText="1"/>
    </xf>
    <xf numFmtId="0" fontId="14" fillId="0" borderId="1" xfId="1" applyFont="1" applyBorder="1" applyAlignment="1">
      <alignment vertical="center" wrapText="1"/>
    </xf>
    <xf numFmtId="0" fontId="14" fillId="0" borderId="8" xfId="1" applyFont="1" applyBorder="1" applyAlignment="1">
      <alignment horizontal="center" vertical="center" wrapText="1"/>
    </xf>
    <xf numFmtId="0" fontId="14" fillId="0" borderId="8" xfId="1" applyFont="1" applyBorder="1" applyAlignment="1">
      <alignment vertical="center" wrapText="1"/>
    </xf>
    <xf numFmtId="0" fontId="28" fillId="0" borderId="0" xfId="1" applyFont="1" applyAlignment="1">
      <alignment horizontal="center" vertical="center" wrapText="1"/>
    </xf>
    <xf numFmtId="0" fontId="13" fillId="3" borderId="8" xfId="1" applyFont="1" applyFill="1" applyBorder="1" applyAlignment="1">
      <alignment horizontal="center" vertical="center" wrapText="1"/>
    </xf>
    <xf numFmtId="0" fontId="11" fillId="0" borderId="8" xfId="1" applyFont="1" applyBorder="1" applyAlignment="1">
      <alignment horizontal="center" vertical="center" wrapText="1"/>
    </xf>
    <xf numFmtId="0" fontId="12" fillId="3" borderId="1" xfId="1" applyFont="1" applyFill="1" applyBorder="1" applyAlignment="1">
      <alignment horizontal="center" vertical="center" wrapText="1"/>
    </xf>
    <xf numFmtId="0" fontId="12" fillId="3" borderId="4" xfId="1" applyFont="1" applyFill="1" applyBorder="1" applyAlignment="1">
      <alignment horizontal="center" vertical="center" wrapText="1"/>
    </xf>
    <xf numFmtId="0" fontId="10" fillId="0" borderId="0" xfId="1" applyFont="1" applyAlignment="1">
      <alignment horizontal="center" vertical="center" wrapText="1"/>
    </xf>
    <xf numFmtId="0" fontId="8" fillId="2" borderId="0" xfId="1" applyFont="1" applyFill="1" applyAlignment="1">
      <alignment horizontal="right" vertical="center" wrapText="1"/>
    </xf>
    <xf numFmtId="0" fontId="9" fillId="2" borderId="0" xfId="1" applyFont="1" applyFill="1" applyAlignment="1">
      <alignment horizontal="center" vertical="center" wrapText="1"/>
    </xf>
    <xf numFmtId="0" fontId="29" fillId="2" borderId="0" xfId="1" applyFont="1" applyFill="1" applyAlignment="1">
      <alignment horizontal="right" vertical="center" wrapText="1"/>
    </xf>
    <xf numFmtId="0" fontId="28" fillId="3" borderId="35" xfId="1" applyFont="1" applyFill="1" applyBorder="1" applyAlignment="1">
      <alignment horizontal="center" vertical="center" wrapText="1"/>
    </xf>
    <xf numFmtId="14" fontId="4" fillId="0" borderId="0" xfId="1" applyNumberFormat="1" applyFont="1" applyAlignment="1">
      <alignment horizontal="center" vertical="center" wrapText="1"/>
    </xf>
    <xf numFmtId="0" fontId="28" fillId="0" borderId="0" xfId="1" applyFont="1" applyAlignment="1">
      <alignment vertical="center" wrapText="1"/>
    </xf>
    <xf numFmtId="0" fontId="28" fillId="0" borderId="0" xfId="0" applyFont="1" applyAlignment="1">
      <alignment vertical="center" wrapText="1"/>
    </xf>
    <xf numFmtId="0" fontId="30" fillId="2" borderId="0" xfId="1" applyFont="1" applyFill="1" applyAlignment="1">
      <alignment horizontal="center" vertical="center" wrapText="1"/>
    </xf>
    <xf numFmtId="0" fontId="13" fillId="3" borderId="48" xfId="1" applyFont="1" applyFill="1" applyBorder="1" applyAlignment="1">
      <alignment horizontal="center" vertical="center" wrapText="1"/>
    </xf>
    <xf numFmtId="0" fontId="13" fillId="3" borderId="34" xfId="1" applyFont="1" applyFill="1" applyBorder="1" applyAlignment="1">
      <alignment horizontal="center" vertical="center" wrapText="1"/>
    </xf>
    <xf numFmtId="0" fontId="21" fillId="0" borderId="52" xfId="0" applyFont="1" applyBorder="1" applyAlignment="1">
      <alignment horizontal="center" vertical="center" wrapText="1"/>
    </xf>
    <xf numFmtId="0" fontId="28" fillId="0" borderId="19" xfId="1" applyFont="1" applyBorder="1" applyAlignment="1">
      <alignment horizontal="center" vertical="center" wrapText="1"/>
    </xf>
    <xf numFmtId="0" fontId="29" fillId="0" borderId="19" xfId="1" applyFont="1" applyBorder="1" applyAlignment="1">
      <alignment horizontal="center" vertical="center" wrapText="1"/>
    </xf>
    <xf numFmtId="2" fontId="21" fillId="6" borderId="19" xfId="0" applyNumberFormat="1" applyFont="1" applyFill="1" applyBorder="1" applyAlignment="1">
      <alignment horizontal="center" vertical="center" wrapText="1"/>
    </xf>
    <xf numFmtId="2" fontId="21" fillId="0" borderId="53" xfId="0" applyNumberFormat="1" applyFont="1" applyBorder="1" applyAlignment="1">
      <alignment horizontal="center" vertical="center" wrapText="1"/>
    </xf>
    <xf numFmtId="0" fontId="21" fillId="0" borderId="6" xfId="0" applyFont="1" applyBorder="1" applyAlignment="1">
      <alignment horizontal="center" vertical="center" wrapText="1"/>
    </xf>
    <xf numFmtId="0" fontId="28" fillId="0" borderId="8" xfId="1" applyFont="1" applyBorder="1" applyAlignment="1">
      <alignment horizontal="center" vertical="center" wrapText="1"/>
    </xf>
    <xf numFmtId="0" fontId="29" fillId="0" borderId="8" xfId="1" applyFont="1" applyBorder="1" applyAlignment="1">
      <alignment horizontal="center" vertical="center" wrapText="1"/>
    </xf>
    <xf numFmtId="2" fontId="21" fillId="6" borderId="8" xfId="0" applyNumberFormat="1" applyFont="1" applyFill="1" applyBorder="1" applyAlignment="1">
      <alignment horizontal="center" vertical="center" wrapText="1"/>
    </xf>
    <xf numFmtId="0" fontId="21" fillId="0" borderId="20" xfId="0" applyFont="1" applyBorder="1" applyAlignment="1">
      <alignment horizontal="center" vertical="center" wrapText="1"/>
    </xf>
    <xf numFmtId="0" fontId="28" fillId="0" borderId="13" xfId="1" applyFont="1" applyBorder="1" applyAlignment="1">
      <alignment horizontal="center" vertical="center" wrapText="1"/>
    </xf>
    <xf numFmtId="0" fontId="29" fillId="0" borderId="13" xfId="1" applyFont="1" applyBorder="1" applyAlignment="1">
      <alignment horizontal="center" vertical="center" wrapText="1"/>
    </xf>
    <xf numFmtId="2" fontId="21" fillId="6" borderId="13" xfId="0" applyNumberFormat="1" applyFont="1" applyFill="1" applyBorder="1" applyAlignment="1">
      <alignment horizontal="center" vertical="center" wrapText="1"/>
    </xf>
    <xf numFmtId="2" fontId="21" fillId="0" borderId="55" xfId="0" applyNumberFormat="1" applyFont="1" applyBorder="1" applyAlignment="1">
      <alignment horizontal="center" vertical="center" wrapText="1"/>
    </xf>
    <xf numFmtId="0" fontId="29" fillId="0" borderId="0" xfId="1" applyFont="1" applyAlignment="1">
      <alignment horizontal="right" vertical="center" wrapText="1"/>
    </xf>
    <xf numFmtId="0" fontId="29" fillId="0" borderId="0" xfId="1" applyFont="1" applyAlignment="1">
      <alignment vertical="center" wrapText="1"/>
    </xf>
    <xf numFmtId="0" fontId="28" fillId="3" borderId="56" xfId="1" applyFont="1" applyFill="1" applyBorder="1" applyAlignment="1">
      <alignment horizontal="center" vertical="center" wrapText="1"/>
    </xf>
    <xf numFmtId="2" fontId="21" fillId="0" borderId="57" xfId="0" applyNumberFormat="1" applyFont="1" applyBorder="1" applyAlignment="1">
      <alignment horizontal="center" vertical="center" wrapText="1"/>
    </xf>
    <xf numFmtId="2" fontId="21" fillId="0" borderId="0" xfId="0" applyNumberFormat="1" applyFont="1" applyAlignment="1">
      <alignment horizontal="center" vertical="center" wrapText="1"/>
    </xf>
    <xf numFmtId="0" fontId="29" fillId="0" borderId="8" xfId="1" applyFont="1" applyBorder="1" applyAlignment="1">
      <alignment vertical="center" wrapText="1"/>
    </xf>
    <xf numFmtId="2" fontId="29" fillId="0" borderId="8" xfId="1" applyNumberFormat="1" applyFont="1" applyBorder="1" applyAlignment="1">
      <alignment horizontal="right" vertical="center" wrapText="1"/>
    </xf>
    <xf numFmtId="2" fontId="29" fillId="0" borderId="0" xfId="1" applyNumberFormat="1" applyFont="1" applyAlignment="1">
      <alignment horizontal="right" vertical="center" wrapText="1"/>
    </xf>
    <xf numFmtId="0" fontId="29" fillId="0" borderId="50" xfId="1" applyFont="1" applyBorder="1" applyAlignment="1">
      <alignment vertical="center" wrapText="1"/>
    </xf>
    <xf numFmtId="2" fontId="29" fillId="0" borderId="50" xfId="1" applyNumberFormat="1" applyFont="1" applyBorder="1" applyAlignment="1">
      <alignment horizontal="right" vertical="center" wrapText="1"/>
    </xf>
    <xf numFmtId="0" fontId="28" fillId="0" borderId="50" xfId="1" applyFont="1" applyBorder="1" applyAlignment="1">
      <alignment horizontal="center" vertical="center" wrapText="1"/>
    </xf>
    <xf numFmtId="2" fontId="21" fillId="0" borderId="50" xfId="0" applyNumberFormat="1" applyFont="1" applyBorder="1" applyAlignment="1">
      <alignment horizontal="center" vertical="center" wrapText="1"/>
    </xf>
    <xf numFmtId="0" fontId="2" fillId="22" borderId="0" xfId="0" applyFont="1" applyFill="1" applyAlignment="1">
      <alignment vertical="center"/>
    </xf>
    <xf numFmtId="0" fontId="34" fillId="0" borderId="0" xfId="1" applyFont="1" applyAlignment="1">
      <alignment vertical="center" wrapText="1"/>
    </xf>
    <xf numFmtId="0" fontId="35" fillId="0" borderId="0" xfId="0" applyFont="1" applyAlignment="1">
      <alignment horizontal="center" vertical="center" wrapText="1"/>
    </xf>
    <xf numFmtId="0" fontId="36" fillId="0" borderId="0" xfId="1" applyFont="1" applyAlignment="1">
      <alignment horizontal="center" vertical="center" wrapText="1"/>
    </xf>
    <xf numFmtId="2" fontId="21" fillId="0" borderId="0" xfId="0" applyNumberFormat="1" applyFont="1" applyAlignment="1">
      <alignment horizontal="center" wrapText="1"/>
    </xf>
    <xf numFmtId="2" fontId="20" fillId="3" borderId="8" xfId="0" applyNumberFormat="1" applyFont="1" applyFill="1" applyBorder="1" applyAlignment="1">
      <alignment horizontal="center" vertical="center" wrapText="1"/>
    </xf>
    <xf numFmtId="0" fontId="21" fillId="0" borderId="0" xfId="0" applyFont="1" applyAlignment="1">
      <alignment wrapText="1"/>
    </xf>
    <xf numFmtId="2" fontId="29" fillId="0" borderId="8" xfId="1" applyNumberFormat="1" applyFont="1" applyBorder="1" applyAlignment="1">
      <alignment horizontal="center" wrapText="1"/>
    </xf>
    <xf numFmtId="2" fontId="29" fillId="0" borderId="8" xfId="1" applyNumberFormat="1" applyFont="1" applyBorder="1" applyAlignment="1">
      <alignment horizontal="center" vertical="center" wrapText="1"/>
    </xf>
    <xf numFmtId="2" fontId="33" fillId="0" borderId="8" xfId="0" applyNumberFormat="1" applyFont="1" applyBorder="1" applyAlignment="1">
      <alignment horizontal="center" vertical="center" wrapText="1"/>
    </xf>
    <xf numFmtId="2" fontId="20" fillId="0" borderId="8" xfId="0" applyNumberFormat="1" applyFont="1" applyBorder="1" applyAlignment="1">
      <alignment horizontal="center" vertical="center" wrapText="1"/>
    </xf>
    <xf numFmtId="2" fontId="31" fillId="0" borderId="8" xfId="1" applyNumberFormat="1" applyFont="1" applyBorder="1" applyAlignment="1">
      <alignment horizontal="center" vertical="center" wrapText="1"/>
    </xf>
    <xf numFmtId="0" fontId="29" fillId="0" borderId="0" xfId="1" applyFont="1" applyAlignment="1">
      <alignment horizontal="center" vertical="center"/>
    </xf>
    <xf numFmtId="0" fontId="19" fillId="0" borderId="15" xfId="0" applyFont="1" applyBorder="1" applyAlignment="1">
      <alignment horizontal="center" vertical="center" wrapText="1"/>
    </xf>
    <xf numFmtId="2" fontId="22" fillId="0" borderId="41" xfId="1" applyNumberFormat="1" applyFont="1" applyBorder="1" applyAlignment="1">
      <alignment horizontal="center" vertical="center" wrapText="1"/>
    </xf>
    <xf numFmtId="0" fontId="19" fillId="0" borderId="18" xfId="0" applyFont="1" applyBorder="1" applyAlignment="1">
      <alignment horizontal="center" vertical="center" wrapText="1"/>
    </xf>
    <xf numFmtId="2" fontId="22" fillId="0" borderId="17" xfId="1" applyNumberFormat="1" applyFont="1" applyBorder="1" applyAlignment="1">
      <alignment horizontal="center" vertical="center" wrapText="1"/>
    </xf>
    <xf numFmtId="0" fontId="19" fillId="0" borderId="45" xfId="0" applyFont="1" applyBorder="1" applyAlignment="1">
      <alignment horizontal="center" vertical="center" wrapText="1"/>
    </xf>
    <xf numFmtId="2" fontId="22" fillId="0" borderId="47" xfId="1" applyNumberFormat="1" applyFont="1" applyBorder="1" applyAlignment="1">
      <alignment horizontal="center" vertical="center" wrapText="1"/>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2" fontId="34" fillId="8" borderId="4" xfId="1" applyNumberFormat="1" applyFont="1" applyFill="1" applyBorder="1" applyAlignment="1">
      <alignment horizontal="center" vertical="center" wrapText="1"/>
    </xf>
    <xf numFmtId="2" fontId="34" fillId="8" borderId="1" xfId="1" applyNumberFormat="1" applyFont="1" applyFill="1" applyBorder="1" applyAlignment="1">
      <alignment horizontal="center" vertical="center" wrapText="1"/>
    </xf>
    <xf numFmtId="2" fontId="34" fillId="8" borderId="16" xfId="1" applyNumberFormat="1" applyFont="1" applyFill="1" applyBorder="1" applyAlignment="1">
      <alignment horizontal="center" vertical="center" wrapText="1"/>
    </xf>
    <xf numFmtId="2" fontId="34" fillId="8" borderId="54" xfId="1" applyNumberFormat="1" applyFont="1" applyFill="1" applyBorder="1" applyAlignment="1">
      <alignment horizontal="center" vertical="center" wrapText="1"/>
    </xf>
    <xf numFmtId="0" fontId="13" fillId="3" borderId="38" xfId="1" applyFont="1" applyFill="1" applyBorder="1" applyAlignment="1">
      <alignment horizontal="center" vertical="center" wrapText="1"/>
    </xf>
    <xf numFmtId="0" fontId="13" fillId="3" borderId="39" xfId="1" applyFont="1" applyFill="1" applyBorder="1" applyAlignment="1">
      <alignment horizontal="center" vertical="center" wrapText="1"/>
    </xf>
    <xf numFmtId="1" fontId="28" fillId="6" borderId="6" xfId="0" applyNumberFormat="1" applyFont="1" applyFill="1" applyBorder="1" applyAlignment="1" applyProtection="1">
      <alignment horizontal="center" vertical="center" wrapText="1"/>
      <protection locked="0"/>
    </xf>
    <xf numFmtId="1" fontId="28" fillId="6" borderId="8" xfId="0" applyNumberFormat="1" applyFont="1" applyFill="1" applyBorder="1" applyAlignment="1" applyProtection="1">
      <alignment horizontal="center" vertical="center" wrapText="1"/>
      <protection locked="0"/>
    </xf>
    <xf numFmtId="1" fontId="28" fillId="6" borderId="7" xfId="0" applyNumberFormat="1" applyFont="1" applyFill="1" applyBorder="1" applyAlignment="1" applyProtection="1">
      <alignment horizontal="center" vertical="center" wrapText="1"/>
      <protection locked="0"/>
    </xf>
    <xf numFmtId="0" fontId="28" fillId="6" borderId="6" xfId="0" applyFont="1" applyFill="1" applyBorder="1" applyAlignment="1" applyProtection="1">
      <alignment horizontal="center" vertical="center" wrapText="1"/>
      <protection locked="0"/>
    </xf>
    <xf numFmtId="0" fontId="28" fillId="6" borderId="8" xfId="0" applyFont="1" applyFill="1" applyBorder="1" applyAlignment="1" applyProtection="1">
      <alignment horizontal="center" vertical="center" wrapText="1"/>
      <protection locked="0"/>
    </xf>
    <xf numFmtId="0" fontId="28" fillId="6" borderId="7" xfId="0" applyFont="1" applyFill="1" applyBorder="1" applyAlignment="1" applyProtection="1">
      <alignment horizontal="center" vertical="center" wrapText="1"/>
      <protection locked="0"/>
    </xf>
    <xf numFmtId="0" fontId="28" fillId="3" borderId="31"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28" fillId="3" borderId="2" xfId="1" applyFont="1" applyFill="1" applyBorder="1" applyAlignment="1">
      <alignment horizontal="center" vertical="center" wrapText="1"/>
    </xf>
    <xf numFmtId="0" fontId="28" fillId="3" borderId="3" xfId="1" applyFont="1" applyFill="1" applyBorder="1" applyAlignment="1">
      <alignment horizontal="center" vertical="center" wrapText="1"/>
    </xf>
    <xf numFmtId="0" fontId="13" fillId="3" borderId="35" xfId="1" applyFont="1" applyFill="1" applyBorder="1" applyAlignment="1">
      <alignment horizontal="center" vertical="center" wrapText="1"/>
    </xf>
    <xf numFmtId="0" fontId="13" fillId="3" borderId="37" xfId="1" applyFont="1" applyFill="1" applyBorder="1" applyAlignment="1">
      <alignment horizontal="center" vertical="center" wrapText="1"/>
    </xf>
    <xf numFmtId="0" fontId="13" fillId="3" borderId="36" xfId="1" applyFont="1" applyFill="1" applyBorder="1" applyAlignment="1">
      <alignment horizontal="center" vertical="center" wrapText="1"/>
    </xf>
    <xf numFmtId="0" fontId="28" fillId="3" borderId="12" xfId="1" applyFont="1" applyFill="1" applyBorder="1" applyAlignment="1">
      <alignment horizontal="center" vertical="center" wrapText="1"/>
    </xf>
    <xf numFmtId="0" fontId="28" fillId="3" borderId="10" xfId="1" applyFont="1" applyFill="1" applyBorder="1" applyAlignment="1">
      <alignment horizontal="center" vertical="center" wrapText="1"/>
    </xf>
    <xf numFmtId="0" fontId="28" fillId="3" borderId="6" xfId="1" applyFont="1" applyFill="1" applyBorder="1" applyAlignment="1">
      <alignment horizontal="center" vertical="center" wrapText="1"/>
    </xf>
    <xf numFmtId="0" fontId="28" fillId="3" borderId="7"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3" xfId="1" applyFont="1" applyFill="1" applyBorder="1" applyAlignment="1">
      <alignment horizontal="center" vertical="center" wrapText="1"/>
    </xf>
    <xf numFmtId="0" fontId="14" fillId="0" borderId="4" xfId="1" applyFont="1" applyBorder="1" applyAlignment="1">
      <alignment horizontal="center" vertical="center" wrapText="1"/>
    </xf>
    <xf numFmtId="0" fontId="14" fillId="0" borderId="1"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5" xfId="1" applyFont="1" applyBorder="1" applyAlignment="1">
      <alignment horizontal="center" vertical="center" wrapText="1"/>
    </xf>
    <xf numFmtId="0" fontId="15" fillId="0" borderId="1" xfId="1" applyFont="1" applyBorder="1" applyAlignment="1">
      <alignment horizontal="center" vertical="center" wrapText="1"/>
    </xf>
    <xf numFmtId="0" fontId="28" fillId="3" borderId="22" xfId="1" applyFont="1" applyFill="1" applyBorder="1" applyAlignment="1">
      <alignment horizontal="center" vertical="center" wrapText="1"/>
    </xf>
    <xf numFmtId="0" fontId="28" fillId="3" borderId="16" xfId="1" applyFont="1" applyFill="1" applyBorder="1" applyAlignment="1">
      <alignment horizontal="center" vertical="center" wrapText="1"/>
    </xf>
    <xf numFmtId="2" fontId="27" fillId="0" borderId="15" xfId="0" applyNumberFormat="1" applyFont="1" applyBorder="1" applyAlignment="1" applyProtection="1">
      <alignment horizontal="right" vertical="center" wrapText="1"/>
      <protection locked="0"/>
    </xf>
    <xf numFmtId="2" fontId="27" fillId="0" borderId="14" xfId="0" applyNumberFormat="1" applyFont="1" applyBorder="1" applyAlignment="1" applyProtection="1">
      <alignment horizontal="right" vertical="center" wrapText="1"/>
      <protection locked="0"/>
    </xf>
    <xf numFmtId="0" fontId="28" fillId="3" borderId="8" xfId="1" applyFont="1" applyFill="1" applyBorder="1" applyAlignment="1">
      <alignment horizontal="center" vertical="center" wrapText="1"/>
    </xf>
    <xf numFmtId="2" fontId="20" fillId="3" borderId="8" xfId="0" applyNumberFormat="1" applyFont="1" applyFill="1" applyBorder="1" applyAlignment="1">
      <alignment horizontal="center" vertical="center" wrapText="1"/>
    </xf>
    <xf numFmtId="0" fontId="5" fillId="22" borderId="0" xfId="0" applyFont="1" applyFill="1" applyAlignment="1">
      <alignment horizontal="center" vertical="center"/>
    </xf>
    <xf numFmtId="0" fontId="5" fillId="0" borderId="51" xfId="0" applyFont="1" applyBorder="1" applyAlignment="1">
      <alignment horizontal="center" vertical="center" wrapText="1"/>
    </xf>
    <xf numFmtId="0" fontId="2" fillId="22" borderId="0" xfId="0" applyFont="1" applyFill="1" applyAlignment="1">
      <alignment horizontal="left" vertical="center"/>
    </xf>
    <xf numFmtId="0" fontId="15" fillId="0" borderId="29" xfId="1" applyFont="1" applyBorder="1" applyAlignment="1">
      <alignment horizontal="center" vertical="center" wrapText="1"/>
    </xf>
    <xf numFmtId="0" fontId="15" fillId="0" borderId="28" xfId="1" applyFont="1" applyBorder="1" applyAlignment="1">
      <alignment horizontal="center" vertical="center" wrapText="1"/>
    </xf>
    <xf numFmtId="0" fontId="15" fillId="0" borderId="27" xfId="1" applyFont="1" applyBorder="1" applyAlignment="1">
      <alignment horizontal="center" vertical="center" wrapText="1"/>
    </xf>
    <xf numFmtId="0" fontId="0" fillId="0" borderId="26" xfId="0" applyBorder="1" applyAlignment="1">
      <alignment horizontal="center" vertical="center" wrapText="1"/>
    </xf>
    <xf numFmtId="0" fontId="0" fillId="0" borderId="9" xfId="0" applyBorder="1" applyAlignment="1">
      <alignment horizontal="center" vertical="center" wrapText="1"/>
    </xf>
    <xf numFmtId="0" fontId="0" fillId="0" borderId="25" xfId="0" applyBorder="1" applyAlignment="1">
      <alignment horizontal="center" vertical="center" wrapText="1"/>
    </xf>
    <xf numFmtId="2" fontId="20" fillId="0" borderId="8" xfId="0" applyNumberFormat="1" applyFont="1" applyBorder="1" applyAlignment="1">
      <alignment horizontal="center" vertical="center" wrapText="1"/>
    </xf>
    <xf numFmtId="2" fontId="34" fillId="8" borderId="22" xfId="1" applyNumberFormat="1" applyFont="1" applyFill="1" applyBorder="1" applyAlignment="1">
      <alignment horizontal="center" vertical="center" wrapText="1"/>
    </xf>
    <xf numFmtId="2" fontId="34" fillId="8" borderId="49" xfId="1" applyNumberFormat="1" applyFont="1" applyFill="1" applyBorder="1" applyAlignment="1">
      <alignment horizontal="center" vertical="center" wrapText="1"/>
    </xf>
    <xf numFmtId="0" fontId="28" fillId="0" borderId="29" xfId="1" applyFont="1" applyBorder="1" applyAlignment="1">
      <alignment horizontal="center" vertical="center" wrapText="1"/>
    </xf>
    <xf numFmtId="0" fontId="28" fillId="0" borderId="28" xfId="1" applyFont="1" applyBorder="1" applyAlignment="1">
      <alignment horizontal="center" vertical="center" wrapText="1"/>
    </xf>
    <xf numFmtId="0" fontId="28" fillId="0" borderId="27" xfId="1" applyFont="1" applyBorder="1" applyAlignment="1">
      <alignment horizontal="center" vertical="center" wrapText="1"/>
    </xf>
    <xf numFmtId="0" fontId="28" fillId="0" borderId="24" xfId="1" applyFont="1" applyBorder="1" applyAlignment="1">
      <alignment horizontal="center" vertical="center" wrapText="1"/>
    </xf>
    <xf numFmtId="0" fontId="28" fillId="0" borderId="0" xfId="1" applyFont="1" applyAlignment="1">
      <alignment horizontal="center" vertical="center" wrapText="1"/>
    </xf>
    <xf numFmtId="0" fontId="28" fillId="0" borderId="30" xfId="1" applyFont="1" applyBorder="1" applyAlignment="1">
      <alignment horizontal="center" vertical="center" wrapText="1"/>
    </xf>
    <xf numFmtId="0" fontId="28" fillId="0" borderId="26" xfId="1" applyFont="1" applyBorder="1" applyAlignment="1">
      <alignment horizontal="center" vertical="center" wrapText="1"/>
    </xf>
    <xf numFmtId="0" fontId="28" fillId="0" borderId="9" xfId="1" applyFont="1" applyBorder="1" applyAlignment="1">
      <alignment horizontal="center" vertical="center" wrapText="1"/>
    </xf>
    <xf numFmtId="0" fontId="28" fillId="0" borderId="25" xfId="1" applyFont="1" applyBorder="1" applyAlignment="1">
      <alignment horizontal="center" vertical="center" wrapText="1"/>
    </xf>
    <xf numFmtId="2" fontId="27" fillId="8" borderId="14" xfId="0" applyNumberFormat="1" applyFont="1" applyFill="1" applyBorder="1" applyAlignment="1" applyProtection="1">
      <alignment horizontal="center" vertical="center" wrapText="1"/>
      <protection locked="0"/>
    </xf>
    <xf numFmtId="2" fontId="27" fillId="8" borderId="41" xfId="0" applyNumberFormat="1" applyFont="1" applyFill="1" applyBorder="1" applyAlignment="1" applyProtection="1">
      <alignment horizontal="center" vertical="center" wrapText="1"/>
      <protection locked="0"/>
    </xf>
    <xf numFmtId="0" fontId="11" fillId="0" borderId="4" xfId="1" applyFont="1" applyBorder="1" applyAlignment="1">
      <alignment horizontal="center" vertical="center" wrapText="1"/>
    </xf>
    <xf numFmtId="0" fontId="11" fillId="0" borderId="1" xfId="1" applyFont="1" applyBorder="1" applyAlignment="1">
      <alignment horizontal="center" vertical="center" wrapText="1"/>
    </xf>
    <xf numFmtId="14" fontId="20" fillId="6" borderId="42" xfId="0" applyNumberFormat="1" applyFont="1" applyFill="1" applyBorder="1" applyAlignment="1">
      <alignment horizontal="center" vertical="center"/>
    </xf>
    <xf numFmtId="14" fontId="20" fillId="6" borderId="43" xfId="0" applyNumberFormat="1" applyFont="1" applyFill="1" applyBorder="1" applyAlignment="1">
      <alignment horizontal="center" vertical="center"/>
    </xf>
    <xf numFmtId="14" fontId="20" fillId="6" borderId="44" xfId="0" applyNumberFormat="1" applyFont="1" applyFill="1" applyBorder="1" applyAlignment="1">
      <alignment horizontal="center" vertical="center"/>
    </xf>
    <xf numFmtId="2" fontId="28" fillId="6" borderId="12" xfId="0" applyNumberFormat="1" applyFont="1" applyFill="1" applyBorder="1" applyAlignment="1" applyProtection="1">
      <alignment horizontal="center" vertical="center" wrapText="1"/>
      <protection locked="0"/>
    </xf>
    <xf numFmtId="2" fontId="28" fillId="6" borderId="11" xfId="0" applyNumberFormat="1" applyFont="1" applyFill="1" applyBorder="1" applyAlignment="1" applyProtection="1">
      <alignment horizontal="center" vertical="center" wrapText="1"/>
      <protection locked="0"/>
    </xf>
    <xf numFmtId="2" fontId="28" fillId="6" borderId="10" xfId="0" applyNumberFormat="1" applyFont="1" applyFill="1" applyBorder="1" applyAlignment="1" applyProtection="1">
      <alignment horizontal="center" vertical="center" wrapText="1"/>
      <protection locked="0"/>
    </xf>
  </cellXfs>
  <cellStyles count="12">
    <cellStyle name="Moneda 2" xfId="2" xr:uid="{00000000-0005-0000-0000-000000000000}"/>
    <cellStyle name="Moneda 2 2" xfId="5" xr:uid="{00000000-0005-0000-0000-000001000000}"/>
    <cellStyle name="Normal" xfId="0" builtinId="0"/>
    <cellStyle name="Normal 2" xfId="1" xr:uid="{00000000-0005-0000-0000-000003000000}"/>
    <cellStyle name="Normal 2 2" xfId="3" xr:uid="{00000000-0005-0000-0000-000004000000}"/>
    <cellStyle name="Normal 2 2 2" xfId="6" xr:uid="{00000000-0005-0000-0000-000005000000}"/>
    <cellStyle name="Normal 3" xfId="4" xr:uid="{00000000-0005-0000-0000-000006000000}"/>
    <cellStyle name="Normal 3 2" xfId="9" xr:uid="{00000000-0005-0000-0000-000007000000}"/>
    <cellStyle name="Normal 3 3" xfId="7" xr:uid="{00000000-0005-0000-0000-000008000000}"/>
    <cellStyle name="Normal 4" xfId="8" xr:uid="{00000000-0005-0000-0000-000009000000}"/>
    <cellStyle name="Normal 4 2" xfId="10" xr:uid="{00000000-0005-0000-0000-00000A000000}"/>
    <cellStyle name="Normal 5" xfId="11" xr:uid="{00000000-0005-0000-0000-00000B000000}"/>
  </cellStyles>
  <dxfs count="77">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border>
    </dxf>
    <dxf>
      <border outline="0">
        <bottom style="thin">
          <color theme="4" tint="0.39997558519241921"/>
        </bottom>
      </border>
    </dxf>
    <dxf>
      <font>
        <b val="0"/>
        <i val="0"/>
        <strike val="0"/>
        <condense val="0"/>
        <extend val="0"/>
        <outline val="0"/>
        <shadow val="0"/>
        <u val="none"/>
        <vertAlign val="baseline"/>
        <sz val="11"/>
        <color theme="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fill>
        <patternFill patternType="solid">
          <fgColor indexed="64"/>
          <bgColor theme="2" tint="-0.249977111117893"/>
        </patternFill>
      </fill>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numFmt numFmtId="164" formatCode="0.0"/>
      <alignment horizontal="center" vertical="center" textRotation="0" indent="0" justifyLastLine="0" shrinkToFit="0" readingOrder="0"/>
    </dxf>
    <dxf>
      <font>
        <strike val="0"/>
        <outline val="0"/>
        <shadow val="0"/>
        <u val="none"/>
        <vertAlign val="baseline"/>
        <sz val="11"/>
        <name val="Arial"/>
        <family val="2"/>
        <scheme val="none"/>
      </font>
      <numFmt numFmtId="164" formatCode="0.0"/>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fill>
        <patternFill patternType="solid">
          <fgColor indexed="64"/>
          <bgColor theme="2" tint="-0.249977111117893"/>
        </patternFill>
      </fill>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wrapText="1"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
      <font>
        <strike val="0"/>
        <outline val="0"/>
        <shadow val="0"/>
        <u val="none"/>
        <vertAlign val="baseline"/>
        <sz val="11"/>
        <name val="Arial"/>
        <family val="2"/>
        <scheme val="none"/>
      </font>
      <alignment horizontal="center" vertical="center" textRotation="0" indent="0" justifyLastLine="0" shrinkToFit="0" readingOrder="0"/>
    </dxf>
  </dxfs>
  <tableStyles count="0" defaultTableStyle="TableStyleMedium2" defaultPivotStyle="PivotStyleMedium9"/>
  <colors>
    <mruColors>
      <color rgb="FF00FFFF"/>
      <color rgb="FF00FF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209550</xdr:colOff>
      <xdr:row>0</xdr:row>
      <xdr:rowOff>66675</xdr:rowOff>
    </xdr:from>
    <xdr:ext cx="2228850" cy="923925"/>
    <xdr:pic>
      <xdr:nvPicPr>
        <xdr:cNvPr id="2" name="Imagen 3" descr="D:\Users\win7\Downloads\logo nuevo borde azul.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66675"/>
          <a:ext cx="222885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DE" displayName="SEDE" ref="A2:B5" headerRowCount="0" totalsRowShown="0" headerRowDxfId="76" dataDxfId="75">
  <tableColumns count="2">
    <tableColumn id="1" xr3:uid="{00000000-0010-0000-0000-000001000000}" name="Columna1" dataDxfId="74"/>
    <tableColumn id="2" xr3:uid="{00000000-0010-0000-0000-000002000000}" name="Columna2" dataDxfId="7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AE51D67-92FB-42BB-82F4-99508824A691}" name="Tabla1023" displayName="Tabla1023" ref="A48:A50" totalsRowShown="0" headerRowDxfId="30" dataDxfId="29" tableBorderDxfId="28">
  <autoFilter ref="A48:A50" xr:uid="{BAE51D67-92FB-42BB-82F4-99508824A691}"/>
  <tableColumns count="1">
    <tableColumn id="1" xr3:uid="{66CA8F43-8BCF-49AC-8B54-FED25F0A5CED}" name="D.A.D. 50% " dataDxfId="2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0372747-6A9A-49FA-8FC0-32F8F6C2BEA7}" name="Tabla1124" displayName="Tabla1124" ref="A52:A54" totalsRowShown="0" headerRowDxfId="26" dataDxfId="25" tableBorderDxfId="24">
  <autoFilter ref="A52:A54" xr:uid="{C0372747-6A9A-49FA-8FC0-32F8F6C2BEA7}"/>
  <tableColumns count="1">
    <tableColumn id="1" xr3:uid="{F8FEBF36-435D-408C-9779-4D2E907521C3}" name="FOSFORO" dataDxfId="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7C98A53-5F49-47D7-8C70-48662A5C9881}" name="Tabla1225" displayName="Tabla1225" ref="A56:A58" totalsRowShown="0" headerRowDxfId="22" dataDxfId="21" tableBorderDxfId="20">
  <autoFilter ref="A56:A58" xr:uid="{47C98A53-5F49-47D7-8C70-48662A5C9881}"/>
  <tableColumns count="1">
    <tableColumn id="1" xr3:uid="{A2AE635E-7BC6-4CFD-B728-E93C9CA6DA6D}" name="MAGNESIO ELEMENTAL" dataDxfId="1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6505C22-012F-4D7D-8FC3-AA50F3FDC773}" name="Tabla1326" displayName="Tabla1326" ref="A60:A62" totalsRowShown="0" headerRowDxfId="18" dataDxfId="17" tableBorderDxfId="16">
  <autoFilter ref="A60:A62" xr:uid="{E6505C22-012F-4D7D-8FC3-AA50F3FDC773}"/>
  <tableColumns count="1">
    <tableColumn id="1" xr3:uid="{B68D9E56-64FD-4F69-97F3-1576A2E2D4E5}" name="SODIO CLORURO" dataDxfId="1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28A33E7-B3A0-4009-9500-EA9C2F901363}" name="Tabla1427" displayName="Tabla1427" ref="A64:A66" totalsRowShown="0" headerRowDxfId="14" dataDxfId="13" tableBorderDxfId="12">
  <autoFilter ref="A64:A66" xr:uid="{728A33E7-B3A0-4009-9500-EA9C2F901363}"/>
  <tableColumns count="1">
    <tableColumn id="1" xr3:uid="{E62E162C-D332-4FBA-B8BE-4FD3C524E031}" name="POTASIO CLORURO" dataDxfId="1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4926770-09CB-4726-9345-B0A30BA4A590}" name="Tabla1528" displayName="Tabla1528" ref="A68:A70" totalsRowShown="0" headerRowDxfId="10" dataDxfId="9" tableBorderDxfId="8">
  <autoFilter ref="A68:A70" xr:uid="{E4926770-09CB-4726-9345-B0A30BA4A590}"/>
  <tableColumns count="1">
    <tableColumn id="1" xr3:uid="{2F212D71-3EBC-4A83-8371-5117C291ABF9}" name="CALCIO GLUCONATO" dataDxfId="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859D3E8-6857-46EF-8412-05778B98DE2F}" name="Tabla1629" displayName="Tabla1629" ref="A72:A74" totalsRowShown="0" headerRowDxfId="6" dataDxfId="5" tableBorderDxfId="4">
  <autoFilter ref="A72:A74" xr:uid="{E859D3E8-6857-46EF-8412-05778B98DE2F}"/>
  <tableColumns count="1">
    <tableColumn id="1" xr3:uid="{ACA674BE-25CB-42CF-AD00-A81BFF0CA094}" name="LÍPIDOS LCT/MCT 20% " dataDxfId="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D2DAE7C-E363-477E-9C77-F84377E0DF35}" name="Tabla1730" displayName="Tabla1730" ref="A75:A77" totalsRowShown="0" headerRowDxfId="2" dataDxfId="1">
  <autoFilter ref="A75:A77" xr:uid="{BD2DAE7C-E363-477E-9C77-F84377E0DF35}"/>
  <tableColumns count="1">
    <tableColumn id="1" xr3:uid="{738FD5DC-E595-4522-B3CB-7DEFA13806BD}" name="AGUA ESTÉRIL"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5" displayName="Tabla5" ref="A7:B8" totalsRowShown="0" headerRowDxfId="72" dataDxfId="71">
  <autoFilter ref="A7:B8" xr:uid="{00000000-0009-0000-0100-000002000000}"/>
  <tableColumns count="2">
    <tableColumn id="1" xr3:uid="{00000000-0010-0000-0100-000001000000}" name="TIPO DE CAMPAÑA" dataDxfId="70"/>
    <tableColumn id="2" xr3:uid="{00000000-0010-0000-0100-000002000000}" name="SIGLA" dataDxfId="6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DEEF75-194F-4688-A0E7-4ABF30E48FC2}" name="Tabla7" displayName="Tabla7" ref="A25:C29" totalsRowShown="0" headerRowDxfId="68" dataDxfId="67">
  <autoFilter ref="A25:C29" xr:uid="{29DEEF75-194F-4688-A0E7-4ABF30E48FC2}"/>
  <tableColumns count="3">
    <tableColumn id="3" xr3:uid="{AF04F0F9-6D42-4F27-AC86-F504647DF509}" name="DESCRPCION" dataDxfId="66"/>
    <tableColumn id="1" xr3:uid="{67280AA1-D060-4B15-A200-99C615A3BBB1}" name="BOLSAS EVA" dataDxfId="65"/>
    <tableColumn id="2" xr3:uid="{FB97800E-E74E-4BE5-ABCA-DF6CB1442708}" name="PESO (mg)" dataDxfId="6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D8D11C-6344-47FF-AD49-DE2256FFF9B5}" name="Tabla3" displayName="Tabla3" ref="F1:S22" totalsRowShown="0" headerRowDxfId="63" dataDxfId="62">
  <autoFilter ref="F1:S22" xr:uid="{CCD8D11C-6344-47FF-AD49-DE2256FFF9B5}"/>
  <tableColumns count="14">
    <tableColumn id="1" xr3:uid="{F83D10A8-C016-4706-B564-E457A891AA82}" name="ALTERNATIVA" dataDxfId="61"/>
    <tableColumn id="2" xr3:uid="{83D61FC7-1D75-457A-9DB9-EE4C62D18E9E}" name="LABORATORIO" dataDxfId="60"/>
    <tableColumn id="3" xr3:uid="{067B30BB-0039-4171-8AAE-312E137C8ADA}" name="NUTRIENTE" dataDxfId="59"/>
    <tableColumn id="4" xr3:uid="{F3EEE2BA-89BF-430A-9AC0-5ADA41A08E8C}" name="REQUERIMIENTO _x000a_(Minimo)" dataDxfId="58"/>
    <tableColumn id="5" xr3:uid="{C25C428F-D08A-40F8-AFF0-4574A3FB1724}" name="REQUERIMIENTO _x000a_(Maximo)" dataDxfId="57"/>
    <tableColumn id="6" xr3:uid="{291E7DFA-7CA1-4F7A-B357-2B2328224FF7}" name="PRESENTACION (ml)" dataDxfId="56"/>
    <tableColumn id="9" xr3:uid="{BB7FB053-1B4B-4564-B4FF-601232B6EA2D}" name="CONCENTRACION" dataDxfId="55"/>
    <tableColumn id="10" xr3:uid="{CBF2526A-32E9-43CB-8641-F85F2E6DA179}" name="UNIDADES" dataDxfId="54"/>
    <tableColumn id="16" xr3:uid="{59749283-A30D-45CF-A019-272ADCA2EFBC}" name="FACTOR " dataDxfId="53"/>
    <tableColumn id="8" xr3:uid="{F9ED1B08-125E-4CC6-8CE1-45B1AC27A1E2}" name="DENSIDAD" dataDxfId="52"/>
    <tableColumn id="11" xr3:uid="{04C351B8-66A9-403A-9574-C452F16ED419}" name="OSMOLARIDADES (mosm/l)" dataDxfId="51"/>
    <tableColumn id="12" xr3:uid="{CF729E6D-8D4C-4EA8-914F-800E04D8BD99}" name="NITROGENO (g/l)" dataDxfId="50"/>
    <tableColumn id="13" xr3:uid="{BF6B4B52-FC95-4B96-9509-C6DDB5E94D37}" name="ENERGIA (kcal/l)" dataDxfId="49"/>
    <tableColumn id="14" xr3:uid="{6E8996DF-7661-42CD-8108-A9A97F3EEAA3}" name="ZINC" dataDxfId="4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5F4DC9C-3488-40B3-B8FA-60C7BA546F1C}" name="QUIMICO" displayName="QUIMICO" ref="A32:A42" totalsRowShown="0" headerRowDxfId="47" dataDxfId="46">
  <autoFilter ref="A32:A42" xr:uid="{35F4DC9C-3488-40B3-B8FA-60C7BA546F1C}"/>
  <tableColumns count="1">
    <tableColumn id="1" xr3:uid="{BE16B159-B0E0-4250-BBD8-BB6770284B3A}" name="QUIMICO FARMACEUTICO RESPONSABLE" dataDxfId="4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C96FE52-693F-4D38-B254-46FD32246EE9}" name="Tabla419" displayName="Tabla419" ref="A10:A15" totalsRowShown="0" headerRowDxfId="44" dataDxfId="43">
  <autoFilter ref="A10:A15" xr:uid="{4C96FE52-693F-4D38-B254-46FD32246EE9}"/>
  <tableColumns count="1">
    <tableColumn id="1" xr3:uid="{BBC28E22-EBC3-4A31-AEE9-29C249794C20}" name="MULTIVITAMINAS" dataDxfId="4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7CBDD8B-7CB2-40C8-98F9-BB87C6FBB45F}" name="Tabla620" displayName="Tabla620" ref="C10:C13" totalsRowShown="0" headerRowDxfId="41" dataDxfId="40">
  <autoFilter ref="C10:C13" xr:uid="{D7CBDD8B-7CB2-40C8-98F9-BB87C6FBB45F}"/>
  <tableColumns count="1">
    <tableColumn id="1" xr3:uid="{EF593F29-6070-4813-8776-CA68ED57485B}" name="ELEMENTOS TRAZA" dataDxfId="3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12DE95B-B9FE-4A34-AB5D-38E2A645417A}" name="Tabla821" displayName="Tabla821" ref="A18:A21" totalsRowShown="0" headerRowDxfId="38" dataDxfId="37" tableBorderDxfId="36">
  <autoFilter ref="A18:A21" xr:uid="{012DE95B-B9FE-4A34-AB5D-38E2A645417A}"/>
  <tableColumns count="1">
    <tableColumn id="1" xr3:uid="{C8FE8D23-6C60-4BD1-951F-223FEB8320DA}" name="A.A. ADULTO 10%" dataDxfId="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DEB7B1B-192F-498A-AED1-93A6AB7D3781}" name="Tabla922" displayName="Tabla922" ref="A45:A47" totalsRowShown="0" headerRowDxfId="34" dataDxfId="33" tableBorderDxfId="32">
  <autoFilter ref="A45:A47" xr:uid="{2DEB7B1B-192F-498A-AED1-93A6AB7D3781}"/>
  <tableColumns count="1">
    <tableColumn id="1" xr3:uid="{154524D8-C23F-465D-9E2D-319DDBD8FC29}" name="GLUTAMINA  20% " dataDxfId="31"/>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vmlDrawing" Target="../drawings/vmlDrawing1.vml"/><Relationship Id="rId16" Type="http://schemas.openxmlformats.org/officeDocument/2006/relationships/table" Target="../tables/table14.xml"/><Relationship Id="rId20"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X108"/>
  <sheetViews>
    <sheetView zoomScale="70" zoomScaleNormal="70" workbookViewId="0">
      <selection activeCell="C76" sqref="C76"/>
    </sheetView>
  </sheetViews>
  <sheetFormatPr baseColWidth="10" defaultRowHeight="14.25" x14ac:dyDescent="0.25"/>
  <cols>
    <col min="1" max="1" width="50.42578125" style="2" bestFit="1" customWidth="1"/>
    <col min="2" max="2" width="18.85546875" style="2" bestFit="1" customWidth="1"/>
    <col min="3" max="3" width="26.7109375" style="2" bestFit="1" customWidth="1"/>
    <col min="4" max="4" width="15.42578125" style="2" customWidth="1"/>
    <col min="5" max="5" width="16.28515625" style="2" customWidth="1"/>
    <col min="6" max="6" width="20" style="2" bestFit="1" customWidth="1"/>
    <col min="7" max="7" width="15.85546875" style="2" customWidth="1"/>
    <col min="8" max="8" width="33.85546875" style="2" bestFit="1" customWidth="1"/>
    <col min="9" max="9" width="10.42578125" style="2" customWidth="1"/>
    <col min="10" max="10" width="12" style="2" customWidth="1"/>
    <col min="11" max="12" width="20.85546875" style="2" customWidth="1"/>
    <col min="13" max="13" width="14.85546875" style="2" customWidth="1"/>
    <col min="14" max="14" width="27.85546875" style="2" customWidth="1"/>
    <col min="15" max="15" width="14.85546875" style="2" customWidth="1"/>
    <col min="16" max="16" width="27.28515625" style="2" customWidth="1"/>
    <col min="17" max="17" width="18.28515625" style="2" customWidth="1"/>
    <col min="18" max="18" width="14.85546875" style="2" customWidth="1"/>
    <col min="19" max="23" width="11.42578125" style="2"/>
    <col min="24" max="24" width="15" style="2" customWidth="1"/>
    <col min="25" max="16384" width="11.42578125" style="2"/>
  </cols>
  <sheetData>
    <row r="1" spans="1:19" ht="45" x14ac:dyDescent="0.25">
      <c r="A1" s="2" t="s">
        <v>30</v>
      </c>
      <c r="B1" s="2" t="s">
        <v>31</v>
      </c>
      <c r="F1" s="2" t="s">
        <v>80</v>
      </c>
      <c r="G1" s="2" t="s">
        <v>42</v>
      </c>
      <c r="H1" s="3" t="s">
        <v>38</v>
      </c>
      <c r="I1" s="4" t="s">
        <v>100</v>
      </c>
      <c r="J1" s="4" t="s">
        <v>101</v>
      </c>
      <c r="K1" s="5" t="s">
        <v>47</v>
      </c>
      <c r="L1" s="5" t="s">
        <v>159</v>
      </c>
      <c r="M1" s="5" t="s">
        <v>160</v>
      </c>
      <c r="N1" s="25" t="s">
        <v>109</v>
      </c>
      <c r="O1" s="5" t="s">
        <v>64</v>
      </c>
      <c r="P1" s="6" t="s">
        <v>39</v>
      </c>
      <c r="Q1" s="5" t="s">
        <v>40</v>
      </c>
      <c r="R1" s="5" t="s">
        <v>41</v>
      </c>
      <c r="S1" s="5" t="s">
        <v>61</v>
      </c>
    </row>
    <row r="2" spans="1:19" ht="28.5" x14ac:dyDescent="0.25">
      <c r="A2" s="2" t="s">
        <v>26</v>
      </c>
      <c r="B2" s="2" t="s">
        <v>32</v>
      </c>
      <c r="F2" s="2" t="s">
        <v>23</v>
      </c>
      <c r="G2" s="2" t="s">
        <v>46</v>
      </c>
      <c r="H2" s="5" t="s">
        <v>67</v>
      </c>
      <c r="I2" s="7">
        <v>0.8</v>
      </c>
      <c r="J2" s="7">
        <v>2</v>
      </c>
      <c r="K2" s="2">
        <v>500</v>
      </c>
      <c r="L2" s="2">
        <v>10</v>
      </c>
      <c r="M2" s="2" t="s">
        <v>161</v>
      </c>
      <c r="N2" s="2">
        <v>10</v>
      </c>
      <c r="O2" s="8">
        <v>1.0309999999999999</v>
      </c>
      <c r="P2" s="2">
        <v>990</v>
      </c>
      <c r="Q2" s="2">
        <v>16.2</v>
      </c>
      <c r="R2" s="2">
        <v>400</v>
      </c>
    </row>
    <row r="3" spans="1:19" ht="42.75" x14ac:dyDescent="0.25">
      <c r="A3" s="2" t="s">
        <v>27</v>
      </c>
      <c r="B3" s="2" t="s">
        <v>33</v>
      </c>
      <c r="F3" s="2" t="s">
        <v>23</v>
      </c>
      <c r="G3" s="2" t="s">
        <v>46</v>
      </c>
      <c r="H3" s="5" t="s">
        <v>66</v>
      </c>
      <c r="I3" s="7">
        <v>0.8</v>
      </c>
      <c r="J3" s="7">
        <v>2</v>
      </c>
      <c r="K3" s="2">
        <v>1000</v>
      </c>
      <c r="L3" s="2">
        <v>10</v>
      </c>
      <c r="M3" s="2" t="s">
        <v>161</v>
      </c>
      <c r="N3" s="2">
        <v>10</v>
      </c>
      <c r="O3" s="8">
        <v>1.0309999999999999</v>
      </c>
      <c r="P3" s="2">
        <v>990</v>
      </c>
      <c r="Q3" s="2">
        <v>16.2</v>
      </c>
      <c r="R3" s="2">
        <v>400</v>
      </c>
    </row>
    <row r="4" spans="1:19" x14ac:dyDescent="0.25">
      <c r="A4" s="2" t="s">
        <v>28</v>
      </c>
      <c r="B4" s="2" t="s">
        <v>34</v>
      </c>
      <c r="F4" s="2" t="s">
        <v>23</v>
      </c>
      <c r="G4" s="2" t="s">
        <v>46</v>
      </c>
      <c r="H4" s="2" t="s">
        <v>43</v>
      </c>
      <c r="I4" s="7">
        <v>0.3</v>
      </c>
      <c r="J4" s="7">
        <v>0.4</v>
      </c>
      <c r="K4" s="2">
        <v>100</v>
      </c>
      <c r="L4" s="2">
        <v>20</v>
      </c>
      <c r="M4" s="2" t="s">
        <v>161</v>
      </c>
      <c r="N4" s="2">
        <v>20</v>
      </c>
      <c r="O4" s="8">
        <v>1.03</v>
      </c>
      <c r="P4" s="2">
        <v>921</v>
      </c>
      <c r="Q4" s="2">
        <v>38.6</v>
      </c>
      <c r="R4" s="2">
        <v>870</v>
      </c>
    </row>
    <row r="5" spans="1:19" ht="42.75" x14ac:dyDescent="0.25">
      <c r="A5" s="2" t="s">
        <v>29</v>
      </c>
      <c r="B5" s="2" t="s">
        <v>35</v>
      </c>
      <c r="F5" s="2" t="s">
        <v>23</v>
      </c>
      <c r="G5" s="2" t="s">
        <v>46</v>
      </c>
      <c r="H5" s="5" t="s">
        <v>107</v>
      </c>
      <c r="I5" s="7">
        <v>1</v>
      </c>
      <c r="J5" s="7">
        <v>5</v>
      </c>
      <c r="K5" s="2">
        <v>500</v>
      </c>
      <c r="L5" s="2">
        <v>50</v>
      </c>
      <c r="M5" s="2" t="s">
        <v>161</v>
      </c>
      <c r="N5" s="2">
        <v>50</v>
      </c>
      <c r="O5" s="8">
        <v>1.17</v>
      </c>
      <c r="P5" s="2">
        <v>2523</v>
      </c>
      <c r="Q5" s="2">
        <v>0</v>
      </c>
      <c r="R5" s="2">
        <v>0</v>
      </c>
    </row>
    <row r="6" spans="1:19" ht="57" x14ac:dyDescent="0.25">
      <c r="F6" s="2" t="s">
        <v>23</v>
      </c>
      <c r="G6" s="2" t="s">
        <v>46</v>
      </c>
      <c r="H6" s="5" t="s">
        <v>68</v>
      </c>
      <c r="I6" s="7">
        <v>20</v>
      </c>
      <c r="J6" s="7">
        <v>40</v>
      </c>
      <c r="K6" s="2">
        <v>20</v>
      </c>
      <c r="L6" s="2">
        <v>20</v>
      </c>
      <c r="M6" s="2" t="s">
        <v>162</v>
      </c>
      <c r="N6" s="2">
        <v>1</v>
      </c>
      <c r="O6" s="8">
        <v>1.147</v>
      </c>
      <c r="P6" s="2">
        <v>2760</v>
      </c>
    </row>
    <row r="7" spans="1:19" ht="42.75" x14ac:dyDescent="0.25">
      <c r="A7" s="5" t="s">
        <v>36</v>
      </c>
      <c r="B7" s="5" t="s">
        <v>31</v>
      </c>
      <c r="F7" s="2" t="s">
        <v>23</v>
      </c>
      <c r="G7" s="2" t="s">
        <v>48</v>
      </c>
      <c r="H7" s="5" t="s">
        <v>53</v>
      </c>
      <c r="I7" s="7">
        <v>8</v>
      </c>
      <c r="J7" s="7">
        <v>20</v>
      </c>
      <c r="K7" s="2">
        <v>10</v>
      </c>
      <c r="L7" s="2">
        <v>20</v>
      </c>
      <c r="M7" s="2" t="s">
        <v>161</v>
      </c>
      <c r="N7" s="2">
        <v>12.151999999999999</v>
      </c>
      <c r="O7" s="8">
        <v>1.01</v>
      </c>
      <c r="P7" s="2">
        <v>1626</v>
      </c>
    </row>
    <row r="8" spans="1:19" ht="42.75" x14ac:dyDescent="0.25">
      <c r="A8" s="2" t="s">
        <v>37</v>
      </c>
      <c r="B8" s="2" t="s">
        <v>174</v>
      </c>
      <c r="F8" s="2" t="s">
        <v>23</v>
      </c>
      <c r="G8" s="2" t="s">
        <v>60</v>
      </c>
      <c r="H8" s="5" t="s">
        <v>54</v>
      </c>
      <c r="I8" s="7">
        <v>1</v>
      </c>
      <c r="J8" s="7">
        <v>2</v>
      </c>
      <c r="K8" s="2">
        <v>10</v>
      </c>
      <c r="L8" s="2">
        <v>2</v>
      </c>
      <c r="M8" s="2" t="s">
        <v>163</v>
      </c>
      <c r="N8" s="2">
        <v>2</v>
      </c>
      <c r="O8" s="8">
        <v>1.07</v>
      </c>
      <c r="P8" s="2">
        <v>4000.68</v>
      </c>
    </row>
    <row r="9" spans="1:19" ht="28.5" x14ac:dyDescent="0.25">
      <c r="F9" s="2" t="s">
        <v>23</v>
      </c>
      <c r="G9" s="2" t="s">
        <v>60</v>
      </c>
      <c r="H9" s="5" t="s">
        <v>55</v>
      </c>
      <c r="I9" s="7">
        <v>1</v>
      </c>
      <c r="J9" s="7">
        <v>2</v>
      </c>
      <c r="K9" s="2">
        <v>10</v>
      </c>
      <c r="L9" s="2">
        <v>2</v>
      </c>
      <c r="M9" s="2" t="s">
        <v>163</v>
      </c>
      <c r="N9" s="2">
        <v>2</v>
      </c>
      <c r="O9" s="8">
        <v>1.07</v>
      </c>
      <c r="P9" s="2">
        <v>4000</v>
      </c>
    </row>
    <row r="10" spans="1:19" ht="42.75" x14ac:dyDescent="0.25">
      <c r="A10" s="2" t="s">
        <v>45</v>
      </c>
      <c r="C10" s="2" t="s">
        <v>59</v>
      </c>
      <c r="F10" s="2" t="s">
        <v>23</v>
      </c>
      <c r="G10" s="2" t="s">
        <v>57</v>
      </c>
      <c r="H10" s="5" t="s">
        <v>56</v>
      </c>
      <c r="I10" s="7">
        <v>10</v>
      </c>
      <c r="J10" s="7">
        <v>15</v>
      </c>
      <c r="K10" s="2">
        <v>10</v>
      </c>
      <c r="L10" s="2">
        <v>10</v>
      </c>
      <c r="M10" s="2" t="s">
        <v>161</v>
      </c>
      <c r="N10" s="2">
        <v>20.04</v>
      </c>
      <c r="O10" s="8">
        <v>1.07</v>
      </c>
      <c r="P10" s="8">
        <v>700</v>
      </c>
    </row>
    <row r="11" spans="1:19" ht="42.75" x14ac:dyDescent="0.25">
      <c r="A11" s="5" t="s">
        <v>69</v>
      </c>
      <c r="C11" s="5" t="s">
        <v>72</v>
      </c>
      <c r="F11" s="2" t="s">
        <v>23</v>
      </c>
      <c r="G11" s="2" t="s">
        <v>49</v>
      </c>
      <c r="H11" s="5" t="s">
        <v>69</v>
      </c>
      <c r="I11" s="9">
        <v>5</v>
      </c>
      <c r="J11" s="9">
        <v>5</v>
      </c>
      <c r="K11" s="2">
        <v>5</v>
      </c>
      <c r="L11" s="2" t="s">
        <v>23</v>
      </c>
      <c r="M11" s="2" t="s">
        <v>23</v>
      </c>
      <c r="N11" s="2">
        <v>0</v>
      </c>
      <c r="O11" s="8">
        <v>1</v>
      </c>
      <c r="P11" s="8">
        <v>770</v>
      </c>
    </row>
    <row r="12" spans="1:19" ht="42.75" x14ac:dyDescent="0.25">
      <c r="A12" s="5" t="s">
        <v>70</v>
      </c>
      <c r="C12" s="5" t="s">
        <v>73</v>
      </c>
      <c r="F12" s="2" t="s">
        <v>23</v>
      </c>
      <c r="G12" s="2" t="s">
        <v>46</v>
      </c>
      <c r="H12" s="5" t="s">
        <v>70</v>
      </c>
      <c r="I12" s="9">
        <v>5</v>
      </c>
      <c r="J12" s="9">
        <v>10</v>
      </c>
      <c r="K12" s="2">
        <v>10</v>
      </c>
      <c r="L12" s="2" t="s">
        <v>23</v>
      </c>
      <c r="M12" s="2" t="s">
        <v>23</v>
      </c>
      <c r="N12" s="2">
        <v>0</v>
      </c>
      <c r="O12" s="8">
        <v>1</v>
      </c>
      <c r="P12" s="2">
        <v>490</v>
      </c>
    </row>
    <row r="13" spans="1:19" ht="42.75" x14ac:dyDescent="0.25">
      <c r="A13" s="5" t="s">
        <v>71</v>
      </c>
      <c r="C13" s="5" t="s">
        <v>23</v>
      </c>
      <c r="F13" s="2" t="s">
        <v>23</v>
      </c>
      <c r="G13" s="2" t="s">
        <v>46</v>
      </c>
      <c r="H13" s="5" t="s">
        <v>71</v>
      </c>
      <c r="I13" s="9">
        <v>5</v>
      </c>
      <c r="J13" s="9">
        <v>10</v>
      </c>
      <c r="K13" s="2">
        <v>10</v>
      </c>
      <c r="L13" s="2" t="s">
        <v>23</v>
      </c>
      <c r="M13" s="2" t="s">
        <v>23</v>
      </c>
      <c r="N13" s="2">
        <v>0</v>
      </c>
      <c r="O13" s="8">
        <v>1</v>
      </c>
      <c r="P13" s="2">
        <v>260</v>
      </c>
    </row>
    <row r="14" spans="1:19" ht="42.75" x14ac:dyDescent="0.25">
      <c r="A14" s="5" t="s">
        <v>102</v>
      </c>
      <c r="E14" s="23"/>
      <c r="F14" s="2" t="s">
        <v>23</v>
      </c>
      <c r="G14" s="2" t="s">
        <v>46</v>
      </c>
      <c r="H14" s="5" t="s">
        <v>102</v>
      </c>
      <c r="I14" s="9">
        <v>10</v>
      </c>
      <c r="J14" s="9">
        <v>10</v>
      </c>
      <c r="K14" s="2">
        <v>10</v>
      </c>
      <c r="L14" s="2" t="s">
        <v>23</v>
      </c>
      <c r="M14" s="2" t="s">
        <v>23</v>
      </c>
      <c r="N14" s="2">
        <v>0</v>
      </c>
      <c r="O14" s="8"/>
    </row>
    <row r="15" spans="1:19" ht="128.25" x14ac:dyDescent="0.25">
      <c r="A15" s="5" t="s">
        <v>23</v>
      </c>
      <c r="F15" s="24" t="s">
        <v>81</v>
      </c>
      <c r="G15" s="10" t="s">
        <v>57</v>
      </c>
      <c r="H15" s="11" t="s">
        <v>52</v>
      </c>
      <c r="I15" s="7">
        <v>200</v>
      </c>
      <c r="J15" s="7">
        <v>200</v>
      </c>
      <c r="K15" s="2">
        <v>5</v>
      </c>
      <c r="O15" s="8"/>
    </row>
    <row r="16" spans="1:19" ht="42.75" x14ac:dyDescent="0.25">
      <c r="A16" s="5"/>
      <c r="F16" s="2" t="s">
        <v>65</v>
      </c>
      <c r="G16" s="12" t="s">
        <v>58</v>
      </c>
      <c r="H16" s="11" t="s">
        <v>51</v>
      </c>
      <c r="I16" s="7">
        <v>6</v>
      </c>
      <c r="J16" s="7">
        <v>6</v>
      </c>
      <c r="K16" s="2">
        <v>10</v>
      </c>
      <c r="O16" s="8"/>
    </row>
    <row r="17" spans="1:18" ht="57" x14ac:dyDescent="0.25">
      <c r="F17" s="2" t="s">
        <v>65</v>
      </c>
      <c r="G17" s="12" t="s">
        <v>58</v>
      </c>
      <c r="H17" s="11" t="s">
        <v>50</v>
      </c>
      <c r="I17" s="13">
        <v>5.0000000000000001E-3</v>
      </c>
      <c r="J17" s="13">
        <v>5.0000000000000001E-3</v>
      </c>
      <c r="K17" s="2">
        <v>10</v>
      </c>
      <c r="O17" s="8"/>
    </row>
    <row r="18" spans="1:18" ht="28.5" x14ac:dyDescent="0.25">
      <c r="A18" s="14" t="s">
        <v>89</v>
      </c>
      <c r="F18" s="2" t="s">
        <v>23</v>
      </c>
      <c r="G18" s="2" t="s">
        <v>46</v>
      </c>
      <c r="H18" s="5" t="s">
        <v>72</v>
      </c>
      <c r="I18" s="7">
        <v>10</v>
      </c>
      <c r="J18" s="7">
        <v>10</v>
      </c>
      <c r="K18" s="2">
        <v>10</v>
      </c>
      <c r="L18" s="2" t="s">
        <v>23</v>
      </c>
      <c r="M18" s="2" t="s">
        <v>23</v>
      </c>
      <c r="N18" s="2">
        <v>0</v>
      </c>
      <c r="O18" s="8">
        <v>1.099</v>
      </c>
      <c r="P18" s="2">
        <v>3100</v>
      </c>
    </row>
    <row r="19" spans="1:18" ht="28.5" x14ac:dyDescent="0.25">
      <c r="A19" s="5" t="s">
        <v>67</v>
      </c>
      <c r="F19" s="2" t="s">
        <v>23</v>
      </c>
      <c r="G19" s="2" t="s">
        <v>49</v>
      </c>
      <c r="H19" s="5" t="s">
        <v>73</v>
      </c>
      <c r="I19" s="7">
        <v>10</v>
      </c>
      <c r="J19" s="7">
        <v>10</v>
      </c>
      <c r="K19" s="2">
        <v>10</v>
      </c>
      <c r="L19" s="2" t="s">
        <v>23</v>
      </c>
      <c r="M19" s="2" t="s">
        <v>23</v>
      </c>
      <c r="N19" s="2">
        <v>0</v>
      </c>
      <c r="O19" s="8">
        <v>1.099</v>
      </c>
      <c r="P19" s="2">
        <v>100</v>
      </c>
    </row>
    <row r="20" spans="1:18" ht="57" x14ac:dyDescent="0.25">
      <c r="A20" s="15" t="s">
        <v>66</v>
      </c>
      <c r="F20" s="2" t="s">
        <v>23</v>
      </c>
      <c r="G20" s="2" t="s">
        <v>46</v>
      </c>
      <c r="H20" s="5" t="s">
        <v>74</v>
      </c>
      <c r="I20" s="7">
        <v>0.5</v>
      </c>
      <c r="J20" s="7">
        <v>1.5</v>
      </c>
      <c r="K20" s="2">
        <v>500</v>
      </c>
      <c r="L20" s="2">
        <v>20</v>
      </c>
      <c r="M20" s="2" t="s">
        <v>161</v>
      </c>
      <c r="N20" s="2">
        <v>20</v>
      </c>
      <c r="O20" s="8">
        <v>0.98799999999999999</v>
      </c>
      <c r="P20" s="2">
        <v>380</v>
      </c>
    </row>
    <row r="21" spans="1:18" ht="42.75" x14ac:dyDescent="0.25">
      <c r="A21" s="15" t="s">
        <v>23</v>
      </c>
      <c r="F21" s="2" t="s">
        <v>23</v>
      </c>
      <c r="G21" s="2" t="s">
        <v>113</v>
      </c>
      <c r="H21" s="5" t="s">
        <v>112</v>
      </c>
      <c r="I21" s="7"/>
      <c r="J21" s="7"/>
      <c r="K21" s="2">
        <v>500</v>
      </c>
      <c r="L21" s="2" t="s">
        <v>23</v>
      </c>
      <c r="M21" s="2" t="s">
        <v>23</v>
      </c>
      <c r="O21" s="8">
        <v>1</v>
      </c>
      <c r="P21" s="2">
        <v>1</v>
      </c>
    </row>
    <row r="22" spans="1:18" ht="42.75" x14ac:dyDescent="0.25">
      <c r="F22" s="2" t="s">
        <v>23</v>
      </c>
      <c r="G22" s="2" t="s">
        <v>176</v>
      </c>
      <c r="H22" s="5" t="s">
        <v>175</v>
      </c>
      <c r="I22" s="7"/>
      <c r="J22" s="7"/>
      <c r="K22" s="2">
        <v>10</v>
      </c>
      <c r="L22" s="2" t="s">
        <v>23</v>
      </c>
      <c r="M22" s="2" t="s">
        <v>23</v>
      </c>
      <c r="O22" s="8">
        <v>1</v>
      </c>
      <c r="P22" s="2">
        <v>1</v>
      </c>
    </row>
    <row r="25" spans="1:18" x14ac:dyDescent="0.25">
      <c r="A25" s="2" t="s">
        <v>75</v>
      </c>
      <c r="B25" s="2" t="s">
        <v>62</v>
      </c>
      <c r="C25" s="2" t="s">
        <v>63</v>
      </c>
    </row>
    <row r="26" spans="1:18" ht="28.5" x14ac:dyDescent="0.25">
      <c r="A26" s="5" t="s">
        <v>76</v>
      </c>
      <c r="B26" s="5">
        <v>150</v>
      </c>
      <c r="C26" s="17">
        <v>8</v>
      </c>
    </row>
    <row r="27" spans="1:18" ht="28.5" x14ac:dyDescent="0.25">
      <c r="A27" s="5" t="s">
        <v>77</v>
      </c>
      <c r="B27" s="5">
        <v>1000</v>
      </c>
      <c r="C27" s="17">
        <v>50</v>
      </c>
    </row>
    <row r="28" spans="1:18" ht="28.5" x14ac:dyDescent="0.25">
      <c r="A28" s="5" t="s">
        <v>78</v>
      </c>
      <c r="B28" s="5">
        <v>2000</v>
      </c>
      <c r="C28" s="17">
        <v>70</v>
      </c>
    </row>
    <row r="29" spans="1:18" ht="28.5" x14ac:dyDescent="0.25">
      <c r="A29" s="5" t="s">
        <v>79</v>
      </c>
      <c r="B29" s="5">
        <v>3000</v>
      </c>
      <c r="C29" s="17">
        <v>77</v>
      </c>
    </row>
    <row r="31" spans="1:18" ht="15" x14ac:dyDescent="0.25">
      <c r="F31" s="2" t="s">
        <v>166</v>
      </c>
      <c r="G31" s="58" t="s">
        <v>132</v>
      </c>
      <c r="H31" s="59" t="s">
        <v>156</v>
      </c>
      <c r="I31" s="61" t="s">
        <v>164</v>
      </c>
      <c r="J31" s="62" t="s">
        <v>165</v>
      </c>
      <c r="K31" s="2" t="s">
        <v>167</v>
      </c>
      <c r="O31" s="58" t="s">
        <v>132</v>
      </c>
      <c r="P31" s="59" t="s">
        <v>156</v>
      </c>
      <c r="Q31" s="61" t="s">
        <v>164</v>
      </c>
      <c r="R31" s="62" t="s">
        <v>165</v>
      </c>
    </row>
    <row r="32" spans="1:18" x14ac:dyDescent="0.25">
      <c r="A32" s="2" t="s">
        <v>82</v>
      </c>
      <c r="F32" s="63" t="s">
        <v>67</v>
      </c>
      <c r="G32" s="2">
        <f>VLOOKUP(F32,A81:X97,3,FALSE)</f>
        <v>0</v>
      </c>
      <c r="H32" s="2" t="e">
        <f>VLOOKUP(F32,A81:X97,9,FALSE)</f>
        <v>#REF!</v>
      </c>
      <c r="I32" s="2" t="e">
        <f>VLOOKUP(F32,A81:X97,15,FALSE)</f>
        <v>#REF!</v>
      </c>
      <c r="J32" s="2" t="e">
        <f>VLOOKUP(F32,A81:X97,21,FALSE)</f>
        <v>#REF!</v>
      </c>
      <c r="K32" s="2" t="e">
        <f>SUM(G32:J32)</f>
        <v>#REF!</v>
      </c>
      <c r="N32" s="63" t="s">
        <v>168</v>
      </c>
      <c r="O32" s="63"/>
    </row>
    <row r="33" spans="1:15" x14ac:dyDescent="0.25">
      <c r="A33" s="2" t="s">
        <v>85</v>
      </c>
      <c r="F33" s="63" t="s">
        <v>66</v>
      </c>
      <c r="G33" s="2">
        <f t="shared" ref="G33:G48" si="0">VLOOKUP(F33,A82:X98,3,FALSE)</f>
        <v>0</v>
      </c>
      <c r="H33" s="2" t="e">
        <f t="shared" ref="H33:H48" si="1">VLOOKUP(F33,A82:X98,9,FALSE)</f>
        <v>#REF!</v>
      </c>
      <c r="I33" s="2" t="e">
        <f t="shared" ref="I33:I48" si="2">VLOOKUP(F33,A82:X98,15,FALSE)</f>
        <v>#REF!</v>
      </c>
      <c r="J33" s="2" t="e">
        <f t="shared" ref="J33:J48" si="3">VLOOKUP(F33,A82:X98,21,FALSE)</f>
        <v>#REF!</v>
      </c>
      <c r="K33" s="2" t="e">
        <f t="shared" ref="K33:K49" si="4">SUM(G33:J33)</f>
        <v>#REF!</v>
      </c>
      <c r="N33" s="63" t="s">
        <v>169</v>
      </c>
      <c r="O33" s="63"/>
    </row>
    <row r="34" spans="1:15" x14ac:dyDescent="0.25">
      <c r="A34" s="2" t="s">
        <v>86</v>
      </c>
      <c r="E34" s="1"/>
      <c r="F34" s="63" t="s">
        <v>43</v>
      </c>
      <c r="G34" s="2">
        <f t="shared" si="0"/>
        <v>0</v>
      </c>
      <c r="H34" s="2" t="e">
        <f t="shared" si="1"/>
        <v>#REF!</v>
      </c>
      <c r="I34" s="2" t="e">
        <f t="shared" si="2"/>
        <v>#REF!</v>
      </c>
      <c r="J34" s="2" t="e">
        <f t="shared" si="3"/>
        <v>#REF!</v>
      </c>
      <c r="K34" s="2" t="e">
        <f t="shared" si="4"/>
        <v>#REF!</v>
      </c>
      <c r="N34" s="63" t="s">
        <v>170</v>
      </c>
      <c r="O34" s="63"/>
    </row>
    <row r="35" spans="1:15" x14ac:dyDescent="0.25">
      <c r="A35" s="2" t="s">
        <v>87</v>
      </c>
      <c r="E35" s="1"/>
      <c r="F35" s="63" t="s">
        <v>107</v>
      </c>
      <c r="G35" s="2">
        <f t="shared" si="0"/>
        <v>0</v>
      </c>
      <c r="H35" s="2" t="e">
        <f t="shared" si="1"/>
        <v>#REF!</v>
      </c>
      <c r="I35" s="2" t="e">
        <f t="shared" si="2"/>
        <v>#REF!</v>
      </c>
      <c r="J35" s="2" t="e">
        <f t="shared" si="3"/>
        <v>#REF!</v>
      </c>
      <c r="K35" s="2" t="e">
        <f t="shared" si="4"/>
        <v>#REF!</v>
      </c>
      <c r="N35" s="63" t="s">
        <v>22</v>
      </c>
      <c r="O35" s="63"/>
    </row>
    <row r="36" spans="1:15" x14ac:dyDescent="0.25">
      <c r="A36" s="2" t="s">
        <v>88</v>
      </c>
      <c r="E36" s="1"/>
      <c r="F36" s="63" t="s">
        <v>68</v>
      </c>
      <c r="G36" s="2">
        <f t="shared" si="0"/>
        <v>0</v>
      </c>
      <c r="H36" s="2">
        <f t="shared" si="1"/>
        <v>0</v>
      </c>
      <c r="I36" s="2">
        <f t="shared" si="2"/>
        <v>0</v>
      </c>
      <c r="J36" s="2">
        <f t="shared" si="3"/>
        <v>0</v>
      </c>
      <c r="K36" s="2">
        <f t="shared" si="4"/>
        <v>0</v>
      </c>
      <c r="N36" s="63" t="s">
        <v>171</v>
      </c>
      <c r="O36" s="63"/>
    </row>
    <row r="37" spans="1:15" x14ac:dyDescent="0.25">
      <c r="A37" s="2" t="s">
        <v>83</v>
      </c>
      <c r="E37" s="1"/>
      <c r="F37" s="63" t="s">
        <v>53</v>
      </c>
      <c r="G37" s="2">
        <f t="shared" si="0"/>
        <v>0</v>
      </c>
      <c r="H37" s="2">
        <f t="shared" si="1"/>
        <v>0</v>
      </c>
      <c r="I37" s="2">
        <f t="shared" si="2"/>
        <v>0</v>
      </c>
      <c r="J37" s="2">
        <f t="shared" si="3"/>
        <v>0</v>
      </c>
      <c r="K37" s="2">
        <f t="shared" si="4"/>
        <v>0</v>
      </c>
      <c r="N37" s="63" t="s">
        <v>172</v>
      </c>
      <c r="O37" s="63"/>
    </row>
    <row r="38" spans="1:15" x14ac:dyDescent="0.25">
      <c r="A38" s="2" t="s">
        <v>84</v>
      </c>
      <c r="E38" s="1"/>
      <c r="F38" s="63" t="s">
        <v>54</v>
      </c>
      <c r="G38" s="2">
        <f t="shared" si="0"/>
        <v>0</v>
      </c>
      <c r="H38" s="2" t="e">
        <f t="shared" si="1"/>
        <v>#REF!</v>
      </c>
      <c r="I38" s="2" t="e">
        <f t="shared" si="2"/>
        <v>#REF!</v>
      </c>
      <c r="J38" s="2" t="e">
        <f t="shared" si="3"/>
        <v>#REF!</v>
      </c>
      <c r="K38" s="2" t="e">
        <f t="shared" si="4"/>
        <v>#REF!</v>
      </c>
      <c r="N38" s="63" t="s">
        <v>173</v>
      </c>
      <c r="O38" s="63"/>
    </row>
    <row r="39" spans="1:15" x14ac:dyDescent="0.25">
      <c r="C39" s="5"/>
      <c r="E39" s="1"/>
      <c r="F39" s="63" t="s">
        <v>55</v>
      </c>
      <c r="G39" s="2">
        <f t="shared" si="0"/>
        <v>0</v>
      </c>
      <c r="H39" s="2" t="e">
        <f t="shared" si="1"/>
        <v>#REF!</v>
      </c>
      <c r="I39" s="2" t="e">
        <f t="shared" si="2"/>
        <v>#REF!</v>
      </c>
      <c r="J39" s="2" t="e">
        <f t="shared" si="3"/>
        <v>#REF!</v>
      </c>
      <c r="K39" s="2" t="e">
        <f t="shared" si="4"/>
        <v>#REF!</v>
      </c>
      <c r="N39" s="63"/>
      <c r="O39" s="63"/>
    </row>
    <row r="40" spans="1:15" x14ac:dyDescent="0.25">
      <c r="C40" s="1"/>
      <c r="D40" s="1"/>
      <c r="E40" s="1"/>
      <c r="F40" s="63" t="s">
        <v>56</v>
      </c>
      <c r="G40" s="2">
        <f t="shared" si="0"/>
        <v>0</v>
      </c>
      <c r="H40" s="2">
        <f t="shared" si="1"/>
        <v>0</v>
      </c>
      <c r="I40" s="2">
        <f t="shared" si="2"/>
        <v>0</v>
      </c>
      <c r="J40" s="2">
        <f t="shared" si="3"/>
        <v>0</v>
      </c>
      <c r="K40" s="2">
        <f t="shared" si="4"/>
        <v>0</v>
      </c>
      <c r="N40" s="63"/>
      <c r="O40" s="63"/>
    </row>
    <row r="41" spans="1:15" x14ac:dyDescent="0.25">
      <c r="C41" s="20"/>
      <c r="D41" s="1"/>
      <c r="E41" s="1"/>
      <c r="F41" s="63" t="s">
        <v>69</v>
      </c>
      <c r="G41" s="2">
        <f t="shared" si="0"/>
        <v>0</v>
      </c>
      <c r="H41" s="2" t="str">
        <f t="shared" si="1"/>
        <v>0</v>
      </c>
      <c r="I41" s="2" t="str">
        <f t="shared" si="2"/>
        <v>0</v>
      </c>
      <c r="J41" s="2" t="str">
        <f t="shared" si="3"/>
        <v>0</v>
      </c>
      <c r="K41" s="2">
        <f t="shared" si="4"/>
        <v>0</v>
      </c>
      <c r="N41" s="63"/>
      <c r="O41" s="63"/>
    </row>
    <row r="42" spans="1:15" x14ac:dyDescent="0.25">
      <c r="C42" s="1"/>
      <c r="D42" s="1"/>
      <c r="E42" s="1"/>
      <c r="F42" s="63" t="s">
        <v>70</v>
      </c>
      <c r="G42" s="2" t="str">
        <f t="shared" si="0"/>
        <v>0</v>
      </c>
      <c r="H42" s="2" t="str">
        <f t="shared" si="1"/>
        <v>0</v>
      </c>
      <c r="I42" s="2" t="str">
        <f t="shared" si="2"/>
        <v>0</v>
      </c>
      <c r="J42" s="2" t="str">
        <f t="shared" si="3"/>
        <v>0</v>
      </c>
      <c r="K42" s="2">
        <f t="shared" si="4"/>
        <v>0</v>
      </c>
      <c r="O42" s="63"/>
    </row>
    <row r="43" spans="1:15" x14ac:dyDescent="0.25">
      <c r="C43" s="1"/>
      <c r="D43" s="1"/>
      <c r="E43" s="1"/>
      <c r="F43" s="63" t="s">
        <v>71</v>
      </c>
      <c r="G43" s="2" t="str">
        <f t="shared" si="0"/>
        <v>0</v>
      </c>
      <c r="H43" s="2" t="str">
        <f t="shared" si="1"/>
        <v>0</v>
      </c>
      <c r="I43" s="2" t="str">
        <f t="shared" si="2"/>
        <v>0</v>
      </c>
      <c r="J43" s="2" t="str">
        <f t="shared" si="3"/>
        <v>0</v>
      </c>
      <c r="K43" s="2">
        <f t="shared" si="4"/>
        <v>0</v>
      </c>
    </row>
    <row r="44" spans="1:15" x14ac:dyDescent="0.25">
      <c r="C44" s="1"/>
      <c r="D44" s="1"/>
      <c r="E44" s="1"/>
      <c r="F44" s="63" t="s">
        <v>102</v>
      </c>
      <c r="G44" s="2" t="str">
        <f t="shared" si="0"/>
        <v>0</v>
      </c>
      <c r="H44" s="2" t="str">
        <f t="shared" si="1"/>
        <v>0</v>
      </c>
      <c r="I44" s="2" t="str">
        <f t="shared" si="2"/>
        <v>0</v>
      </c>
      <c r="J44" s="2" t="str">
        <f t="shared" si="3"/>
        <v>0</v>
      </c>
      <c r="K44" s="2">
        <f t="shared" si="4"/>
        <v>0</v>
      </c>
    </row>
    <row r="45" spans="1:15" x14ac:dyDescent="0.25">
      <c r="A45" s="2" t="s">
        <v>43</v>
      </c>
      <c r="C45" s="1"/>
      <c r="D45" s="1"/>
      <c r="E45" s="1"/>
      <c r="F45" s="63" t="s">
        <v>72</v>
      </c>
      <c r="G45" s="2">
        <f t="shared" si="0"/>
        <v>0</v>
      </c>
      <c r="H45" s="2" t="str">
        <f t="shared" si="1"/>
        <v>0</v>
      </c>
      <c r="I45" s="2" t="str">
        <f t="shared" si="2"/>
        <v>0</v>
      </c>
      <c r="J45" s="2" t="str">
        <f t="shared" si="3"/>
        <v>0</v>
      </c>
      <c r="K45" s="2">
        <f t="shared" si="4"/>
        <v>0</v>
      </c>
    </row>
    <row r="46" spans="1:15" x14ac:dyDescent="0.25">
      <c r="A46" s="21" t="s">
        <v>43</v>
      </c>
      <c r="C46" s="1"/>
      <c r="D46" s="1"/>
      <c r="F46" s="63" t="s">
        <v>73</v>
      </c>
      <c r="G46" s="2" t="str">
        <f t="shared" si="0"/>
        <v>0</v>
      </c>
      <c r="H46" s="2" t="str">
        <f t="shared" si="1"/>
        <v>0</v>
      </c>
      <c r="I46" s="2" t="str">
        <f t="shared" si="2"/>
        <v>0</v>
      </c>
      <c r="J46" s="2" t="str">
        <f t="shared" si="3"/>
        <v>0</v>
      </c>
      <c r="K46" s="2">
        <f t="shared" si="4"/>
        <v>0</v>
      </c>
    </row>
    <row r="47" spans="1:15" x14ac:dyDescent="0.25">
      <c r="A47" s="21" t="s">
        <v>23</v>
      </c>
      <c r="C47" s="1"/>
      <c r="D47" s="1"/>
      <c r="F47" s="63" t="s">
        <v>74</v>
      </c>
      <c r="G47" s="2">
        <f t="shared" si="0"/>
        <v>0</v>
      </c>
      <c r="H47" s="2" t="e">
        <f t="shared" si="1"/>
        <v>#REF!</v>
      </c>
      <c r="I47" s="2" t="e">
        <f t="shared" si="2"/>
        <v>#REF!</v>
      </c>
      <c r="J47" s="2" t="e">
        <f t="shared" si="3"/>
        <v>#REF!</v>
      </c>
      <c r="K47" s="2" t="e">
        <f t="shared" si="4"/>
        <v>#REF!</v>
      </c>
    </row>
    <row r="48" spans="1:15" x14ac:dyDescent="0.25">
      <c r="A48" s="2" t="s">
        <v>44</v>
      </c>
      <c r="C48" s="1"/>
      <c r="D48" s="1"/>
      <c r="F48" s="63" t="s">
        <v>112</v>
      </c>
      <c r="G48" s="2">
        <f t="shared" si="0"/>
        <v>0</v>
      </c>
      <c r="H48" s="2" t="str">
        <f t="shared" si="1"/>
        <v>0</v>
      </c>
      <c r="I48" s="2" t="str">
        <f t="shared" si="2"/>
        <v>0</v>
      </c>
      <c r="J48" s="2" t="str">
        <f t="shared" si="3"/>
        <v>0</v>
      </c>
      <c r="K48" s="2">
        <f t="shared" si="4"/>
        <v>0</v>
      </c>
    </row>
    <row r="49" spans="1:12" ht="28.5" x14ac:dyDescent="0.25">
      <c r="A49" s="5" t="s">
        <v>107</v>
      </c>
      <c r="C49" s="1"/>
      <c r="D49" s="1"/>
      <c r="F49" s="63" t="s">
        <v>175</v>
      </c>
      <c r="G49" s="2">
        <f>G41</f>
        <v>0</v>
      </c>
      <c r="H49" s="2" t="str">
        <f>H41</f>
        <v>0</v>
      </c>
      <c r="I49" s="2" t="str">
        <f>I41</f>
        <v>0</v>
      </c>
      <c r="J49" s="2" t="str">
        <f>J41</f>
        <v>0</v>
      </c>
      <c r="K49" s="2">
        <f t="shared" si="4"/>
        <v>0</v>
      </c>
      <c r="L49" s="2">
        <f>K49/5</f>
        <v>0</v>
      </c>
    </row>
    <row r="50" spans="1:12" x14ac:dyDescent="0.25">
      <c r="A50" s="22" t="s">
        <v>23</v>
      </c>
      <c r="C50" s="1"/>
      <c r="D50" s="1"/>
    </row>
    <row r="51" spans="1:12" x14ac:dyDescent="0.25">
      <c r="C51" s="1"/>
      <c r="D51" s="1"/>
    </row>
    <row r="52" spans="1:12" x14ac:dyDescent="0.25">
      <c r="A52" s="2" t="s">
        <v>92</v>
      </c>
    </row>
    <row r="53" spans="1:12" ht="42.75" x14ac:dyDescent="0.25">
      <c r="A53" s="15" t="s">
        <v>68</v>
      </c>
    </row>
    <row r="54" spans="1:12" x14ac:dyDescent="0.25">
      <c r="A54" s="15" t="s">
        <v>23</v>
      </c>
    </row>
    <row r="56" spans="1:12" x14ac:dyDescent="0.25">
      <c r="A56" s="2" t="s">
        <v>93</v>
      </c>
    </row>
    <row r="57" spans="1:12" ht="28.5" x14ac:dyDescent="0.25">
      <c r="A57" s="22" t="s">
        <v>53</v>
      </c>
    </row>
    <row r="58" spans="1:12" x14ac:dyDescent="0.25">
      <c r="A58" s="22" t="s">
        <v>23</v>
      </c>
    </row>
    <row r="60" spans="1:12" x14ac:dyDescent="0.25">
      <c r="A60" s="2" t="s">
        <v>94</v>
      </c>
    </row>
    <row r="61" spans="1:12" ht="28.5" x14ac:dyDescent="0.25">
      <c r="A61" s="15" t="s">
        <v>54</v>
      </c>
    </row>
    <row r="62" spans="1:12" x14ac:dyDescent="0.25">
      <c r="A62" s="15" t="s">
        <v>23</v>
      </c>
    </row>
    <row r="64" spans="1:12" x14ac:dyDescent="0.25">
      <c r="A64" s="2" t="s">
        <v>95</v>
      </c>
    </row>
    <row r="65" spans="1:24" ht="28.5" x14ac:dyDescent="0.25">
      <c r="A65" s="22" t="s">
        <v>55</v>
      </c>
    </row>
    <row r="66" spans="1:24" x14ac:dyDescent="0.25">
      <c r="A66" s="22" t="s">
        <v>23</v>
      </c>
    </row>
    <row r="68" spans="1:24" x14ac:dyDescent="0.25">
      <c r="A68" s="2" t="s">
        <v>96</v>
      </c>
    </row>
    <row r="69" spans="1:24" ht="28.5" x14ac:dyDescent="0.25">
      <c r="A69" s="15" t="s">
        <v>56</v>
      </c>
    </row>
    <row r="70" spans="1:24" x14ac:dyDescent="0.25">
      <c r="A70" s="15" t="s">
        <v>23</v>
      </c>
    </row>
    <row r="72" spans="1:24" x14ac:dyDescent="0.25">
      <c r="A72" s="2" t="s">
        <v>97</v>
      </c>
    </row>
    <row r="73" spans="1:24" ht="42.75" x14ac:dyDescent="0.25">
      <c r="A73" s="22" t="s">
        <v>74</v>
      </c>
    </row>
    <row r="74" spans="1:24" x14ac:dyDescent="0.25">
      <c r="A74" s="22" t="s">
        <v>23</v>
      </c>
    </row>
    <row r="75" spans="1:24" x14ac:dyDescent="0.25">
      <c r="A75" s="2" t="s">
        <v>110</v>
      </c>
    </row>
    <row r="76" spans="1:24" ht="28.5" x14ac:dyDescent="0.25">
      <c r="A76" s="5" t="s">
        <v>112</v>
      </c>
    </row>
    <row r="77" spans="1:24" x14ac:dyDescent="0.25">
      <c r="A77" s="5" t="s">
        <v>23</v>
      </c>
    </row>
    <row r="78" spans="1:24" ht="15" thickBot="1" x14ac:dyDescent="0.3">
      <c r="A78" s="5"/>
    </row>
    <row r="79" spans="1:24" x14ac:dyDescent="0.25">
      <c r="B79" s="55" t="s">
        <v>2</v>
      </c>
      <c r="C79" s="36">
        <f>'OP ADULTO'!C14:F14</f>
        <v>0</v>
      </c>
      <c r="D79" s="37"/>
      <c r="E79" s="37"/>
      <c r="F79" s="38"/>
      <c r="H79" s="56" t="s">
        <v>2</v>
      </c>
      <c r="I79" s="36" t="e">
        <f>#REF!</f>
        <v>#REF!</v>
      </c>
      <c r="J79" s="37"/>
      <c r="K79" s="37"/>
      <c r="L79" s="38"/>
      <c r="N79" s="57" t="s">
        <v>2</v>
      </c>
      <c r="O79" s="36" t="e">
        <f>#REF!</f>
        <v>#REF!</v>
      </c>
      <c r="P79" s="37"/>
      <c r="Q79" s="37"/>
      <c r="R79" s="38"/>
      <c r="T79" s="60" t="s">
        <v>2</v>
      </c>
      <c r="U79" s="36" t="e">
        <f>#REF!</f>
        <v>#REF!</v>
      </c>
      <c r="V79" s="37"/>
      <c r="W79" s="37"/>
      <c r="X79" s="38"/>
    </row>
    <row r="80" spans="1:24" ht="15" x14ac:dyDescent="0.25">
      <c r="A80" s="2" t="s">
        <v>21</v>
      </c>
      <c r="B80" s="58" t="s">
        <v>132</v>
      </c>
      <c r="C80" s="39" t="s">
        <v>108</v>
      </c>
      <c r="D80" s="40" t="s">
        <v>2</v>
      </c>
      <c r="E80" s="2" t="s">
        <v>64</v>
      </c>
      <c r="F80" s="41" t="s">
        <v>131</v>
      </c>
      <c r="H80" s="59" t="s">
        <v>156</v>
      </c>
      <c r="I80" s="39" t="s">
        <v>108</v>
      </c>
      <c r="J80" s="40" t="s">
        <v>2</v>
      </c>
      <c r="K80" s="2" t="s">
        <v>64</v>
      </c>
      <c r="L80" s="41" t="s">
        <v>131</v>
      </c>
      <c r="N80" s="61" t="s">
        <v>164</v>
      </c>
      <c r="O80" s="39" t="s">
        <v>108</v>
      </c>
      <c r="P80" s="40" t="s">
        <v>2</v>
      </c>
      <c r="Q80" s="2" t="s">
        <v>64</v>
      </c>
      <c r="R80" s="41" t="s">
        <v>131</v>
      </c>
      <c r="T80" s="62" t="s">
        <v>165</v>
      </c>
      <c r="U80" s="39" t="s">
        <v>108</v>
      </c>
      <c r="V80" s="40" t="s">
        <v>2</v>
      </c>
      <c r="W80" s="2" t="s">
        <v>64</v>
      </c>
      <c r="X80" s="41" t="s">
        <v>131</v>
      </c>
    </row>
    <row r="81" spans="1:24" ht="28.5" x14ac:dyDescent="0.25">
      <c r="A81" s="16" t="s">
        <v>67</v>
      </c>
      <c r="B81" s="42" t="str">
        <f>IF(ISERROR(VLOOKUP(A81,'OP ADULTO'!D$24:F$35,3,FALSE)),"0",(VLOOKUP(A81,'OP ADULTO'!D$24:F$35,3,FALSE)))</f>
        <v>0</v>
      </c>
      <c r="C81" s="1">
        <f>(B81*C$79)*N$2</f>
        <v>0</v>
      </c>
      <c r="D81" s="1">
        <f>C81*$O$2</f>
        <v>0</v>
      </c>
      <c r="E81" s="2">
        <f>VLOOKUP(A81,Tabla3[[NUTRIENTE]:[OSMOLARIDADES (mosm/l)]],9,FALSE)</f>
        <v>990</v>
      </c>
      <c r="F81" s="43">
        <f>IF(ISERROR(C81*E81),"0",(C81*E81))</f>
        <v>0</v>
      </c>
      <c r="H81" s="42" t="str">
        <f>IF(ISERROR(VLOOKUP(A81,#REF!,3,FALSE)),"0",(VLOOKUP(A81,#REF!,3,FALSE)))</f>
        <v>0</v>
      </c>
      <c r="I81" s="1" t="e">
        <f>(H81*I$79)*$N$2</f>
        <v>#REF!</v>
      </c>
      <c r="J81" s="1" t="e">
        <f>I81*$O$2</f>
        <v>#REF!</v>
      </c>
      <c r="K81" s="1">
        <f>VLOOKUP(A81,Tabla3[[NUTRIENTE]:[OSMOLARIDADES (mosm/l)]],9,FALSE)</f>
        <v>990</v>
      </c>
      <c r="L81" s="43" t="str">
        <f t="shared" ref="L81:L97" si="5">IF(ISERROR(I81*K81),"0",(I81*K81))</f>
        <v>0</v>
      </c>
      <c r="N81" s="42" t="str">
        <f>IF(ISERROR(VLOOKUP(A81,#REF!,3,FALSE)),"0",(VLOOKUP(A81,#REF!,3,FALSE)))</f>
        <v>0</v>
      </c>
      <c r="O81" s="1" t="e">
        <f>(N81*O$79)*$N$2</f>
        <v>#REF!</v>
      </c>
      <c r="P81" s="1" t="e">
        <f>O81*$O$2</f>
        <v>#REF!</v>
      </c>
      <c r="Q81" s="1">
        <f>VLOOKUP(A81,Tabla3[[NUTRIENTE]:[OSMOLARIDADES (mosm/l)]],9,FALSE)</f>
        <v>990</v>
      </c>
      <c r="R81" s="43" t="str">
        <f t="shared" ref="R81:R97" si="6">IF(ISERROR(O81*Q81),"0",(O81*Q81))</f>
        <v>0</v>
      </c>
      <c r="T81" s="42" t="str">
        <f>IF(ISERROR(VLOOKUP(A81,#REF!,3,FALSE)),"0",(VLOOKUP(A81,#REF!,3,FALSE)))</f>
        <v>0</v>
      </c>
      <c r="U81" s="1" t="e">
        <f>(T81*U$79)*$N$2</f>
        <v>#REF!</v>
      </c>
      <c r="V81" s="1" t="e">
        <f>U81*$O$2</f>
        <v>#REF!</v>
      </c>
      <c r="W81" s="1">
        <f>VLOOKUP(A81,Tabla3[[NUTRIENTE]:[OSMOLARIDADES (mosm/l)]],9,FALSE)</f>
        <v>990</v>
      </c>
      <c r="X81" s="43" t="str">
        <f t="shared" ref="X81:X97" si="7">IF(ISERROR(U81*W81),"0",(U81*W81))</f>
        <v>0</v>
      </c>
    </row>
    <row r="82" spans="1:24" ht="28.5" x14ac:dyDescent="0.25">
      <c r="A82" s="18" t="s">
        <v>66</v>
      </c>
      <c r="B82" s="42">
        <f>IF(ISERROR(VLOOKUP(A82,'OP ADULTO'!D$24:F$35,3,FALSE)),"0",(VLOOKUP(A82,'OP ADULTO'!D$24:F$35,3,FALSE)))</f>
        <v>0</v>
      </c>
      <c r="C82" s="1">
        <f>(B82*C$79)*N$2</f>
        <v>0</v>
      </c>
      <c r="D82" s="1">
        <f>C82*$O$3</f>
        <v>0</v>
      </c>
      <c r="E82" s="2">
        <f>VLOOKUP(A82,Tabla3[[NUTRIENTE]:[OSMOLARIDADES (mosm/l)]],9,FALSE)</f>
        <v>990</v>
      </c>
      <c r="F82" s="43">
        <f t="shared" ref="F82:F97" si="8">IF(ISERROR(C82*E82),"0",(C82*E82))</f>
        <v>0</v>
      </c>
      <c r="H82" s="42" t="str">
        <f>IF(ISERROR(VLOOKUP(A82,#REF!,3,FALSE)),"0",(VLOOKUP(A82,#REF!,3,FALSE)))</f>
        <v>0</v>
      </c>
      <c r="I82" s="1" t="e">
        <f>(H82*I$79)*$N$2</f>
        <v>#REF!</v>
      </c>
      <c r="J82" s="1" t="e">
        <f>I82*$O$3</f>
        <v>#REF!</v>
      </c>
      <c r="K82" s="1">
        <f>VLOOKUP(A82,Tabla3[[NUTRIENTE]:[OSMOLARIDADES (mosm/l)]],9,FALSE)</f>
        <v>990</v>
      </c>
      <c r="L82" s="43" t="str">
        <f t="shared" si="5"/>
        <v>0</v>
      </c>
      <c r="N82" s="42" t="str">
        <f>IF(ISERROR(VLOOKUP(A82,#REF!,3,FALSE)),"0",(VLOOKUP(A82,#REF!,3,FALSE)))</f>
        <v>0</v>
      </c>
      <c r="O82" s="1" t="e">
        <f>(N82*O$79)*$N$2</f>
        <v>#REF!</v>
      </c>
      <c r="P82" s="1" t="e">
        <f>O82*$O$3</f>
        <v>#REF!</v>
      </c>
      <c r="Q82" s="1">
        <f>VLOOKUP(A82,Tabla3[[NUTRIENTE]:[OSMOLARIDADES (mosm/l)]],9,FALSE)</f>
        <v>990</v>
      </c>
      <c r="R82" s="43" t="str">
        <f t="shared" si="6"/>
        <v>0</v>
      </c>
      <c r="T82" s="42" t="str">
        <f>IF(ISERROR(VLOOKUP(A82,#REF!,3,FALSE)),"0",(VLOOKUP(A82,#REF!,3,FALSE)))</f>
        <v>0</v>
      </c>
      <c r="U82" s="1" t="e">
        <f>(T82*U$79)*$N$2</f>
        <v>#REF!</v>
      </c>
      <c r="V82" s="1" t="e">
        <f>U82*$O$3</f>
        <v>#REF!</v>
      </c>
      <c r="W82" s="1">
        <f>VLOOKUP(A82,Tabla3[[NUTRIENTE]:[OSMOLARIDADES (mosm/l)]],9,FALSE)</f>
        <v>990</v>
      </c>
      <c r="X82" s="43" t="str">
        <f t="shared" si="7"/>
        <v>0</v>
      </c>
    </row>
    <row r="83" spans="1:24" x14ac:dyDescent="0.25">
      <c r="A83" s="19" t="s">
        <v>43</v>
      </c>
      <c r="B83" s="42">
        <f>IF(ISERROR(VLOOKUP(A83,'OP ADULTO'!D$24:F$35,3,FALSE)),"0",(VLOOKUP(A83,'OP ADULTO'!D$24:F$35,3,FALSE)))</f>
        <v>0</v>
      </c>
      <c r="C83" s="1">
        <f>(B83*C$79)*N$4</f>
        <v>0</v>
      </c>
      <c r="D83" s="1">
        <f>C83*$O$4</f>
        <v>0</v>
      </c>
      <c r="E83" s="2">
        <f>VLOOKUP(A83,Tabla3[[NUTRIENTE]:[OSMOLARIDADES (mosm/l)]],9,FALSE)</f>
        <v>921</v>
      </c>
      <c r="F83" s="43">
        <f t="shared" si="8"/>
        <v>0</v>
      </c>
      <c r="H83" s="42" t="str">
        <f>IF(ISERROR(VLOOKUP(A83,#REF!,3,FALSE)),"0",(VLOOKUP(A83,#REF!,3,FALSE)))</f>
        <v>0</v>
      </c>
      <c r="I83" s="1" t="e">
        <f>(H83*I$79)*$N$4</f>
        <v>#REF!</v>
      </c>
      <c r="J83" s="1" t="e">
        <f>I83*$O$4</f>
        <v>#REF!</v>
      </c>
      <c r="K83" s="1">
        <f>VLOOKUP(A83,Tabla3[[NUTRIENTE]:[OSMOLARIDADES (mosm/l)]],9,FALSE)</f>
        <v>921</v>
      </c>
      <c r="L83" s="43" t="str">
        <f t="shared" si="5"/>
        <v>0</v>
      </c>
      <c r="N83" s="42" t="str">
        <f>IF(ISERROR(VLOOKUP(A83,#REF!,3,FALSE)),"0",(VLOOKUP(A83,#REF!,3,FALSE)))</f>
        <v>0</v>
      </c>
      <c r="O83" s="1" t="e">
        <f>(N83*O$79)*$N$4</f>
        <v>#REF!</v>
      </c>
      <c r="P83" s="1" t="e">
        <f>O83*$O$4</f>
        <v>#REF!</v>
      </c>
      <c r="Q83" s="1">
        <f>VLOOKUP(A83,Tabla3[[NUTRIENTE]:[OSMOLARIDADES (mosm/l)]],9,FALSE)</f>
        <v>921</v>
      </c>
      <c r="R83" s="43" t="str">
        <f t="shared" si="6"/>
        <v>0</v>
      </c>
      <c r="T83" s="42" t="str">
        <f>IF(ISERROR(VLOOKUP(A83,#REF!,3,FALSE)),"0",(VLOOKUP(A83,#REF!,3,FALSE)))</f>
        <v>0</v>
      </c>
      <c r="U83" s="1" t="e">
        <f>(T83*U$79)*$N$4</f>
        <v>#REF!</v>
      </c>
      <c r="V83" s="1" t="e">
        <f>U83*$O$4</f>
        <v>#REF!</v>
      </c>
      <c r="W83" s="1">
        <f>VLOOKUP(A83,Tabla3[[NUTRIENTE]:[OSMOLARIDADES (mosm/l)]],9,FALSE)</f>
        <v>921</v>
      </c>
      <c r="X83" s="43" t="str">
        <f t="shared" si="7"/>
        <v>0</v>
      </c>
    </row>
    <row r="84" spans="1:24" ht="28.5" x14ac:dyDescent="0.25">
      <c r="A84" s="18" t="s">
        <v>107</v>
      </c>
      <c r="B84" s="42">
        <f>IF(ISERROR(VLOOKUP(A84,'OP ADULTO'!D$24:F$35,3,FALSE)),"0",(VLOOKUP(A84,'OP ADULTO'!D$24:F$35,3,FALSE)))</f>
        <v>0</v>
      </c>
      <c r="C84" s="1">
        <f>((((B84/1000)*(C79)*(1440))*100)/50)</f>
        <v>0</v>
      </c>
      <c r="D84" s="1">
        <f>C84*$O$5</f>
        <v>0</v>
      </c>
      <c r="E84" s="2">
        <f>VLOOKUP(A84,Tabla3[[NUTRIENTE]:[OSMOLARIDADES (mosm/l)]],9,FALSE)</f>
        <v>2523</v>
      </c>
      <c r="F84" s="43">
        <f t="shared" si="8"/>
        <v>0</v>
      </c>
      <c r="H84" s="42" t="str">
        <f>IF(ISERROR(VLOOKUP(A84,#REF!,3,FALSE)),"0",(VLOOKUP(A84,#REF!,3,FALSE)))</f>
        <v>0</v>
      </c>
      <c r="I84" s="1" t="e">
        <f>((((H84/1000)*(I79)*(1440))*100)/50)</f>
        <v>#REF!</v>
      </c>
      <c r="J84" s="1" t="e">
        <f>I84*$O$5</f>
        <v>#REF!</v>
      </c>
      <c r="K84" s="1">
        <f>VLOOKUP(A84,Tabla3[[NUTRIENTE]:[OSMOLARIDADES (mosm/l)]],9,FALSE)</f>
        <v>2523</v>
      </c>
      <c r="L84" s="43" t="str">
        <f t="shared" si="5"/>
        <v>0</v>
      </c>
      <c r="N84" s="42" t="str">
        <f>IF(ISERROR(VLOOKUP(A84,#REF!,3,FALSE)),"0",(VLOOKUP(A84,#REF!,3,FALSE)))</f>
        <v>0</v>
      </c>
      <c r="O84" s="1" t="e">
        <f>((((N84/1000)*(O79)*(1440))*100)/50)</f>
        <v>#REF!</v>
      </c>
      <c r="P84" s="1" t="e">
        <f>O84*$O$5</f>
        <v>#REF!</v>
      </c>
      <c r="Q84" s="1">
        <f>VLOOKUP(A84,Tabla3[[NUTRIENTE]:[OSMOLARIDADES (mosm/l)]],9,FALSE)</f>
        <v>2523</v>
      </c>
      <c r="R84" s="43" t="str">
        <f t="shared" si="6"/>
        <v>0</v>
      </c>
      <c r="T84" s="42" t="str">
        <f>IF(ISERROR(VLOOKUP(A84,#REF!,3,FALSE)),"0",(VLOOKUP(A84,#REF!,3,FALSE)))</f>
        <v>0</v>
      </c>
      <c r="U84" s="1" t="e">
        <f>((((T84/1000)*(U79)*(1440))*100)/50)</f>
        <v>#REF!</v>
      </c>
      <c r="V84" s="1" t="e">
        <f>U84*$O$5</f>
        <v>#REF!</v>
      </c>
      <c r="W84" s="1">
        <f>VLOOKUP(A84,Tabla3[[NUTRIENTE]:[OSMOLARIDADES (mosm/l)]],9,FALSE)</f>
        <v>2523</v>
      </c>
      <c r="X84" s="43" t="str">
        <f t="shared" si="7"/>
        <v>0</v>
      </c>
    </row>
    <row r="85" spans="1:24" ht="42.75" x14ac:dyDescent="0.25">
      <c r="A85" s="16" t="s">
        <v>68</v>
      </c>
      <c r="B85" s="42">
        <f>IF(ISERROR(VLOOKUP(A85,'OP ADULTO'!D$24:F$35,3,FALSE)),"0",(VLOOKUP(A85,'OP ADULTO'!D$24:F$35,3,FALSE)))</f>
        <v>0</v>
      </c>
      <c r="C85" s="1">
        <f>B85/N$6</f>
        <v>0</v>
      </c>
      <c r="D85" s="1">
        <f>C85*$O$6</f>
        <v>0</v>
      </c>
      <c r="E85" s="2">
        <f>VLOOKUP(A85,Tabla3[[NUTRIENTE]:[OSMOLARIDADES (mosm/l)]],9,FALSE)</f>
        <v>2760</v>
      </c>
      <c r="F85" s="43">
        <f t="shared" si="8"/>
        <v>0</v>
      </c>
      <c r="H85" s="42" t="str">
        <f>IF(ISERROR(VLOOKUP(A85,#REF!,3,FALSE)),"0",(VLOOKUP(A85,#REF!,3,FALSE)))</f>
        <v>0</v>
      </c>
      <c r="I85" s="1">
        <f>H85/$N$6</f>
        <v>0</v>
      </c>
      <c r="J85" s="1">
        <f>I85*$O$6</f>
        <v>0</v>
      </c>
      <c r="K85" s="1">
        <f>VLOOKUP(A85,Tabla3[[NUTRIENTE]:[OSMOLARIDADES (mosm/l)]],9,FALSE)</f>
        <v>2760</v>
      </c>
      <c r="L85" s="43">
        <f t="shared" si="5"/>
        <v>0</v>
      </c>
      <c r="N85" s="42" t="str">
        <f>IF(ISERROR(VLOOKUP(A85,#REF!,3,FALSE)),"0",(VLOOKUP(A85,#REF!,3,FALSE)))</f>
        <v>0</v>
      </c>
      <c r="O85" s="1">
        <f>N85/$N$6</f>
        <v>0</v>
      </c>
      <c r="P85" s="1">
        <f>O85*$O$6</f>
        <v>0</v>
      </c>
      <c r="Q85" s="1">
        <f>VLOOKUP(A85,Tabla3[[NUTRIENTE]:[OSMOLARIDADES (mosm/l)]],9,FALSE)</f>
        <v>2760</v>
      </c>
      <c r="R85" s="43">
        <f t="shared" si="6"/>
        <v>0</v>
      </c>
      <c r="T85" s="42" t="str">
        <f>IF(ISERROR(VLOOKUP(A85,#REF!,3,FALSE)),"0",(VLOOKUP(A85,#REF!,3,FALSE)))</f>
        <v>0</v>
      </c>
      <c r="U85" s="1">
        <f>T85/$N$6</f>
        <v>0</v>
      </c>
      <c r="V85" s="1">
        <f>U85*$O$6</f>
        <v>0</v>
      </c>
      <c r="W85" s="1">
        <f>VLOOKUP(A85,Tabla3[[NUTRIENTE]:[OSMOLARIDADES (mosm/l)]],9,FALSE)</f>
        <v>2760</v>
      </c>
      <c r="X85" s="43">
        <f t="shared" si="7"/>
        <v>0</v>
      </c>
    </row>
    <row r="86" spans="1:24" ht="28.5" x14ac:dyDescent="0.25">
      <c r="A86" s="18" t="s">
        <v>53</v>
      </c>
      <c r="B86" s="42">
        <f>IF(ISERROR(VLOOKUP(A86,'OP ADULTO'!D$24:F$35,3,FALSE)),"0",(VLOOKUP(A86,'OP ADULTO'!D$24:F$35,3,FALSE)))</f>
        <v>0</v>
      </c>
      <c r="C86" s="1">
        <f>(1/20)*(N$7/1)*(B86/1)</f>
        <v>0</v>
      </c>
      <c r="D86" s="1">
        <f>C86*$O$7</f>
        <v>0</v>
      </c>
      <c r="E86" s="2">
        <f>VLOOKUP(A86,Tabla3[[NUTRIENTE]:[OSMOLARIDADES (mosm/l)]],9,FALSE)</f>
        <v>1626</v>
      </c>
      <c r="F86" s="43">
        <f t="shared" si="8"/>
        <v>0</v>
      </c>
      <c r="H86" s="42" t="str">
        <f>IF(ISERROR(VLOOKUP(A86,#REF!,3,FALSE)),"0",(VLOOKUP(A86,#REF!,3,FALSE)))</f>
        <v>0</v>
      </c>
      <c r="I86" s="1">
        <f>(1/20)*($N$7/1)*(H86/1)</f>
        <v>0</v>
      </c>
      <c r="J86" s="1">
        <f>I86*$O$7</f>
        <v>0</v>
      </c>
      <c r="K86" s="1">
        <f>VLOOKUP(A86,Tabla3[[NUTRIENTE]:[OSMOLARIDADES (mosm/l)]],9,FALSE)</f>
        <v>1626</v>
      </c>
      <c r="L86" s="43">
        <f t="shared" si="5"/>
        <v>0</v>
      </c>
      <c r="N86" s="42" t="str">
        <f>IF(ISERROR(VLOOKUP(A86,#REF!,3,FALSE)),"0",(VLOOKUP(A86,#REF!,3,FALSE)))</f>
        <v>0</v>
      </c>
      <c r="O86" s="1">
        <f>(1/20)*($N$7/1)*(N86/1)</f>
        <v>0</v>
      </c>
      <c r="P86" s="1">
        <f>O86*$O$7</f>
        <v>0</v>
      </c>
      <c r="Q86" s="1">
        <f>VLOOKUP(A86,Tabla3[[NUTRIENTE]:[OSMOLARIDADES (mosm/l)]],9,FALSE)</f>
        <v>1626</v>
      </c>
      <c r="R86" s="43">
        <f t="shared" si="6"/>
        <v>0</v>
      </c>
      <c r="T86" s="42" t="str">
        <f>IF(ISERROR(VLOOKUP(A86,#REF!,3,FALSE)),"0",(VLOOKUP(A86,#REF!,3,FALSE)))</f>
        <v>0</v>
      </c>
      <c r="U86" s="1">
        <f>(1/20)*($N$7/1)*(T86/1)</f>
        <v>0</v>
      </c>
      <c r="V86" s="1">
        <f>U86*$O$7</f>
        <v>0</v>
      </c>
      <c r="W86" s="1">
        <f>VLOOKUP(A86,Tabla3[[NUTRIENTE]:[OSMOLARIDADES (mosm/l)]],9,FALSE)</f>
        <v>1626</v>
      </c>
      <c r="X86" s="43">
        <f t="shared" si="7"/>
        <v>0</v>
      </c>
    </row>
    <row r="87" spans="1:24" ht="28.5" x14ac:dyDescent="0.25">
      <c r="A87" s="16" t="s">
        <v>54</v>
      </c>
      <c r="B87" s="42">
        <f>IF(ISERROR(VLOOKUP(A87,'OP ADULTO'!D$24:F$35,3,FALSE)),"0",(VLOOKUP(A87,'OP ADULTO'!D$24:F$35,3,FALSE)))</f>
        <v>0</v>
      </c>
      <c r="C87" s="1">
        <f>(B87*C$79)/N$8</f>
        <v>0</v>
      </c>
      <c r="D87" s="1">
        <f>C87*$O$8</f>
        <v>0</v>
      </c>
      <c r="E87" s="2">
        <f>VLOOKUP(A87,Tabla3[[NUTRIENTE]:[OSMOLARIDADES (mosm/l)]],9,FALSE)</f>
        <v>4000.68</v>
      </c>
      <c r="F87" s="43">
        <f t="shared" si="8"/>
        <v>0</v>
      </c>
      <c r="H87" s="42" t="str">
        <f>IF(ISERROR(VLOOKUP(A87,#REF!,3,FALSE)),"0",(VLOOKUP(A87,#REF!,3,FALSE)))</f>
        <v>0</v>
      </c>
      <c r="I87" s="1" t="e">
        <f>(H87*I$79)/$N$8</f>
        <v>#REF!</v>
      </c>
      <c r="J87" s="1" t="e">
        <f>I87*$O$8</f>
        <v>#REF!</v>
      </c>
      <c r="K87" s="1">
        <f>VLOOKUP(A87,Tabla3[[NUTRIENTE]:[OSMOLARIDADES (mosm/l)]],9,FALSE)</f>
        <v>4000.68</v>
      </c>
      <c r="L87" s="43" t="str">
        <f t="shared" si="5"/>
        <v>0</v>
      </c>
      <c r="N87" s="42" t="str">
        <f>IF(ISERROR(VLOOKUP(A87,#REF!,3,FALSE)),"0",(VLOOKUP(A87,#REF!,3,FALSE)))</f>
        <v>0</v>
      </c>
      <c r="O87" s="1" t="e">
        <f>(N87*O$79)/$N$8</f>
        <v>#REF!</v>
      </c>
      <c r="P87" s="1" t="e">
        <f>O87*$O$8</f>
        <v>#REF!</v>
      </c>
      <c r="Q87" s="1">
        <f>VLOOKUP(A87,Tabla3[[NUTRIENTE]:[OSMOLARIDADES (mosm/l)]],9,FALSE)</f>
        <v>4000.68</v>
      </c>
      <c r="R87" s="43" t="str">
        <f t="shared" si="6"/>
        <v>0</v>
      </c>
      <c r="T87" s="42" t="str">
        <f>IF(ISERROR(VLOOKUP(A87,#REF!,3,FALSE)),"0",(VLOOKUP(A87,#REF!,3,FALSE)))</f>
        <v>0</v>
      </c>
      <c r="U87" s="1" t="e">
        <f>(T87*U$79)/$N$8</f>
        <v>#REF!</v>
      </c>
      <c r="V87" s="1" t="e">
        <f>U87*$O$8</f>
        <v>#REF!</v>
      </c>
      <c r="W87" s="1">
        <f>VLOOKUP(A87,Tabla3[[NUTRIENTE]:[OSMOLARIDADES (mosm/l)]],9,FALSE)</f>
        <v>4000.68</v>
      </c>
      <c r="X87" s="43" t="str">
        <f t="shared" si="7"/>
        <v>0</v>
      </c>
    </row>
    <row r="88" spans="1:24" ht="28.5" x14ac:dyDescent="0.25">
      <c r="A88" s="18" t="s">
        <v>55</v>
      </c>
      <c r="B88" s="42">
        <f>IF(ISERROR(VLOOKUP(A88,'OP ADULTO'!D$24:F$35,3,FALSE)),"0",(VLOOKUP(A88,'OP ADULTO'!D$24:F$35,3,FALSE)))</f>
        <v>0</v>
      </c>
      <c r="C88" s="1">
        <f>(B88*C$79)/N$9</f>
        <v>0</v>
      </c>
      <c r="D88" s="1">
        <f>C88*$O$9</f>
        <v>0</v>
      </c>
      <c r="E88" s="2">
        <f>VLOOKUP(A88,Tabla3[[NUTRIENTE]:[OSMOLARIDADES (mosm/l)]],9,FALSE)</f>
        <v>4000</v>
      </c>
      <c r="F88" s="43">
        <f t="shared" si="8"/>
        <v>0</v>
      </c>
      <c r="H88" s="42" t="str">
        <f>IF(ISERROR(VLOOKUP(A88,#REF!,3,FALSE)),"0",(VLOOKUP(A88,#REF!,3,FALSE)))</f>
        <v>0</v>
      </c>
      <c r="I88" s="1" t="e">
        <f>(H88*I$79)/$N$9</f>
        <v>#REF!</v>
      </c>
      <c r="J88" s="1" t="e">
        <f>I88*$O$9</f>
        <v>#REF!</v>
      </c>
      <c r="K88" s="1">
        <f>VLOOKUP(A88,Tabla3[[NUTRIENTE]:[OSMOLARIDADES (mosm/l)]],9,FALSE)</f>
        <v>4000</v>
      </c>
      <c r="L88" s="43" t="str">
        <f t="shared" si="5"/>
        <v>0</v>
      </c>
      <c r="N88" s="42" t="str">
        <f>IF(ISERROR(VLOOKUP(A88,#REF!,3,FALSE)),"0",(VLOOKUP(A88,#REF!,3,FALSE)))</f>
        <v>0</v>
      </c>
      <c r="O88" s="1" t="e">
        <f>(N88*O$79)/$N$9</f>
        <v>#REF!</v>
      </c>
      <c r="P88" s="1" t="e">
        <f>O88*$O$9</f>
        <v>#REF!</v>
      </c>
      <c r="Q88" s="1">
        <f>VLOOKUP(A88,Tabla3[[NUTRIENTE]:[OSMOLARIDADES (mosm/l)]],9,FALSE)</f>
        <v>4000</v>
      </c>
      <c r="R88" s="43" t="str">
        <f t="shared" si="6"/>
        <v>0</v>
      </c>
      <c r="T88" s="42" t="str">
        <f>IF(ISERROR(VLOOKUP(A88,#REF!,3,FALSE)),"0",(VLOOKUP(A88,#REF!,3,FALSE)))</f>
        <v>0</v>
      </c>
      <c r="U88" s="1" t="e">
        <f>(T88*U$79)/$N$9</f>
        <v>#REF!</v>
      </c>
      <c r="V88" s="1" t="e">
        <f>U88*$O$9</f>
        <v>#REF!</v>
      </c>
      <c r="W88" s="1">
        <f>VLOOKUP(A88,Tabla3[[NUTRIENTE]:[OSMOLARIDADES (mosm/l)]],9,FALSE)</f>
        <v>4000</v>
      </c>
      <c r="X88" s="43" t="str">
        <f t="shared" si="7"/>
        <v>0</v>
      </c>
    </row>
    <row r="89" spans="1:24" ht="28.5" x14ac:dyDescent="0.25">
      <c r="A89" s="16" t="s">
        <v>56</v>
      </c>
      <c r="B89" s="42">
        <f>IF(ISERROR(VLOOKUP(A89,'OP ADULTO'!D$24:F$35,3,FALSE)),"0",(VLOOKUP(A89,'OP ADULTO'!D$24:F$35,3,FALSE)))</f>
        <v>0</v>
      </c>
      <c r="C89" s="1">
        <f>(1/9.312)*(N$10/1)*(B89)</f>
        <v>0</v>
      </c>
      <c r="D89" s="1">
        <f>C89*$O$10</f>
        <v>0</v>
      </c>
      <c r="E89" s="2">
        <f>VLOOKUP(A89,Tabla3[[NUTRIENTE]:[OSMOLARIDADES (mosm/l)]],9,FALSE)</f>
        <v>700</v>
      </c>
      <c r="F89" s="43">
        <f t="shared" si="8"/>
        <v>0</v>
      </c>
      <c r="H89" s="42" t="str">
        <f>IF(ISERROR(VLOOKUP(A89,#REF!,3,FALSE)),"0",(VLOOKUP(A89,#REF!,3,FALSE)))</f>
        <v>0</v>
      </c>
      <c r="I89" s="1">
        <f>(1/9.312)*($N$10/1)*(H89)</f>
        <v>0</v>
      </c>
      <c r="J89" s="1">
        <f>I89*$O$10</f>
        <v>0</v>
      </c>
      <c r="K89" s="1">
        <f>VLOOKUP(A89,Tabla3[[NUTRIENTE]:[OSMOLARIDADES (mosm/l)]],9,FALSE)</f>
        <v>700</v>
      </c>
      <c r="L89" s="43">
        <f t="shared" si="5"/>
        <v>0</v>
      </c>
      <c r="N89" s="42" t="str">
        <f>IF(ISERROR(VLOOKUP(A89,#REF!,3,FALSE)),"0",(VLOOKUP(A89,#REF!,3,FALSE)))</f>
        <v>0</v>
      </c>
      <c r="O89" s="1">
        <f>(1/9.312)*($N$10/1)*(N89)</f>
        <v>0</v>
      </c>
      <c r="P89" s="1">
        <f>O89*$O$10</f>
        <v>0</v>
      </c>
      <c r="Q89" s="1">
        <f>VLOOKUP(A89,Tabla3[[NUTRIENTE]:[OSMOLARIDADES (mosm/l)]],9,FALSE)</f>
        <v>700</v>
      </c>
      <c r="R89" s="43">
        <f t="shared" si="6"/>
        <v>0</v>
      </c>
      <c r="T89" s="42" t="str">
        <f>IF(ISERROR(VLOOKUP(A89,#REF!,3,FALSE)),"0",(VLOOKUP(A89,#REF!,3,FALSE)))</f>
        <v>0</v>
      </c>
      <c r="U89" s="1">
        <f>(1/9.312)*($N$10/1)*(T89)</f>
        <v>0</v>
      </c>
      <c r="V89" s="1">
        <f>U89*$O$10</f>
        <v>0</v>
      </c>
      <c r="W89" s="1">
        <f>VLOOKUP(A89,Tabla3[[NUTRIENTE]:[OSMOLARIDADES (mosm/l)]],9,FALSE)</f>
        <v>700</v>
      </c>
      <c r="X89" s="43">
        <f t="shared" si="7"/>
        <v>0</v>
      </c>
    </row>
    <row r="90" spans="1:24" ht="28.5" x14ac:dyDescent="0.25">
      <c r="A90" s="18" t="s">
        <v>69</v>
      </c>
      <c r="B90" s="42">
        <f>IF(ISERROR(VLOOKUP(A90,'OP ADULTO'!D$24:F$35,3,FALSE)),"0",(VLOOKUP(A90,'OP ADULTO'!D$24:F$35,3,FALSE)))</f>
        <v>0</v>
      </c>
      <c r="C90" s="1">
        <f t="shared" ref="C90:C95" si="9">B90</f>
        <v>0</v>
      </c>
      <c r="D90" s="1">
        <f>C90*$O$11</f>
        <v>0</v>
      </c>
      <c r="E90" s="2">
        <f>VLOOKUP(A90,Tabla3[[NUTRIENTE]:[OSMOLARIDADES (mosm/l)]],9,FALSE)</f>
        <v>770</v>
      </c>
      <c r="F90" s="43">
        <f t="shared" si="8"/>
        <v>0</v>
      </c>
      <c r="H90" s="42" t="str">
        <f>IF(ISERROR(VLOOKUP(A90,#REF!,3,FALSE)),"0",(VLOOKUP(A90,#REF!,3,FALSE)))</f>
        <v>0</v>
      </c>
      <c r="I90" s="1" t="str">
        <f>H90</f>
        <v>0</v>
      </c>
      <c r="J90" s="1">
        <f>I90*$O$11</f>
        <v>0</v>
      </c>
      <c r="K90" s="1">
        <f>VLOOKUP(A90,Tabla3[[NUTRIENTE]:[OSMOLARIDADES (mosm/l)]],9,FALSE)</f>
        <v>770</v>
      </c>
      <c r="L90" s="43">
        <f t="shared" si="5"/>
        <v>0</v>
      </c>
      <c r="N90" s="42" t="str">
        <f>IF(ISERROR(VLOOKUP(A90,#REF!,3,FALSE)),"0",(VLOOKUP(A90,#REF!,3,FALSE)))</f>
        <v>0</v>
      </c>
      <c r="O90" s="1" t="str">
        <f>N90</f>
        <v>0</v>
      </c>
      <c r="P90" s="1">
        <f>O90*$O$11</f>
        <v>0</v>
      </c>
      <c r="Q90" s="1">
        <f>VLOOKUP(A90,Tabla3[[NUTRIENTE]:[OSMOLARIDADES (mosm/l)]],9,FALSE)</f>
        <v>770</v>
      </c>
      <c r="R90" s="43">
        <f t="shared" si="6"/>
        <v>0</v>
      </c>
      <c r="T90" s="42" t="str">
        <f>IF(ISERROR(VLOOKUP(A90,#REF!,3,FALSE)),"0",(VLOOKUP(A90,#REF!,3,FALSE)))</f>
        <v>0</v>
      </c>
      <c r="U90" s="1" t="str">
        <f>T90</f>
        <v>0</v>
      </c>
      <c r="V90" s="1">
        <f>U90*$O$11</f>
        <v>0</v>
      </c>
      <c r="W90" s="1">
        <f>VLOOKUP(A90,Tabla3[[NUTRIENTE]:[OSMOLARIDADES (mosm/l)]],9,FALSE)</f>
        <v>770</v>
      </c>
      <c r="X90" s="43">
        <f t="shared" si="7"/>
        <v>0</v>
      </c>
    </row>
    <row r="91" spans="1:24" ht="28.5" x14ac:dyDescent="0.25">
      <c r="A91" s="16" t="s">
        <v>70</v>
      </c>
      <c r="B91" s="42" t="str">
        <f>IF(ISERROR(VLOOKUP(A91,'OP ADULTO'!D$24:F$35,3,FALSE)),"0",(VLOOKUP(A91,'OP ADULTO'!D$24:F$35,3,FALSE)))</f>
        <v>0</v>
      </c>
      <c r="C91" s="1" t="str">
        <f t="shared" si="9"/>
        <v>0</v>
      </c>
      <c r="D91" s="1">
        <f>C91*$O$12</f>
        <v>0</v>
      </c>
      <c r="E91" s="2">
        <f>VLOOKUP(A91,Tabla3[[NUTRIENTE]:[OSMOLARIDADES (mosm/l)]],9,FALSE)</f>
        <v>490</v>
      </c>
      <c r="F91" s="43">
        <f t="shared" si="8"/>
        <v>0</v>
      </c>
      <c r="H91" s="42" t="str">
        <f>IF(ISERROR(VLOOKUP(A91,#REF!,3,FALSE)),"0",(VLOOKUP(A91,#REF!,3,FALSE)))</f>
        <v>0</v>
      </c>
      <c r="I91" s="1" t="str">
        <f t="shared" ref="I91:I95" si="10">H91</f>
        <v>0</v>
      </c>
      <c r="J91" s="1">
        <f>I91*$O$12</f>
        <v>0</v>
      </c>
      <c r="K91" s="1">
        <f>VLOOKUP(A91,Tabla3[[NUTRIENTE]:[OSMOLARIDADES (mosm/l)]],9,FALSE)</f>
        <v>490</v>
      </c>
      <c r="L91" s="43">
        <f t="shared" si="5"/>
        <v>0</v>
      </c>
      <c r="N91" s="42" t="str">
        <f>IF(ISERROR(VLOOKUP(A91,#REF!,3,FALSE)),"0",(VLOOKUP(A91,#REF!,3,FALSE)))</f>
        <v>0</v>
      </c>
      <c r="O91" s="1" t="str">
        <f t="shared" ref="O91:O95" si="11">N91</f>
        <v>0</v>
      </c>
      <c r="P91" s="1">
        <f>O91*$O$12</f>
        <v>0</v>
      </c>
      <c r="Q91" s="1">
        <f>VLOOKUP(A91,Tabla3[[NUTRIENTE]:[OSMOLARIDADES (mosm/l)]],9,FALSE)</f>
        <v>490</v>
      </c>
      <c r="R91" s="43">
        <f t="shared" si="6"/>
        <v>0</v>
      </c>
      <c r="T91" s="42" t="str">
        <f>IF(ISERROR(VLOOKUP(A91,#REF!,3,FALSE)),"0",(VLOOKUP(A91,#REF!,3,FALSE)))</f>
        <v>0</v>
      </c>
      <c r="U91" s="1" t="str">
        <f t="shared" ref="U91:U95" si="12">T91</f>
        <v>0</v>
      </c>
      <c r="V91" s="1">
        <f>U91*$O$12</f>
        <v>0</v>
      </c>
      <c r="W91" s="1">
        <f>VLOOKUP(A91,Tabla3[[NUTRIENTE]:[OSMOLARIDADES (mosm/l)]],9,FALSE)</f>
        <v>490</v>
      </c>
      <c r="X91" s="43">
        <f t="shared" si="7"/>
        <v>0</v>
      </c>
    </row>
    <row r="92" spans="1:24" ht="28.5" x14ac:dyDescent="0.25">
      <c r="A92" s="18" t="s">
        <v>71</v>
      </c>
      <c r="B92" s="42" t="str">
        <f>IF(ISERROR(VLOOKUP(A92,'OP ADULTO'!D$24:F$35,3,FALSE)),"0",(VLOOKUP(A92,'OP ADULTO'!D$24:F$35,3,FALSE)))</f>
        <v>0</v>
      </c>
      <c r="C92" s="1" t="str">
        <f t="shared" si="9"/>
        <v>0</v>
      </c>
      <c r="D92" s="1">
        <f>C92*$O$13</f>
        <v>0</v>
      </c>
      <c r="E92" s="2">
        <f>VLOOKUP(A92,Tabla3[[NUTRIENTE]:[OSMOLARIDADES (mosm/l)]],9,FALSE)</f>
        <v>260</v>
      </c>
      <c r="F92" s="43">
        <f t="shared" si="8"/>
        <v>0</v>
      </c>
      <c r="H92" s="42" t="str">
        <f>IF(ISERROR(VLOOKUP(A92,#REF!,3,FALSE)),"0",(VLOOKUP(A92,#REF!,3,FALSE)))</f>
        <v>0</v>
      </c>
      <c r="I92" s="1" t="str">
        <f t="shared" si="10"/>
        <v>0</v>
      </c>
      <c r="J92" s="1">
        <f>I92*$O$13</f>
        <v>0</v>
      </c>
      <c r="K92" s="1">
        <f>VLOOKUP(A92,Tabla3[[NUTRIENTE]:[OSMOLARIDADES (mosm/l)]],9,FALSE)</f>
        <v>260</v>
      </c>
      <c r="L92" s="43">
        <f t="shared" si="5"/>
        <v>0</v>
      </c>
      <c r="N92" s="42" t="str">
        <f>IF(ISERROR(VLOOKUP(A92,#REF!,3,FALSE)),"0",(VLOOKUP(A92,#REF!,3,FALSE)))</f>
        <v>0</v>
      </c>
      <c r="O92" s="1" t="str">
        <f t="shared" si="11"/>
        <v>0</v>
      </c>
      <c r="P92" s="1">
        <f>O92*$O$13</f>
        <v>0</v>
      </c>
      <c r="Q92" s="1">
        <f>VLOOKUP(A92,Tabla3[[NUTRIENTE]:[OSMOLARIDADES (mosm/l)]],9,FALSE)</f>
        <v>260</v>
      </c>
      <c r="R92" s="43">
        <f t="shared" si="6"/>
        <v>0</v>
      </c>
      <c r="T92" s="42" t="str">
        <f>IF(ISERROR(VLOOKUP(A92,#REF!,3,FALSE)),"0",(VLOOKUP(A92,#REF!,3,FALSE)))</f>
        <v>0</v>
      </c>
      <c r="U92" s="1" t="str">
        <f t="shared" si="12"/>
        <v>0</v>
      </c>
      <c r="V92" s="1">
        <f>U92*$O$13</f>
        <v>0</v>
      </c>
      <c r="W92" s="1">
        <f>VLOOKUP(A92,Tabla3[[NUTRIENTE]:[OSMOLARIDADES (mosm/l)]],9,FALSE)</f>
        <v>260</v>
      </c>
      <c r="X92" s="43">
        <f t="shared" si="7"/>
        <v>0</v>
      </c>
    </row>
    <row r="93" spans="1:24" ht="28.5" x14ac:dyDescent="0.25">
      <c r="A93" s="16" t="s">
        <v>102</v>
      </c>
      <c r="B93" s="42" t="str">
        <f>IF(ISERROR(VLOOKUP(A93,'OP ADULTO'!D$24:F$35,3,FALSE)),"0",(VLOOKUP(A93,'OP ADULTO'!D$24:F$35,3,FALSE)))</f>
        <v>0</v>
      </c>
      <c r="C93" s="1" t="str">
        <f t="shared" si="9"/>
        <v>0</v>
      </c>
      <c r="D93" s="1">
        <f>C93*$O$14</f>
        <v>0</v>
      </c>
      <c r="E93" s="2">
        <f>VLOOKUP(A93,Tabla3[[NUTRIENTE]:[OSMOLARIDADES (mosm/l)]],9,FALSE)</f>
        <v>0</v>
      </c>
      <c r="F93" s="43">
        <f t="shared" si="8"/>
        <v>0</v>
      </c>
      <c r="H93" s="42" t="str">
        <f>IF(ISERROR(VLOOKUP(A93,#REF!,3,FALSE)),"0",(VLOOKUP(A93,#REF!,3,FALSE)))</f>
        <v>0</v>
      </c>
      <c r="I93" s="1" t="str">
        <f t="shared" si="10"/>
        <v>0</v>
      </c>
      <c r="J93" s="1">
        <f>I93*$O$14</f>
        <v>0</v>
      </c>
      <c r="K93" s="1">
        <f>VLOOKUP(A93,Tabla3[[NUTRIENTE]:[OSMOLARIDADES (mosm/l)]],9,FALSE)</f>
        <v>0</v>
      </c>
      <c r="L93" s="43">
        <f t="shared" si="5"/>
        <v>0</v>
      </c>
      <c r="N93" s="42" t="str">
        <f>IF(ISERROR(VLOOKUP(A93,#REF!,3,FALSE)),"0",(VLOOKUP(A93,#REF!,3,FALSE)))</f>
        <v>0</v>
      </c>
      <c r="O93" s="1" t="str">
        <f t="shared" si="11"/>
        <v>0</v>
      </c>
      <c r="P93" s="1">
        <f>O93*$O$14</f>
        <v>0</v>
      </c>
      <c r="Q93" s="1">
        <f>VLOOKUP(A93,Tabla3[[NUTRIENTE]:[OSMOLARIDADES (mosm/l)]],9,FALSE)</f>
        <v>0</v>
      </c>
      <c r="R93" s="43">
        <f t="shared" si="6"/>
        <v>0</v>
      </c>
      <c r="T93" s="42" t="str">
        <f>IF(ISERROR(VLOOKUP(A93,#REF!,3,FALSE)),"0",(VLOOKUP(A93,#REF!,3,FALSE)))</f>
        <v>0</v>
      </c>
      <c r="U93" s="1" t="str">
        <f t="shared" si="12"/>
        <v>0</v>
      </c>
      <c r="V93" s="1">
        <f>U93*$O$14</f>
        <v>0</v>
      </c>
      <c r="W93" s="1">
        <f>VLOOKUP(A93,Tabla3[[NUTRIENTE]:[OSMOLARIDADES (mosm/l)]],9,FALSE)</f>
        <v>0</v>
      </c>
      <c r="X93" s="43">
        <f t="shared" si="7"/>
        <v>0</v>
      </c>
    </row>
    <row r="94" spans="1:24" ht="28.5" x14ac:dyDescent="0.25">
      <c r="A94" s="16" t="s">
        <v>72</v>
      </c>
      <c r="B94" s="42">
        <f>IF(ISERROR(VLOOKUP(A94,'OP ADULTO'!D$24:F$35,3,FALSE)),"0",(VLOOKUP(A94,'OP ADULTO'!D$24:F$35,3,FALSE)))</f>
        <v>0</v>
      </c>
      <c r="C94" s="1">
        <f t="shared" si="9"/>
        <v>0</v>
      </c>
      <c r="D94" s="1">
        <f>C94*$O$18</f>
        <v>0</v>
      </c>
      <c r="E94" s="2">
        <f>VLOOKUP(A94,Tabla3[[NUTRIENTE]:[OSMOLARIDADES (mosm/l)]],9,FALSE)</f>
        <v>3100</v>
      </c>
      <c r="F94" s="43">
        <f t="shared" si="8"/>
        <v>0</v>
      </c>
      <c r="H94" s="42" t="str">
        <f>IF(ISERROR(VLOOKUP(A94,#REF!,3,FALSE)),"0",(VLOOKUP(A94,#REF!,3,FALSE)))</f>
        <v>0</v>
      </c>
      <c r="I94" s="1" t="str">
        <f t="shared" si="10"/>
        <v>0</v>
      </c>
      <c r="J94" s="1">
        <f>I94*$O$18</f>
        <v>0</v>
      </c>
      <c r="K94" s="1">
        <f>VLOOKUP(A94,Tabla3[[NUTRIENTE]:[OSMOLARIDADES (mosm/l)]],9,FALSE)</f>
        <v>3100</v>
      </c>
      <c r="L94" s="43">
        <f t="shared" si="5"/>
        <v>0</v>
      </c>
      <c r="N94" s="42" t="str">
        <f>IF(ISERROR(VLOOKUP(A94,#REF!,3,FALSE)),"0",(VLOOKUP(A94,#REF!,3,FALSE)))</f>
        <v>0</v>
      </c>
      <c r="O94" s="1" t="str">
        <f t="shared" si="11"/>
        <v>0</v>
      </c>
      <c r="P94" s="1">
        <f>O94*$O$18</f>
        <v>0</v>
      </c>
      <c r="Q94" s="1">
        <f>VLOOKUP(A94,Tabla3[[NUTRIENTE]:[OSMOLARIDADES (mosm/l)]],9,FALSE)</f>
        <v>3100</v>
      </c>
      <c r="R94" s="43">
        <f t="shared" si="6"/>
        <v>0</v>
      </c>
      <c r="T94" s="42" t="str">
        <f>IF(ISERROR(VLOOKUP(A94,#REF!,3,FALSE)),"0",(VLOOKUP(A94,#REF!,3,FALSE)))</f>
        <v>0</v>
      </c>
      <c r="U94" s="1" t="str">
        <f t="shared" si="12"/>
        <v>0</v>
      </c>
      <c r="V94" s="1">
        <f>U94*$O$18</f>
        <v>0</v>
      </c>
      <c r="W94" s="1">
        <f>VLOOKUP(A94,Tabla3[[NUTRIENTE]:[OSMOLARIDADES (mosm/l)]],9,FALSE)</f>
        <v>3100</v>
      </c>
      <c r="X94" s="43">
        <f t="shared" si="7"/>
        <v>0</v>
      </c>
    </row>
    <row r="95" spans="1:24" ht="28.5" x14ac:dyDescent="0.25">
      <c r="A95" s="18" t="s">
        <v>73</v>
      </c>
      <c r="B95" s="42" t="str">
        <f>IF(ISERROR(VLOOKUP(A95,'OP ADULTO'!D$24:F$35,3,FALSE)),"0",(VLOOKUP(A95,'OP ADULTO'!D$24:F$35,3,FALSE)))</f>
        <v>0</v>
      </c>
      <c r="C95" s="1" t="str">
        <f t="shared" si="9"/>
        <v>0</v>
      </c>
      <c r="D95" s="1">
        <f>C95*$O$19</f>
        <v>0</v>
      </c>
      <c r="E95" s="2">
        <f>VLOOKUP(A95,Tabla3[[NUTRIENTE]:[OSMOLARIDADES (mosm/l)]],9,FALSE)</f>
        <v>100</v>
      </c>
      <c r="F95" s="43">
        <f t="shared" si="8"/>
        <v>0</v>
      </c>
      <c r="H95" s="42" t="str">
        <f>IF(ISERROR(VLOOKUP(A95,#REF!,3,FALSE)),"0",(VLOOKUP(A95,#REF!,3,FALSE)))</f>
        <v>0</v>
      </c>
      <c r="I95" s="1" t="str">
        <f t="shared" si="10"/>
        <v>0</v>
      </c>
      <c r="J95" s="1">
        <f>I95*$O$19</f>
        <v>0</v>
      </c>
      <c r="K95" s="1">
        <f>VLOOKUP(A95,Tabla3[[NUTRIENTE]:[OSMOLARIDADES (mosm/l)]],9,FALSE)</f>
        <v>100</v>
      </c>
      <c r="L95" s="43">
        <f t="shared" si="5"/>
        <v>0</v>
      </c>
      <c r="N95" s="42" t="str">
        <f>IF(ISERROR(VLOOKUP(A95,#REF!,3,FALSE)),"0",(VLOOKUP(A95,#REF!,3,FALSE)))</f>
        <v>0</v>
      </c>
      <c r="O95" s="1" t="str">
        <f t="shared" si="11"/>
        <v>0</v>
      </c>
      <c r="P95" s="1">
        <f>O95*$O$19</f>
        <v>0</v>
      </c>
      <c r="Q95" s="1">
        <f>VLOOKUP(A95,Tabla3[[NUTRIENTE]:[OSMOLARIDADES (mosm/l)]],9,FALSE)</f>
        <v>100</v>
      </c>
      <c r="R95" s="43">
        <f t="shared" si="6"/>
        <v>0</v>
      </c>
      <c r="T95" s="42" t="str">
        <f>IF(ISERROR(VLOOKUP(A95,#REF!,3,FALSE)),"0",(VLOOKUP(A95,#REF!,3,FALSE)))</f>
        <v>0</v>
      </c>
      <c r="U95" s="1" t="str">
        <f t="shared" si="12"/>
        <v>0</v>
      </c>
      <c r="V95" s="1">
        <f>U95*$O$19</f>
        <v>0</v>
      </c>
      <c r="W95" s="1">
        <f>VLOOKUP(A95,Tabla3[[NUTRIENTE]:[OSMOLARIDADES (mosm/l)]],9,FALSE)</f>
        <v>100</v>
      </c>
      <c r="X95" s="43">
        <f t="shared" si="7"/>
        <v>0</v>
      </c>
    </row>
    <row r="96" spans="1:24" ht="42.75" x14ac:dyDescent="0.25">
      <c r="A96" s="16" t="s">
        <v>74</v>
      </c>
      <c r="B96" s="42">
        <f>IF(ISERROR(VLOOKUP(A96,'OP ADULTO'!D$24:F$35,3,FALSE)),"0",(VLOOKUP(A96,'OP ADULTO'!D$24:F$35,3,FALSE)))</f>
        <v>0</v>
      </c>
      <c r="C96" s="2">
        <f>(B96*C$79*100)/N$20</f>
        <v>0</v>
      </c>
      <c r="D96" s="1">
        <f>C96*$O$20</f>
        <v>0</v>
      </c>
      <c r="E96" s="2">
        <f>VLOOKUP(A96,Tabla3[[NUTRIENTE]:[OSMOLARIDADES (mosm/l)]],9,FALSE)</f>
        <v>380</v>
      </c>
      <c r="F96" s="43">
        <f t="shared" si="8"/>
        <v>0</v>
      </c>
      <c r="H96" s="42" t="str">
        <f>IF(ISERROR(VLOOKUP(A96,#REF!,3,FALSE)),"0",(VLOOKUP(A96,#REF!,3,FALSE)))</f>
        <v>0</v>
      </c>
      <c r="I96" s="2" t="e">
        <f>(H96*I$79*100)/$N$20</f>
        <v>#REF!</v>
      </c>
      <c r="J96" s="1" t="e">
        <f>I96*$O$20</f>
        <v>#REF!</v>
      </c>
      <c r="K96" s="1">
        <f>VLOOKUP(A96,Tabla3[[NUTRIENTE]:[OSMOLARIDADES (mosm/l)]],9,FALSE)</f>
        <v>380</v>
      </c>
      <c r="L96" s="43" t="str">
        <f t="shared" si="5"/>
        <v>0</v>
      </c>
      <c r="N96" s="42" t="str">
        <f>IF(ISERROR(VLOOKUP(A96,#REF!,3,FALSE)),"0",(VLOOKUP(A96,#REF!,3,FALSE)))</f>
        <v>0</v>
      </c>
      <c r="O96" s="2" t="e">
        <f>(N96*O$79*100)/$N$20</f>
        <v>#REF!</v>
      </c>
      <c r="P96" s="1" t="e">
        <f>O96*$O$20</f>
        <v>#REF!</v>
      </c>
      <c r="Q96" s="1">
        <f>VLOOKUP(A96,Tabla3[[NUTRIENTE]:[OSMOLARIDADES (mosm/l)]],9,FALSE)</f>
        <v>380</v>
      </c>
      <c r="R96" s="43" t="str">
        <f t="shared" si="6"/>
        <v>0</v>
      </c>
      <c r="T96" s="42" t="str">
        <f>IF(ISERROR(VLOOKUP(A96,#REF!,3,FALSE)),"0",(VLOOKUP(A96,#REF!,3,FALSE)))</f>
        <v>0</v>
      </c>
      <c r="U96" s="2" t="e">
        <f>(T96*U$79*100)/$N$20</f>
        <v>#REF!</v>
      </c>
      <c r="V96" s="1" t="e">
        <f>U96*$O$20</f>
        <v>#REF!</v>
      </c>
      <c r="W96" s="1">
        <f>VLOOKUP(A96,Tabla3[[NUTRIENTE]:[OSMOLARIDADES (mosm/l)]],9,FALSE)</f>
        <v>380</v>
      </c>
      <c r="X96" s="43" t="str">
        <f t="shared" si="7"/>
        <v>0</v>
      </c>
    </row>
    <row r="97" spans="1:24" ht="28.5" x14ac:dyDescent="0.25">
      <c r="A97" s="18" t="s">
        <v>112</v>
      </c>
      <c r="B97" s="42">
        <f>IF(ISERROR(VLOOKUP(A97,'OP ADULTO'!D$24:F$35,3,FALSE)),"0",(VLOOKUP(A97,'OP ADULTO'!D$24:F$35,3,FALSE)))</f>
        <v>0</v>
      </c>
      <c r="C97" s="1">
        <f>B97</f>
        <v>0</v>
      </c>
      <c r="D97" s="1">
        <f>C97*$O$21</f>
        <v>0</v>
      </c>
      <c r="E97" s="2">
        <f>VLOOKUP(A97,Tabla3[[NUTRIENTE]:[OSMOLARIDADES (mosm/l)]],9,FALSE)</f>
        <v>1</v>
      </c>
      <c r="F97" s="43">
        <f t="shared" si="8"/>
        <v>0</v>
      </c>
      <c r="H97" s="42" t="str">
        <f>IF(ISERROR(VLOOKUP(A97,#REF!,3,FALSE)),"0",(VLOOKUP(A97,#REF!,3,FALSE)))</f>
        <v>0</v>
      </c>
      <c r="I97" s="1" t="str">
        <f>H97</f>
        <v>0</v>
      </c>
      <c r="J97" s="1">
        <f>I97*$O$21</f>
        <v>0</v>
      </c>
      <c r="K97" s="1">
        <f>VLOOKUP(A97,Tabla3[[NUTRIENTE]:[OSMOLARIDADES (mosm/l)]],9,FALSE)</f>
        <v>1</v>
      </c>
      <c r="L97" s="43">
        <f t="shared" si="5"/>
        <v>0</v>
      </c>
      <c r="N97" s="42" t="str">
        <f>IF(ISERROR(VLOOKUP(A97,#REF!,3,FALSE)),"0",(VLOOKUP(A97,#REF!,3,FALSE)))</f>
        <v>0</v>
      </c>
      <c r="O97" s="1" t="str">
        <f>N97</f>
        <v>0</v>
      </c>
      <c r="P97" s="1">
        <f>O97*$O$21</f>
        <v>0</v>
      </c>
      <c r="Q97" s="1">
        <f>VLOOKUP(A97,Tabla3[[NUTRIENTE]:[OSMOLARIDADES (mosm/l)]],9,FALSE)</f>
        <v>1</v>
      </c>
      <c r="R97" s="43">
        <f t="shared" si="6"/>
        <v>0</v>
      </c>
      <c r="T97" s="42" t="str">
        <f>IF(ISERROR(VLOOKUP(A97,#REF!,3,FALSE)),"0",(VLOOKUP(A97,#REF!,3,FALSE)))</f>
        <v>0</v>
      </c>
      <c r="U97" s="1" t="str">
        <f>T97</f>
        <v>0</v>
      </c>
      <c r="V97" s="1">
        <f>U97*$O$21</f>
        <v>0</v>
      </c>
      <c r="W97" s="1">
        <f>VLOOKUP(A97,Tabla3[[NUTRIENTE]:[OSMOLARIDADES (mosm/l)]],9,FALSE)</f>
        <v>1</v>
      </c>
      <c r="X97" s="43">
        <f t="shared" si="7"/>
        <v>0</v>
      </c>
    </row>
    <row r="98" spans="1:24" ht="29.25" thickBot="1" x14ac:dyDescent="0.3">
      <c r="A98" s="18" t="s">
        <v>175</v>
      </c>
      <c r="B98" s="44"/>
      <c r="C98" s="45">
        <f>SUM(C81:C97)</f>
        <v>0</v>
      </c>
      <c r="D98" s="46">
        <f>SUM(D81:D97)</f>
        <v>0</v>
      </c>
      <c r="E98" s="47"/>
      <c r="F98" s="48" t="e">
        <f>SUM(F81:F97)/C98</f>
        <v>#DIV/0!</v>
      </c>
      <c r="H98" s="44"/>
      <c r="I98" s="45" t="e">
        <f>SUM(I81:I97)</f>
        <v>#REF!</v>
      </c>
      <c r="J98" s="46" t="e">
        <f>SUM(J81:J97)</f>
        <v>#REF!</v>
      </c>
      <c r="K98" s="47"/>
      <c r="L98" s="48" t="e">
        <f>SUM(L81:L97)/I98</f>
        <v>#REF!</v>
      </c>
      <c r="N98" s="44"/>
      <c r="O98" s="45" t="e">
        <f>SUM(O81:O97)</f>
        <v>#REF!</v>
      </c>
      <c r="P98" s="46" t="e">
        <f>SUM(P81:P97)</f>
        <v>#REF!</v>
      </c>
      <c r="Q98" s="47"/>
      <c r="R98" s="48" t="e">
        <f>SUM(R81:R97)/O98</f>
        <v>#REF!</v>
      </c>
      <c r="T98" s="44"/>
      <c r="U98" s="45" t="e">
        <f>SUM(U81:U97)</f>
        <v>#REF!</v>
      </c>
      <c r="V98" s="46" t="e">
        <f>SUM(V81:V97)</f>
        <v>#REF!</v>
      </c>
      <c r="W98" s="47"/>
      <c r="X98" s="48" t="e">
        <f>SUM(X81:X97)/U98</f>
        <v>#REF!</v>
      </c>
    </row>
    <row r="99" spans="1:24" ht="15" thickBot="1" x14ac:dyDescent="0.3"/>
    <row r="100" spans="1:24" ht="45" x14ac:dyDescent="0.25">
      <c r="A100" s="49" t="s">
        <v>133</v>
      </c>
      <c r="B100" s="50" t="e">
        <f>(B102+B103+B104)/C79</f>
        <v>#DIV/0!</v>
      </c>
      <c r="H100" s="49" t="s">
        <v>133</v>
      </c>
      <c r="I100" s="50" t="e">
        <f>(I102+I103+I104)/I79</f>
        <v>#REF!</v>
      </c>
      <c r="N100" s="49" t="s">
        <v>133</v>
      </c>
      <c r="O100" s="50" t="e">
        <f>(O102+O103+O104)/O79</f>
        <v>#REF!</v>
      </c>
      <c r="T100" s="49" t="s">
        <v>133</v>
      </c>
      <c r="U100" s="50" t="e">
        <f>(U102+U103+U104)/U79</f>
        <v>#REF!</v>
      </c>
    </row>
    <row r="101" spans="1:24" ht="45" x14ac:dyDescent="0.25">
      <c r="A101" s="51" t="s">
        <v>136</v>
      </c>
      <c r="B101" s="52">
        <f>((C81*1.62)/100)+(C82*1.62/100)+(C83*1.62/100)</f>
        <v>0</v>
      </c>
      <c r="H101" s="51" t="s">
        <v>136</v>
      </c>
      <c r="I101" s="52" t="e">
        <f>((J81*1.62)/100)+(J82*1.62/100)+(J83*1.62/100)</f>
        <v>#REF!</v>
      </c>
      <c r="N101" s="51" t="s">
        <v>136</v>
      </c>
      <c r="O101" s="52" t="e">
        <f>((P81*1.62)/100)+(P82*1.62/100)+(P83*1.62/100)</f>
        <v>#REF!</v>
      </c>
      <c r="T101" s="51" t="s">
        <v>136</v>
      </c>
      <c r="U101" s="52" t="e">
        <f>((V81*1.62)/100)+(V82*1.62/100)+(V83*1.62/100)</f>
        <v>#REF!</v>
      </c>
    </row>
    <row r="102" spans="1:24" ht="45" x14ac:dyDescent="0.25">
      <c r="A102" s="51" t="s">
        <v>137</v>
      </c>
      <c r="B102" s="52">
        <f>(B101*4*100/16.2)</f>
        <v>0</v>
      </c>
      <c r="H102" s="51" t="s">
        <v>137</v>
      </c>
      <c r="I102" s="52" t="e">
        <f>(I101*4*100/16.2)</f>
        <v>#REF!</v>
      </c>
      <c r="N102" s="51" t="s">
        <v>137</v>
      </c>
      <c r="O102" s="52" t="e">
        <f>(O101*4*100/16.2)</f>
        <v>#REF!</v>
      </c>
      <c r="T102" s="51" t="s">
        <v>137</v>
      </c>
      <c r="U102" s="52" t="e">
        <f>(U101*4*100/16.2)</f>
        <v>#REF!</v>
      </c>
    </row>
    <row r="103" spans="1:24" ht="45" x14ac:dyDescent="0.25">
      <c r="A103" s="51" t="s">
        <v>138</v>
      </c>
      <c r="B103" s="52">
        <f>(C84*50/100*3.4)</f>
        <v>0</v>
      </c>
      <c r="H103" s="51" t="s">
        <v>138</v>
      </c>
      <c r="I103" s="52" t="e">
        <f>(J84*50/100*3.4)</f>
        <v>#REF!</v>
      </c>
      <c r="N103" s="51" t="s">
        <v>138</v>
      </c>
      <c r="O103" s="52" t="e">
        <f>(P84*50/100*3.4)</f>
        <v>#REF!</v>
      </c>
      <c r="T103" s="51" t="s">
        <v>138</v>
      </c>
      <c r="U103" s="52" t="e">
        <f>(V84*50/100*3.4)</f>
        <v>#REF!</v>
      </c>
    </row>
    <row r="104" spans="1:24" ht="45.75" thickBot="1" x14ac:dyDescent="0.3">
      <c r="A104" s="53" t="s">
        <v>139</v>
      </c>
      <c r="B104" s="54">
        <f>C96*2</f>
        <v>0</v>
      </c>
      <c r="H104" s="53" t="s">
        <v>139</v>
      </c>
      <c r="I104" s="54" t="e">
        <f>J96*2</f>
        <v>#REF!</v>
      </c>
      <c r="N104" s="53" t="s">
        <v>139</v>
      </c>
      <c r="O104" s="54" t="e">
        <f>P96*2</f>
        <v>#REF!</v>
      </c>
      <c r="T104" s="53" t="s">
        <v>139</v>
      </c>
      <c r="U104" s="54" t="e">
        <f>V96*2</f>
        <v>#REF!</v>
      </c>
    </row>
    <row r="105" spans="1:24" x14ac:dyDescent="0.25">
      <c r="A105" s="26"/>
      <c r="B105" s="26"/>
    </row>
    <row r="106" spans="1:24" x14ac:dyDescent="0.25">
      <c r="A106" s="26"/>
      <c r="B106" s="26"/>
    </row>
    <row r="107" spans="1:24" x14ac:dyDescent="0.25">
      <c r="A107" s="26"/>
      <c r="B107" s="26"/>
    </row>
    <row r="108" spans="1:24" x14ac:dyDescent="0.25">
      <c r="A108" s="26"/>
      <c r="B108" s="26"/>
    </row>
  </sheetData>
  <sheetProtection algorithmName="SHA-512" hashValue="wL3Z0TBG0DOePZwbizw4ngRDF45q0h/rcPIvkW34maGQeIfXg/lxVN4daUmkWuhpLdQGvMvGtW+rUAItQZpwIQ==" saltValue="m4uM00e2yfeO8Pzjx8ggqA==" spinCount="100000" sheet="1" sort="0" autoFilter="0"/>
  <pageMargins left="0.7" right="0.7" top="0.75" bottom="0.75" header="0.3" footer="0.3"/>
  <pageSetup orientation="portrait" horizontalDpi="0" verticalDpi="0" r:id="rId1"/>
  <legacyDrawing r:id="rId2"/>
  <tableParts count="17">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tabColor indexed="13"/>
    <pageSetUpPr fitToPage="1"/>
  </sheetPr>
  <dimension ref="A1:AH81"/>
  <sheetViews>
    <sheetView tabSelected="1" view="pageBreakPreview" topLeftCell="A27" zoomScale="115" zoomScaleNormal="115" zoomScaleSheetLayoutView="115" workbookViewId="0">
      <selection activeCell="B40" sqref="B40"/>
    </sheetView>
  </sheetViews>
  <sheetFormatPr baseColWidth="10" defaultColWidth="7.7109375" defaultRowHeight="15.75" x14ac:dyDescent="0.25"/>
  <cols>
    <col min="1" max="1" width="12.5703125" style="71" customWidth="1"/>
    <col min="2" max="2" width="31.7109375" style="71" customWidth="1"/>
    <col min="3" max="3" width="20.5703125" style="71" customWidth="1"/>
    <col min="4" max="4" width="12.7109375" style="136" customWidth="1"/>
    <col min="5" max="5" width="16.28515625" style="137" customWidth="1"/>
    <col min="6" max="6" width="22.140625" style="137" customWidth="1"/>
    <col min="7" max="7" width="17.5703125" style="137" customWidth="1"/>
    <col min="8" max="8" width="20.5703125" style="136" customWidth="1"/>
    <col min="9" max="9" width="7.7109375" style="67"/>
    <col min="10" max="10" width="12.7109375" style="67" bestFit="1" customWidth="1"/>
    <col min="11" max="22" width="7.7109375" style="67"/>
    <col min="23" max="24" width="7.7109375" style="68" customWidth="1"/>
    <col min="25" max="25" width="7.7109375" style="69" customWidth="1"/>
    <col min="26" max="33" width="7.7109375" style="68" customWidth="1"/>
    <col min="34" max="34" width="7.7109375" style="69" customWidth="1"/>
    <col min="35" max="16384" width="7.7109375" style="68"/>
  </cols>
  <sheetData>
    <row r="1" spans="1:34" x14ac:dyDescent="0.25">
      <c r="A1" s="65"/>
      <c r="B1" s="66"/>
      <c r="C1" s="165" t="s">
        <v>20</v>
      </c>
      <c r="D1" s="166"/>
      <c r="E1" s="166"/>
      <c r="F1" s="167"/>
      <c r="G1" s="163" t="s">
        <v>193</v>
      </c>
      <c r="H1" s="164"/>
    </row>
    <row r="2" spans="1:34" ht="9" customHeight="1" x14ac:dyDescent="0.25">
      <c r="A2" s="70"/>
      <c r="C2" s="177" t="s">
        <v>180</v>
      </c>
      <c r="D2" s="178"/>
      <c r="E2" s="178"/>
      <c r="F2" s="179"/>
      <c r="G2" s="163" t="s">
        <v>185</v>
      </c>
      <c r="H2" s="164"/>
    </row>
    <row r="3" spans="1:34" ht="12.75" customHeight="1" x14ac:dyDescent="0.25">
      <c r="A3" s="70"/>
      <c r="C3" s="180"/>
      <c r="D3" s="181"/>
      <c r="E3" s="181"/>
      <c r="F3" s="182"/>
      <c r="G3" s="72" t="s">
        <v>19</v>
      </c>
      <c r="H3" s="73" t="s">
        <v>184</v>
      </c>
    </row>
    <row r="4" spans="1:34" ht="9" customHeight="1" x14ac:dyDescent="0.25">
      <c r="A4" s="70"/>
      <c r="C4" s="186" t="s">
        <v>181</v>
      </c>
      <c r="D4" s="187"/>
      <c r="E4" s="187"/>
      <c r="F4" s="188"/>
      <c r="G4" s="74" t="s">
        <v>18</v>
      </c>
      <c r="H4" s="73" t="s">
        <v>184</v>
      </c>
    </row>
    <row r="5" spans="1:34" x14ac:dyDescent="0.25">
      <c r="A5" s="70"/>
      <c r="C5" s="189"/>
      <c r="D5" s="190"/>
      <c r="E5" s="190"/>
      <c r="F5" s="191"/>
      <c r="G5" s="74" t="s">
        <v>17</v>
      </c>
      <c r="H5" s="73" t="s">
        <v>184</v>
      </c>
    </row>
    <row r="6" spans="1:34" ht="7.5" customHeight="1" x14ac:dyDescent="0.25">
      <c r="A6" s="70"/>
      <c r="C6" s="192"/>
      <c r="D6" s="193"/>
      <c r="E6" s="193"/>
      <c r="F6" s="194"/>
      <c r="G6" s="74" t="s">
        <v>16</v>
      </c>
      <c r="H6" s="73" t="s">
        <v>15</v>
      </c>
    </row>
    <row r="7" spans="1:34" s="81" customFormat="1" ht="12" x14ac:dyDescent="0.25">
      <c r="A7" s="76" t="s">
        <v>14</v>
      </c>
      <c r="B7" s="77" t="s">
        <v>182</v>
      </c>
      <c r="C7" s="78" t="s">
        <v>13</v>
      </c>
      <c r="D7" s="197" t="s">
        <v>183</v>
      </c>
      <c r="E7" s="198"/>
      <c r="F7" s="79" t="s">
        <v>12</v>
      </c>
      <c r="G7" s="197" t="s">
        <v>11</v>
      </c>
      <c r="H7" s="198"/>
      <c r="I7" s="80"/>
      <c r="J7" s="80"/>
      <c r="K7" s="80"/>
      <c r="L7" s="80"/>
      <c r="M7" s="80"/>
      <c r="N7" s="80"/>
      <c r="O7" s="80"/>
      <c r="P7" s="80"/>
      <c r="Q7" s="80"/>
      <c r="R7" s="80"/>
      <c r="S7" s="80"/>
      <c r="T7" s="80"/>
      <c r="U7" s="80"/>
      <c r="V7" s="80"/>
      <c r="Y7" s="82"/>
      <c r="AH7" s="82"/>
    </row>
    <row r="8" spans="1:34" s="83" customFormat="1" ht="16.5" thickBot="1" x14ac:dyDescent="0.3">
      <c r="A8" s="67"/>
      <c r="B8" s="67"/>
      <c r="C8" s="67"/>
      <c r="D8" s="67"/>
      <c r="E8" s="67"/>
      <c r="F8" s="67"/>
      <c r="G8" s="67"/>
      <c r="H8" s="67"/>
      <c r="I8" s="67"/>
      <c r="J8" s="67"/>
      <c r="K8" s="67"/>
      <c r="L8" s="67"/>
      <c r="M8" s="67"/>
      <c r="N8" s="67"/>
      <c r="O8" s="67"/>
      <c r="P8" s="67"/>
      <c r="Q8" s="67"/>
      <c r="R8" s="67"/>
      <c r="S8" s="67"/>
      <c r="T8" s="67"/>
      <c r="U8" s="67"/>
      <c r="V8" s="67"/>
    </row>
    <row r="9" spans="1:34" s="83" customFormat="1" ht="22.5" customHeight="1" thickBot="1" x14ac:dyDescent="0.3">
      <c r="A9" s="157" t="s">
        <v>10</v>
      </c>
      <c r="B9" s="168"/>
      <c r="C9" s="170" t="s">
        <v>25</v>
      </c>
      <c r="D9" s="171"/>
      <c r="E9" s="195" t="s">
        <v>26</v>
      </c>
      <c r="F9" s="196"/>
      <c r="G9" s="67"/>
      <c r="H9" s="67"/>
      <c r="I9" s="67"/>
      <c r="J9" s="67"/>
      <c r="K9" s="67"/>
      <c r="L9" s="67"/>
      <c r="M9" s="67"/>
      <c r="N9" s="67"/>
      <c r="O9" s="67"/>
      <c r="P9" s="67"/>
      <c r="Q9" s="67"/>
      <c r="R9" s="67"/>
      <c r="S9" s="67"/>
      <c r="T9" s="67"/>
      <c r="U9" s="67"/>
      <c r="V9" s="67"/>
    </row>
    <row r="10" spans="1:34" s="83" customFormat="1" ht="19.5" customHeight="1" thickBot="1" x14ac:dyDescent="0.3">
      <c r="A10" s="161" t="s">
        <v>9</v>
      </c>
      <c r="B10" s="169"/>
      <c r="C10" s="199"/>
      <c r="D10" s="200"/>
      <c r="E10" s="200"/>
      <c r="F10" s="201"/>
      <c r="G10" s="84" t="s">
        <v>8</v>
      </c>
      <c r="H10" s="64"/>
      <c r="I10" s="67"/>
      <c r="J10" s="67"/>
      <c r="K10" s="67"/>
      <c r="L10" s="67"/>
      <c r="M10" s="67"/>
      <c r="N10" s="67"/>
      <c r="O10" s="67"/>
      <c r="P10" s="67"/>
      <c r="Q10" s="67"/>
      <c r="R10" s="67"/>
      <c r="S10" s="67"/>
      <c r="T10" s="67"/>
      <c r="U10" s="67"/>
      <c r="V10" s="67"/>
    </row>
    <row r="11" spans="1:34" s="83" customFormat="1" ht="14.25" customHeight="1" thickBot="1" x14ac:dyDescent="0.3">
      <c r="A11" s="67"/>
      <c r="B11" s="67"/>
      <c r="C11" s="75"/>
      <c r="D11" s="75"/>
      <c r="E11" s="75"/>
      <c r="F11" s="75"/>
      <c r="G11" s="75"/>
      <c r="H11" s="67"/>
      <c r="I11" s="67"/>
      <c r="J11" s="67"/>
      <c r="K11" s="67"/>
      <c r="L11" s="67"/>
      <c r="M11" s="67"/>
      <c r="N11" s="67"/>
      <c r="O11" s="67"/>
      <c r="P11" s="67"/>
      <c r="Q11" s="67"/>
      <c r="R11" s="67"/>
      <c r="S11" s="67"/>
      <c r="T11" s="67"/>
      <c r="U11" s="67"/>
      <c r="V11" s="67"/>
    </row>
    <row r="12" spans="1:34" s="83" customFormat="1" ht="24.75" customHeight="1" x14ac:dyDescent="0.25">
      <c r="A12" s="150" t="s">
        <v>7</v>
      </c>
      <c r="B12" s="151"/>
      <c r="C12" s="202"/>
      <c r="D12" s="203"/>
      <c r="E12" s="203"/>
      <c r="F12" s="204"/>
      <c r="G12" s="27"/>
      <c r="H12" s="67"/>
      <c r="I12" s="67"/>
      <c r="J12" s="85"/>
      <c r="K12" s="67"/>
      <c r="L12" s="67"/>
      <c r="M12" s="67"/>
      <c r="N12" s="67"/>
      <c r="O12" s="67"/>
      <c r="P12" s="67"/>
      <c r="Q12" s="67"/>
      <c r="R12" s="67"/>
      <c r="S12" s="67"/>
      <c r="T12" s="67"/>
      <c r="U12" s="67"/>
      <c r="V12" s="67"/>
    </row>
    <row r="13" spans="1:34" s="83" customFormat="1" ht="18.75" customHeight="1" x14ac:dyDescent="0.25">
      <c r="A13" s="152" t="s">
        <v>6</v>
      </c>
      <c r="B13" s="153"/>
      <c r="C13" s="147"/>
      <c r="D13" s="148"/>
      <c r="E13" s="148"/>
      <c r="F13" s="149"/>
      <c r="G13" s="28"/>
      <c r="H13" s="67"/>
      <c r="I13" s="67"/>
      <c r="J13" s="67"/>
      <c r="K13" s="67"/>
      <c r="L13" s="67"/>
      <c r="M13" s="67"/>
      <c r="N13" s="67"/>
      <c r="O13" s="67"/>
      <c r="P13" s="67"/>
      <c r="Q13" s="67"/>
      <c r="R13" s="67"/>
      <c r="S13" s="67"/>
      <c r="T13" s="67"/>
      <c r="U13" s="67"/>
      <c r="V13" s="67"/>
    </row>
    <row r="14" spans="1:34" s="83" customFormat="1" ht="19.5" customHeight="1" x14ac:dyDescent="0.25">
      <c r="A14" s="152" t="s">
        <v>24</v>
      </c>
      <c r="B14" s="153"/>
      <c r="C14" s="144"/>
      <c r="D14" s="145"/>
      <c r="E14" s="145"/>
      <c r="F14" s="146"/>
      <c r="G14" s="29"/>
      <c r="H14" s="67"/>
      <c r="I14" s="67"/>
      <c r="J14" s="67"/>
      <c r="K14" s="67"/>
      <c r="L14" s="67"/>
      <c r="M14" s="67"/>
      <c r="N14" s="67"/>
      <c r="O14" s="67"/>
      <c r="P14" s="67"/>
      <c r="Q14" s="67"/>
      <c r="R14" s="67"/>
      <c r="S14" s="67"/>
      <c r="T14" s="67"/>
      <c r="U14" s="67"/>
      <c r="V14" s="67"/>
    </row>
    <row r="15" spans="1:34" s="83" customFormat="1" ht="20.25" customHeight="1" x14ac:dyDescent="0.25">
      <c r="A15" s="152" t="s">
        <v>5</v>
      </c>
      <c r="B15" s="153"/>
      <c r="C15" s="147"/>
      <c r="D15" s="148"/>
      <c r="E15" s="148"/>
      <c r="F15" s="149"/>
      <c r="G15" s="30"/>
      <c r="H15" s="67"/>
      <c r="I15" s="67"/>
      <c r="J15" s="67"/>
      <c r="K15" s="67"/>
      <c r="L15" s="67"/>
      <c r="M15" s="67"/>
      <c r="N15" s="67"/>
      <c r="O15" s="67"/>
      <c r="P15" s="67"/>
      <c r="Q15" s="67"/>
      <c r="R15" s="67"/>
      <c r="S15" s="67"/>
      <c r="T15" s="67"/>
      <c r="U15" s="67"/>
      <c r="V15" s="67"/>
    </row>
    <row r="16" spans="1:34" s="83" customFormat="1" ht="19.5" customHeight="1" thickBot="1" x14ac:dyDescent="0.3">
      <c r="A16" s="86"/>
      <c r="B16" s="86"/>
      <c r="C16" s="28"/>
      <c r="D16" s="31"/>
      <c r="E16" s="31"/>
      <c r="F16" s="31"/>
      <c r="G16" s="87"/>
      <c r="H16" s="87"/>
      <c r="I16" s="67"/>
      <c r="J16" s="67"/>
      <c r="K16" s="67"/>
      <c r="L16" s="67"/>
      <c r="M16" s="67"/>
      <c r="N16" s="67"/>
      <c r="O16" s="67"/>
      <c r="P16" s="67"/>
      <c r="Q16" s="67"/>
      <c r="R16" s="67"/>
      <c r="S16" s="67"/>
      <c r="T16" s="67"/>
      <c r="U16" s="67"/>
      <c r="V16" s="67"/>
      <c r="W16" s="88"/>
    </row>
    <row r="17" spans="1:23" s="83" customFormat="1" ht="23.25" customHeight="1" x14ac:dyDescent="0.25">
      <c r="A17" s="157" t="s">
        <v>129</v>
      </c>
      <c r="B17" s="158"/>
      <c r="C17" s="32">
        <v>12</v>
      </c>
      <c r="D17" s="31"/>
      <c r="E17" s="31"/>
      <c r="F17" s="31"/>
      <c r="G17" s="31"/>
      <c r="H17" s="67"/>
      <c r="I17" s="67"/>
      <c r="J17" s="67"/>
      <c r="K17" s="67"/>
      <c r="L17" s="67"/>
      <c r="M17" s="67"/>
      <c r="N17" s="67"/>
      <c r="O17" s="67"/>
      <c r="P17" s="67"/>
      <c r="Q17" s="67"/>
      <c r="R17" s="67"/>
      <c r="S17" s="67"/>
      <c r="T17" s="67"/>
      <c r="U17" s="67"/>
      <c r="V17" s="67"/>
      <c r="W17" s="88"/>
    </row>
    <row r="18" spans="1:23" s="83" customFormat="1" ht="24.75" customHeight="1" x14ac:dyDescent="0.25">
      <c r="A18" s="159" t="s">
        <v>157</v>
      </c>
      <c r="B18" s="160"/>
      <c r="C18" s="33" t="e">
        <f>Listas!F98</f>
        <v>#DIV/0!</v>
      </c>
      <c r="D18" s="31"/>
      <c r="E18" s="31"/>
      <c r="F18" s="31"/>
      <c r="G18" s="31"/>
      <c r="H18" s="67"/>
      <c r="I18" s="67"/>
      <c r="J18" s="67"/>
      <c r="K18" s="67"/>
      <c r="L18" s="67"/>
      <c r="M18" s="67"/>
      <c r="N18" s="67"/>
      <c r="O18" s="67"/>
      <c r="P18" s="67"/>
      <c r="Q18" s="67"/>
      <c r="R18" s="67"/>
      <c r="S18" s="67"/>
      <c r="T18" s="67"/>
      <c r="U18" s="67"/>
      <c r="V18" s="67"/>
      <c r="W18" s="88"/>
    </row>
    <row r="19" spans="1:23" s="83" customFormat="1" ht="20.25" customHeight="1" x14ac:dyDescent="0.25">
      <c r="A19" s="159" t="s">
        <v>130</v>
      </c>
      <c r="B19" s="160"/>
      <c r="C19" s="34" t="e">
        <f>IF(C18&lt;799,"VIA PERIFERICA O CENTRAL",IF(C18&gt;800,"VIA CENTRAL"))</f>
        <v>#DIV/0!</v>
      </c>
      <c r="D19" s="31"/>
      <c r="E19" s="31"/>
      <c r="F19" s="31"/>
      <c r="G19" s="31"/>
      <c r="H19" s="67"/>
      <c r="I19" s="67"/>
      <c r="J19" s="67"/>
      <c r="K19" s="67"/>
      <c r="L19" s="67"/>
      <c r="M19" s="67"/>
      <c r="N19" s="67"/>
      <c r="O19" s="67"/>
      <c r="P19" s="67"/>
      <c r="Q19" s="67"/>
      <c r="R19" s="67"/>
      <c r="S19" s="67"/>
      <c r="T19" s="67"/>
      <c r="U19" s="67"/>
      <c r="V19" s="67"/>
      <c r="W19" s="88"/>
    </row>
    <row r="20" spans="1:23" s="83" customFormat="1" ht="21.75" customHeight="1" thickBot="1" x14ac:dyDescent="0.3">
      <c r="A20" s="161" t="s">
        <v>158</v>
      </c>
      <c r="B20" s="162"/>
      <c r="C20" s="35">
        <f>G36/C17</f>
        <v>0</v>
      </c>
      <c r="D20" s="31"/>
      <c r="E20" s="31"/>
      <c r="F20" s="31"/>
      <c r="G20" s="31"/>
      <c r="H20" s="67"/>
      <c r="I20" s="67"/>
      <c r="J20" s="67"/>
      <c r="K20" s="67"/>
      <c r="L20" s="67"/>
      <c r="M20" s="67"/>
      <c r="N20" s="67"/>
      <c r="O20" s="67"/>
      <c r="P20" s="67"/>
      <c r="Q20" s="67"/>
      <c r="R20" s="67"/>
      <c r="S20" s="67"/>
      <c r="T20" s="67"/>
      <c r="U20" s="67"/>
      <c r="V20" s="67"/>
      <c r="W20" s="88"/>
    </row>
    <row r="21" spans="1:23" s="83" customFormat="1" ht="21" customHeight="1" thickBot="1" x14ac:dyDescent="0.3">
      <c r="A21" s="86"/>
      <c r="B21" s="86"/>
      <c r="C21" s="28"/>
      <c r="D21" s="31"/>
      <c r="E21" s="31"/>
      <c r="F21" s="31"/>
      <c r="G21" s="31"/>
      <c r="H21" s="67"/>
      <c r="I21" s="67"/>
      <c r="J21" s="67"/>
      <c r="K21" s="67"/>
      <c r="L21" s="67"/>
      <c r="M21" s="67"/>
      <c r="N21" s="67"/>
      <c r="O21" s="67"/>
      <c r="P21" s="67"/>
      <c r="Q21" s="67"/>
      <c r="R21" s="67"/>
      <c r="S21" s="67"/>
      <c r="T21" s="67"/>
      <c r="U21" s="67"/>
      <c r="V21" s="67"/>
      <c r="W21" s="88"/>
    </row>
    <row r="22" spans="1:23" s="83" customFormat="1" ht="16.5" thickBot="1" x14ac:dyDescent="0.3">
      <c r="A22" s="142" t="s">
        <v>3</v>
      </c>
      <c r="B22" s="154" t="s">
        <v>104</v>
      </c>
      <c r="C22" s="155"/>
      <c r="D22" s="155"/>
      <c r="E22" s="156"/>
      <c r="F22" s="142" t="s">
        <v>4</v>
      </c>
      <c r="G22" s="142" t="s">
        <v>120</v>
      </c>
      <c r="H22" s="67"/>
      <c r="I22" s="67"/>
      <c r="J22" s="67"/>
      <c r="K22" s="67"/>
      <c r="L22" s="67"/>
      <c r="M22" s="67"/>
      <c r="N22" s="67"/>
      <c r="O22" s="67"/>
      <c r="P22" s="67"/>
      <c r="Q22" s="67"/>
      <c r="R22" s="67"/>
      <c r="S22" s="67"/>
      <c r="T22" s="67"/>
      <c r="U22" s="67"/>
      <c r="V22" s="67"/>
      <c r="W22" s="88"/>
    </row>
    <row r="23" spans="1:23" s="83" customFormat="1" ht="36.75" customHeight="1" thickBot="1" x14ac:dyDescent="0.3">
      <c r="A23" s="143"/>
      <c r="B23" s="89" t="s">
        <v>38</v>
      </c>
      <c r="C23" s="90" t="s">
        <v>192</v>
      </c>
      <c r="D23" s="154" t="s">
        <v>103</v>
      </c>
      <c r="E23" s="156"/>
      <c r="F23" s="143"/>
      <c r="G23" s="143"/>
      <c r="H23" s="67"/>
      <c r="I23" s="67"/>
      <c r="J23" s="67"/>
      <c r="K23" s="67"/>
      <c r="L23" s="67"/>
      <c r="M23" s="67"/>
      <c r="N23" s="67"/>
      <c r="O23" s="67"/>
      <c r="P23" s="67"/>
      <c r="Q23" s="67"/>
      <c r="R23" s="67"/>
      <c r="S23" s="67"/>
      <c r="T23" s="67"/>
      <c r="U23" s="67"/>
    </row>
    <row r="24" spans="1:23" s="83" customFormat="1" ht="36.75" customHeight="1" x14ac:dyDescent="0.25">
      <c r="A24" s="91">
        <v>1</v>
      </c>
      <c r="B24" s="92" t="s">
        <v>90</v>
      </c>
      <c r="C24" s="93" t="s">
        <v>141</v>
      </c>
      <c r="D24" s="184" t="s">
        <v>66</v>
      </c>
      <c r="E24" s="185"/>
      <c r="F24" s="94"/>
      <c r="G24" s="95">
        <f>IF(ISERROR(VLOOKUP(D24,Listas!A81:C96,3,FALSE)),"0",(VLOOKUP(D24,Listas!A81:C96,3,FALSE)))</f>
        <v>0</v>
      </c>
      <c r="I24" s="67"/>
      <c r="J24" s="67"/>
      <c r="K24" s="67"/>
      <c r="L24" s="67"/>
      <c r="M24" s="67"/>
      <c r="N24" s="67"/>
      <c r="O24" s="67"/>
      <c r="P24" s="67"/>
      <c r="Q24" s="67"/>
      <c r="R24" s="67"/>
      <c r="S24" s="67"/>
      <c r="T24" s="67"/>
      <c r="U24" s="67"/>
      <c r="V24" s="67"/>
    </row>
    <row r="25" spans="1:23" s="83" customFormat="1" ht="36" customHeight="1" x14ac:dyDescent="0.25">
      <c r="A25" s="96">
        <v>1</v>
      </c>
      <c r="B25" s="97" t="s">
        <v>43</v>
      </c>
      <c r="C25" s="98" t="s">
        <v>179</v>
      </c>
      <c r="D25" s="138" t="s">
        <v>43</v>
      </c>
      <c r="E25" s="139"/>
      <c r="F25" s="99"/>
      <c r="G25" s="95">
        <f>IF(ISERROR(VLOOKUP(D25,Listas!A82:C97,3,FALSE)),"0",(VLOOKUP(D25,Listas!A82:C97,3,FALSE)))</f>
        <v>0</v>
      </c>
      <c r="I25" s="67"/>
      <c r="J25" s="67"/>
      <c r="K25" s="67"/>
      <c r="L25" s="67"/>
      <c r="M25" s="67"/>
      <c r="N25" s="67"/>
      <c r="O25" s="67"/>
      <c r="P25" s="67"/>
      <c r="Q25" s="67"/>
      <c r="R25" s="67"/>
      <c r="S25" s="67"/>
      <c r="T25" s="67"/>
      <c r="U25" s="67"/>
      <c r="V25" s="67"/>
    </row>
    <row r="26" spans="1:23" s="83" customFormat="1" ht="37.5" customHeight="1" x14ac:dyDescent="0.25">
      <c r="A26" s="96">
        <v>2</v>
      </c>
      <c r="B26" s="97" t="s">
        <v>91</v>
      </c>
      <c r="C26" s="98" t="s">
        <v>142</v>
      </c>
      <c r="D26" s="138" t="s">
        <v>107</v>
      </c>
      <c r="E26" s="139"/>
      <c r="F26" s="99"/>
      <c r="G26" s="95">
        <f>IF(ISERROR(VLOOKUP(D26,Listas!A83:C98,3,FALSE)),"0",(VLOOKUP(D26,Listas!A83:C98,3,FALSE)))</f>
        <v>0</v>
      </c>
      <c r="I26" s="67"/>
      <c r="J26" s="67"/>
      <c r="K26" s="67"/>
      <c r="L26" s="67"/>
      <c r="M26" s="67"/>
      <c r="N26" s="67"/>
      <c r="O26" s="67"/>
      <c r="P26" s="67"/>
      <c r="Q26" s="67"/>
      <c r="R26" s="67"/>
      <c r="S26" s="67"/>
      <c r="T26" s="67"/>
      <c r="U26" s="67"/>
      <c r="V26" s="67"/>
    </row>
    <row r="27" spans="1:23" s="83" customFormat="1" ht="45.75" customHeight="1" x14ac:dyDescent="0.25">
      <c r="A27" s="96">
        <v>3</v>
      </c>
      <c r="B27" s="97" t="s">
        <v>92</v>
      </c>
      <c r="C27" s="98" t="s">
        <v>143</v>
      </c>
      <c r="D27" s="138" t="s">
        <v>68</v>
      </c>
      <c r="E27" s="139"/>
      <c r="F27" s="99"/>
      <c r="G27" s="95">
        <f>IF(ISERROR(VLOOKUP(D27,Listas!A84:C99,3,FALSE)),"0",(VLOOKUP(D27,Listas!A84:C99,3,FALSE)))</f>
        <v>0</v>
      </c>
      <c r="I27" s="67"/>
      <c r="J27" s="67"/>
      <c r="K27" s="67"/>
      <c r="L27" s="67"/>
      <c r="M27" s="67"/>
      <c r="N27" s="67"/>
      <c r="O27" s="67"/>
      <c r="P27" s="67"/>
      <c r="Q27" s="67"/>
      <c r="R27" s="67"/>
      <c r="S27" s="67"/>
      <c r="T27" s="67"/>
      <c r="U27" s="67"/>
      <c r="V27" s="67"/>
    </row>
    <row r="28" spans="1:23" s="83" customFormat="1" ht="39.75" customHeight="1" x14ac:dyDescent="0.25">
      <c r="A28" s="96">
        <v>4</v>
      </c>
      <c r="B28" s="97" t="s">
        <v>93</v>
      </c>
      <c r="C28" s="98" t="s">
        <v>144</v>
      </c>
      <c r="D28" s="138" t="s">
        <v>53</v>
      </c>
      <c r="E28" s="139"/>
      <c r="F28" s="99"/>
      <c r="G28" s="95">
        <f>IF(ISERROR(VLOOKUP(D28,Listas!A85:C100,3,FALSE)),"0",(VLOOKUP(D28,Listas!A85:C100,3,FALSE)))</f>
        <v>0</v>
      </c>
      <c r="I28" s="67"/>
      <c r="J28" s="67"/>
      <c r="K28" s="67"/>
      <c r="L28" s="67"/>
      <c r="M28" s="67"/>
      <c r="N28" s="67"/>
      <c r="O28" s="67"/>
      <c r="P28" s="67"/>
      <c r="Q28" s="67"/>
      <c r="R28" s="67"/>
      <c r="S28" s="67"/>
      <c r="T28" s="67"/>
      <c r="U28" s="67"/>
      <c r="V28" s="67"/>
    </row>
    <row r="29" spans="1:23" s="83" customFormat="1" ht="38.25" customHeight="1" x14ac:dyDescent="0.25">
      <c r="A29" s="96">
        <v>5</v>
      </c>
      <c r="B29" s="97" t="s">
        <v>94</v>
      </c>
      <c r="C29" s="98" t="s">
        <v>145</v>
      </c>
      <c r="D29" s="138" t="s">
        <v>54</v>
      </c>
      <c r="E29" s="139"/>
      <c r="F29" s="99"/>
      <c r="G29" s="95">
        <f>IF(ISERROR(VLOOKUP(D29,Listas!A86:C101,3,FALSE)),"0",(VLOOKUP(D29,Listas!A86:C101,3,FALSE)))</f>
        <v>0</v>
      </c>
      <c r="I29" s="67"/>
      <c r="J29" s="67"/>
      <c r="K29" s="67"/>
      <c r="L29" s="67"/>
      <c r="M29" s="67"/>
      <c r="N29" s="67"/>
      <c r="O29" s="67"/>
      <c r="P29" s="67"/>
      <c r="Q29" s="67"/>
      <c r="R29" s="67"/>
      <c r="S29" s="67"/>
      <c r="T29" s="67"/>
      <c r="U29" s="67"/>
      <c r="V29" s="67"/>
    </row>
    <row r="30" spans="1:23" s="83" customFormat="1" ht="39.75" customHeight="1" x14ac:dyDescent="0.25">
      <c r="A30" s="96">
        <v>6</v>
      </c>
      <c r="B30" s="97" t="s">
        <v>98</v>
      </c>
      <c r="C30" s="98" t="s">
        <v>145</v>
      </c>
      <c r="D30" s="138" t="s">
        <v>55</v>
      </c>
      <c r="E30" s="139"/>
      <c r="F30" s="99"/>
      <c r="G30" s="95">
        <f>IF(ISERROR(VLOOKUP(D30,Listas!A87:C102,3,FALSE)),"0",(VLOOKUP(D30,Listas!A87:C102,3,FALSE)))</f>
        <v>0</v>
      </c>
      <c r="I30" s="67"/>
      <c r="J30" s="67"/>
      <c r="K30" s="67"/>
      <c r="L30" s="67"/>
      <c r="M30" s="67"/>
      <c r="N30" s="67"/>
      <c r="O30" s="67"/>
      <c r="P30" s="67"/>
      <c r="Q30" s="67"/>
      <c r="R30" s="67"/>
      <c r="S30" s="67"/>
      <c r="T30" s="67"/>
      <c r="U30" s="67"/>
      <c r="V30" s="67"/>
    </row>
    <row r="31" spans="1:23" s="83" customFormat="1" ht="38.25" customHeight="1" x14ac:dyDescent="0.25">
      <c r="A31" s="96">
        <v>7</v>
      </c>
      <c r="B31" s="97" t="s">
        <v>99</v>
      </c>
      <c r="C31" s="98" t="s">
        <v>178</v>
      </c>
      <c r="D31" s="138" t="s">
        <v>56</v>
      </c>
      <c r="E31" s="139"/>
      <c r="F31" s="99"/>
      <c r="G31" s="95">
        <f>IF(ISERROR(VLOOKUP(D31,Listas!A88:C103,3,FALSE)),"0",(VLOOKUP(D31,Listas!A88:C103,3,FALSE)))</f>
        <v>0</v>
      </c>
      <c r="I31" s="67"/>
      <c r="J31" s="67"/>
      <c r="K31" s="67"/>
      <c r="L31" s="67"/>
      <c r="M31" s="67"/>
      <c r="N31" s="67"/>
      <c r="O31" s="67"/>
      <c r="P31" s="67"/>
      <c r="Q31" s="67"/>
      <c r="R31" s="67"/>
      <c r="S31" s="67"/>
      <c r="T31" s="67"/>
      <c r="U31" s="67"/>
      <c r="V31" s="67"/>
    </row>
    <row r="32" spans="1:23" s="83" customFormat="1" ht="35.25" customHeight="1" x14ac:dyDescent="0.25">
      <c r="A32" s="96">
        <v>8</v>
      </c>
      <c r="B32" s="97" t="s">
        <v>105</v>
      </c>
      <c r="C32" s="98" t="s">
        <v>177</v>
      </c>
      <c r="D32" s="138" t="s">
        <v>69</v>
      </c>
      <c r="E32" s="139"/>
      <c r="F32" s="99"/>
      <c r="G32" s="95">
        <f>IF(ISERROR(VLOOKUP(D32,Listas!A89:C104,3,FALSE)),"0",(VLOOKUP(D32,Listas!A89:C104,3,FALSE)))</f>
        <v>0</v>
      </c>
      <c r="I32" s="67"/>
      <c r="J32" s="67"/>
      <c r="K32" s="67"/>
      <c r="L32" s="67"/>
      <c r="M32" s="67"/>
      <c r="N32" s="67"/>
      <c r="O32" s="67"/>
      <c r="P32" s="67"/>
      <c r="Q32" s="67"/>
      <c r="R32" s="67"/>
      <c r="S32" s="67"/>
      <c r="T32" s="67"/>
      <c r="U32" s="67"/>
      <c r="V32" s="67"/>
    </row>
    <row r="33" spans="1:22" s="83" customFormat="1" ht="30.75" customHeight="1" x14ac:dyDescent="0.25">
      <c r="A33" s="96">
        <v>9</v>
      </c>
      <c r="B33" s="97" t="s">
        <v>59</v>
      </c>
      <c r="C33" s="98" t="s">
        <v>146</v>
      </c>
      <c r="D33" s="138" t="s">
        <v>72</v>
      </c>
      <c r="E33" s="139"/>
      <c r="F33" s="99"/>
      <c r="G33" s="95">
        <f>IF(ISERROR(VLOOKUP(D33,Listas!A90:C105,3,FALSE)),"0",(VLOOKUP(D33,Listas!A90:C105,3,FALSE)))</f>
        <v>0</v>
      </c>
      <c r="I33" s="67"/>
      <c r="J33" s="67"/>
      <c r="K33" s="67"/>
      <c r="L33" s="67"/>
      <c r="M33" s="67"/>
      <c r="N33" s="67"/>
      <c r="O33" s="67"/>
      <c r="P33" s="67"/>
      <c r="Q33" s="67"/>
      <c r="R33" s="67"/>
      <c r="S33" s="67"/>
      <c r="T33" s="67"/>
      <c r="U33" s="67"/>
      <c r="V33" s="67"/>
    </row>
    <row r="34" spans="1:22" s="83" customFormat="1" ht="44.25" customHeight="1" x14ac:dyDescent="0.25">
      <c r="A34" s="96">
        <v>10</v>
      </c>
      <c r="B34" s="97" t="s">
        <v>106</v>
      </c>
      <c r="C34" s="98" t="s">
        <v>147</v>
      </c>
      <c r="D34" s="138" t="s">
        <v>74</v>
      </c>
      <c r="E34" s="139"/>
      <c r="F34" s="99"/>
      <c r="G34" s="95">
        <f>IF(ISERROR(VLOOKUP(D34,Listas!A91:C106,3,FALSE)),"0",(VLOOKUP(D34,Listas!A91:C106,3,FALSE)))</f>
        <v>0</v>
      </c>
      <c r="I34" s="67"/>
      <c r="J34" s="67"/>
      <c r="K34" s="67"/>
      <c r="L34" s="67"/>
      <c r="M34" s="67"/>
      <c r="N34" s="67"/>
      <c r="O34" s="67"/>
      <c r="P34" s="67"/>
      <c r="Q34" s="67"/>
      <c r="R34" s="67"/>
      <c r="S34" s="67"/>
      <c r="T34" s="67"/>
      <c r="U34" s="67"/>
      <c r="V34" s="67"/>
    </row>
    <row r="35" spans="1:22" s="83" customFormat="1" ht="39.75" customHeight="1" thickBot="1" x14ac:dyDescent="0.3">
      <c r="A35" s="100">
        <v>11</v>
      </c>
      <c r="B35" s="101" t="s">
        <v>110</v>
      </c>
      <c r="C35" s="102" t="s">
        <v>111</v>
      </c>
      <c r="D35" s="140" t="s">
        <v>112</v>
      </c>
      <c r="E35" s="141"/>
      <c r="F35" s="103"/>
      <c r="G35" s="104">
        <f>IF(ISERROR(VLOOKUP(D35,Listas!A92:C107,3,FALSE)),"0",(VLOOKUP(D35,Listas!A92:C107,3,FALSE)))</f>
        <v>0</v>
      </c>
      <c r="I35" s="67"/>
      <c r="J35" s="67"/>
      <c r="K35" s="67"/>
      <c r="L35" s="67"/>
      <c r="M35" s="67"/>
      <c r="N35" s="67"/>
      <c r="O35" s="67"/>
      <c r="P35" s="67"/>
      <c r="Q35" s="67"/>
      <c r="R35" s="67"/>
      <c r="S35" s="67"/>
      <c r="T35" s="67"/>
      <c r="U35" s="67"/>
      <c r="V35" s="67"/>
    </row>
    <row r="36" spans="1:22" s="83" customFormat="1" ht="33" customHeight="1" thickBot="1" x14ac:dyDescent="0.3">
      <c r="A36" s="105"/>
      <c r="B36" s="106"/>
      <c r="C36" s="105"/>
      <c r="D36" s="106"/>
      <c r="E36" s="106"/>
      <c r="F36" s="107" t="s">
        <v>114</v>
      </c>
      <c r="G36" s="108">
        <f>Listas!C98</f>
        <v>0</v>
      </c>
      <c r="I36" s="67"/>
      <c r="J36" s="67"/>
      <c r="K36" s="67"/>
      <c r="L36" s="67"/>
      <c r="M36" s="67"/>
      <c r="N36" s="67"/>
      <c r="O36" s="67"/>
      <c r="P36" s="67"/>
      <c r="Q36" s="67"/>
      <c r="R36" s="67"/>
      <c r="S36" s="67"/>
      <c r="T36" s="67"/>
      <c r="U36" s="67"/>
      <c r="V36" s="67"/>
    </row>
    <row r="37" spans="1:22" s="83" customFormat="1" ht="12" customHeight="1" x14ac:dyDescent="0.25">
      <c r="A37" s="105"/>
      <c r="B37" s="106"/>
      <c r="C37" s="105"/>
      <c r="D37" s="106"/>
      <c r="E37" s="106"/>
      <c r="F37" s="75"/>
      <c r="G37" s="109"/>
      <c r="I37" s="67"/>
      <c r="J37" s="67"/>
      <c r="K37" s="67"/>
      <c r="L37" s="67"/>
      <c r="M37" s="67"/>
      <c r="N37" s="67"/>
      <c r="O37" s="67"/>
      <c r="P37" s="67"/>
      <c r="Q37" s="67"/>
      <c r="R37" s="67"/>
      <c r="S37" s="67"/>
      <c r="T37" s="67"/>
      <c r="U37" s="67"/>
      <c r="V37" s="67"/>
    </row>
    <row r="38" spans="1:22" s="83" customFormat="1" ht="22.5" customHeight="1" x14ac:dyDescent="0.25">
      <c r="A38" s="105"/>
      <c r="B38" s="110" t="str">
        <f t="shared" ref="B38:C42" si="0">+B68</f>
        <v>Calorías Totales/kg  Peso</v>
      </c>
      <c r="C38" s="111" t="e">
        <f t="shared" si="0"/>
        <v>#DIV/0!</v>
      </c>
      <c r="D38" s="106"/>
      <c r="E38" s="106"/>
      <c r="F38" s="75"/>
      <c r="G38" s="109"/>
      <c r="I38" s="67"/>
      <c r="J38" s="67"/>
      <c r="K38" s="67"/>
      <c r="L38" s="67"/>
      <c r="M38" s="67"/>
      <c r="N38" s="67"/>
      <c r="O38" s="67"/>
      <c r="P38" s="67"/>
      <c r="Q38" s="67"/>
      <c r="R38" s="67"/>
      <c r="S38" s="67"/>
      <c r="T38" s="67"/>
      <c r="U38" s="67"/>
      <c r="V38" s="67"/>
    </row>
    <row r="39" spans="1:22" s="83" customFormat="1" ht="19.5" customHeight="1" x14ac:dyDescent="0.25">
      <c r="A39" s="105"/>
      <c r="B39" s="110" t="str">
        <f t="shared" si="0"/>
        <v>Gramos Totales de Nitrógeno</v>
      </c>
      <c r="C39" s="111">
        <f t="shared" si="0"/>
        <v>0</v>
      </c>
      <c r="D39" s="106"/>
      <c r="E39" s="106"/>
      <c r="F39" s="75"/>
      <c r="G39" s="109"/>
      <c r="I39" s="67"/>
      <c r="J39" s="67"/>
      <c r="K39" s="67"/>
      <c r="L39" s="67"/>
      <c r="M39" s="67"/>
      <c r="N39" s="67"/>
      <c r="O39" s="67"/>
      <c r="P39" s="67"/>
      <c r="Q39" s="67"/>
      <c r="R39" s="67"/>
      <c r="S39" s="67"/>
      <c r="T39" s="67"/>
      <c r="U39" s="67"/>
      <c r="V39" s="67"/>
    </row>
    <row r="40" spans="1:22" s="83" customFormat="1" ht="19.5" customHeight="1" x14ac:dyDescent="0.25">
      <c r="A40" s="105"/>
      <c r="B40" s="110" t="str">
        <f t="shared" si="0"/>
        <v>Calorías Totales Protéicas</v>
      </c>
      <c r="C40" s="111">
        <f t="shared" si="0"/>
        <v>0</v>
      </c>
      <c r="D40" s="106"/>
      <c r="E40" s="106"/>
      <c r="F40" s="75"/>
      <c r="G40" s="109"/>
      <c r="I40" s="67"/>
      <c r="J40" s="67"/>
      <c r="K40" s="67"/>
      <c r="L40" s="67"/>
      <c r="M40" s="67"/>
      <c r="N40" s="67"/>
      <c r="O40" s="67"/>
      <c r="P40" s="67"/>
      <c r="Q40" s="67"/>
      <c r="R40" s="67"/>
      <c r="S40" s="67"/>
      <c r="T40" s="67"/>
      <c r="U40" s="67"/>
      <c r="V40" s="67"/>
    </row>
    <row r="41" spans="1:22" s="83" customFormat="1" ht="19.5" customHeight="1" x14ac:dyDescent="0.25">
      <c r="A41" s="105"/>
      <c r="B41" s="110" t="str">
        <f t="shared" si="0"/>
        <v>Calorías No Protéicas CHO´S</v>
      </c>
      <c r="C41" s="111">
        <f t="shared" si="0"/>
        <v>0</v>
      </c>
      <c r="D41" s="106"/>
      <c r="E41" s="106"/>
      <c r="F41" s="75"/>
      <c r="G41" s="109"/>
      <c r="I41" s="67"/>
      <c r="J41" s="67"/>
      <c r="K41" s="67"/>
      <c r="L41" s="67"/>
      <c r="M41" s="67"/>
      <c r="N41" s="67"/>
      <c r="O41" s="67"/>
      <c r="P41" s="67"/>
      <c r="Q41" s="67"/>
      <c r="R41" s="67"/>
      <c r="S41" s="67"/>
      <c r="T41" s="67"/>
      <c r="U41" s="67"/>
      <c r="V41" s="67"/>
    </row>
    <row r="42" spans="1:22" s="83" customFormat="1" ht="19.5" customHeight="1" x14ac:dyDescent="0.25">
      <c r="A42" s="105"/>
      <c r="B42" s="110" t="str">
        <f t="shared" si="0"/>
        <v>Calorías No Protéicas Lípidos</v>
      </c>
      <c r="C42" s="111">
        <f t="shared" si="0"/>
        <v>0</v>
      </c>
      <c r="D42" s="106"/>
      <c r="E42" s="106"/>
      <c r="F42" s="75"/>
      <c r="G42" s="109"/>
      <c r="I42" s="67"/>
      <c r="J42" s="67"/>
      <c r="K42" s="67"/>
      <c r="L42" s="67"/>
      <c r="M42" s="67"/>
      <c r="N42" s="67"/>
      <c r="O42" s="67"/>
      <c r="P42" s="67"/>
      <c r="Q42" s="67"/>
      <c r="R42" s="67"/>
      <c r="S42" s="67"/>
      <c r="T42" s="67"/>
      <c r="U42" s="67"/>
      <c r="V42" s="67"/>
    </row>
    <row r="43" spans="1:22" s="83" customFormat="1" ht="19.5" customHeight="1" x14ac:dyDescent="0.25">
      <c r="A43" s="105"/>
      <c r="B43" s="106"/>
      <c r="C43" s="112"/>
      <c r="D43" s="106"/>
      <c r="E43" s="106"/>
      <c r="F43" s="75"/>
      <c r="G43" s="109"/>
      <c r="I43" s="67"/>
      <c r="J43" s="67"/>
      <c r="K43" s="67"/>
      <c r="L43" s="67"/>
      <c r="M43" s="67"/>
      <c r="N43" s="67"/>
      <c r="O43" s="67"/>
      <c r="P43" s="67"/>
      <c r="Q43" s="67"/>
      <c r="R43" s="67"/>
      <c r="S43" s="67"/>
      <c r="T43" s="67"/>
      <c r="U43" s="67"/>
      <c r="V43" s="67"/>
    </row>
    <row r="44" spans="1:22" s="83" customFormat="1" ht="19.5" customHeight="1" x14ac:dyDescent="0.25">
      <c r="A44" s="105"/>
      <c r="B44" s="106"/>
      <c r="C44" s="112"/>
      <c r="D44" s="106"/>
      <c r="E44" s="106"/>
      <c r="F44" s="75"/>
      <c r="G44" s="109"/>
      <c r="I44" s="67"/>
      <c r="J44" s="67"/>
      <c r="K44" s="67"/>
      <c r="L44" s="67"/>
      <c r="M44" s="67"/>
      <c r="N44" s="67"/>
      <c r="O44" s="67"/>
      <c r="P44" s="67"/>
      <c r="Q44" s="67"/>
      <c r="R44" s="67"/>
      <c r="S44" s="67"/>
      <c r="T44" s="67"/>
      <c r="U44" s="67"/>
      <c r="V44" s="67"/>
    </row>
    <row r="45" spans="1:22" s="83" customFormat="1" ht="19.5" customHeight="1" thickBot="1" x14ac:dyDescent="0.3">
      <c r="A45" s="105"/>
      <c r="B45" s="113"/>
      <c r="C45" s="114"/>
      <c r="D45" s="106"/>
      <c r="E45" s="113"/>
      <c r="F45" s="115"/>
      <c r="G45" s="116"/>
      <c r="I45" s="67"/>
      <c r="J45" s="67"/>
      <c r="K45" s="67"/>
      <c r="L45" s="67"/>
      <c r="M45" s="67"/>
      <c r="N45" s="67"/>
      <c r="O45" s="67"/>
      <c r="P45" s="67"/>
      <c r="Q45" s="67"/>
      <c r="R45" s="67"/>
      <c r="S45" s="67"/>
      <c r="T45" s="67"/>
      <c r="U45" s="67"/>
      <c r="V45" s="67"/>
    </row>
    <row r="46" spans="1:22" s="83" customFormat="1" ht="19.5" customHeight="1" thickTop="1" x14ac:dyDescent="0.25">
      <c r="A46" s="105"/>
      <c r="B46" s="174" t="s">
        <v>186</v>
      </c>
      <c r="C46" s="174"/>
      <c r="D46" s="106"/>
      <c r="E46" s="175" t="s">
        <v>187</v>
      </c>
      <c r="F46" s="175"/>
      <c r="G46" s="175"/>
      <c r="I46" s="67"/>
      <c r="J46" s="67"/>
      <c r="K46" s="67"/>
      <c r="L46" s="67"/>
      <c r="M46" s="67"/>
      <c r="N46" s="67"/>
      <c r="O46" s="67"/>
      <c r="P46" s="67"/>
      <c r="Q46" s="67"/>
      <c r="R46" s="67"/>
      <c r="S46" s="67"/>
      <c r="T46" s="67"/>
      <c r="U46" s="67"/>
      <c r="V46" s="67"/>
    </row>
    <row r="47" spans="1:22" s="83" customFormat="1" ht="13.5" customHeight="1" x14ac:dyDescent="0.25">
      <c r="A47" s="105"/>
      <c r="B47" s="117" t="s">
        <v>188</v>
      </c>
      <c r="C47" s="117"/>
      <c r="D47" s="118"/>
      <c r="E47" s="176" t="s">
        <v>191</v>
      </c>
      <c r="F47" s="176"/>
      <c r="G47" s="119"/>
      <c r="I47" s="67"/>
      <c r="J47" s="67"/>
      <c r="K47" s="67"/>
      <c r="L47" s="67"/>
      <c r="M47" s="67"/>
      <c r="N47" s="67"/>
      <c r="O47" s="67"/>
      <c r="P47" s="67"/>
      <c r="Q47" s="67"/>
      <c r="R47" s="67"/>
      <c r="S47" s="67"/>
      <c r="T47" s="67"/>
      <c r="U47" s="67"/>
      <c r="V47" s="67"/>
    </row>
    <row r="48" spans="1:22" s="83" customFormat="1" ht="11.25" customHeight="1" x14ac:dyDescent="0.25">
      <c r="A48" s="105"/>
      <c r="B48" s="117" t="s">
        <v>189</v>
      </c>
      <c r="C48" s="117"/>
      <c r="D48" s="118"/>
      <c r="E48" s="118"/>
      <c r="F48" s="120"/>
      <c r="G48" s="109"/>
      <c r="I48" s="67"/>
      <c r="J48" s="67"/>
      <c r="K48" s="67"/>
      <c r="L48" s="67"/>
      <c r="M48" s="67"/>
      <c r="N48" s="67"/>
      <c r="O48" s="67"/>
      <c r="P48" s="67"/>
      <c r="Q48" s="67"/>
      <c r="R48" s="67"/>
      <c r="S48" s="67"/>
      <c r="T48" s="67"/>
      <c r="U48" s="67"/>
      <c r="V48" s="67"/>
    </row>
    <row r="49" spans="1:22" s="83" customFormat="1" ht="12.75" customHeight="1" x14ac:dyDescent="0.25">
      <c r="A49" s="105"/>
      <c r="B49" s="117" t="s">
        <v>190</v>
      </c>
      <c r="C49" s="117"/>
      <c r="D49" s="118"/>
      <c r="E49" s="118"/>
      <c r="F49" s="120"/>
      <c r="G49" s="109"/>
      <c r="I49" s="67"/>
      <c r="J49" s="67"/>
      <c r="K49" s="67"/>
      <c r="L49" s="67"/>
      <c r="M49" s="67"/>
      <c r="N49" s="67"/>
      <c r="O49" s="67"/>
      <c r="P49" s="67"/>
      <c r="Q49" s="67"/>
      <c r="R49" s="67"/>
      <c r="S49" s="67"/>
      <c r="T49" s="67"/>
      <c r="U49" s="67"/>
      <c r="V49" s="67"/>
    </row>
    <row r="50" spans="1:22" s="83" customFormat="1" ht="19.5" customHeight="1" x14ac:dyDescent="0.25">
      <c r="A50" s="105"/>
      <c r="B50" s="106"/>
      <c r="C50" s="112"/>
      <c r="D50" s="106"/>
      <c r="E50" s="106"/>
      <c r="F50" s="75"/>
      <c r="G50" s="109"/>
      <c r="I50" s="67"/>
      <c r="J50" s="67"/>
      <c r="K50" s="67"/>
      <c r="L50" s="67"/>
      <c r="M50" s="67"/>
      <c r="N50" s="67"/>
      <c r="O50" s="67"/>
      <c r="P50" s="67"/>
      <c r="Q50" s="67"/>
      <c r="R50" s="67"/>
      <c r="S50" s="67"/>
      <c r="T50" s="67"/>
      <c r="U50" s="67"/>
      <c r="V50" s="67"/>
    </row>
    <row r="51" spans="1:22" s="83" customFormat="1" ht="19.5" customHeight="1" x14ac:dyDescent="0.25">
      <c r="A51" s="105"/>
      <c r="B51" s="106"/>
      <c r="C51" s="112"/>
      <c r="D51" s="106"/>
      <c r="E51" s="106"/>
      <c r="F51" s="75"/>
      <c r="G51" s="109"/>
      <c r="I51" s="67"/>
      <c r="J51" s="67"/>
      <c r="K51" s="67"/>
      <c r="L51" s="67"/>
      <c r="M51" s="67"/>
      <c r="N51" s="67"/>
      <c r="O51" s="67"/>
      <c r="P51" s="67"/>
      <c r="Q51" s="67"/>
      <c r="R51" s="67"/>
      <c r="S51" s="67"/>
      <c r="T51" s="67"/>
      <c r="U51" s="67"/>
      <c r="V51" s="67"/>
    </row>
    <row r="52" spans="1:22" s="83" customFormat="1" ht="19.5" customHeight="1" x14ac:dyDescent="0.2">
      <c r="A52" s="105"/>
      <c r="B52" s="106"/>
      <c r="C52" s="105"/>
      <c r="D52" s="106"/>
      <c r="E52" s="106"/>
      <c r="F52" s="75"/>
      <c r="G52" s="109"/>
      <c r="H52" s="121"/>
      <c r="I52" s="67"/>
      <c r="J52" s="67"/>
      <c r="K52" s="67"/>
      <c r="L52" s="67"/>
      <c r="M52" s="67"/>
      <c r="N52" s="67"/>
      <c r="O52" s="67"/>
      <c r="P52" s="67"/>
      <c r="Q52" s="67"/>
      <c r="R52" s="67"/>
      <c r="S52" s="67"/>
      <c r="T52" s="67"/>
      <c r="U52" s="67"/>
      <c r="V52" s="67"/>
    </row>
    <row r="53" spans="1:22" s="83" customFormat="1" x14ac:dyDescent="0.2">
      <c r="A53" s="105"/>
      <c r="B53" s="173" t="s">
        <v>134</v>
      </c>
      <c r="C53" s="173"/>
      <c r="D53" s="173"/>
      <c r="E53" s="173"/>
      <c r="F53" s="173"/>
      <c r="G53" s="106"/>
      <c r="H53" s="121"/>
      <c r="I53" s="67"/>
      <c r="J53" s="67"/>
      <c r="K53" s="67"/>
      <c r="L53" s="67"/>
      <c r="M53" s="67"/>
      <c r="N53" s="67"/>
      <c r="O53" s="67"/>
      <c r="P53" s="67"/>
      <c r="Q53" s="67"/>
      <c r="R53" s="67"/>
      <c r="S53" s="67"/>
      <c r="T53" s="67"/>
      <c r="U53" s="67"/>
      <c r="V53" s="67"/>
    </row>
    <row r="54" spans="1:22" s="83" customFormat="1" ht="19.5" customHeight="1" x14ac:dyDescent="0.2">
      <c r="A54" s="105"/>
      <c r="B54" s="173" t="s">
        <v>126</v>
      </c>
      <c r="C54" s="173"/>
      <c r="D54" s="122" t="s">
        <v>127</v>
      </c>
      <c r="E54" s="122" t="s">
        <v>128</v>
      </c>
      <c r="F54" s="122" t="s">
        <v>115</v>
      </c>
      <c r="G54" s="106"/>
      <c r="H54" s="123"/>
      <c r="I54" s="67"/>
      <c r="J54" s="67"/>
      <c r="K54" s="67"/>
      <c r="L54" s="67"/>
      <c r="M54" s="67"/>
      <c r="N54" s="67"/>
      <c r="O54" s="67"/>
      <c r="P54" s="67"/>
      <c r="Q54" s="67"/>
      <c r="R54" s="67"/>
      <c r="S54" s="67"/>
      <c r="T54" s="67"/>
      <c r="U54" s="67"/>
      <c r="V54" s="67"/>
    </row>
    <row r="55" spans="1:22" s="83" customFormat="1" ht="32.25" customHeight="1" x14ac:dyDescent="0.2">
      <c r="A55" s="105"/>
      <c r="B55" s="172" t="s">
        <v>1</v>
      </c>
      <c r="C55" s="172"/>
      <c r="D55" s="124" t="s">
        <v>148</v>
      </c>
      <c r="E55" s="125" t="e">
        <f>(F24*Listas!N2)+('OP ADULTO'!F25*Listas!N4)/'OP ADULTO'!G36</f>
        <v>#DIV/0!</v>
      </c>
      <c r="F55" s="126" t="e">
        <f>IF(E55&lt;1,"NO ESTABLE",IF(E55&gt;0.99,"ESTABLE"))</f>
        <v>#DIV/0!</v>
      </c>
      <c r="G55" s="106"/>
      <c r="H55" s="123"/>
      <c r="I55" s="67"/>
      <c r="J55" s="67"/>
      <c r="K55" s="67"/>
      <c r="L55" s="67"/>
      <c r="M55" s="67"/>
      <c r="N55" s="67"/>
      <c r="O55" s="67"/>
      <c r="P55" s="67"/>
      <c r="Q55" s="67"/>
      <c r="R55" s="67"/>
      <c r="S55" s="67"/>
      <c r="T55" s="67"/>
      <c r="U55" s="67"/>
      <c r="V55" s="67"/>
    </row>
    <row r="56" spans="1:22" s="83" customFormat="1" ht="32.25" customHeight="1" x14ac:dyDescent="0.2">
      <c r="A56" s="105"/>
      <c r="B56" s="172" t="s">
        <v>0</v>
      </c>
      <c r="C56" s="172"/>
      <c r="D56" s="124" t="s">
        <v>149</v>
      </c>
      <c r="E56" s="125" t="e">
        <f>(G26*Listas!N5)/'OP ADULTO'!G36</f>
        <v>#DIV/0!</v>
      </c>
      <c r="F56" s="127" t="e">
        <f>IF(F26&gt;4,"VERIFICAR FLUJO METABÓLICO",IF(E56&gt;=24.5,"ADVERTENCIA / RIESGO HÍGADO GRASO",IF(E56&lt;24.5,"SEGURA","")))</f>
        <v>#DIV/0!</v>
      </c>
      <c r="G56" s="123"/>
      <c r="H56" s="123"/>
      <c r="I56" s="67"/>
      <c r="J56" s="67"/>
      <c r="K56" s="67"/>
      <c r="L56" s="67"/>
      <c r="M56" s="67"/>
      <c r="N56" s="67"/>
      <c r="O56" s="67"/>
      <c r="P56" s="67"/>
      <c r="Q56" s="67"/>
      <c r="R56" s="67"/>
      <c r="S56" s="67"/>
      <c r="T56" s="67"/>
      <c r="U56" s="67"/>
      <c r="V56" s="67"/>
    </row>
    <row r="57" spans="1:22" s="83" customFormat="1" ht="32.25" customHeight="1" x14ac:dyDescent="0.2">
      <c r="A57" s="105"/>
      <c r="B57" s="172" t="s">
        <v>116</v>
      </c>
      <c r="C57" s="172"/>
      <c r="D57" s="124" t="s">
        <v>150</v>
      </c>
      <c r="E57" s="125" t="e">
        <f>((F27)/(G36/1000))</f>
        <v>#DIV/0!</v>
      </c>
      <c r="F57" s="126" t="e">
        <f>IF(E57&gt;30,"OJO: REVISAR FACTOR", "ESTABLE")</f>
        <v>#DIV/0!</v>
      </c>
      <c r="G57" s="123"/>
      <c r="H57" s="123"/>
      <c r="I57" s="67"/>
      <c r="J57" s="67"/>
      <c r="K57" s="67"/>
      <c r="L57" s="67"/>
      <c r="M57" s="67"/>
      <c r="N57" s="67"/>
      <c r="O57" s="67"/>
      <c r="P57" s="67"/>
      <c r="Q57" s="67"/>
      <c r="R57" s="67"/>
      <c r="S57" s="67"/>
      <c r="T57" s="67"/>
      <c r="U57" s="67"/>
      <c r="V57" s="67"/>
    </row>
    <row r="58" spans="1:22" s="83" customFormat="1" ht="32.25" customHeight="1" x14ac:dyDescent="0.2">
      <c r="A58" s="105"/>
      <c r="B58" s="172" t="s">
        <v>117</v>
      </c>
      <c r="C58" s="172"/>
      <c r="D58" s="124" t="s">
        <v>151</v>
      </c>
      <c r="E58" s="125" t="e">
        <f>((F28)/(G36/1000))</f>
        <v>#DIV/0!</v>
      </c>
      <c r="F58" s="127" t="e">
        <f>IF(E58&gt;20,"OJO: REVISAR FACTOR", "SEGURA")</f>
        <v>#DIV/0!</v>
      </c>
      <c r="G58" s="123"/>
      <c r="H58" s="123"/>
      <c r="I58" s="67"/>
      <c r="J58" s="67"/>
      <c r="K58" s="67"/>
      <c r="L58" s="67"/>
      <c r="M58" s="67"/>
      <c r="N58" s="67"/>
      <c r="O58" s="67"/>
      <c r="P58" s="67"/>
      <c r="Q58" s="67"/>
      <c r="R58" s="67"/>
      <c r="S58" s="67"/>
      <c r="T58" s="67"/>
      <c r="U58" s="67"/>
      <c r="V58" s="67"/>
    </row>
    <row r="59" spans="1:22" s="83" customFormat="1" ht="32.25" customHeight="1" x14ac:dyDescent="0.2">
      <c r="A59" s="105"/>
      <c r="B59" s="172" t="s">
        <v>118</v>
      </c>
      <c r="C59" s="172"/>
      <c r="D59" s="124" t="s">
        <v>152</v>
      </c>
      <c r="E59" s="125" t="e">
        <f>((F29*Listas!C79)+('OP ADULTO'!E60))/Listas!C79</f>
        <v>#DIV/0!</v>
      </c>
      <c r="F59" s="183" t="e">
        <f>IF(E59&gt;2,"OJO: REVISAR FACTOR", "SEGURA")</f>
        <v>#DIV/0!</v>
      </c>
      <c r="G59" s="123"/>
      <c r="H59" s="123"/>
      <c r="I59" s="67"/>
      <c r="J59" s="67"/>
      <c r="K59" s="67"/>
      <c r="L59" s="67"/>
      <c r="M59" s="67"/>
      <c r="N59" s="67"/>
      <c r="O59" s="67"/>
      <c r="P59" s="67"/>
      <c r="Q59" s="67"/>
      <c r="R59" s="67"/>
      <c r="S59" s="67"/>
      <c r="T59" s="67"/>
      <c r="U59" s="67"/>
      <c r="V59" s="67"/>
    </row>
    <row r="60" spans="1:22" s="83" customFormat="1" ht="32.25" customHeight="1" x14ac:dyDescent="0.2">
      <c r="A60" s="105"/>
      <c r="B60" s="172" t="s">
        <v>122</v>
      </c>
      <c r="C60" s="172"/>
      <c r="D60" s="98" t="s">
        <v>121</v>
      </c>
      <c r="E60" s="125">
        <f>(F27*2)</f>
        <v>0</v>
      </c>
      <c r="F60" s="183"/>
      <c r="G60" s="123"/>
      <c r="H60" s="123"/>
      <c r="I60" s="67"/>
      <c r="J60" s="67"/>
      <c r="K60" s="67"/>
      <c r="L60" s="67"/>
      <c r="M60" s="67"/>
      <c r="N60" s="67"/>
      <c r="O60" s="67"/>
      <c r="P60" s="67"/>
      <c r="Q60" s="67"/>
      <c r="R60" s="67"/>
      <c r="S60" s="67"/>
      <c r="T60" s="67"/>
      <c r="U60" s="67"/>
      <c r="V60" s="67"/>
    </row>
    <row r="61" spans="1:22" s="83" customFormat="1" ht="32.25" customHeight="1" x14ac:dyDescent="0.2">
      <c r="A61" s="105"/>
      <c r="B61" s="172" t="s">
        <v>119</v>
      </c>
      <c r="C61" s="172"/>
      <c r="D61" s="124" t="s">
        <v>153</v>
      </c>
      <c r="E61" s="125" t="e">
        <f>((G29+G30)/Listas!C79)*2</f>
        <v>#DIV/0!</v>
      </c>
      <c r="F61" s="127" t="e">
        <f>IF(E61&gt;5,"OJO: REVISAR FACTOR CLORO",IF(F30&lt;=2,"SEGURA","OJO: REVISAR FACTOR POTASIO"))</f>
        <v>#DIV/0!</v>
      </c>
      <c r="G61" s="123"/>
      <c r="H61" s="123"/>
      <c r="I61" s="67"/>
      <c r="J61" s="67"/>
      <c r="K61" s="67"/>
      <c r="L61" s="67"/>
      <c r="M61" s="67"/>
      <c r="N61" s="67"/>
      <c r="O61" s="67"/>
      <c r="P61" s="67"/>
      <c r="Q61" s="67"/>
      <c r="R61" s="67"/>
      <c r="S61" s="67"/>
      <c r="T61" s="67"/>
      <c r="U61" s="67"/>
      <c r="V61" s="67"/>
    </row>
    <row r="62" spans="1:22" s="83" customFormat="1" ht="32.25" customHeight="1" x14ac:dyDescent="0.2">
      <c r="A62" s="105"/>
      <c r="B62" s="172" t="s">
        <v>123</v>
      </c>
      <c r="C62" s="172"/>
      <c r="D62" s="124" t="s">
        <v>154</v>
      </c>
      <c r="E62" s="125" t="e">
        <f>F28/F31</f>
        <v>#DIV/0!</v>
      </c>
      <c r="F62" s="126" t="e">
        <f>IF(E62&gt;2,"OJO: REVISAR FACTOR", "ESTABLE")</f>
        <v>#DIV/0!</v>
      </c>
      <c r="G62" s="123"/>
      <c r="H62" s="123"/>
      <c r="I62" s="67"/>
      <c r="J62" s="67"/>
      <c r="K62" s="67"/>
      <c r="L62" s="67"/>
      <c r="M62" s="67"/>
      <c r="N62" s="67"/>
      <c r="O62" s="67"/>
      <c r="P62" s="67"/>
      <c r="Q62" s="67"/>
      <c r="R62" s="67"/>
      <c r="S62" s="67"/>
      <c r="T62" s="67"/>
      <c r="U62" s="67"/>
      <c r="V62" s="67"/>
    </row>
    <row r="63" spans="1:22" s="83" customFormat="1" ht="32.25" customHeight="1" x14ac:dyDescent="0.2">
      <c r="A63" s="105"/>
      <c r="B63" s="172" t="s">
        <v>124</v>
      </c>
      <c r="C63" s="172"/>
      <c r="D63" s="124" t="s">
        <v>155</v>
      </c>
      <c r="E63" s="125" t="e">
        <f>((F31)/(G36/1000))</f>
        <v>#DIV/0!</v>
      </c>
      <c r="F63" s="126" t="e">
        <f>IF(E63&gt;10,"OJO: REVISAR FACTOR", "ESTABLE")</f>
        <v>#DIV/0!</v>
      </c>
      <c r="G63" s="123"/>
      <c r="H63" s="123"/>
      <c r="I63" s="67"/>
      <c r="J63" s="67"/>
      <c r="K63" s="67"/>
      <c r="L63" s="67"/>
      <c r="M63" s="67"/>
      <c r="N63" s="67"/>
      <c r="O63" s="67"/>
      <c r="P63" s="67"/>
      <c r="Q63" s="67"/>
      <c r="R63" s="67"/>
      <c r="S63" s="67"/>
      <c r="T63" s="67"/>
      <c r="U63" s="67"/>
      <c r="V63" s="67"/>
    </row>
    <row r="64" spans="1:22" s="83" customFormat="1" ht="32.25" customHeight="1" x14ac:dyDescent="0.2">
      <c r="A64" s="105"/>
      <c r="B64" s="172" t="s">
        <v>125</v>
      </c>
      <c r="C64" s="172"/>
      <c r="D64" s="124" t="s">
        <v>148</v>
      </c>
      <c r="E64" s="125" t="e">
        <f>(F34*Listas!C79)/G36*100</f>
        <v>#DIV/0!</v>
      </c>
      <c r="F64" s="126" t="str">
        <f>IF(G34&lt;1,"NO ESTABLE",IF(G34&gt;0.99,"ESTABLE"))</f>
        <v>NO ESTABLE</v>
      </c>
      <c r="G64" s="123"/>
      <c r="H64" s="123"/>
      <c r="I64" s="67"/>
      <c r="J64" s="67"/>
      <c r="K64" s="67"/>
      <c r="L64" s="67"/>
      <c r="M64" s="67"/>
      <c r="N64" s="67"/>
      <c r="O64" s="67"/>
      <c r="P64" s="67"/>
      <c r="Q64" s="67"/>
      <c r="R64" s="67"/>
      <c r="S64" s="67"/>
      <c r="T64" s="67"/>
      <c r="U64" s="67"/>
      <c r="V64" s="67"/>
    </row>
    <row r="65" spans="1:34" s="83" customFormat="1" ht="32.25" customHeight="1" x14ac:dyDescent="0.2">
      <c r="A65" s="123"/>
      <c r="B65" s="172" t="s">
        <v>135</v>
      </c>
      <c r="C65" s="172"/>
      <c r="D65" s="128" t="s">
        <v>140</v>
      </c>
      <c r="E65" s="125" t="e">
        <f>(Listas!B104+Listas!B103)/Listas!B101</f>
        <v>#DIV/0!</v>
      </c>
      <c r="F65" s="127" t="e">
        <f>IF(E65&lt;25,"INSEGURA",IF(E65&gt;25,"SEGURA"))</f>
        <v>#DIV/0!</v>
      </c>
      <c r="G65" s="123"/>
      <c r="H65" s="123"/>
      <c r="I65" s="67"/>
      <c r="J65" s="67"/>
      <c r="K65" s="67"/>
      <c r="L65" s="67"/>
      <c r="M65" s="67"/>
      <c r="N65" s="67"/>
      <c r="O65" s="67"/>
      <c r="P65" s="67"/>
      <c r="Q65" s="67"/>
      <c r="R65" s="67"/>
      <c r="S65" s="67"/>
      <c r="T65" s="67"/>
      <c r="U65" s="67"/>
      <c r="V65" s="67"/>
    </row>
    <row r="66" spans="1:34" s="83" customFormat="1" ht="32.25" customHeight="1" x14ac:dyDescent="0.2">
      <c r="A66" s="67"/>
      <c r="B66" s="67"/>
      <c r="C66" s="105"/>
      <c r="D66" s="105"/>
      <c r="E66" s="129"/>
      <c r="F66" s="123"/>
      <c r="G66" s="123"/>
      <c r="H66" s="123"/>
      <c r="I66" s="67"/>
      <c r="J66" s="67"/>
      <c r="K66" s="67"/>
      <c r="L66" s="67"/>
      <c r="M66" s="67"/>
      <c r="N66" s="67"/>
      <c r="O66" s="67"/>
      <c r="P66" s="67"/>
      <c r="Q66" s="67"/>
      <c r="R66" s="67"/>
      <c r="S66" s="67"/>
      <c r="T66" s="67"/>
      <c r="U66" s="67"/>
      <c r="V66" s="67"/>
    </row>
    <row r="67" spans="1:34" s="83" customFormat="1" ht="16.5" thickBot="1" x14ac:dyDescent="0.25">
      <c r="A67" s="67"/>
      <c r="B67" s="67"/>
      <c r="C67" s="105"/>
      <c r="D67" s="105"/>
      <c r="E67" s="129"/>
      <c r="F67" s="123"/>
      <c r="G67" s="123"/>
      <c r="H67" s="123"/>
      <c r="I67" s="67"/>
      <c r="J67" s="67"/>
      <c r="K67" s="67"/>
      <c r="L67" s="67"/>
      <c r="M67" s="67"/>
      <c r="N67" s="67"/>
      <c r="O67" s="67"/>
      <c r="P67" s="67"/>
      <c r="Q67" s="67"/>
      <c r="R67" s="67"/>
      <c r="S67" s="67"/>
      <c r="T67" s="67"/>
      <c r="U67" s="67"/>
      <c r="V67" s="67"/>
    </row>
    <row r="68" spans="1:34" s="83" customFormat="1" x14ac:dyDescent="0.2">
      <c r="A68" s="67"/>
      <c r="B68" s="130" t="s">
        <v>133</v>
      </c>
      <c r="C68" s="131" t="e">
        <f>Listas!B100</f>
        <v>#DIV/0!</v>
      </c>
      <c r="D68" s="105"/>
      <c r="E68" s="129"/>
      <c r="F68" s="123"/>
      <c r="G68" s="123"/>
      <c r="H68" s="123"/>
      <c r="I68" s="67"/>
      <c r="J68" s="67"/>
      <c r="K68" s="67"/>
      <c r="L68" s="67"/>
      <c r="M68" s="67"/>
      <c r="N68" s="67"/>
      <c r="O68" s="67"/>
      <c r="P68" s="67"/>
      <c r="Q68" s="67"/>
      <c r="R68" s="67"/>
      <c r="S68" s="67"/>
      <c r="T68" s="67"/>
      <c r="U68" s="67"/>
      <c r="V68" s="67"/>
    </row>
    <row r="69" spans="1:34" s="83" customFormat="1" x14ac:dyDescent="0.2">
      <c r="A69" s="67"/>
      <c r="B69" s="132" t="s">
        <v>136</v>
      </c>
      <c r="C69" s="133">
        <f>Listas!B101</f>
        <v>0</v>
      </c>
      <c r="D69" s="105"/>
      <c r="E69" s="129"/>
      <c r="F69" s="123"/>
      <c r="G69" s="123"/>
      <c r="H69" s="123"/>
      <c r="I69" s="67"/>
      <c r="J69" s="67"/>
      <c r="K69" s="67"/>
      <c r="L69" s="67"/>
      <c r="M69" s="67"/>
      <c r="N69" s="67"/>
      <c r="O69" s="67"/>
      <c r="P69" s="67"/>
      <c r="Q69" s="67"/>
      <c r="R69" s="67"/>
      <c r="S69" s="67"/>
      <c r="T69" s="67"/>
      <c r="U69" s="67"/>
      <c r="V69" s="67"/>
    </row>
    <row r="70" spans="1:34" s="83" customFormat="1" x14ac:dyDescent="0.2">
      <c r="A70" s="67"/>
      <c r="B70" s="132" t="s">
        <v>137</v>
      </c>
      <c r="C70" s="133">
        <f>Listas!B102</f>
        <v>0</v>
      </c>
      <c r="D70" s="105"/>
      <c r="E70" s="129"/>
      <c r="F70" s="123"/>
      <c r="G70" s="123"/>
      <c r="H70" s="123"/>
      <c r="I70" s="67"/>
      <c r="J70" s="67"/>
      <c r="K70" s="67"/>
      <c r="L70" s="67"/>
      <c r="M70" s="67"/>
      <c r="N70" s="67"/>
      <c r="O70" s="67"/>
      <c r="P70" s="67"/>
      <c r="Q70" s="67"/>
      <c r="R70" s="67"/>
      <c r="S70" s="67"/>
      <c r="T70" s="67"/>
      <c r="U70" s="67"/>
      <c r="V70" s="67"/>
    </row>
    <row r="71" spans="1:34" s="83" customFormat="1" x14ac:dyDescent="0.2">
      <c r="A71" s="67"/>
      <c r="B71" s="132" t="s">
        <v>138</v>
      </c>
      <c r="C71" s="133">
        <f>Listas!B103</f>
        <v>0</v>
      </c>
      <c r="D71" s="105"/>
      <c r="E71" s="129"/>
      <c r="F71" s="123"/>
      <c r="G71" s="123"/>
      <c r="H71" s="123"/>
      <c r="I71" s="67"/>
      <c r="J71" s="67"/>
      <c r="K71" s="67"/>
      <c r="L71" s="67"/>
      <c r="M71" s="67"/>
      <c r="N71" s="67"/>
      <c r="O71" s="67"/>
      <c r="P71" s="67"/>
      <c r="Q71" s="67"/>
      <c r="R71" s="67"/>
      <c r="S71" s="67"/>
      <c r="T71" s="67"/>
      <c r="U71" s="67"/>
      <c r="V71" s="67"/>
    </row>
    <row r="72" spans="1:34" s="83" customFormat="1" ht="16.5" thickBot="1" x14ac:dyDescent="0.25">
      <c r="A72" s="67"/>
      <c r="B72" s="134" t="s">
        <v>139</v>
      </c>
      <c r="C72" s="135">
        <f>Listas!B104</f>
        <v>0</v>
      </c>
      <c r="D72" s="105"/>
      <c r="E72" s="129"/>
      <c r="F72" s="123"/>
      <c r="G72" s="123"/>
      <c r="H72" s="123"/>
      <c r="I72" s="67"/>
      <c r="J72" s="67"/>
      <c r="K72" s="67"/>
      <c r="L72" s="67"/>
      <c r="M72" s="67"/>
      <c r="N72" s="67"/>
      <c r="O72" s="67"/>
      <c r="P72" s="67"/>
      <c r="Q72" s="67"/>
      <c r="R72" s="67"/>
      <c r="S72" s="67"/>
      <c r="T72" s="67"/>
      <c r="U72" s="67"/>
      <c r="V72" s="67"/>
    </row>
    <row r="73" spans="1:34" s="83" customFormat="1" x14ac:dyDescent="0.2">
      <c r="A73" s="67"/>
      <c r="B73" s="67"/>
      <c r="C73" s="105"/>
      <c r="D73" s="105"/>
      <c r="E73" s="129"/>
      <c r="F73" s="123"/>
      <c r="G73" s="123"/>
      <c r="H73" s="123"/>
      <c r="I73" s="67"/>
      <c r="J73" s="67"/>
      <c r="K73" s="67"/>
      <c r="L73" s="67"/>
      <c r="M73" s="67"/>
      <c r="N73" s="67"/>
      <c r="O73" s="67"/>
      <c r="P73" s="67"/>
      <c r="Q73" s="67"/>
      <c r="R73" s="67"/>
      <c r="S73" s="67"/>
      <c r="T73" s="67"/>
      <c r="U73" s="67"/>
      <c r="V73" s="67"/>
    </row>
    <row r="74" spans="1:34" s="83" customFormat="1" x14ac:dyDescent="0.2">
      <c r="A74" s="71"/>
      <c r="B74" s="71"/>
      <c r="C74" s="71"/>
      <c r="D74" s="136"/>
      <c r="E74" s="137"/>
      <c r="F74" s="67"/>
      <c r="G74" s="67"/>
      <c r="H74" s="123"/>
      <c r="I74" s="67"/>
      <c r="J74" s="67"/>
      <c r="K74" s="67"/>
      <c r="L74" s="67"/>
      <c r="M74" s="67"/>
      <c r="N74" s="67"/>
      <c r="O74" s="67"/>
      <c r="P74" s="67"/>
      <c r="Q74" s="67"/>
      <c r="R74" s="67"/>
      <c r="S74" s="67"/>
      <c r="T74" s="67"/>
      <c r="U74" s="67"/>
      <c r="V74" s="67"/>
    </row>
    <row r="75" spans="1:34" s="67" customFormat="1" x14ac:dyDescent="0.25">
      <c r="A75" s="71"/>
      <c r="B75" s="71"/>
      <c r="C75" s="71"/>
      <c r="D75" s="136"/>
      <c r="E75" s="137"/>
      <c r="W75" s="68"/>
      <c r="X75" s="68"/>
      <c r="Y75" s="69"/>
      <c r="Z75" s="68"/>
      <c r="AA75" s="68"/>
      <c r="AB75" s="68"/>
      <c r="AC75" s="68"/>
      <c r="AD75" s="68"/>
      <c r="AE75" s="68"/>
      <c r="AF75" s="68"/>
      <c r="AG75" s="68"/>
      <c r="AH75" s="69"/>
    </row>
    <row r="76" spans="1:34" s="67" customFormat="1" x14ac:dyDescent="0.25">
      <c r="A76" s="71"/>
      <c r="B76" s="71"/>
      <c r="C76" s="71"/>
      <c r="D76" s="136"/>
      <c r="E76" s="137"/>
      <c r="W76" s="68"/>
      <c r="X76" s="68"/>
      <c r="Y76" s="69"/>
      <c r="Z76" s="68"/>
      <c r="AA76" s="68"/>
      <c r="AB76" s="68"/>
      <c r="AC76" s="68"/>
      <c r="AD76" s="68"/>
      <c r="AE76" s="68"/>
      <c r="AF76" s="68"/>
      <c r="AG76" s="68"/>
      <c r="AH76" s="69"/>
    </row>
    <row r="77" spans="1:34" s="67" customFormat="1" x14ac:dyDescent="0.25">
      <c r="A77" s="71"/>
      <c r="B77" s="71"/>
      <c r="C77" s="71"/>
      <c r="D77" s="136"/>
      <c r="E77" s="137"/>
      <c r="W77" s="68"/>
      <c r="X77" s="68"/>
      <c r="Y77" s="69"/>
      <c r="Z77" s="68"/>
      <c r="AA77" s="68"/>
      <c r="AB77" s="68"/>
      <c r="AC77" s="68"/>
      <c r="AD77" s="68"/>
      <c r="AE77" s="68"/>
      <c r="AF77" s="68"/>
      <c r="AG77" s="68"/>
      <c r="AH77" s="69"/>
    </row>
    <row r="78" spans="1:34" s="67" customFormat="1" x14ac:dyDescent="0.25">
      <c r="A78" s="71"/>
      <c r="B78" s="71"/>
      <c r="C78" s="71"/>
      <c r="D78" s="136"/>
      <c r="E78" s="137"/>
      <c r="W78" s="68"/>
      <c r="X78" s="68"/>
      <c r="Y78" s="69"/>
      <c r="Z78" s="68"/>
      <c r="AA78" s="68"/>
      <c r="AB78" s="68"/>
      <c r="AC78" s="68"/>
      <c r="AD78" s="68"/>
      <c r="AE78" s="68"/>
      <c r="AF78" s="68"/>
      <c r="AG78" s="68"/>
      <c r="AH78" s="69"/>
    </row>
    <row r="79" spans="1:34" s="67" customFormat="1" x14ac:dyDescent="0.25">
      <c r="A79" s="71"/>
      <c r="B79" s="71"/>
      <c r="C79" s="71"/>
      <c r="D79" s="136"/>
      <c r="E79" s="137"/>
      <c r="W79" s="68"/>
      <c r="X79" s="68"/>
      <c r="Y79" s="69"/>
      <c r="Z79" s="68"/>
      <c r="AA79" s="68"/>
      <c r="AB79" s="68"/>
      <c r="AC79" s="68"/>
      <c r="AD79" s="68"/>
      <c r="AE79" s="68"/>
      <c r="AF79" s="68"/>
      <c r="AG79" s="68"/>
      <c r="AH79" s="69"/>
    </row>
    <row r="80" spans="1:34" s="67" customFormat="1" x14ac:dyDescent="0.25">
      <c r="A80" s="71"/>
      <c r="B80" s="71"/>
      <c r="C80" s="71"/>
      <c r="D80" s="136"/>
      <c r="E80" s="137"/>
      <c r="W80" s="68"/>
      <c r="X80" s="68"/>
      <c r="Y80" s="69"/>
      <c r="Z80" s="68"/>
      <c r="AA80" s="68"/>
      <c r="AB80" s="68"/>
      <c r="AC80" s="68"/>
      <c r="AD80" s="68"/>
      <c r="AE80" s="68"/>
      <c r="AF80" s="68"/>
      <c r="AG80" s="68"/>
      <c r="AH80" s="69"/>
    </row>
    <row r="81" spans="1:34" s="67" customFormat="1" x14ac:dyDescent="0.25">
      <c r="A81" s="71"/>
      <c r="B81" s="71"/>
      <c r="C81" s="71"/>
      <c r="D81" s="136"/>
      <c r="E81" s="137"/>
      <c r="F81" s="137"/>
      <c r="G81" s="137"/>
      <c r="W81" s="68"/>
      <c r="X81" s="68"/>
      <c r="Y81" s="69"/>
      <c r="Z81" s="68"/>
      <c r="AA81" s="68"/>
      <c r="AB81" s="68"/>
      <c r="AC81" s="68"/>
      <c r="AD81" s="68"/>
      <c r="AE81" s="68"/>
      <c r="AF81" s="68"/>
      <c r="AG81" s="68"/>
      <c r="AH81" s="69"/>
    </row>
  </sheetData>
  <sheetProtection algorithmName="SHA-512" hashValue="UijXmc6HKEnTfG/5LzdRjCmjuDUuZq5biAzudnNrXmVId08VEa2afhY//IzxnVzkFDHoVGCHxMBZs/mjn8Pftg==" saltValue="zRFFaW+a+X238CG9lg961w==" spinCount="100000" sheet="1" formatCells="0" formatColumns="0" formatRows="0" sort="0" autoFilter="0"/>
  <protectedRanges>
    <protectedRange sqref="F24:F35" name="Rango6"/>
    <protectedRange sqref="C17" name="Rango5"/>
    <protectedRange sqref="C12:F15" name="Rango4"/>
    <protectedRange sqref="H10" name="Rango3"/>
    <protectedRange sqref="C10" name="Rango2"/>
    <protectedRange sqref="E9" name="Rango1"/>
  </protectedRanges>
  <dataConsolidate/>
  <mergeCells count="58">
    <mergeCell ref="B46:C46"/>
    <mergeCell ref="E46:G46"/>
    <mergeCell ref="E47:F47"/>
    <mergeCell ref="C2:F3"/>
    <mergeCell ref="F59:F60"/>
    <mergeCell ref="G22:G23"/>
    <mergeCell ref="D24:E24"/>
    <mergeCell ref="D25:E25"/>
    <mergeCell ref="D26:E26"/>
    <mergeCell ref="D27:E27"/>
    <mergeCell ref="C4:F6"/>
    <mergeCell ref="E9:F9"/>
    <mergeCell ref="G7:H7"/>
    <mergeCell ref="D7:E7"/>
    <mergeCell ref="C10:F10"/>
    <mergeCell ref="C12:F12"/>
    <mergeCell ref="B65:C65"/>
    <mergeCell ref="B53:F53"/>
    <mergeCell ref="B54:C54"/>
    <mergeCell ref="B55:C55"/>
    <mergeCell ref="B56:C56"/>
    <mergeCell ref="B57:C57"/>
    <mergeCell ref="B58:C58"/>
    <mergeCell ref="B59:C59"/>
    <mergeCell ref="B60:C60"/>
    <mergeCell ref="B61:C61"/>
    <mergeCell ref="B62:C62"/>
    <mergeCell ref="B63:C63"/>
    <mergeCell ref="B64:C64"/>
    <mergeCell ref="G1:H1"/>
    <mergeCell ref="G2:H2"/>
    <mergeCell ref="C1:F1"/>
    <mergeCell ref="A9:B9"/>
    <mergeCell ref="A10:B10"/>
    <mergeCell ref="C9:D9"/>
    <mergeCell ref="A12:B12"/>
    <mergeCell ref="A13:B13"/>
    <mergeCell ref="C13:F13"/>
    <mergeCell ref="B22:E22"/>
    <mergeCell ref="D23:E23"/>
    <mergeCell ref="A14:B14"/>
    <mergeCell ref="A15:B15"/>
    <mergeCell ref="A17:B17"/>
    <mergeCell ref="A18:B18"/>
    <mergeCell ref="A19:B19"/>
    <mergeCell ref="A20:B20"/>
    <mergeCell ref="D28:E28"/>
    <mergeCell ref="D35:E35"/>
    <mergeCell ref="A22:A23"/>
    <mergeCell ref="C14:F14"/>
    <mergeCell ref="C15:F15"/>
    <mergeCell ref="F22:F23"/>
    <mergeCell ref="D34:E34"/>
    <mergeCell ref="D29:E29"/>
    <mergeCell ref="D31:E31"/>
    <mergeCell ref="D32:E32"/>
    <mergeCell ref="D33:E33"/>
    <mergeCell ref="D30:E30"/>
  </mergeCells>
  <dataValidations count="4">
    <dataValidation type="decimal" errorStyle="warning" allowBlank="1" showInputMessage="1" showErrorMessage="1" errorTitle="Flujo metabólico" error="Recuerde que el flujo metabólico en adultos es de 1-4 mg/Kg/min" sqref="WVL98304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D6553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6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0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4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7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1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4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8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2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5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89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2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6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0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3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xr:uid="{00000000-0002-0000-0100-000000000000}">
      <formula1>1</formula1>
      <formula2>4</formula2>
    </dataValidation>
    <dataValidation type="decimal" errorStyle="warning" allowBlank="1" showInputMessage="1" showErrorMessage="1" error="Valor de Calcio entre 10-15 mEq/día" sqref="WVL983059 D6554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8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1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5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8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2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6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29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3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6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0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4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7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1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4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xr:uid="{00000000-0002-0000-0100-000001000000}">
      <formula1>10</formula1>
      <formula2>15</formula2>
    </dataValidation>
    <dataValidation type="decimal" errorStyle="warning" allowBlank="1" showInputMessage="1" showErrorMessage="1" error="Rango de Magnesio entre 8- 20 mEq/día" sqref="WVL983053 IZ65 SV65 ACR65 AMN65 AWJ65 BGF65 BQB65 BZX65 CJT65 CTP65 DDL65 DNH65 DXD65 EGZ65 EQV65 FAR65 FKN65 FUJ65 GEF65 GOB65 GXX65 HHT65 HRP65 IBL65 ILH65 IVD65 JEZ65 JOV65 JYR65 KIN65 KSJ65 LCF65 LMB65 LVX65 MFT65 MPP65 MZL65 NJH65 NTD65 OCZ65 OMV65 OWR65 PGN65 PQJ65 QAF65 QKB65 QTX65 RDT65 RNP65 RXL65 SHH65 SRD65 TAZ65 TKV65 TUR65 UEN65 UOJ65 UYF65 VIB65 VRX65 WBT65 WLP65 WVL65 D6553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7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1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4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8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1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5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29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2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6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89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3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7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0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4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xr:uid="{00000000-0002-0000-0100-000002000000}">
      <formula1>8</formula1>
      <formula2>20</formula2>
    </dataValidation>
    <dataValidation type="decimal" errorStyle="warning" allowBlank="1" showInputMessage="1" showErrorMessage="1" error="Valores de fósforo recomendado es de 20- 40 mmol/día" sqref="WVL983050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3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7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0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4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8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1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5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8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2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6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89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3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6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0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4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xr:uid="{00000000-0002-0000-0100-000003000000}">
      <formula1>20</formula1>
      <formula2>40</formula2>
    </dataValidation>
  </dataValidations>
  <printOptions horizontalCentered="1" verticalCentered="1"/>
  <pageMargins left="0.7" right="0.7" top="0.75" bottom="0.75" header="0.3" footer="0.3"/>
  <pageSetup scale="60" fitToHeight="0" orientation="portrait" r:id="rId1"/>
  <headerFooter alignWithMargins="0"/>
  <rowBreaks count="1" manualBreakCount="1">
    <brk id="50" max="7" man="1"/>
  </rowBreaks>
  <ignoredErrors>
    <ignoredError sqref="C18:C20" unlockedFormula="1"/>
  </ignoredErrors>
  <drawing r:id="rId2"/>
  <legacy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5000000}">
          <x14:formula1>
            <xm:f>Listas!$A$2:$A$5</xm:f>
          </x14:formula1>
          <xm:sqref>E9</xm:sqref>
        </x14:dataValidation>
        <x14:dataValidation type="list" allowBlank="1" showInputMessage="1" showErrorMessage="1" xr:uid="{6CA41166-4CE7-480B-AE2C-6CA4951BFCE6}">
          <x14:formula1>
            <xm:f>Listas!$A$19:$A$21</xm:f>
          </x14:formula1>
          <xm:sqref>D24:E24</xm:sqref>
        </x14:dataValidation>
        <x14:dataValidation type="list" allowBlank="1" showInputMessage="1" showErrorMessage="1" xr:uid="{3CBD45ED-3861-4194-A2AF-1EF3196A3764}">
          <x14:formula1>
            <xm:f>Listas!$A$46:$A$47</xm:f>
          </x14:formula1>
          <xm:sqref>D25:E25</xm:sqref>
        </x14:dataValidation>
        <x14:dataValidation type="list" allowBlank="1" showInputMessage="1" showErrorMessage="1" xr:uid="{57A4E228-C1A6-411E-8835-1ED227FF5829}">
          <x14:formula1>
            <xm:f>Listas!$A$49:$A$50</xm:f>
          </x14:formula1>
          <xm:sqref>D26:E26</xm:sqref>
        </x14:dataValidation>
        <x14:dataValidation type="list" allowBlank="1" showInputMessage="1" showErrorMessage="1" xr:uid="{DD72A77B-B08D-4387-896E-83624CF850EE}">
          <x14:formula1>
            <xm:f>Listas!$A$53:$A$54</xm:f>
          </x14:formula1>
          <xm:sqref>D27:E27</xm:sqref>
        </x14:dataValidation>
        <x14:dataValidation type="list" allowBlank="1" showInputMessage="1" showErrorMessage="1" xr:uid="{2BA93901-027F-4AFD-A741-D74E697ED0C2}">
          <x14:formula1>
            <xm:f>Listas!$A$57:$A$58</xm:f>
          </x14:formula1>
          <xm:sqref>D28:E28</xm:sqref>
        </x14:dataValidation>
        <x14:dataValidation type="list" allowBlank="1" showInputMessage="1" showErrorMessage="1" xr:uid="{533DBCC4-54E4-4531-ADF1-157526DDD21B}">
          <x14:formula1>
            <xm:f>Listas!$A$61:$A$62</xm:f>
          </x14:formula1>
          <xm:sqref>D29:E29</xm:sqref>
        </x14:dataValidation>
        <x14:dataValidation type="list" allowBlank="1" showInputMessage="1" showErrorMessage="1" xr:uid="{0D3093AD-4E4B-4335-BCA1-EA164DCD106D}">
          <x14:formula1>
            <xm:f>Listas!$A$65:$A$66</xm:f>
          </x14:formula1>
          <xm:sqref>D30:E30</xm:sqref>
        </x14:dataValidation>
        <x14:dataValidation type="list" allowBlank="1" showInputMessage="1" showErrorMessage="1" xr:uid="{DC166659-B252-47E1-9AFF-FAF321AC7046}">
          <x14:formula1>
            <xm:f>Listas!$A$69:$A$70</xm:f>
          </x14:formula1>
          <xm:sqref>D31:E31</xm:sqref>
        </x14:dataValidation>
        <x14:dataValidation type="list" allowBlank="1" showInputMessage="1" showErrorMessage="1" xr:uid="{7D921301-FEAA-4F91-81BF-89AAC4C1D316}">
          <x14:formula1>
            <xm:f>Listas!$A$11:$A$15</xm:f>
          </x14:formula1>
          <xm:sqref>D32:E32</xm:sqref>
        </x14:dataValidation>
        <x14:dataValidation type="list" allowBlank="1" showInputMessage="1" showErrorMessage="1" xr:uid="{EFA5B89A-FB5F-4CE1-833A-9632E6710383}">
          <x14:formula1>
            <xm:f>Listas!$C$11:$C$13</xm:f>
          </x14:formula1>
          <xm:sqref>D33:E33</xm:sqref>
        </x14:dataValidation>
        <x14:dataValidation type="list" allowBlank="1" showInputMessage="1" showErrorMessage="1" xr:uid="{BC522DFC-D7D2-469C-8A79-1D595FAB37DC}">
          <x14:formula1>
            <xm:f>Listas!$A$73:$A$74</xm:f>
          </x14:formula1>
          <xm:sqref>D34:E34</xm:sqref>
        </x14:dataValidation>
        <x14:dataValidation type="list" allowBlank="1" showInputMessage="1" showErrorMessage="1" xr:uid="{09DE0DC4-C1DA-4F81-98FE-60A35723D0CA}">
          <x14:formula1>
            <xm:f>Listas!$A$76</xm:f>
          </x14:formula1>
          <xm:sqref>D26:E26</xm:sqref>
        </x14:dataValidation>
        <x14:dataValidation type="list" allowBlank="1" showInputMessage="1" showErrorMessage="1" xr:uid="{40BF1914-ADDF-44A1-90C4-0F0A0F89A50B}">
          <x14:formula1>
            <xm:f>Listas!$A$76:$A$77</xm:f>
          </x14:formula1>
          <xm:sqref>D35:E35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Listas</vt:lpstr>
      <vt:lpstr>OP ADULTO</vt:lpstr>
      <vt:lpstr>'OP ADULTO'!Área_de_impresión</vt:lpstr>
      <vt:lpstr>SEDES</vt:lpstr>
      <vt:lpstr>SIGLAS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2024-12-02T22:23:31Z</dcterms:modified>
</cp:coreProperties>
</file>