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renneinvestimentos.sharepoint.com/sites/PerenneInvest/File Server Perenne/0. Middle/Beta RF Curva/"/>
    </mc:Choice>
  </mc:AlternateContent>
  <xr:revisionPtr revIDLastSave="42" documentId="13_ncr:1_{6C0DBDB5-3FFF-4917-8A26-F76F858CF78C}" xr6:coauthVersionLast="47" xr6:coauthVersionMax="47" xr10:uidLastSave="{93E23988-4A6E-490B-AE16-CEF633F7A616}"/>
  <bookViews>
    <workbookView xWindow="-120" yWindow="-120" windowWidth="29040" windowHeight="15720" xr2:uid="{642C28C4-15C7-444C-98CC-DEA1B2229A89}"/>
  </bookViews>
  <sheets>
    <sheet name="Hist" sheetId="4" r:id="rId1"/>
    <sheet name="B28" sheetId="16" state="hidden" r:id="rId2"/>
    <sheet name="B29" sheetId="17" state="hidden" r:id="rId3"/>
    <sheet name="CVRDA6 Hist" sheetId="6" r:id="rId4"/>
    <sheet name="IPCA Hist" sheetId="1" r:id="rId5"/>
    <sheet name="IGPM Hist" sheetId="9" r:id="rId6"/>
    <sheet name="SELIC Hist" sheetId="5" r:id="rId7"/>
    <sheet name="Derivativos" sheetId="7" r:id="rId8"/>
    <sheet name="Trades" sheetId="2" r:id="rId9"/>
    <sheet name="feriados" sheetId="15" r:id="rId10"/>
  </sheets>
  <definedNames>
    <definedName name="_xlnm._FilterDatabase" localSheetId="7" hidden="1">Derivativos!$A$1:$E$543</definedName>
    <definedName name="_xlnm._FilterDatabase" localSheetId="5" hidden="1">'IGPM Hist'!$A$1:$C$374</definedName>
    <definedName name="_xlnm._FilterDatabase" localSheetId="4" hidden="1">'IPCA Hist'!$A$1:$C$374</definedName>
    <definedName name="_xlnm._FilterDatabase" localSheetId="8" hidden="1">Trades!$A$1:$H$64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9" i="4" l="1"/>
  <c r="R539" i="4"/>
  <c r="S539" i="4"/>
  <c r="T539" i="4"/>
  <c r="U539" i="4"/>
  <c r="V539" i="4"/>
  <c r="W539" i="4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X539" i="4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Y539" i="4"/>
  <c r="Z539" i="4"/>
  <c r="AA539" i="4"/>
  <c r="AB539" i="4"/>
  <c r="AC539" i="4"/>
  <c r="AD539" i="4"/>
  <c r="AF539" i="4"/>
  <c r="AF540" i="4" s="1"/>
  <c r="AF541" i="4" s="1"/>
  <c r="AF542" i="4" s="1"/>
  <c r="AF543" i="4" s="1"/>
  <c r="AF544" i="4" s="1"/>
  <c r="AF545" i="4" s="1"/>
  <c r="AF546" i="4" s="1"/>
  <c r="AF547" i="4" s="1"/>
  <c r="AF548" i="4" s="1"/>
  <c r="AF549" i="4" s="1"/>
  <c r="AF550" i="4" s="1"/>
  <c r="AF551" i="4" s="1"/>
  <c r="AJ539" i="4"/>
  <c r="AJ540" i="4" s="1"/>
  <c r="AJ541" i="4" s="1"/>
  <c r="AJ542" i="4" s="1"/>
  <c r="AJ543" i="4" s="1"/>
  <c r="AJ544" i="4" s="1"/>
  <c r="AJ545" i="4" s="1"/>
  <c r="AJ546" i="4" s="1"/>
  <c r="AJ547" i="4" s="1"/>
  <c r="AJ548" i="4" s="1"/>
  <c r="AJ549" i="4" s="1"/>
  <c r="AJ550" i="4" s="1"/>
  <c r="AJ551" i="4" s="1"/>
  <c r="AK539" i="4"/>
  <c r="AL539" i="4"/>
  <c r="AM539" i="4"/>
  <c r="AN539" i="4"/>
  <c r="AO539" i="4"/>
  <c r="AO540" i="4" s="1"/>
  <c r="AO541" i="4" s="1"/>
  <c r="AO542" i="4" s="1"/>
  <c r="AO543" i="4" s="1"/>
  <c r="AO544" i="4" s="1"/>
  <c r="AO545" i="4" s="1"/>
  <c r="AO546" i="4" s="1"/>
  <c r="AO547" i="4" s="1"/>
  <c r="AO548" i="4" s="1"/>
  <c r="AO549" i="4" s="1"/>
  <c r="AO550" i="4" s="1"/>
  <c r="AO551" i="4" s="1"/>
  <c r="AP539" i="4"/>
  <c r="AQ539" i="4"/>
  <c r="AQ540" i="4" s="1"/>
  <c r="AQ541" i="4" s="1"/>
  <c r="AQ542" i="4" s="1"/>
  <c r="AQ543" i="4" s="1"/>
  <c r="AQ544" i="4" s="1"/>
  <c r="AQ545" i="4" s="1"/>
  <c r="AQ546" i="4" s="1"/>
  <c r="AQ547" i="4" s="1"/>
  <c r="AQ548" i="4" s="1"/>
  <c r="AQ549" i="4" s="1"/>
  <c r="AQ550" i="4" s="1"/>
  <c r="AQ551" i="4" s="1"/>
  <c r="AS539" i="4"/>
  <c r="AS540" i="4" s="1"/>
  <c r="AS541" i="4" s="1"/>
  <c r="AS542" i="4" s="1"/>
  <c r="AS543" i="4" s="1"/>
  <c r="AS544" i="4" s="1"/>
  <c r="AS545" i="4" s="1"/>
  <c r="AS546" i="4" s="1"/>
  <c r="AS547" i="4" s="1"/>
  <c r="AS548" i="4" s="1"/>
  <c r="AS549" i="4" s="1"/>
  <c r="AS550" i="4" s="1"/>
  <c r="AS551" i="4" s="1"/>
  <c r="AT539" i="4"/>
  <c r="AU539" i="4"/>
  <c r="AV539" i="4"/>
  <c r="AW539" i="4"/>
  <c r="AX539" i="4"/>
  <c r="AX540" i="4" s="1"/>
  <c r="AX541" i="4" s="1"/>
  <c r="AX542" i="4" s="1"/>
  <c r="AX543" i="4" s="1"/>
  <c r="AX544" i="4" s="1"/>
  <c r="AX545" i="4" s="1"/>
  <c r="AX546" i="4" s="1"/>
  <c r="AX547" i="4" s="1"/>
  <c r="AX548" i="4" s="1"/>
  <c r="AX549" i="4" s="1"/>
  <c r="AX550" i="4" s="1"/>
  <c r="AX551" i="4" s="1"/>
  <c r="AY539" i="4"/>
  <c r="BA539" i="4"/>
  <c r="BA540" i="4" s="1"/>
  <c r="BA541" i="4" s="1"/>
  <c r="BA542" i="4" s="1"/>
  <c r="BA543" i="4" s="1"/>
  <c r="BA544" i="4" s="1"/>
  <c r="BA545" i="4" s="1"/>
  <c r="BA546" i="4" s="1"/>
  <c r="BA547" i="4" s="1"/>
  <c r="BA548" i="4" s="1"/>
  <c r="BA549" i="4" s="1"/>
  <c r="BA550" i="4" s="1"/>
  <c r="BA551" i="4" s="1"/>
  <c r="Q540" i="4"/>
  <c r="R540" i="4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S540" i="4"/>
  <c r="T540" i="4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U540" i="4"/>
  <c r="U541" i="4" s="1"/>
  <c r="U542" i="4" s="1"/>
  <c r="U543" i="4" s="1"/>
  <c r="U544" i="4" s="1"/>
  <c r="U545" i="4" s="1"/>
  <c r="U546" i="4" s="1"/>
  <c r="U547" i="4" s="1"/>
  <c r="U548" i="4" s="1"/>
  <c r="U549" i="4" s="1"/>
  <c r="U550" i="4" s="1"/>
  <c r="U551" i="4" s="1"/>
  <c r="V540" i="4"/>
  <c r="Y540" i="4"/>
  <c r="Z540" i="4"/>
  <c r="AA540" i="4"/>
  <c r="AB540" i="4"/>
  <c r="AB541" i="4" s="1"/>
  <c r="AC540" i="4"/>
  <c r="AC541" i="4" s="1"/>
  <c r="AC542" i="4" s="1"/>
  <c r="AC543" i="4" s="1"/>
  <c r="AC544" i="4" s="1"/>
  <c r="AC545" i="4" s="1"/>
  <c r="AC546" i="4" s="1"/>
  <c r="AC547" i="4" s="1"/>
  <c r="AC548" i="4" s="1"/>
  <c r="AC549" i="4" s="1"/>
  <c r="AC550" i="4" s="1"/>
  <c r="AC551" i="4" s="1"/>
  <c r="AD540" i="4"/>
  <c r="AK540" i="4"/>
  <c r="AL540" i="4"/>
  <c r="AM540" i="4"/>
  <c r="AN540" i="4"/>
  <c r="AN541" i="4" s="1"/>
  <c r="AN542" i="4" s="1"/>
  <c r="AN543" i="4" s="1"/>
  <c r="AN544" i="4" s="1"/>
  <c r="AN545" i="4" s="1"/>
  <c r="AN546" i="4" s="1"/>
  <c r="AN547" i="4" s="1"/>
  <c r="AN548" i="4" s="1"/>
  <c r="AN549" i="4" s="1"/>
  <c r="AN550" i="4" s="1"/>
  <c r="AN551" i="4" s="1"/>
  <c r="AP540" i="4"/>
  <c r="AT540" i="4"/>
  <c r="AU540" i="4"/>
  <c r="AV540" i="4"/>
  <c r="AW540" i="4"/>
  <c r="AW541" i="4" s="1"/>
  <c r="AY540" i="4"/>
  <c r="Q541" i="4"/>
  <c r="S541" i="4"/>
  <c r="V541" i="4"/>
  <c r="Y541" i="4"/>
  <c r="Y542" i="4" s="1"/>
  <c r="Z541" i="4"/>
  <c r="Z542" i="4" s="1"/>
  <c r="Z543" i="4" s="1"/>
  <c r="Z544" i="4" s="1"/>
  <c r="Z545" i="4" s="1"/>
  <c r="AA541" i="4"/>
  <c r="AD541" i="4"/>
  <c r="AK541" i="4"/>
  <c r="AK542" i="4" s="1"/>
  <c r="AL541" i="4"/>
  <c r="AL542" i="4" s="1"/>
  <c r="AL543" i="4" s="1"/>
  <c r="AL544" i="4" s="1"/>
  <c r="AL545" i="4" s="1"/>
  <c r="AM541" i="4"/>
  <c r="AP541" i="4"/>
  <c r="AT541" i="4"/>
  <c r="AT542" i="4" s="1"/>
  <c r="AT543" i="4" s="1"/>
  <c r="AT544" i="4" s="1"/>
  <c r="AT545" i="4" s="1"/>
  <c r="AT546" i="4" s="1"/>
  <c r="AT547" i="4" s="1"/>
  <c r="AT548" i="4" s="1"/>
  <c r="AT549" i="4" s="1"/>
  <c r="AT550" i="4" s="1"/>
  <c r="AT551" i="4" s="1"/>
  <c r="AU541" i="4"/>
  <c r="AU542" i="4" s="1"/>
  <c r="AU543" i="4" s="1"/>
  <c r="AU544" i="4" s="1"/>
  <c r="AU545" i="4" s="1"/>
  <c r="AU546" i="4" s="1"/>
  <c r="AU547" i="4" s="1"/>
  <c r="AU548" i="4" s="1"/>
  <c r="AU549" i="4" s="1"/>
  <c r="AU550" i="4" s="1"/>
  <c r="AU551" i="4" s="1"/>
  <c r="AV541" i="4"/>
  <c r="AY541" i="4"/>
  <c r="S542" i="4"/>
  <c r="V542" i="4"/>
  <c r="V543" i="4" s="1"/>
  <c r="AA542" i="4"/>
  <c r="AB542" i="4"/>
  <c r="AB543" i="4" s="1"/>
  <c r="AB544" i="4" s="1"/>
  <c r="AB545" i="4" s="1"/>
  <c r="AB546" i="4" s="1"/>
  <c r="AB547" i="4" s="1"/>
  <c r="AB548" i="4" s="1"/>
  <c r="AB549" i="4" s="1"/>
  <c r="AB550" i="4" s="1"/>
  <c r="AB551" i="4" s="1"/>
  <c r="AD542" i="4"/>
  <c r="AD543" i="4" s="1"/>
  <c r="AD544" i="4" s="1"/>
  <c r="AD545" i="4" s="1"/>
  <c r="AD546" i="4" s="1"/>
  <c r="AD547" i="4" s="1"/>
  <c r="AD548" i="4" s="1"/>
  <c r="AD549" i="4" s="1"/>
  <c r="AD550" i="4" s="1"/>
  <c r="AD551" i="4" s="1"/>
  <c r="AM542" i="4"/>
  <c r="AP542" i="4"/>
  <c r="AP543" i="4" s="1"/>
  <c r="AP544" i="4" s="1"/>
  <c r="AP545" i="4" s="1"/>
  <c r="AP546" i="4" s="1"/>
  <c r="AP547" i="4" s="1"/>
  <c r="AP548" i="4" s="1"/>
  <c r="AP549" i="4" s="1"/>
  <c r="AP550" i="4" s="1"/>
  <c r="AP551" i="4" s="1"/>
  <c r="AV542" i="4"/>
  <c r="AW542" i="4"/>
  <c r="AY542" i="4"/>
  <c r="AY543" i="4" s="1"/>
  <c r="S543" i="4"/>
  <c r="S544" i="4" s="1"/>
  <c r="S545" i="4" s="1"/>
  <c r="S546" i="4" s="1"/>
  <c r="S547" i="4" s="1"/>
  <c r="S548" i="4" s="1"/>
  <c r="S549" i="4" s="1"/>
  <c r="S550" i="4" s="1"/>
  <c r="S551" i="4" s="1"/>
  <c r="Y543" i="4"/>
  <c r="AA543" i="4"/>
  <c r="AA544" i="4" s="1"/>
  <c r="AK543" i="4"/>
  <c r="AM543" i="4"/>
  <c r="AM544" i="4" s="1"/>
  <c r="AV543" i="4"/>
  <c r="AV544" i="4" s="1"/>
  <c r="AW543" i="4"/>
  <c r="AW544" i="4" s="1"/>
  <c r="AW545" i="4" s="1"/>
  <c r="AW546" i="4" s="1"/>
  <c r="AW547" i="4" s="1"/>
  <c r="AW548" i="4" s="1"/>
  <c r="AW549" i="4" s="1"/>
  <c r="AW550" i="4" s="1"/>
  <c r="AW551" i="4" s="1"/>
  <c r="V544" i="4"/>
  <c r="Y544" i="4"/>
  <c r="Y545" i="4" s="1"/>
  <c r="Y546" i="4" s="1"/>
  <c r="Y547" i="4" s="1"/>
  <c r="Y548" i="4" s="1"/>
  <c r="Y549" i="4" s="1"/>
  <c r="Y550" i="4" s="1"/>
  <c r="Y551" i="4" s="1"/>
  <c r="AK544" i="4"/>
  <c r="AK545" i="4" s="1"/>
  <c r="AK546" i="4" s="1"/>
  <c r="AK547" i="4" s="1"/>
  <c r="AY544" i="4"/>
  <c r="V545" i="4"/>
  <c r="V546" i="4" s="1"/>
  <c r="V547" i="4" s="1"/>
  <c r="V548" i="4" s="1"/>
  <c r="V549" i="4" s="1"/>
  <c r="V550" i="4" s="1"/>
  <c r="V551" i="4" s="1"/>
  <c r="AA545" i="4"/>
  <c r="AA546" i="4" s="1"/>
  <c r="AA547" i="4" s="1"/>
  <c r="AA548" i="4" s="1"/>
  <c r="AA549" i="4" s="1"/>
  <c r="AA550" i="4" s="1"/>
  <c r="AA551" i="4" s="1"/>
  <c r="AM545" i="4"/>
  <c r="AM546" i="4" s="1"/>
  <c r="AM547" i="4" s="1"/>
  <c r="AM548" i="4" s="1"/>
  <c r="AM549" i="4" s="1"/>
  <c r="AM550" i="4" s="1"/>
  <c r="AM551" i="4" s="1"/>
  <c r="AV545" i="4"/>
  <c r="AY545" i="4"/>
  <c r="AY546" i="4" s="1"/>
  <c r="AY547" i="4" s="1"/>
  <c r="AY548" i="4" s="1"/>
  <c r="AY549" i="4" s="1"/>
  <c r="AY550" i="4" s="1"/>
  <c r="AY551" i="4" s="1"/>
  <c r="Z546" i="4"/>
  <c r="Z547" i="4" s="1"/>
  <c r="Z548" i="4" s="1"/>
  <c r="Z549" i="4" s="1"/>
  <c r="Z550" i="4" s="1"/>
  <c r="Z551" i="4" s="1"/>
  <c r="AL546" i="4"/>
  <c r="AL547" i="4" s="1"/>
  <c r="AL548" i="4" s="1"/>
  <c r="AL549" i="4" s="1"/>
  <c r="AL550" i="4" s="1"/>
  <c r="AL551" i="4" s="1"/>
  <c r="AV546" i="4"/>
  <c r="AV547" i="4" s="1"/>
  <c r="AV548" i="4" s="1"/>
  <c r="AV549" i="4" s="1"/>
  <c r="AV550" i="4" s="1"/>
  <c r="AV551" i="4" s="1"/>
  <c r="AK548" i="4"/>
  <c r="AK549" i="4" s="1"/>
  <c r="AK550" i="4" s="1"/>
  <c r="AK551" i="4" s="1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382" i="1"/>
  <c r="AF534" i="4"/>
  <c r="AJ534" i="4"/>
  <c r="AK534" i="4"/>
  <c r="AL534" i="4"/>
  <c r="AM534" i="4"/>
  <c r="AN534" i="4"/>
  <c r="AO534" i="4"/>
  <c r="AP534" i="4"/>
  <c r="AP535" i="4" s="1"/>
  <c r="AP536" i="4" s="1"/>
  <c r="AP537" i="4" s="1"/>
  <c r="AP538" i="4" s="1"/>
  <c r="AQ534" i="4"/>
  <c r="AS534" i="4"/>
  <c r="AT534" i="4"/>
  <c r="AU534" i="4"/>
  <c r="AV534" i="4"/>
  <c r="AW534" i="4"/>
  <c r="AX534" i="4"/>
  <c r="AY534" i="4"/>
  <c r="AY535" i="4" s="1"/>
  <c r="AY536" i="4" s="1"/>
  <c r="AY537" i="4" s="1"/>
  <c r="AY538" i="4" s="1"/>
  <c r="BA534" i="4"/>
  <c r="BA535" i="4" s="1"/>
  <c r="BA536" i="4" s="1"/>
  <c r="BA537" i="4" s="1"/>
  <c r="BA538" i="4" s="1"/>
  <c r="AF535" i="4"/>
  <c r="AJ535" i="4"/>
  <c r="AK535" i="4"/>
  <c r="AL535" i="4"/>
  <c r="AL536" i="4" s="1"/>
  <c r="AL537" i="4" s="1"/>
  <c r="AL538" i="4" s="1"/>
  <c r="AM535" i="4"/>
  <c r="AM536" i="4" s="1"/>
  <c r="AM537" i="4" s="1"/>
  <c r="AM538" i="4" s="1"/>
  <c r="AN535" i="4"/>
  <c r="AN536" i="4" s="1"/>
  <c r="AN537" i="4" s="1"/>
  <c r="AN538" i="4" s="1"/>
  <c r="AO535" i="4"/>
  <c r="AQ535" i="4"/>
  <c r="AS535" i="4"/>
  <c r="AT535" i="4"/>
  <c r="AU535" i="4"/>
  <c r="AU536" i="4" s="1"/>
  <c r="AU537" i="4" s="1"/>
  <c r="AU538" i="4" s="1"/>
  <c r="AV535" i="4"/>
  <c r="AV536" i="4" s="1"/>
  <c r="AV537" i="4" s="1"/>
  <c r="AV538" i="4" s="1"/>
  <c r="AW535" i="4"/>
  <c r="AW536" i="4" s="1"/>
  <c r="AW537" i="4" s="1"/>
  <c r="AW538" i="4" s="1"/>
  <c r="AX535" i="4"/>
  <c r="AF536" i="4"/>
  <c r="AF537" i="4" s="1"/>
  <c r="AF538" i="4" s="1"/>
  <c r="AJ536" i="4"/>
  <c r="AJ537" i="4" s="1"/>
  <c r="AJ538" i="4" s="1"/>
  <c r="AK536" i="4"/>
  <c r="AK537" i="4" s="1"/>
  <c r="AK538" i="4" s="1"/>
  <c r="AO536" i="4"/>
  <c r="AQ536" i="4"/>
  <c r="AQ537" i="4" s="1"/>
  <c r="AQ538" i="4" s="1"/>
  <c r="AS536" i="4"/>
  <c r="AS537" i="4" s="1"/>
  <c r="AS538" i="4" s="1"/>
  <c r="AT536" i="4"/>
  <c r="AT537" i="4" s="1"/>
  <c r="AT538" i="4" s="1"/>
  <c r="AX536" i="4"/>
  <c r="AO537" i="4"/>
  <c r="AO538" i="4" s="1"/>
  <c r="AX537" i="4"/>
  <c r="AX538" i="4" s="1"/>
  <c r="C547" i="5"/>
  <c r="C548" i="5"/>
  <c r="C549" i="5"/>
  <c r="C550" i="5"/>
  <c r="C541" i="5"/>
  <c r="C542" i="5"/>
  <c r="C543" i="5"/>
  <c r="C544" i="5"/>
  <c r="C545" i="5"/>
  <c r="C546" i="5"/>
  <c r="B534" i="4"/>
  <c r="B535" i="4"/>
  <c r="B536" i="4"/>
  <c r="B537" i="4"/>
  <c r="B538" i="4"/>
  <c r="B381" i="1"/>
  <c r="C538" i="5"/>
  <c r="C539" i="5"/>
  <c r="C540" i="5"/>
  <c r="C536" i="5"/>
  <c r="C537" i="5"/>
  <c r="C533" i="5"/>
  <c r="C534" i="5"/>
  <c r="C535" i="5"/>
  <c r="C530" i="5"/>
  <c r="C531" i="5"/>
  <c r="C532" i="5"/>
  <c r="AJ531" i="4"/>
  <c r="AJ532" i="4" s="1"/>
  <c r="AJ533" i="4" s="1"/>
  <c r="AK531" i="4"/>
  <c r="AK532" i="4" s="1"/>
  <c r="AK533" i="4" s="1"/>
  <c r="AL531" i="4"/>
  <c r="AL532" i="4" s="1"/>
  <c r="AL533" i="4" s="1"/>
  <c r="AM531" i="4"/>
  <c r="AN531" i="4"/>
  <c r="AO531" i="4"/>
  <c r="AP531" i="4"/>
  <c r="AQ531" i="4"/>
  <c r="AS531" i="4"/>
  <c r="AS532" i="4" s="1"/>
  <c r="AS533" i="4" s="1"/>
  <c r="AT531" i="4"/>
  <c r="AT532" i="4" s="1"/>
  <c r="AT533" i="4" s="1"/>
  <c r="AU531" i="4"/>
  <c r="AU532" i="4" s="1"/>
  <c r="AU533" i="4" s="1"/>
  <c r="AV531" i="4"/>
  <c r="AW531" i="4"/>
  <c r="AX531" i="4"/>
  <c r="AY531" i="4"/>
  <c r="AM532" i="4"/>
  <c r="AN532" i="4"/>
  <c r="AO532" i="4"/>
  <c r="AO533" i="4" s="1"/>
  <c r="AP532" i="4"/>
  <c r="AP533" i="4" s="1"/>
  <c r="AQ532" i="4"/>
  <c r="AQ533" i="4" s="1"/>
  <c r="AV532" i="4"/>
  <c r="AW532" i="4"/>
  <c r="AX532" i="4"/>
  <c r="AX533" i="4" s="1"/>
  <c r="AY532" i="4"/>
  <c r="AY533" i="4" s="1"/>
  <c r="AM533" i="4"/>
  <c r="AN533" i="4"/>
  <c r="AV533" i="4"/>
  <c r="AW533" i="4"/>
  <c r="B533" i="4"/>
  <c r="B532" i="4"/>
  <c r="B531" i="4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F114" i="17" s="1"/>
  <c r="F115" i="17" s="1"/>
  <c r="F116" i="17" s="1"/>
  <c r="F117" i="17" s="1"/>
  <c r="F118" i="17" s="1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E15" i="17" s="1"/>
  <c r="B14" i="17"/>
  <c r="B13" i="17"/>
  <c r="B12" i="17"/>
  <c r="B11" i="17"/>
  <c r="B10" i="17"/>
  <c r="B9" i="17"/>
  <c r="B8" i="17"/>
  <c r="B7" i="17"/>
  <c r="B6" i="17"/>
  <c r="B5" i="17"/>
  <c r="B4" i="17"/>
  <c r="C4" i="17" s="1"/>
  <c r="B3" i="17"/>
  <c r="O3" i="16"/>
  <c r="B530" i="16"/>
  <c r="B529" i="16"/>
  <c r="B528" i="16"/>
  <c r="B527" i="16"/>
  <c r="B526" i="16"/>
  <c r="B525" i="16"/>
  <c r="B524" i="16"/>
  <c r="B523" i="16"/>
  <c r="B522" i="16"/>
  <c r="B521" i="16"/>
  <c r="B520" i="16"/>
  <c r="B519" i="16"/>
  <c r="B518" i="16"/>
  <c r="B517" i="16"/>
  <c r="B516" i="16"/>
  <c r="B515" i="16"/>
  <c r="B514" i="16"/>
  <c r="B513" i="16"/>
  <c r="B512" i="16"/>
  <c r="B511" i="16"/>
  <c r="B510" i="16"/>
  <c r="B509" i="16"/>
  <c r="B508" i="16"/>
  <c r="B507" i="16"/>
  <c r="B506" i="16"/>
  <c r="B505" i="16"/>
  <c r="B504" i="16"/>
  <c r="B503" i="16"/>
  <c r="B502" i="16"/>
  <c r="B501" i="16"/>
  <c r="B500" i="16"/>
  <c r="B499" i="16"/>
  <c r="B498" i="16"/>
  <c r="B497" i="16"/>
  <c r="B496" i="16"/>
  <c r="B495" i="16"/>
  <c r="B494" i="16"/>
  <c r="B493" i="16"/>
  <c r="B492" i="16"/>
  <c r="B491" i="16"/>
  <c r="B490" i="16"/>
  <c r="B489" i="16"/>
  <c r="B488" i="16"/>
  <c r="B487" i="16"/>
  <c r="B486" i="16"/>
  <c r="B485" i="16"/>
  <c r="B484" i="16"/>
  <c r="B483" i="16"/>
  <c r="B482" i="16"/>
  <c r="B481" i="16"/>
  <c r="B480" i="16"/>
  <c r="B479" i="16"/>
  <c r="B478" i="16"/>
  <c r="B477" i="16"/>
  <c r="B476" i="16"/>
  <c r="B475" i="16"/>
  <c r="B474" i="16"/>
  <c r="B473" i="16"/>
  <c r="B472" i="16"/>
  <c r="B471" i="16"/>
  <c r="B470" i="16"/>
  <c r="B469" i="16"/>
  <c r="B468" i="16"/>
  <c r="B467" i="16"/>
  <c r="B466" i="16"/>
  <c r="B465" i="16"/>
  <c r="B464" i="16"/>
  <c r="B463" i="16"/>
  <c r="B462" i="16"/>
  <c r="B461" i="16"/>
  <c r="B460" i="16"/>
  <c r="B459" i="16"/>
  <c r="B458" i="16"/>
  <c r="B457" i="16"/>
  <c r="B456" i="16"/>
  <c r="B455" i="16"/>
  <c r="B454" i="16"/>
  <c r="B453" i="16"/>
  <c r="B452" i="16"/>
  <c r="B451" i="16"/>
  <c r="B450" i="16"/>
  <c r="B449" i="16"/>
  <c r="B448" i="16"/>
  <c r="B447" i="16"/>
  <c r="B446" i="16"/>
  <c r="B445" i="16"/>
  <c r="B444" i="16"/>
  <c r="N444" i="16" s="1"/>
  <c r="B443" i="16"/>
  <c r="B442" i="16"/>
  <c r="B441" i="16"/>
  <c r="B440" i="16"/>
  <c r="B439" i="16"/>
  <c r="B438" i="16"/>
  <c r="B437" i="16"/>
  <c r="B436" i="16"/>
  <c r="B435" i="16"/>
  <c r="B434" i="16"/>
  <c r="B433" i="16"/>
  <c r="B432" i="16"/>
  <c r="B431" i="16"/>
  <c r="B430" i="16"/>
  <c r="B429" i="16"/>
  <c r="B428" i="16"/>
  <c r="B427" i="16"/>
  <c r="B426" i="16"/>
  <c r="B425" i="16"/>
  <c r="B424" i="16"/>
  <c r="B423" i="16"/>
  <c r="B422" i="16"/>
  <c r="B421" i="16"/>
  <c r="B420" i="16"/>
  <c r="M420" i="16" s="1"/>
  <c r="B419" i="16"/>
  <c r="B418" i="16"/>
  <c r="B417" i="16"/>
  <c r="B416" i="16"/>
  <c r="B415" i="16"/>
  <c r="B414" i="16"/>
  <c r="B413" i="16"/>
  <c r="B412" i="16"/>
  <c r="B411" i="16"/>
  <c r="B410" i="16"/>
  <c r="B409" i="16"/>
  <c r="B408" i="16"/>
  <c r="B407" i="16"/>
  <c r="B406" i="16"/>
  <c r="B405" i="16"/>
  <c r="B404" i="16"/>
  <c r="B403" i="16"/>
  <c r="B402" i="16"/>
  <c r="B401" i="16"/>
  <c r="B400" i="16"/>
  <c r="B399" i="16"/>
  <c r="B398" i="16"/>
  <c r="B397" i="16"/>
  <c r="B396" i="16"/>
  <c r="B395" i="16"/>
  <c r="B394" i="16"/>
  <c r="B393" i="16"/>
  <c r="B392" i="16"/>
  <c r="B391" i="16"/>
  <c r="B390" i="16"/>
  <c r="B389" i="16"/>
  <c r="B388" i="16"/>
  <c r="L388" i="16" s="1"/>
  <c r="B387" i="16"/>
  <c r="B386" i="16"/>
  <c r="B385" i="16"/>
  <c r="B384" i="16"/>
  <c r="B383" i="16"/>
  <c r="B382" i="16"/>
  <c r="B381" i="16"/>
  <c r="B380" i="16"/>
  <c r="B379" i="16"/>
  <c r="B378" i="16"/>
  <c r="B377" i="16"/>
  <c r="B376" i="16"/>
  <c r="K376" i="16" s="1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J297" i="16" s="1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C4" i="16" s="1"/>
  <c r="C5" i="16" s="1"/>
  <c r="C6" i="16" s="1"/>
  <c r="C7" i="16" s="1"/>
  <c r="C8" i="16" s="1"/>
  <c r="Y3" i="16"/>
  <c r="X3" i="16"/>
  <c r="W3" i="16"/>
  <c r="B3" i="16"/>
  <c r="AY526" i="4"/>
  <c r="AY527" i="4"/>
  <c r="AY528" i="4" s="1"/>
  <c r="AY529" i="4" s="1"/>
  <c r="AY530" i="4" s="1"/>
  <c r="AY525" i="4"/>
  <c r="G66" i="2"/>
  <c r="G65" i="2"/>
  <c r="AX510" i="4"/>
  <c r="AX511" i="4" s="1"/>
  <c r="AX512" i="4" s="1"/>
  <c r="AX513" i="4" s="1"/>
  <c r="AX514" i="4" s="1"/>
  <c r="AX515" i="4" s="1"/>
  <c r="AX516" i="4" s="1"/>
  <c r="AX517" i="4" s="1"/>
  <c r="AX518" i="4" s="1"/>
  <c r="AX519" i="4" s="1"/>
  <c r="AX520" i="4" s="1"/>
  <c r="AX521" i="4" s="1"/>
  <c r="AX522" i="4" s="1"/>
  <c r="AX523" i="4" s="1"/>
  <c r="AX524" i="4" s="1"/>
  <c r="AX525" i="4" s="1"/>
  <c r="AX526" i="4" s="1"/>
  <c r="AX527" i="4" s="1"/>
  <c r="AX528" i="4" s="1"/>
  <c r="AX529" i="4" s="1"/>
  <c r="AX530" i="4" s="1"/>
  <c r="AU510" i="4"/>
  <c r="AU511" i="4" s="1"/>
  <c r="AU512" i="4" s="1"/>
  <c r="AU513" i="4" s="1"/>
  <c r="AU514" i="4" s="1"/>
  <c r="AU515" i="4" s="1"/>
  <c r="AU516" i="4" s="1"/>
  <c r="AU517" i="4" s="1"/>
  <c r="AU518" i="4" s="1"/>
  <c r="AU519" i="4" s="1"/>
  <c r="AU520" i="4" s="1"/>
  <c r="AU521" i="4" s="1"/>
  <c r="AU522" i="4" s="1"/>
  <c r="AU523" i="4" s="1"/>
  <c r="AU524" i="4" s="1"/>
  <c r="AU525" i="4" s="1"/>
  <c r="AU526" i="4" s="1"/>
  <c r="AU527" i="4" s="1"/>
  <c r="AU528" i="4" s="1"/>
  <c r="AU529" i="4" s="1"/>
  <c r="AU530" i="4" s="1"/>
  <c r="AQ511" i="4"/>
  <c r="AQ512" i="4" s="1"/>
  <c r="AQ513" i="4" s="1"/>
  <c r="AQ514" i="4" s="1"/>
  <c r="AQ515" i="4" s="1"/>
  <c r="AQ516" i="4" s="1"/>
  <c r="AQ517" i="4" s="1"/>
  <c r="AQ518" i="4" s="1"/>
  <c r="AQ519" i="4" s="1"/>
  <c r="AQ520" i="4" s="1"/>
  <c r="AQ521" i="4" s="1"/>
  <c r="AQ522" i="4" s="1"/>
  <c r="AQ523" i="4" s="1"/>
  <c r="AQ524" i="4" s="1"/>
  <c r="AQ525" i="4" s="1"/>
  <c r="AQ526" i="4" s="1"/>
  <c r="AQ527" i="4" s="1"/>
  <c r="AQ528" i="4" s="1"/>
  <c r="AQ529" i="4" s="1"/>
  <c r="AQ530" i="4" s="1"/>
  <c r="AP510" i="4"/>
  <c r="AP511" i="4" s="1"/>
  <c r="AP512" i="4" s="1"/>
  <c r="AP513" i="4" s="1"/>
  <c r="AP514" i="4" s="1"/>
  <c r="AP515" i="4" s="1"/>
  <c r="AP516" i="4" s="1"/>
  <c r="AP517" i="4" s="1"/>
  <c r="AP518" i="4" s="1"/>
  <c r="AP519" i="4" s="1"/>
  <c r="AP520" i="4" s="1"/>
  <c r="AP521" i="4" s="1"/>
  <c r="AP522" i="4" s="1"/>
  <c r="AP523" i="4" s="1"/>
  <c r="AP524" i="4" s="1"/>
  <c r="AP525" i="4" s="1"/>
  <c r="AP526" i="4" s="1"/>
  <c r="AP527" i="4" s="1"/>
  <c r="AP528" i="4" s="1"/>
  <c r="AP529" i="4" s="1"/>
  <c r="AP530" i="4" s="1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G61" i="2"/>
  <c r="G62" i="2"/>
  <c r="G63" i="2"/>
  <c r="F64" i="2"/>
  <c r="G64" i="2" s="1"/>
  <c r="B381" i="9"/>
  <c r="B382" i="9"/>
  <c r="BA492" i="4"/>
  <c r="B508" i="4"/>
  <c r="B380" i="1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B507" i="4"/>
  <c r="B505" i="4"/>
  <c r="B499" i="4"/>
  <c r="B500" i="4"/>
  <c r="B501" i="4"/>
  <c r="B502" i="4"/>
  <c r="B503" i="4"/>
  <c r="B504" i="4"/>
  <c r="B506" i="4"/>
  <c r="B498" i="4"/>
  <c r="B489" i="4"/>
  <c r="B490" i="4"/>
  <c r="B491" i="4"/>
  <c r="B492" i="4"/>
  <c r="B493" i="4"/>
  <c r="B494" i="4"/>
  <c r="B495" i="4"/>
  <c r="B496" i="4"/>
  <c r="B497" i="4"/>
  <c r="B488" i="4"/>
  <c r="Q542" i="4" l="1"/>
  <c r="BB541" i="4"/>
  <c r="BB540" i="4"/>
  <c r="BB539" i="4"/>
  <c r="F119" i="17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D15" i="17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133" i="17" s="1"/>
  <c r="D134" i="17" s="1"/>
  <c r="D135" i="17" s="1"/>
  <c r="D136" i="17" s="1"/>
  <c r="D137" i="17" s="1"/>
  <c r="D138" i="17" s="1"/>
  <c r="D139" i="17" s="1"/>
  <c r="D140" i="17" s="1"/>
  <c r="D141" i="17" s="1"/>
  <c r="D142" i="17" s="1"/>
  <c r="D143" i="17" s="1"/>
  <c r="D144" i="17" s="1"/>
  <c r="D145" i="17" s="1"/>
  <c r="D146" i="17" s="1"/>
  <c r="D147" i="17" s="1"/>
  <c r="D148" i="17" s="1"/>
  <c r="D149" i="17" s="1"/>
  <c r="D150" i="17" s="1"/>
  <c r="D151" i="17" s="1"/>
  <c r="D152" i="17" s="1"/>
  <c r="D153" i="17" s="1"/>
  <c r="D154" i="17" s="1"/>
  <c r="D155" i="17" s="1"/>
  <c r="D156" i="17" s="1"/>
  <c r="D157" i="17" s="1"/>
  <c r="D158" i="17" s="1"/>
  <c r="D159" i="17" s="1"/>
  <c r="D160" i="17" s="1"/>
  <c r="D161" i="17" s="1"/>
  <c r="D162" i="17" s="1"/>
  <c r="D163" i="17" s="1"/>
  <c r="D164" i="17" s="1"/>
  <c r="D165" i="17" s="1"/>
  <c r="D166" i="17" s="1"/>
  <c r="C5" i="17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E16" i="17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C9" i="16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N445" i="16"/>
  <c r="N446" i="16" s="1"/>
  <c r="N447" i="16" s="1"/>
  <c r="N448" i="16" s="1"/>
  <c r="N449" i="16" s="1"/>
  <c r="N450" i="16" s="1"/>
  <c r="N451" i="16" s="1"/>
  <c r="N452" i="16" s="1"/>
  <c r="N453" i="16" s="1"/>
  <c r="N454" i="16" s="1"/>
  <c r="N455" i="16" s="1"/>
  <c r="N456" i="16" s="1"/>
  <c r="N457" i="16" s="1"/>
  <c r="N458" i="16" s="1"/>
  <c r="N459" i="16" s="1"/>
  <c r="N460" i="16" s="1"/>
  <c r="N461" i="16" s="1"/>
  <c r="N462" i="16" s="1"/>
  <c r="N463" i="16" s="1"/>
  <c r="N464" i="16" s="1"/>
  <c r="N465" i="16" s="1"/>
  <c r="N466" i="16" s="1"/>
  <c r="N467" i="16" s="1"/>
  <c r="N468" i="16" s="1"/>
  <c r="N469" i="16" s="1"/>
  <c r="N470" i="16" s="1"/>
  <c r="N471" i="16" s="1"/>
  <c r="N472" i="16" s="1"/>
  <c r="N473" i="16" s="1"/>
  <c r="N474" i="16" s="1"/>
  <c r="N475" i="16" s="1"/>
  <c r="N476" i="16" s="1"/>
  <c r="N477" i="16" s="1"/>
  <c r="N478" i="16" s="1"/>
  <c r="N479" i="16" s="1"/>
  <c r="N480" i="16" s="1"/>
  <c r="N481" i="16" s="1"/>
  <c r="N482" i="16" s="1"/>
  <c r="N483" i="16" s="1"/>
  <c r="N484" i="16" s="1"/>
  <c r="N485" i="16" s="1"/>
  <c r="N486" i="16" s="1"/>
  <c r="N487" i="16" s="1"/>
  <c r="N488" i="16" s="1"/>
  <c r="N489" i="16" s="1"/>
  <c r="N490" i="16" s="1"/>
  <c r="N491" i="16" s="1"/>
  <c r="N492" i="16" s="1"/>
  <c r="N493" i="16" s="1"/>
  <c r="N494" i="16" s="1"/>
  <c r="N495" i="16" s="1"/>
  <c r="N496" i="16" s="1"/>
  <c r="N497" i="16" s="1"/>
  <c r="N498" i="16" s="1"/>
  <c r="N499" i="16" s="1"/>
  <c r="N500" i="16" s="1"/>
  <c r="N501" i="16" s="1"/>
  <c r="N502" i="16" s="1"/>
  <c r="N503" i="16" s="1"/>
  <c r="N504" i="16" s="1"/>
  <c r="N505" i="16" s="1"/>
  <c r="N506" i="16" s="1"/>
  <c r="N507" i="16" s="1"/>
  <c r="N508" i="16" s="1"/>
  <c r="N509" i="16" s="1"/>
  <c r="N510" i="16" s="1"/>
  <c r="N511" i="16" s="1"/>
  <c r="N512" i="16" s="1"/>
  <c r="N513" i="16" s="1"/>
  <c r="N514" i="16" s="1"/>
  <c r="N515" i="16" s="1"/>
  <c r="N516" i="16" s="1"/>
  <c r="N517" i="16" s="1"/>
  <c r="N518" i="16" s="1"/>
  <c r="N519" i="16" s="1"/>
  <c r="N520" i="16" s="1"/>
  <c r="N521" i="16" s="1"/>
  <c r="N522" i="16" s="1"/>
  <c r="N523" i="16" s="1"/>
  <c r="N524" i="16" s="1"/>
  <c r="N525" i="16" s="1"/>
  <c r="N526" i="16" s="1"/>
  <c r="N527" i="16" s="1"/>
  <c r="N528" i="16" s="1"/>
  <c r="N529" i="16" s="1"/>
  <c r="N530" i="16" s="1"/>
  <c r="L389" i="16"/>
  <c r="L390" i="16" s="1"/>
  <c r="L391" i="16" s="1"/>
  <c r="L392" i="16" s="1"/>
  <c r="L393" i="16" s="1"/>
  <c r="L394" i="16" s="1"/>
  <c r="L395" i="16" s="1"/>
  <c r="L396" i="16" s="1"/>
  <c r="L397" i="16" s="1"/>
  <c r="L398" i="16" s="1"/>
  <c r="L399" i="16" s="1"/>
  <c r="L400" i="16" s="1"/>
  <c r="L401" i="16" s="1"/>
  <c r="L402" i="16" s="1"/>
  <c r="L403" i="16" s="1"/>
  <c r="L404" i="16" s="1"/>
  <c r="L405" i="16" s="1"/>
  <c r="L406" i="16" s="1"/>
  <c r="L407" i="16" s="1"/>
  <c r="L408" i="16" s="1"/>
  <c r="L409" i="16" s="1"/>
  <c r="L410" i="16" s="1"/>
  <c r="L411" i="16" s="1"/>
  <c r="L412" i="16" s="1"/>
  <c r="L413" i="16" s="1"/>
  <c r="L414" i="16" s="1"/>
  <c r="L415" i="16" s="1"/>
  <c r="L416" i="16" s="1"/>
  <c r="L417" i="16" s="1"/>
  <c r="L418" i="16" s="1"/>
  <c r="L419" i="16" s="1"/>
  <c r="L420" i="16" s="1"/>
  <c r="L421" i="16" s="1"/>
  <c r="L422" i="16" s="1"/>
  <c r="L423" i="16" s="1"/>
  <c r="L424" i="16" s="1"/>
  <c r="L425" i="16" s="1"/>
  <c r="L426" i="16" s="1"/>
  <c r="L427" i="16" s="1"/>
  <c r="L428" i="16" s="1"/>
  <c r="L429" i="16" s="1"/>
  <c r="L430" i="16" s="1"/>
  <c r="L431" i="16" s="1"/>
  <c r="L432" i="16" s="1"/>
  <c r="L433" i="16" s="1"/>
  <c r="L434" i="16" s="1"/>
  <c r="L435" i="16" s="1"/>
  <c r="L436" i="16" s="1"/>
  <c r="L437" i="16" s="1"/>
  <c r="L438" i="16" s="1"/>
  <c r="L439" i="16" s="1"/>
  <c r="L440" i="16" s="1"/>
  <c r="L441" i="16" s="1"/>
  <c r="L442" i="16" s="1"/>
  <c r="L443" i="16" s="1"/>
  <c r="L444" i="16" s="1"/>
  <c r="L445" i="16" s="1"/>
  <c r="L446" i="16" s="1"/>
  <c r="L447" i="16" s="1"/>
  <c r="L448" i="16" s="1"/>
  <c r="L449" i="16" s="1"/>
  <c r="L450" i="16" s="1"/>
  <c r="L451" i="16" s="1"/>
  <c r="L452" i="16" s="1"/>
  <c r="L453" i="16" s="1"/>
  <c r="L454" i="16" s="1"/>
  <c r="L455" i="16" s="1"/>
  <c r="L456" i="16" s="1"/>
  <c r="L457" i="16" s="1"/>
  <c r="L458" i="16" s="1"/>
  <c r="L459" i="16" s="1"/>
  <c r="L460" i="16" s="1"/>
  <c r="L461" i="16" s="1"/>
  <c r="L462" i="16" s="1"/>
  <c r="L463" i="16" s="1"/>
  <c r="L464" i="16" s="1"/>
  <c r="L465" i="16" s="1"/>
  <c r="L466" i="16" s="1"/>
  <c r="L467" i="16" s="1"/>
  <c r="L468" i="16" s="1"/>
  <c r="L469" i="16" s="1"/>
  <c r="L470" i="16" s="1"/>
  <c r="L471" i="16" s="1"/>
  <c r="L472" i="16" s="1"/>
  <c r="L473" i="16" s="1"/>
  <c r="L474" i="16" s="1"/>
  <c r="L475" i="16" s="1"/>
  <c r="L476" i="16" s="1"/>
  <c r="L477" i="16" s="1"/>
  <c r="L478" i="16" s="1"/>
  <c r="L479" i="16" s="1"/>
  <c r="L480" i="16" s="1"/>
  <c r="L481" i="16" s="1"/>
  <c r="L482" i="16" s="1"/>
  <c r="L483" i="16" s="1"/>
  <c r="L484" i="16" s="1"/>
  <c r="L485" i="16" s="1"/>
  <c r="L486" i="16" s="1"/>
  <c r="L487" i="16" s="1"/>
  <c r="L488" i="16" s="1"/>
  <c r="L489" i="16" s="1"/>
  <c r="L490" i="16" s="1"/>
  <c r="L491" i="16" s="1"/>
  <c r="L492" i="16" s="1"/>
  <c r="L493" i="16" s="1"/>
  <c r="L494" i="16" s="1"/>
  <c r="L495" i="16" s="1"/>
  <c r="L496" i="16" s="1"/>
  <c r="L497" i="16" s="1"/>
  <c r="L498" i="16" s="1"/>
  <c r="L499" i="16" s="1"/>
  <c r="L500" i="16" s="1"/>
  <c r="L501" i="16" s="1"/>
  <c r="L502" i="16" s="1"/>
  <c r="L503" i="16" s="1"/>
  <c r="L504" i="16" s="1"/>
  <c r="L505" i="16" s="1"/>
  <c r="L506" i="16" s="1"/>
  <c r="L507" i="16" s="1"/>
  <c r="L508" i="16" s="1"/>
  <c r="L509" i="16" s="1"/>
  <c r="L510" i="16" s="1"/>
  <c r="L511" i="16" s="1"/>
  <c r="L512" i="16" s="1"/>
  <c r="L513" i="16" s="1"/>
  <c r="L514" i="16" s="1"/>
  <c r="L515" i="16" s="1"/>
  <c r="L516" i="16" s="1"/>
  <c r="L517" i="16" s="1"/>
  <c r="L518" i="16" s="1"/>
  <c r="L519" i="16" s="1"/>
  <c r="L520" i="16" s="1"/>
  <c r="L521" i="16" s="1"/>
  <c r="L522" i="16" s="1"/>
  <c r="L523" i="16" s="1"/>
  <c r="L524" i="16" s="1"/>
  <c r="L525" i="16" s="1"/>
  <c r="L526" i="16" s="1"/>
  <c r="L527" i="16" s="1"/>
  <c r="L528" i="16" s="1"/>
  <c r="L529" i="16" s="1"/>
  <c r="L530" i="16" s="1"/>
  <c r="K377" i="16"/>
  <c r="K378" i="16" s="1"/>
  <c r="K379" i="16" s="1"/>
  <c r="K380" i="16" s="1"/>
  <c r="K381" i="16" s="1"/>
  <c r="K382" i="16" s="1"/>
  <c r="K383" i="16" s="1"/>
  <c r="K384" i="16" s="1"/>
  <c r="K385" i="16" s="1"/>
  <c r="K386" i="16" s="1"/>
  <c r="K387" i="16" s="1"/>
  <c r="K388" i="16" s="1"/>
  <c r="K389" i="16" s="1"/>
  <c r="K390" i="16" s="1"/>
  <c r="K391" i="16" s="1"/>
  <c r="K392" i="16" s="1"/>
  <c r="K393" i="16" s="1"/>
  <c r="K394" i="16" s="1"/>
  <c r="K395" i="16" s="1"/>
  <c r="K396" i="16" s="1"/>
  <c r="K397" i="16" s="1"/>
  <c r="K398" i="16" s="1"/>
  <c r="K399" i="16" s="1"/>
  <c r="K400" i="16" s="1"/>
  <c r="K401" i="16" s="1"/>
  <c r="K402" i="16" s="1"/>
  <c r="K403" i="16" s="1"/>
  <c r="K404" i="16" s="1"/>
  <c r="K405" i="16" s="1"/>
  <c r="K406" i="16" s="1"/>
  <c r="K407" i="16" s="1"/>
  <c r="K408" i="16" s="1"/>
  <c r="K409" i="16" s="1"/>
  <c r="K410" i="16" s="1"/>
  <c r="K411" i="16" s="1"/>
  <c r="K412" i="16" s="1"/>
  <c r="K413" i="16" s="1"/>
  <c r="K414" i="16" s="1"/>
  <c r="K415" i="16" s="1"/>
  <c r="K416" i="16" s="1"/>
  <c r="K417" i="16" s="1"/>
  <c r="K418" i="16" s="1"/>
  <c r="K419" i="16" s="1"/>
  <c r="K420" i="16" s="1"/>
  <c r="K421" i="16" s="1"/>
  <c r="K422" i="16" s="1"/>
  <c r="K423" i="16" s="1"/>
  <c r="K424" i="16" s="1"/>
  <c r="K425" i="16" s="1"/>
  <c r="K426" i="16" s="1"/>
  <c r="K427" i="16" s="1"/>
  <c r="K428" i="16" s="1"/>
  <c r="K429" i="16" s="1"/>
  <c r="K430" i="16" s="1"/>
  <c r="K431" i="16" s="1"/>
  <c r="K432" i="16" s="1"/>
  <c r="K433" i="16" s="1"/>
  <c r="K434" i="16" s="1"/>
  <c r="K435" i="16" s="1"/>
  <c r="K436" i="16" s="1"/>
  <c r="K437" i="16" s="1"/>
  <c r="K438" i="16" s="1"/>
  <c r="K439" i="16" s="1"/>
  <c r="K440" i="16" s="1"/>
  <c r="K441" i="16" s="1"/>
  <c r="K442" i="16" s="1"/>
  <c r="K443" i="16" s="1"/>
  <c r="K444" i="16" s="1"/>
  <c r="K445" i="16" s="1"/>
  <c r="K446" i="16" s="1"/>
  <c r="K447" i="16" s="1"/>
  <c r="K448" i="16" s="1"/>
  <c r="K449" i="16" s="1"/>
  <c r="K450" i="16" s="1"/>
  <c r="K451" i="16" s="1"/>
  <c r="K452" i="16" s="1"/>
  <c r="K453" i="16" s="1"/>
  <c r="K454" i="16" s="1"/>
  <c r="K455" i="16" s="1"/>
  <c r="K456" i="16" s="1"/>
  <c r="K457" i="16" s="1"/>
  <c r="K458" i="16" s="1"/>
  <c r="K459" i="16" s="1"/>
  <c r="K460" i="16" s="1"/>
  <c r="K461" i="16" s="1"/>
  <c r="K462" i="16" s="1"/>
  <c r="K463" i="16" s="1"/>
  <c r="K464" i="16" s="1"/>
  <c r="K465" i="16" s="1"/>
  <c r="K466" i="16" s="1"/>
  <c r="K467" i="16" s="1"/>
  <c r="K468" i="16" s="1"/>
  <c r="K469" i="16" s="1"/>
  <c r="K470" i="16" s="1"/>
  <c r="K471" i="16" s="1"/>
  <c r="K472" i="16" s="1"/>
  <c r="K473" i="16" s="1"/>
  <c r="K474" i="16" s="1"/>
  <c r="K475" i="16" s="1"/>
  <c r="K476" i="16" s="1"/>
  <c r="K477" i="16" s="1"/>
  <c r="K478" i="16" s="1"/>
  <c r="K479" i="16" s="1"/>
  <c r="K480" i="16" s="1"/>
  <c r="K481" i="16" s="1"/>
  <c r="K482" i="16" s="1"/>
  <c r="K483" i="16" s="1"/>
  <c r="K484" i="16" s="1"/>
  <c r="K485" i="16" s="1"/>
  <c r="K486" i="16" s="1"/>
  <c r="K487" i="16" s="1"/>
  <c r="K488" i="16" s="1"/>
  <c r="K489" i="16" s="1"/>
  <c r="K490" i="16" s="1"/>
  <c r="K491" i="16" s="1"/>
  <c r="K492" i="16" s="1"/>
  <c r="K493" i="16" s="1"/>
  <c r="K494" i="16" s="1"/>
  <c r="K495" i="16" s="1"/>
  <c r="K496" i="16" s="1"/>
  <c r="K497" i="16" s="1"/>
  <c r="K498" i="16" s="1"/>
  <c r="K499" i="16" s="1"/>
  <c r="K500" i="16" s="1"/>
  <c r="K501" i="16" s="1"/>
  <c r="K502" i="16" s="1"/>
  <c r="K503" i="16" s="1"/>
  <c r="K504" i="16" s="1"/>
  <c r="K505" i="16" s="1"/>
  <c r="K506" i="16" s="1"/>
  <c r="K507" i="16" s="1"/>
  <c r="K508" i="16" s="1"/>
  <c r="K509" i="16" s="1"/>
  <c r="K510" i="16" s="1"/>
  <c r="K511" i="16" s="1"/>
  <c r="K512" i="16" s="1"/>
  <c r="K513" i="16" s="1"/>
  <c r="K514" i="16" s="1"/>
  <c r="K515" i="16" s="1"/>
  <c r="K516" i="16" s="1"/>
  <c r="K517" i="16" s="1"/>
  <c r="K518" i="16" s="1"/>
  <c r="K519" i="16" s="1"/>
  <c r="K520" i="16" s="1"/>
  <c r="K521" i="16" s="1"/>
  <c r="K522" i="16" s="1"/>
  <c r="K523" i="16" s="1"/>
  <c r="K524" i="16" s="1"/>
  <c r="K525" i="16" s="1"/>
  <c r="K526" i="16" s="1"/>
  <c r="K527" i="16" s="1"/>
  <c r="K528" i="16" s="1"/>
  <c r="K529" i="16" s="1"/>
  <c r="K530" i="16" s="1"/>
  <c r="M421" i="16"/>
  <c r="M422" i="16" s="1"/>
  <c r="M423" i="16" s="1"/>
  <c r="M424" i="16" s="1"/>
  <c r="M425" i="16" s="1"/>
  <c r="M426" i="16" s="1"/>
  <c r="M427" i="16" s="1"/>
  <c r="M428" i="16" s="1"/>
  <c r="M429" i="16" s="1"/>
  <c r="M430" i="16" s="1"/>
  <c r="M431" i="16" s="1"/>
  <c r="M432" i="16" s="1"/>
  <c r="M433" i="16" s="1"/>
  <c r="M434" i="16" s="1"/>
  <c r="M435" i="16" s="1"/>
  <c r="M436" i="16" s="1"/>
  <c r="M437" i="16" s="1"/>
  <c r="M438" i="16" s="1"/>
  <c r="M439" i="16" s="1"/>
  <c r="M440" i="16" s="1"/>
  <c r="M441" i="16" s="1"/>
  <c r="M442" i="16" s="1"/>
  <c r="M443" i="16" s="1"/>
  <c r="M444" i="16" s="1"/>
  <c r="M445" i="16" s="1"/>
  <c r="M446" i="16" s="1"/>
  <c r="M447" i="16" s="1"/>
  <c r="M448" i="16" s="1"/>
  <c r="M449" i="16" s="1"/>
  <c r="M450" i="16" s="1"/>
  <c r="M451" i="16" s="1"/>
  <c r="M452" i="16" s="1"/>
  <c r="M453" i="16" s="1"/>
  <c r="M454" i="16" s="1"/>
  <c r="M455" i="16" s="1"/>
  <c r="M456" i="16" s="1"/>
  <c r="M457" i="16" s="1"/>
  <c r="M458" i="16" s="1"/>
  <c r="M459" i="16" s="1"/>
  <c r="M460" i="16" s="1"/>
  <c r="M461" i="16" s="1"/>
  <c r="M462" i="16" s="1"/>
  <c r="M463" i="16" s="1"/>
  <c r="M464" i="16" s="1"/>
  <c r="M465" i="16" s="1"/>
  <c r="M466" i="16" s="1"/>
  <c r="M467" i="16" s="1"/>
  <c r="M468" i="16" s="1"/>
  <c r="M469" i="16" s="1"/>
  <c r="M470" i="16" s="1"/>
  <c r="M471" i="16" s="1"/>
  <c r="M472" i="16" s="1"/>
  <c r="M473" i="16" s="1"/>
  <c r="M474" i="16" s="1"/>
  <c r="M475" i="16" s="1"/>
  <c r="M476" i="16" s="1"/>
  <c r="M477" i="16" s="1"/>
  <c r="M478" i="16" s="1"/>
  <c r="M479" i="16" s="1"/>
  <c r="M480" i="16" s="1"/>
  <c r="M481" i="16" s="1"/>
  <c r="M482" i="16" s="1"/>
  <c r="M483" i="16" s="1"/>
  <c r="M484" i="16" s="1"/>
  <c r="M485" i="16" s="1"/>
  <c r="M486" i="16" s="1"/>
  <c r="M487" i="16" s="1"/>
  <c r="M488" i="16" s="1"/>
  <c r="M489" i="16" s="1"/>
  <c r="M490" i="16" s="1"/>
  <c r="M491" i="16" s="1"/>
  <c r="M492" i="16" s="1"/>
  <c r="M493" i="16" s="1"/>
  <c r="M494" i="16" s="1"/>
  <c r="M495" i="16" s="1"/>
  <c r="M496" i="16" s="1"/>
  <c r="M497" i="16" s="1"/>
  <c r="M498" i="16" s="1"/>
  <c r="M499" i="16" s="1"/>
  <c r="M500" i="16" s="1"/>
  <c r="M501" i="16" s="1"/>
  <c r="M502" i="16" s="1"/>
  <c r="M503" i="16" s="1"/>
  <c r="M504" i="16" s="1"/>
  <c r="M505" i="16" s="1"/>
  <c r="M506" i="16" s="1"/>
  <c r="M507" i="16" s="1"/>
  <c r="M508" i="16" s="1"/>
  <c r="M509" i="16" s="1"/>
  <c r="M510" i="16" s="1"/>
  <c r="M511" i="16" s="1"/>
  <c r="M512" i="16" s="1"/>
  <c r="M513" i="16" s="1"/>
  <c r="M514" i="16" s="1"/>
  <c r="M515" i="16" s="1"/>
  <c r="M516" i="16" s="1"/>
  <c r="M517" i="16" s="1"/>
  <c r="M518" i="16" s="1"/>
  <c r="M519" i="16" s="1"/>
  <c r="M520" i="16" s="1"/>
  <c r="M521" i="16" s="1"/>
  <c r="M522" i="16" s="1"/>
  <c r="M523" i="16" s="1"/>
  <c r="M524" i="16" s="1"/>
  <c r="M525" i="16" s="1"/>
  <c r="M526" i="16" s="1"/>
  <c r="M527" i="16" s="1"/>
  <c r="M528" i="16" s="1"/>
  <c r="M529" i="16" s="1"/>
  <c r="M530" i="16" s="1"/>
  <c r="J298" i="16"/>
  <c r="J299" i="16" s="1"/>
  <c r="J300" i="16" s="1"/>
  <c r="J301" i="16" s="1"/>
  <c r="J302" i="16" s="1"/>
  <c r="J303" i="16" s="1"/>
  <c r="J304" i="16" s="1"/>
  <c r="J305" i="16" s="1"/>
  <c r="J306" i="16" s="1"/>
  <c r="J307" i="16" s="1"/>
  <c r="J308" i="16" s="1"/>
  <c r="J309" i="16" s="1"/>
  <c r="J310" i="16" s="1"/>
  <c r="J311" i="16" s="1"/>
  <c r="J312" i="16" s="1"/>
  <c r="J313" i="16" s="1"/>
  <c r="J314" i="16" s="1"/>
  <c r="J315" i="16" s="1"/>
  <c r="J316" i="16" s="1"/>
  <c r="J317" i="16" s="1"/>
  <c r="J318" i="16" s="1"/>
  <c r="J319" i="16" s="1"/>
  <c r="J320" i="16" s="1"/>
  <c r="J321" i="16" s="1"/>
  <c r="J322" i="16" s="1"/>
  <c r="J323" i="16" s="1"/>
  <c r="J324" i="16" s="1"/>
  <c r="J325" i="16" s="1"/>
  <c r="J326" i="16" s="1"/>
  <c r="J327" i="16" s="1"/>
  <c r="J328" i="16" s="1"/>
  <c r="J329" i="16" s="1"/>
  <c r="J330" i="16" s="1"/>
  <c r="J331" i="16" s="1"/>
  <c r="J332" i="16" s="1"/>
  <c r="J333" i="16" s="1"/>
  <c r="J334" i="16" s="1"/>
  <c r="J335" i="16" s="1"/>
  <c r="J336" i="16" s="1"/>
  <c r="J337" i="16" s="1"/>
  <c r="J338" i="16" s="1"/>
  <c r="J339" i="16" s="1"/>
  <c r="J340" i="16" s="1"/>
  <c r="J341" i="16" s="1"/>
  <c r="J342" i="16" s="1"/>
  <c r="J343" i="16" s="1"/>
  <c r="J344" i="16" s="1"/>
  <c r="J345" i="16" s="1"/>
  <c r="J346" i="16" s="1"/>
  <c r="J347" i="16" s="1"/>
  <c r="J348" i="16" s="1"/>
  <c r="J349" i="16" s="1"/>
  <c r="J350" i="16" s="1"/>
  <c r="J351" i="16" s="1"/>
  <c r="J352" i="16" s="1"/>
  <c r="J353" i="16" s="1"/>
  <c r="J354" i="16" s="1"/>
  <c r="J355" i="16" s="1"/>
  <c r="J356" i="16" s="1"/>
  <c r="J357" i="16" s="1"/>
  <c r="J358" i="16" s="1"/>
  <c r="J359" i="16" s="1"/>
  <c r="J360" i="16" s="1"/>
  <c r="J361" i="16" s="1"/>
  <c r="J362" i="16" s="1"/>
  <c r="J363" i="16" s="1"/>
  <c r="J364" i="16" s="1"/>
  <c r="J365" i="16" s="1"/>
  <c r="J366" i="16" s="1"/>
  <c r="J367" i="16" s="1"/>
  <c r="J368" i="16" s="1"/>
  <c r="J369" i="16" s="1"/>
  <c r="J370" i="16" s="1"/>
  <c r="J371" i="16" s="1"/>
  <c r="J372" i="16" s="1"/>
  <c r="J373" i="16" s="1"/>
  <c r="J374" i="16" s="1"/>
  <c r="J375" i="16" s="1"/>
  <c r="J376" i="16" s="1"/>
  <c r="J377" i="16" s="1"/>
  <c r="J378" i="16" s="1"/>
  <c r="J379" i="16" s="1"/>
  <c r="J380" i="16" s="1"/>
  <c r="J381" i="16" s="1"/>
  <c r="J382" i="16" s="1"/>
  <c r="J383" i="16" s="1"/>
  <c r="J384" i="16" s="1"/>
  <c r="J385" i="16" s="1"/>
  <c r="J386" i="16" s="1"/>
  <c r="J387" i="16" s="1"/>
  <c r="J388" i="16" s="1"/>
  <c r="J389" i="16" s="1"/>
  <c r="J390" i="16" s="1"/>
  <c r="J391" i="16" s="1"/>
  <c r="J392" i="16" s="1"/>
  <c r="J393" i="16" s="1"/>
  <c r="J394" i="16" s="1"/>
  <c r="J395" i="16" s="1"/>
  <c r="J396" i="16" s="1"/>
  <c r="J397" i="16" s="1"/>
  <c r="J398" i="16" s="1"/>
  <c r="J399" i="16" s="1"/>
  <c r="J400" i="16" s="1"/>
  <c r="J401" i="16" s="1"/>
  <c r="J402" i="16" s="1"/>
  <c r="J403" i="16" s="1"/>
  <c r="J404" i="16" s="1"/>
  <c r="J405" i="16" s="1"/>
  <c r="J406" i="16" s="1"/>
  <c r="J407" i="16" s="1"/>
  <c r="J408" i="16" s="1"/>
  <c r="J409" i="16" s="1"/>
  <c r="J410" i="16" s="1"/>
  <c r="J411" i="16" s="1"/>
  <c r="J412" i="16" s="1"/>
  <c r="J413" i="16" s="1"/>
  <c r="J414" i="16" s="1"/>
  <c r="J415" i="16" s="1"/>
  <c r="J416" i="16" s="1"/>
  <c r="J417" i="16" s="1"/>
  <c r="J418" i="16" s="1"/>
  <c r="J419" i="16" s="1"/>
  <c r="J420" i="16" s="1"/>
  <c r="J421" i="16" s="1"/>
  <c r="J422" i="16" s="1"/>
  <c r="J423" i="16" s="1"/>
  <c r="J424" i="16" s="1"/>
  <c r="J425" i="16" s="1"/>
  <c r="J426" i="16" s="1"/>
  <c r="J427" i="16" s="1"/>
  <c r="J428" i="16" s="1"/>
  <c r="J429" i="16" s="1"/>
  <c r="J430" i="16" s="1"/>
  <c r="J431" i="16" s="1"/>
  <c r="J432" i="16" s="1"/>
  <c r="J433" i="16" s="1"/>
  <c r="J434" i="16" s="1"/>
  <c r="J435" i="16" s="1"/>
  <c r="J436" i="16" s="1"/>
  <c r="J437" i="16" s="1"/>
  <c r="J438" i="16" s="1"/>
  <c r="J439" i="16" s="1"/>
  <c r="J440" i="16" s="1"/>
  <c r="J441" i="16" s="1"/>
  <c r="J442" i="16" s="1"/>
  <c r="J443" i="16" s="1"/>
  <c r="J444" i="16" s="1"/>
  <c r="J445" i="16" s="1"/>
  <c r="J446" i="16" s="1"/>
  <c r="J447" i="16" s="1"/>
  <c r="J448" i="16" s="1"/>
  <c r="J449" i="16" s="1"/>
  <c r="J450" i="16" s="1"/>
  <c r="J451" i="16" s="1"/>
  <c r="J452" i="16" s="1"/>
  <c r="J453" i="16" s="1"/>
  <c r="J454" i="16" s="1"/>
  <c r="J455" i="16" s="1"/>
  <c r="J456" i="16" s="1"/>
  <c r="J457" i="16" s="1"/>
  <c r="J458" i="16" s="1"/>
  <c r="J459" i="16" s="1"/>
  <c r="J460" i="16" s="1"/>
  <c r="J461" i="16" s="1"/>
  <c r="J462" i="16" s="1"/>
  <c r="J463" i="16" s="1"/>
  <c r="J464" i="16" s="1"/>
  <c r="J465" i="16" s="1"/>
  <c r="J466" i="16" s="1"/>
  <c r="J467" i="16" s="1"/>
  <c r="J468" i="16" s="1"/>
  <c r="J469" i="16" s="1"/>
  <c r="J470" i="16" s="1"/>
  <c r="J471" i="16" s="1"/>
  <c r="J472" i="16" s="1"/>
  <c r="J473" i="16" s="1"/>
  <c r="J474" i="16" s="1"/>
  <c r="J475" i="16" s="1"/>
  <c r="J476" i="16" s="1"/>
  <c r="J477" i="16" s="1"/>
  <c r="J478" i="16" s="1"/>
  <c r="J479" i="16" s="1"/>
  <c r="J480" i="16" s="1"/>
  <c r="J481" i="16" s="1"/>
  <c r="J482" i="16" s="1"/>
  <c r="J483" i="16" s="1"/>
  <c r="J484" i="16" s="1"/>
  <c r="J485" i="16" s="1"/>
  <c r="J486" i="16" s="1"/>
  <c r="J487" i="16" s="1"/>
  <c r="J488" i="16" s="1"/>
  <c r="J489" i="16" s="1"/>
  <c r="J490" i="16" s="1"/>
  <c r="J491" i="16" s="1"/>
  <c r="J492" i="16" s="1"/>
  <c r="J493" i="16" s="1"/>
  <c r="J494" i="16" s="1"/>
  <c r="J495" i="16" s="1"/>
  <c r="J496" i="16" s="1"/>
  <c r="J497" i="16" s="1"/>
  <c r="J498" i="16" s="1"/>
  <c r="J499" i="16" s="1"/>
  <c r="J500" i="16" s="1"/>
  <c r="J501" i="16" s="1"/>
  <c r="J502" i="16" s="1"/>
  <c r="J503" i="16" s="1"/>
  <c r="J504" i="16" s="1"/>
  <c r="J505" i="16" s="1"/>
  <c r="J506" i="16" s="1"/>
  <c r="J507" i="16" s="1"/>
  <c r="J508" i="16" s="1"/>
  <c r="J509" i="16" s="1"/>
  <c r="J510" i="16" s="1"/>
  <c r="J511" i="16" s="1"/>
  <c r="J512" i="16" s="1"/>
  <c r="J513" i="16" s="1"/>
  <c r="J514" i="16" s="1"/>
  <c r="J515" i="16" s="1"/>
  <c r="J516" i="16" s="1"/>
  <c r="J517" i="16" s="1"/>
  <c r="J518" i="16" s="1"/>
  <c r="J519" i="16" s="1"/>
  <c r="J520" i="16" s="1"/>
  <c r="J521" i="16" s="1"/>
  <c r="J522" i="16" s="1"/>
  <c r="J523" i="16" s="1"/>
  <c r="J524" i="16" s="1"/>
  <c r="J525" i="16" s="1"/>
  <c r="J526" i="16" s="1"/>
  <c r="J527" i="16" s="1"/>
  <c r="J528" i="16" s="1"/>
  <c r="J529" i="16" s="1"/>
  <c r="J530" i="16" s="1"/>
  <c r="F9" i="16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261" i="16" s="1"/>
  <c r="F262" i="16" s="1"/>
  <c r="F263" i="16" s="1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F363" i="16" s="1"/>
  <c r="F364" i="16" s="1"/>
  <c r="F365" i="16" s="1"/>
  <c r="F366" i="16" s="1"/>
  <c r="F367" i="16" s="1"/>
  <c r="F368" i="16" s="1"/>
  <c r="F369" i="16" s="1"/>
  <c r="F370" i="16" s="1"/>
  <c r="F371" i="16" s="1"/>
  <c r="F372" i="16" s="1"/>
  <c r="F373" i="16" s="1"/>
  <c r="F374" i="16" s="1"/>
  <c r="F375" i="16" s="1"/>
  <c r="F376" i="16" s="1"/>
  <c r="F377" i="16" s="1"/>
  <c r="F378" i="16" s="1"/>
  <c r="F379" i="16" s="1"/>
  <c r="F380" i="16" s="1"/>
  <c r="F381" i="16" s="1"/>
  <c r="F382" i="16" s="1"/>
  <c r="F383" i="16" s="1"/>
  <c r="F384" i="16" s="1"/>
  <c r="F385" i="16" s="1"/>
  <c r="F386" i="16" s="1"/>
  <c r="F387" i="16" s="1"/>
  <c r="F388" i="16" s="1"/>
  <c r="F389" i="16" s="1"/>
  <c r="F390" i="16" s="1"/>
  <c r="F391" i="16" s="1"/>
  <c r="F392" i="16" s="1"/>
  <c r="F393" i="16" s="1"/>
  <c r="F394" i="16" s="1"/>
  <c r="F395" i="16" s="1"/>
  <c r="F396" i="16" s="1"/>
  <c r="F397" i="16" s="1"/>
  <c r="F398" i="16" s="1"/>
  <c r="F399" i="16" s="1"/>
  <c r="F400" i="16" s="1"/>
  <c r="F401" i="16" s="1"/>
  <c r="F402" i="16" s="1"/>
  <c r="F403" i="16" s="1"/>
  <c r="F404" i="16" s="1"/>
  <c r="F405" i="16" s="1"/>
  <c r="F406" i="16" s="1"/>
  <c r="F407" i="16" s="1"/>
  <c r="F408" i="16" s="1"/>
  <c r="F409" i="16" s="1"/>
  <c r="F410" i="16" s="1"/>
  <c r="F411" i="16" s="1"/>
  <c r="F412" i="16" s="1"/>
  <c r="F413" i="16" s="1"/>
  <c r="F414" i="16" s="1"/>
  <c r="F415" i="16" s="1"/>
  <c r="F416" i="16" s="1"/>
  <c r="F417" i="16" s="1"/>
  <c r="F418" i="16" s="1"/>
  <c r="F419" i="16" s="1"/>
  <c r="F420" i="16" s="1"/>
  <c r="F421" i="16" s="1"/>
  <c r="F422" i="16" s="1"/>
  <c r="F423" i="16" s="1"/>
  <c r="F424" i="16" s="1"/>
  <c r="F425" i="16" s="1"/>
  <c r="F426" i="16" s="1"/>
  <c r="F427" i="16" s="1"/>
  <c r="F428" i="16" s="1"/>
  <c r="F429" i="16" s="1"/>
  <c r="F430" i="16" s="1"/>
  <c r="F431" i="16" s="1"/>
  <c r="F432" i="16" s="1"/>
  <c r="F433" i="16" s="1"/>
  <c r="F434" i="16" s="1"/>
  <c r="F435" i="16" s="1"/>
  <c r="F436" i="16" s="1"/>
  <c r="F437" i="16" s="1"/>
  <c r="F438" i="16" s="1"/>
  <c r="F439" i="16" s="1"/>
  <c r="F440" i="16" s="1"/>
  <c r="F441" i="16" s="1"/>
  <c r="F442" i="16" s="1"/>
  <c r="F443" i="16" s="1"/>
  <c r="F444" i="16" s="1"/>
  <c r="F445" i="16" s="1"/>
  <c r="F446" i="16" s="1"/>
  <c r="F447" i="16" s="1"/>
  <c r="F448" i="16" s="1"/>
  <c r="F449" i="16" s="1"/>
  <c r="F450" i="16" s="1"/>
  <c r="F451" i="16" s="1"/>
  <c r="F452" i="16" s="1"/>
  <c r="F453" i="16" s="1"/>
  <c r="F454" i="16" s="1"/>
  <c r="F455" i="16" s="1"/>
  <c r="F456" i="16" s="1"/>
  <c r="F457" i="16" s="1"/>
  <c r="F458" i="16" s="1"/>
  <c r="F459" i="16" s="1"/>
  <c r="F460" i="16" s="1"/>
  <c r="F461" i="16" s="1"/>
  <c r="F462" i="16" s="1"/>
  <c r="F463" i="16" s="1"/>
  <c r="F464" i="16" s="1"/>
  <c r="F465" i="16" s="1"/>
  <c r="F466" i="16" s="1"/>
  <c r="F467" i="16" s="1"/>
  <c r="F468" i="16" s="1"/>
  <c r="F469" i="16" s="1"/>
  <c r="F470" i="16" s="1"/>
  <c r="F471" i="16" s="1"/>
  <c r="F472" i="16" s="1"/>
  <c r="F473" i="16" s="1"/>
  <c r="F474" i="16" s="1"/>
  <c r="F475" i="16" s="1"/>
  <c r="F476" i="16" s="1"/>
  <c r="F477" i="16" s="1"/>
  <c r="E9" i="16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G9" i="16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147" i="16" s="1"/>
  <c r="G148" i="16" s="1"/>
  <c r="G149" i="16" s="1"/>
  <c r="G150" i="16" s="1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G181" i="16" s="1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 s="1"/>
  <c r="G222" i="16" s="1"/>
  <c r="G223" i="16" s="1"/>
  <c r="G224" i="16" s="1"/>
  <c r="G225" i="16" s="1"/>
  <c r="G226" i="16" s="1"/>
  <c r="G227" i="16" s="1"/>
  <c r="G228" i="16" s="1"/>
  <c r="G229" i="16" s="1"/>
  <c r="G230" i="16" s="1"/>
  <c r="G231" i="16" s="1"/>
  <c r="G232" i="16" s="1"/>
  <c r="G233" i="16" s="1"/>
  <c r="G234" i="16" s="1"/>
  <c r="G235" i="16" s="1"/>
  <c r="G236" i="16" s="1"/>
  <c r="G237" i="16" s="1"/>
  <c r="G238" i="16" s="1"/>
  <c r="G239" i="16" s="1"/>
  <c r="G240" i="16" s="1"/>
  <c r="G241" i="16" s="1"/>
  <c r="G242" i="16" s="1"/>
  <c r="G243" i="16" s="1"/>
  <c r="G244" i="16" s="1"/>
  <c r="G245" i="16" s="1"/>
  <c r="G246" i="16" s="1"/>
  <c r="G247" i="16" s="1"/>
  <c r="G248" i="16" s="1"/>
  <c r="G249" i="16" s="1"/>
  <c r="G250" i="16" s="1"/>
  <c r="G251" i="16" s="1"/>
  <c r="G252" i="16" s="1"/>
  <c r="G253" i="16" s="1"/>
  <c r="G254" i="16" s="1"/>
  <c r="G255" i="16" s="1"/>
  <c r="G256" i="16" s="1"/>
  <c r="G257" i="16" s="1"/>
  <c r="G258" i="16" s="1"/>
  <c r="G259" i="16" s="1"/>
  <c r="G260" i="16" s="1"/>
  <c r="G261" i="16" s="1"/>
  <c r="G262" i="16" s="1"/>
  <c r="G263" i="16" s="1"/>
  <c r="G264" i="16" s="1"/>
  <c r="G265" i="16" s="1"/>
  <c r="G266" i="16" s="1"/>
  <c r="G267" i="16" s="1"/>
  <c r="G268" i="16" s="1"/>
  <c r="G269" i="16" s="1"/>
  <c r="G270" i="16" s="1"/>
  <c r="G271" i="16" s="1"/>
  <c r="G272" i="16" s="1"/>
  <c r="G273" i="16" s="1"/>
  <c r="G274" i="16" s="1"/>
  <c r="G275" i="16" s="1"/>
  <c r="G276" i="16" s="1"/>
  <c r="G277" i="16" s="1"/>
  <c r="G278" i="16" s="1"/>
  <c r="G279" i="16" s="1"/>
  <c r="G280" i="16" s="1"/>
  <c r="G281" i="16" s="1"/>
  <c r="G282" i="16" s="1"/>
  <c r="G283" i="16" s="1"/>
  <c r="G284" i="16" s="1"/>
  <c r="G285" i="16" s="1"/>
  <c r="G286" i="16" s="1"/>
  <c r="G287" i="16" s="1"/>
  <c r="G288" i="16" s="1"/>
  <c r="G289" i="16" s="1"/>
  <c r="G290" i="16" s="1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301" i="16" s="1"/>
  <c r="G302" i="16" s="1"/>
  <c r="G303" i="16" s="1"/>
  <c r="G304" i="16" s="1"/>
  <c r="G305" i="16" s="1"/>
  <c r="G306" i="16" s="1"/>
  <c r="G307" i="16" s="1"/>
  <c r="G308" i="16" s="1"/>
  <c r="G309" i="16" s="1"/>
  <c r="G310" i="16" s="1"/>
  <c r="G311" i="16" s="1"/>
  <c r="G312" i="16" s="1"/>
  <c r="G313" i="16" s="1"/>
  <c r="G314" i="16" s="1"/>
  <c r="G315" i="16" s="1"/>
  <c r="G316" i="16" s="1"/>
  <c r="G317" i="16" s="1"/>
  <c r="G318" i="16" s="1"/>
  <c r="G319" i="16" s="1"/>
  <c r="G320" i="16" s="1"/>
  <c r="G321" i="16" s="1"/>
  <c r="G322" i="16" s="1"/>
  <c r="G323" i="16" s="1"/>
  <c r="G324" i="16" s="1"/>
  <c r="G325" i="16" s="1"/>
  <c r="G326" i="16" s="1"/>
  <c r="G327" i="16" s="1"/>
  <c r="G328" i="16" s="1"/>
  <c r="G329" i="16" s="1"/>
  <c r="G330" i="16" s="1"/>
  <c r="G331" i="16" s="1"/>
  <c r="G332" i="16" s="1"/>
  <c r="G333" i="16" s="1"/>
  <c r="G334" i="16" s="1"/>
  <c r="G335" i="16" s="1"/>
  <c r="G336" i="16" s="1"/>
  <c r="G337" i="16" s="1"/>
  <c r="G338" i="16" s="1"/>
  <c r="G339" i="16" s="1"/>
  <c r="G340" i="16" s="1"/>
  <c r="G341" i="16" s="1"/>
  <c r="G342" i="16" s="1"/>
  <c r="G343" i="16" s="1"/>
  <c r="G344" i="16" s="1"/>
  <c r="G345" i="16" s="1"/>
  <c r="G346" i="16" s="1"/>
  <c r="G347" i="16" s="1"/>
  <c r="G348" i="16" s="1"/>
  <c r="G349" i="16" s="1"/>
  <c r="G350" i="16" s="1"/>
  <c r="G351" i="16" s="1"/>
  <c r="G352" i="16" s="1"/>
  <c r="G353" i="16" s="1"/>
  <c r="G354" i="16" s="1"/>
  <c r="G355" i="16" s="1"/>
  <c r="G356" i="16" s="1"/>
  <c r="G357" i="16" s="1"/>
  <c r="G358" i="16" s="1"/>
  <c r="G359" i="16" s="1"/>
  <c r="G360" i="16" s="1"/>
  <c r="G361" i="16" s="1"/>
  <c r="G362" i="16" s="1"/>
  <c r="G363" i="16" s="1"/>
  <c r="G364" i="16" s="1"/>
  <c r="G365" i="16" s="1"/>
  <c r="G366" i="16" s="1"/>
  <c r="G367" i="16" s="1"/>
  <c r="G368" i="16" s="1"/>
  <c r="G369" i="16" s="1"/>
  <c r="G370" i="16" s="1"/>
  <c r="G371" i="16" s="1"/>
  <c r="G372" i="16" s="1"/>
  <c r="G373" i="16" s="1"/>
  <c r="G374" i="16" s="1"/>
  <c r="G375" i="16" s="1"/>
  <c r="G376" i="16" s="1"/>
  <c r="G377" i="16" s="1"/>
  <c r="G378" i="16" s="1"/>
  <c r="G379" i="16" s="1"/>
  <c r="G380" i="16" s="1"/>
  <c r="G381" i="16" s="1"/>
  <c r="G382" i="16" s="1"/>
  <c r="G383" i="16" s="1"/>
  <c r="G384" i="16" s="1"/>
  <c r="G385" i="16" s="1"/>
  <c r="G386" i="16" s="1"/>
  <c r="G387" i="16" s="1"/>
  <c r="G388" i="16" s="1"/>
  <c r="G389" i="16" s="1"/>
  <c r="G390" i="16" s="1"/>
  <c r="G391" i="16" s="1"/>
  <c r="G392" i="16" s="1"/>
  <c r="G393" i="16" s="1"/>
  <c r="G394" i="16" s="1"/>
  <c r="G395" i="16" s="1"/>
  <c r="G396" i="16" s="1"/>
  <c r="G397" i="16" s="1"/>
  <c r="G398" i="16" s="1"/>
  <c r="G399" i="16" s="1"/>
  <c r="G400" i="16" s="1"/>
  <c r="G401" i="16" s="1"/>
  <c r="G402" i="16" s="1"/>
  <c r="G403" i="16" s="1"/>
  <c r="G404" i="16" s="1"/>
  <c r="G405" i="16" s="1"/>
  <c r="G406" i="16" s="1"/>
  <c r="G407" i="16" s="1"/>
  <c r="G408" i="16" s="1"/>
  <c r="G409" i="16" s="1"/>
  <c r="G410" i="16" s="1"/>
  <c r="G411" i="16" s="1"/>
  <c r="G412" i="16" s="1"/>
  <c r="G413" i="16" s="1"/>
  <c r="G414" i="16" s="1"/>
  <c r="G415" i="16" s="1"/>
  <c r="G416" i="16" s="1"/>
  <c r="G417" i="16" s="1"/>
  <c r="G418" i="16" s="1"/>
  <c r="G419" i="16" s="1"/>
  <c r="G420" i="16" s="1"/>
  <c r="G421" i="16" s="1"/>
  <c r="G422" i="16" s="1"/>
  <c r="G423" i="16" s="1"/>
  <c r="G424" i="16" s="1"/>
  <c r="G425" i="16" s="1"/>
  <c r="G426" i="16" s="1"/>
  <c r="G427" i="16" s="1"/>
  <c r="G428" i="16" s="1"/>
  <c r="G429" i="16" s="1"/>
  <c r="G430" i="16" s="1"/>
  <c r="G431" i="16" s="1"/>
  <c r="G432" i="16" s="1"/>
  <c r="G433" i="16" s="1"/>
  <c r="G434" i="16" s="1"/>
  <c r="G435" i="16" s="1"/>
  <c r="G436" i="16" s="1"/>
  <c r="G437" i="16" s="1"/>
  <c r="G438" i="16" s="1"/>
  <c r="G439" i="16" s="1"/>
  <c r="G440" i="16" s="1"/>
  <c r="G441" i="16" s="1"/>
  <c r="G442" i="16" s="1"/>
  <c r="G443" i="16" s="1"/>
  <c r="G444" i="16" s="1"/>
  <c r="G445" i="16" s="1"/>
  <c r="G446" i="16" s="1"/>
  <c r="G447" i="16" s="1"/>
  <c r="G448" i="16" s="1"/>
  <c r="G449" i="16" s="1"/>
  <c r="G450" i="16" s="1"/>
  <c r="G451" i="16" s="1"/>
  <c r="G452" i="16" s="1"/>
  <c r="G453" i="16" s="1"/>
  <c r="G454" i="16" s="1"/>
  <c r="G455" i="16" s="1"/>
  <c r="G456" i="16" s="1"/>
  <c r="G457" i="16" s="1"/>
  <c r="G458" i="16" s="1"/>
  <c r="G459" i="16" s="1"/>
  <c r="G460" i="16" s="1"/>
  <c r="G461" i="16" s="1"/>
  <c r="G462" i="16" s="1"/>
  <c r="G463" i="16" s="1"/>
  <c r="G464" i="16" s="1"/>
  <c r="G465" i="16" s="1"/>
  <c r="G466" i="16" s="1"/>
  <c r="G467" i="16" s="1"/>
  <c r="G468" i="16" s="1"/>
  <c r="G469" i="16" s="1"/>
  <c r="G470" i="16" s="1"/>
  <c r="G471" i="16" s="1"/>
  <c r="G472" i="16" s="1"/>
  <c r="G473" i="16" s="1"/>
  <c r="G474" i="16" s="1"/>
  <c r="G475" i="16" s="1"/>
  <c r="G476" i="16" s="1"/>
  <c r="G477" i="16" s="1"/>
  <c r="G478" i="16" s="1"/>
  <c r="G479" i="16" s="1"/>
  <c r="G480" i="16" s="1"/>
  <c r="G481" i="16" s="1"/>
  <c r="G482" i="16" s="1"/>
  <c r="G483" i="16" s="1"/>
  <c r="G484" i="16" s="1"/>
  <c r="G485" i="16" s="1"/>
  <c r="G486" i="16" s="1"/>
  <c r="G487" i="16" s="1"/>
  <c r="G488" i="16" s="1"/>
  <c r="G489" i="16" s="1"/>
  <c r="G490" i="16" s="1"/>
  <c r="G491" i="16" s="1"/>
  <c r="G492" i="16" s="1"/>
  <c r="G493" i="16" s="1"/>
  <c r="G494" i="16" s="1"/>
  <c r="G495" i="16" s="1"/>
  <c r="G496" i="16" s="1"/>
  <c r="G497" i="16" s="1"/>
  <c r="G498" i="16" s="1"/>
  <c r="G499" i="16" s="1"/>
  <c r="G500" i="16" s="1"/>
  <c r="G501" i="16" s="1"/>
  <c r="G502" i="16" s="1"/>
  <c r="G503" i="16" s="1"/>
  <c r="G504" i="16" s="1"/>
  <c r="G505" i="16" s="1"/>
  <c r="G506" i="16" s="1"/>
  <c r="G507" i="16" s="1"/>
  <c r="G508" i="16" s="1"/>
  <c r="G509" i="16" s="1"/>
  <c r="G510" i="16" s="1"/>
  <c r="G511" i="16" s="1"/>
  <c r="G512" i="16" s="1"/>
  <c r="G513" i="16" s="1"/>
  <c r="G514" i="16" s="1"/>
  <c r="G515" i="16" s="1"/>
  <c r="G516" i="16" s="1"/>
  <c r="G517" i="16" s="1"/>
  <c r="G518" i="16" s="1"/>
  <c r="G519" i="16" s="1"/>
  <c r="G520" i="16" s="1"/>
  <c r="G521" i="16" s="1"/>
  <c r="G522" i="16" s="1"/>
  <c r="G523" i="16" s="1"/>
  <c r="G524" i="16" s="1"/>
  <c r="G525" i="16" s="1"/>
  <c r="G526" i="16" s="1"/>
  <c r="G527" i="16" s="1"/>
  <c r="G528" i="16" s="1"/>
  <c r="G529" i="16" s="1"/>
  <c r="G530" i="16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I43" i="16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314" i="16" s="1"/>
  <c r="I315" i="16" s="1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418" i="16" s="1"/>
  <c r="I419" i="16" s="1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522" i="16" s="1"/>
  <c r="I523" i="16" s="1"/>
  <c r="I524" i="16" s="1"/>
  <c r="I525" i="16" s="1"/>
  <c r="I526" i="16" s="1"/>
  <c r="I527" i="16" s="1"/>
  <c r="I528" i="16" s="1"/>
  <c r="I529" i="16" s="1"/>
  <c r="I530" i="16" s="1"/>
  <c r="H43" i="16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H241" i="16" s="1"/>
  <c r="H242" i="16" s="1"/>
  <c r="H243" i="16" s="1"/>
  <c r="H244" i="16" s="1"/>
  <c r="H245" i="16" s="1"/>
  <c r="H246" i="16" s="1"/>
  <c r="H247" i="16" s="1"/>
  <c r="H248" i="16" s="1"/>
  <c r="H249" i="16" s="1"/>
  <c r="H250" i="16" s="1"/>
  <c r="H251" i="16" s="1"/>
  <c r="H252" i="16" s="1"/>
  <c r="H253" i="16" s="1"/>
  <c r="H254" i="16" s="1"/>
  <c r="H255" i="16" s="1"/>
  <c r="H256" i="16" s="1"/>
  <c r="H257" i="16" s="1"/>
  <c r="H258" i="16" s="1"/>
  <c r="H259" i="16" s="1"/>
  <c r="H260" i="16" s="1"/>
  <c r="H261" i="16" s="1"/>
  <c r="H262" i="16" s="1"/>
  <c r="H263" i="16" s="1"/>
  <c r="H264" i="16" s="1"/>
  <c r="H265" i="16" s="1"/>
  <c r="H266" i="16" s="1"/>
  <c r="H267" i="16" s="1"/>
  <c r="H268" i="16" s="1"/>
  <c r="H269" i="16" s="1"/>
  <c r="H270" i="16" s="1"/>
  <c r="H271" i="16" s="1"/>
  <c r="H272" i="16" s="1"/>
  <c r="H273" i="16" s="1"/>
  <c r="H274" i="16" s="1"/>
  <c r="H275" i="16" s="1"/>
  <c r="H276" i="16" s="1"/>
  <c r="H277" i="16" s="1"/>
  <c r="H278" i="16" s="1"/>
  <c r="H279" i="16" s="1"/>
  <c r="H280" i="16" s="1"/>
  <c r="H281" i="16" s="1"/>
  <c r="H282" i="16" s="1"/>
  <c r="H283" i="16" s="1"/>
  <c r="H284" i="16" s="1"/>
  <c r="H285" i="16" s="1"/>
  <c r="H286" i="16" s="1"/>
  <c r="H287" i="16" s="1"/>
  <c r="H288" i="16" s="1"/>
  <c r="H289" i="16" s="1"/>
  <c r="H290" i="16" s="1"/>
  <c r="H291" i="16" s="1"/>
  <c r="H292" i="16" s="1"/>
  <c r="H293" i="16" s="1"/>
  <c r="H294" i="16" s="1"/>
  <c r="H295" i="16" s="1"/>
  <c r="H296" i="16" s="1"/>
  <c r="H297" i="16" s="1"/>
  <c r="H298" i="16" s="1"/>
  <c r="H299" i="16" s="1"/>
  <c r="H300" i="16" s="1"/>
  <c r="H301" i="16" s="1"/>
  <c r="H302" i="16" s="1"/>
  <c r="H303" i="16" s="1"/>
  <c r="H304" i="16" s="1"/>
  <c r="H305" i="16" s="1"/>
  <c r="H306" i="16" s="1"/>
  <c r="H307" i="16" s="1"/>
  <c r="H308" i="16" s="1"/>
  <c r="H309" i="16" s="1"/>
  <c r="H310" i="16" s="1"/>
  <c r="H311" i="16" s="1"/>
  <c r="H312" i="16" s="1"/>
  <c r="H313" i="16" s="1"/>
  <c r="H314" i="16" s="1"/>
  <c r="H315" i="16" s="1"/>
  <c r="H316" i="16" s="1"/>
  <c r="H317" i="16" s="1"/>
  <c r="H318" i="16" s="1"/>
  <c r="H319" i="16" s="1"/>
  <c r="H320" i="16" s="1"/>
  <c r="H321" i="16" s="1"/>
  <c r="H322" i="16" s="1"/>
  <c r="H323" i="16" s="1"/>
  <c r="H324" i="16" s="1"/>
  <c r="H325" i="16" s="1"/>
  <c r="H326" i="16" s="1"/>
  <c r="H327" i="16" s="1"/>
  <c r="H328" i="16" s="1"/>
  <c r="H329" i="16" s="1"/>
  <c r="H330" i="16" s="1"/>
  <c r="H331" i="16" s="1"/>
  <c r="H332" i="16" s="1"/>
  <c r="H333" i="16" s="1"/>
  <c r="H334" i="16" s="1"/>
  <c r="H335" i="16" s="1"/>
  <c r="H336" i="16" s="1"/>
  <c r="H337" i="16" s="1"/>
  <c r="H338" i="16" s="1"/>
  <c r="H339" i="16" s="1"/>
  <c r="H340" i="16" s="1"/>
  <c r="H341" i="16" s="1"/>
  <c r="H342" i="16" s="1"/>
  <c r="H343" i="16" s="1"/>
  <c r="H344" i="16" s="1"/>
  <c r="H345" i="16" s="1"/>
  <c r="H346" i="16" s="1"/>
  <c r="H347" i="16" s="1"/>
  <c r="H348" i="16" s="1"/>
  <c r="H349" i="16" s="1"/>
  <c r="H350" i="16" s="1"/>
  <c r="H351" i="16" s="1"/>
  <c r="H352" i="16" s="1"/>
  <c r="H353" i="16" s="1"/>
  <c r="H354" i="16" s="1"/>
  <c r="H355" i="16" s="1"/>
  <c r="H356" i="16" s="1"/>
  <c r="H357" i="16" s="1"/>
  <c r="H358" i="16" s="1"/>
  <c r="H359" i="16" s="1"/>
  <c r="H360" i="16" s="1"/>
  <c r="H361" i="16" s="1"/>
  <c r="H362" i="16" s="1"/>
  <c r="H363" i="16" s="1"/>
  <c r="H364" i="16" s="1"/>
  <c r="H365" i="16" s="1"/>
  <c r="H366" i="16" s="1"/>
  <c r="H367" i="16" s="1"/>
  <c r="H368" i="16" s="1"/>
  <c r="H369" i="16" s="1"/>
  <c r="H370" i="16" s="1"/>
  <c r="H371" i="16" s="1"/>
  <c r="H372" i="16" s="1"/>
  <c r="H373" i="16" s="1"/>
  <c r="H374" i="16" s="1"/>
  <c r="H375" i="16" s="1"/>
  <c r="H376" i="16" s="1"/>
  <c r="H377" i="16" s="1"/>
  <c r="H378" i="16" s="1"/>
  <c r="H379" i="16" s="1"/>
  <c r="H380" i="16" s="1"/>
  <c r="H381" i="16" s="1"/>
  <c r="H382" i="16" s="1"/>
  <c r="H383" i="16" s="1"/>
  <c r="H384" i="16" s="1"/>
  <c r="H385" i="16" s="1"/>
  <c r="H386" i="16" s="1"/>
  <c r="H387" i="16" s="1"/>
  <c r="H388" i="16" s="1"/>
  <c r="H389" i="16" s="1"/>
  <c r="H390" i="16" s="1"/>
  <c r="H391" i="16" s="1"/>
  <c r="H392" i="16" s="1"/>
  <c r="H393" i="16" s="1"/>
  <c r="H394" i="16" s="1"/>
  <c r="H395" i="16" s="1"/>
  <c r="H396" i="16" s="1"/>
  <c r="H397" i="16" s="1"/>
  <c r="H398" i="16" s="1"/>
  <c r="H399" i="16" s="1"/>
  <c r="H400" i="16" s="1"/>
  <c r="H401" i="16" s="1"/>
  <c r="H402" i="16" s="1"/>
  <c r="H403" i="16" s="1"/>
  <c r="H404" i="16" s="1"/>
  <c r="H405" i="16" s="1"/>
  <c r="H406" i="16" s="1"/>
  <c r="H407" i="16" s="1"/>
  <c r="H408" i="16" s="1"/>
  <c r="H409" i="16" s="1"/>
  <c r="H410" i="16" s="1"/>
  <c r="H411" i="16" s="1"/>
  <c r="H412" i="16" s="1"/>
  <c r="H413" i="16" s="1"/>
  <c r="H414" i="16" s="1"/>
  <c r="H415" i="16" s="1"/>
  <c r="H416" i="16" s="1"/>
  <c r="H417" i="16" s="1"/>
  <c r="H418" i="16" s="1"/>
  <c r="H419" i="16" s="1"/>
  <c r="H420" i="16" s="1"/>
  <c r="H421" i="16" s="1"/>
  <c r="H422" i="16" s="1"/>
  <c r="H423" i="16" s="1"/>
  <c r="H424" i="16" s="1"/>
  <c r="H425" i="16" s="1"/>
  <c r="H426" i="16" s="1"/>
  <c r="H427" i="16" s="1"/>
  <c r="H428" i="16" s="1"/>
  <c r="H429" i="16" s="1"/>
  <c r="H430" i="16" s="1"/>
  <c r="H431" i="16" s="1"/>
  <c r="H432" i="16" s="1"/>
  <c r="H433" i="16" s="1"/>
  <c r="H434" i="16" s="1"/>
  <c r="H435" i="16" s="1"/>
  <c r="H436" i="16" s="1"/>
  <c r="H437" i="16" s="1"/>
  <c r="H438" i="16" s="1"/>
  <c r="H439" i="16" s="1"/>
  <c r="H440" i="16" s="1"/>
  <c r="H441" i="16" s="1"/>
  <c r="H442" i="16" s="1"/>
  <c r="H443" i="16" s="1"/>
  <c r="H444" i="16" s="1"/>
  <c r="H445" i="16" s="1"/>
  <c r="H446" i="16" s="1"/>
  <c r="H447" i="16" s="1"/>
  <c r="H448" i="16" s="1"/>
  <c r="H449" i="16" s="1"/>
  <c r="H450" i="16" s="1"/>
  <c r="H451" i="16" s="1"/>
  <c r="H452" i="16" s="1"/>
  <c r="H453" i="16" s="1"/>
  <c r="H454" i="16" s="1"/>
  <c r="H455" i="16" s="1"/>
  <c r="H456" i="16" s="1"/>
  <c r="H457" i="16" s="1"/>
  <c r="H458" i="16" s="1"/>
  <c r="H459" i="16" s="1"/>
  <c r="H460" i="16" s="1"/>
  <c r="H461" i="16" s="1"/>
  <c r="H462" i="16" s="1"/>
  <c r="H463" i="16" s="1"/>
  <c r="H464" i="16" s="1"/>
  <c r="H465" i="16" s="1"/>
  <c r="H466" i="16" s="1"/>
  <c r="H467" i="16" s="1"/>
  <c r="H468" i="16" s="1"/>
  <c r="H469" i="16" s="1"/>
  <c r="H470" i="16" s="1"/>
  <c r="H471" i="16" s="1"/>
  <c r="H472" i="16" s="1"/>
  <c r="H473" i="16" s="1"/>
  <c r="H474" i="16" s="1"/>
  <c r="H475" i="16" s="1"/>
  <c r="H476" i="16" s="1"/>
  <c r="H477" i="16" s="1"/>
  <c r="H478" i="16" s="1"/>
  <c r="H479" i="16" s="1"/>
  <c r="H480" i="16" s="1"/>
  <c r="H481" i="16" s="1"/>
  <c r="H482" i="16" s="1"/>
  <c r="H483" i="16" s="1"/>
  <c r="H484" i="16" s="1"/>
  <c r="H485" i="16" s="1"/>
  <c r="H486" i="16" s="1"/>
  <c r="H487" i="16" s="1"/>
  <c r="H488" i="16" s="1"/>
  <c r="H489" i="16" s="1"/>
  <c r="H490" i="16" s="1"/>
  <c r="H491" i="16" s="1"/>
  <c r="H492" i="16" s="1"/>
  <c r="H493" i="16" s="1"/>
  <c r="H494" i="16" s="1"/>
  <c r="H495" i="16" s="1"/>
  <c r="H496" i="16" s="1"/>
  <c r="H497" i="16" s="1"/>
  <c r="H498" i="16" s="1"/>
  <c r="H499" i="16" s="1"/>
  <c r="H500" i="16" s="1"/>
  <c r="H501" i="16" s="1"/>
  <c r="H502" i="16" s="1"/>
  <c r="H503" i="16" s="1"/>
  <c r="H504" i="16" s="1"/>
  <c r="H505" i="16" s="1"/>
  <c r="H506" i="16" s="1"/>
  <c r="H507" i="16" s="1"/>
  <c r="H508" i="16" s="1"/>
  <c r="H509" i="16" s="1"/>
  <c r="H510" i="16" s="1"/>
  <c r="H511" i="16" s="1"/>
  <c r="H512" i="16" s="1"/>
  <c r="H513" i="16" s="1"/>
  <c r="H514" i="16" s="1"/>
  <c r="H515" i="16" s="1"/>
  <c r="H516" i="16" s="1"/>
  <c r="H517" i="16" s="1"/>
  <c r="H518" i="16" s="1"/>
  <c r="H519" i="16" s="1"/>
  <c r="H520" i="16" s="1"/>
  <c r="H521" i="16" s="1"/>
  <c r="H522" i="16" s="1"/>
  <c r="H523" i="16" s="1"/>
  <c r="H524" i="16" s="1"/>
  <c r="H525" i="16" s="1"/>
  <c r="H526" i="16" s="1"/>
  <c r="H527" i="16" s="1"/>
  <c r="H528" i="16" s="1"/>
  <c r="H529" i="16" s="1"/>
  <c r="H530" i="16" s="1"/>
  <c r="B380" i="9"/>
  <c r="BA478" i="4"/>
  <c r="G60" i="2"/>
  <c r="BE540" i="4" l="1"/>
  <c r="BE541" i="4"/>
  <c r="BB542" i="4"/>
  <c r="Q543" i="4"/>
  <c r="G113" i="17"/>
  <c r="F478" i="16"/>
  <c r="O477" i="16"/>
  <c r="O4" i="16"/>
  <c r="C44" i="16"/>
  <c r="O43" i="16"/>
  <c r="O42" i="16"/>
  <c r="O9" i="16"/>
  <c r="O10" i="16"/>
  <c r="G59" i="2"/>
  <c r="G58" i="2"/>
  <c r="G57" i="2"/>
  <c r="B484" i="4"/>
  <c r="B485" i="4"/>
  <c r="B486" i="4"/>
  <c r="B487" i="4"/>
  <c r="B483" i="4"/>
  <c r="C482" i="5"/>
  <c r="C483" i="5"/>
  <c r="C484" i="5"/>
  <c r="C485" i="5"/>
  <c r="C486" i="5"/>
  <c r="C478" i="5"/>
  <c r="C479" i="5"/>
  <c r="C480" i="5"/>
  <c r="C481" i="5"/>
  <c r="B479" i="4"/>
  <c r="AD479" i="4" s="1"/>
  <c r="AD480" i="4" s="1"/>
  <c r="AD481" i="4" s="1"/>
  <c r="AD482" i="4" s="1"/>
  <c r="AD483" i="4" s="1"/>
  <c r="AD484" i="4" s="1"/>
  <c r="AD485" i="4" s="1"/>
  <c r="AD486" i="4" s="1"/>
  <c r="AD487" i="4" s="1"/>
  <c r="AD488" i="4" s="1"/>
  <c r="AD489" i="4" s="1"/>
  <c r="AD490" i="4" s="1"/>
  <c r="AD491" i="4" s="1"/>
  <c r="AD492" i="4" s="1"/>
  <c r="AD493" i="4" s="1"/>
  <c r="AD494" i="4" s="1"/>
  <c r="AD495" i="4" s="1"/>
  <c r="AD496" i="4" s="1"/>
  <c r="AD497" i="4" s="1"/>
  <c r="AD498" i="4" s="1"/>
  <c r="AD499" i="4" s="1"/>
  <c r="AD500" i="4" s="1"/>
  <c r="AD501" i="4" s="1"/>
  <c r="AD502" i="4" s="1"/>
  <c r="AD503" i="4" s="1"/>
  <c r="AD504" i="4" s="1"/>
  <c r="AD505" i="4" s="1"/>
  <c r="AD506" i="4" s="1"/>
  <c r="AD507" i="4" s="1"/>
  <c r="AD508" i="4" s="1"/>
  <c r="AD509" i="4" s="1"/>
  <c r="AD510" i="4" s="1"/>
  <c r="AD511" i="4" s="1"/>
  <c r="AD512" i="4" s="1"/>
  <c r="AD513" i="4" s="1"/>
  <c r="AD514" i="4" s="1"/>
  <c r="AD515" i="4" s="1"/>
  <c r="AD516" i="4" s="1"/>
  <c r="AD517" i="4" s="1"/>
  <c r="AD518" i="4" s="1"/>
  <c r="AD519" i="4" s="1"/>
  <c r="AD520" i="4" s="1"/>
  <c r="AD521" i="4" s="1"/>
  <c r="AD522" i="4" s="1"/>
  <c r="AD523" i="4" s="1"/>
  <c r="AD524" i="4" s="1"/>
  <c r="AD525" i="4" s="1"/>
  <c r="AD526" i="4" s="1"/>
  <c r="AD527" i="4" s="1"/>
  <c r="AD528" i="4" s="1"/>
  <c r="AD529" i="4" s="1"/>
  <c r="AD530" i="4" s="1"/>
  <c r="AD531" i="4" s="1"/>
  <c r="AD532" i="4" s="1"/>
  <c r="AD533" i="4" s="1"/>
  <c r="AD534" i="4" s="1"/>
  <c r="AD535" i="4" s="1"/>
  <c r="AD536" i="4" s="1"/>
  <c r="AD537" i="4" s="1"/>
  <c r="AD538" i="4" s="1"/>
  <c r="B480" i="4"/>
  <c r="B481" i="4"/>
  <c r="B482" i="4"/>
  <c r="C475" i="5"/>
  <c r="C476" i="5"/>
  <c r="C477" i="5"/>
  <c r="B476" i="4"/>
  <c r="B477" i="4"/>
  <c r="B478" i="4"/>
  <c r="AC478" i="4" s="1"/>
  <c r="AC479" i="4" s="1"/>
  <c r="AC480" i="4" s="1"/>
  <c r="AC481" i="4" s="1"/>
  <c r="AC482" i="4" s="1"/>
  <c r="AC483" i="4" s="1"/>
  <c r="AC484" i="4" s="1"/>
  <c r="AC485" i="4" s="1"/>
  <c r="AC486" i="4" s="1"/>
  <c r="AC487" i="4" s="1"/>
  <c r="AC488" i="4" s="1"/>
  <c r="AC489" i="4" s="1"/>
  <c r="AC490" i="4" s="1"/>
  <c r="AC491" i="4" s="1"/>
  <c r="AC492" i="4" s="1"/>
  <c r="AC493" i="4" s="1"/>
  <c r="AC494" i="4" s="1"/>
  <c r="AC495" i="4" s="1"/>
  <c r="AC496" i="4" s="1"/>
  <c r="AC497" i="4" s="1"/>
  <c r="AC498" i="4" s="1"/>
  <c r="AC499" i="4" s="1"/>
  <c r="AC500" i="4" s="1"/>
  <c r="AC501" i="4" s="1"/>
  <c r="AC502" i="4" s="1"/>
  <c r="AC503" i="4" s="1"/>
  <c r="AC504" i="4" s="1"/>
  <c r="AC505" i="4" s="1"/>
  <c r="AC506" i="4" s="1"/>
  <c r="AC507" i="4" s="1"/>
  <c r="AC508" i="4" s="1"/>
  <c r="AC509" i="4" s="1"/>
  <c r="AC510" i="4" s="1"/>
  <c r="AC511" i="4" s="1"/>
  <c r="AC512" i="4" s="1"/>
  <c r="AC513" i="4" s="1"/>
  <c r="AC514" i="4" s="1"/>
  <c r="AC515" i="4" s="1"/>
  <c r="AC516" i="4" s="1"/>
  <c r="AC517" i="4" s="1"/>
  <c r="AC518" i="4" s="1"/>
  <c r="AC519" i="4" s="1"/>
  <c r="AC520" i="4" s="1"/>
  <c r="AC521" i="4" s="1"/>
  <c r="AC522" i="4" s="1"/>
  <c r="AC523" i="4" s="1"/>
  <c r="AC524" i="4" s="1"/>
  <c r="AC525" i="4" s="1"/>
  <c r="AC526" i="4" s="1"/>
  <c r="AC527" i="4" s="1"/>
  <c r="AC528" i="4" s="1"/>
  <c r="AC529" i="4" s="1"/>
  <c r="AC530" i="4" s="1"/>
  <c r="AC531" i="4" s="1"/>
  <c r="AC532" i="4" s="1"/>
  <c r="AC533" i="4" s="1"/>
  <c r="AC534" i="4" s="1"/>
  <c r="AC535" i="4" s="1"/>
  <c r="AC536" i="4" s="1"/>
  <c r="AC537" i="4" s="1"/>
  <c r="AC538" i="4" s="1"/>
  <c r="C471" i="5"/>
  <c r="C472" i="5"/>
  <c r="C473" i="5"/>
  <c r="C474" i="5"/>
  <c r="B468" i="4"/>
  <c r="B469" i="4"/>
  <c r="B470" i="4"/>
  <c r="B471" i="4"/>
  <c r="B472" i="4"/>
  <c r="B473" i="4"/>
  <c r="B474" i="4"/>
  <c r="B475" i="4"/>
  <c r="B467" i="4"/>
  <c r="B379" i="1"/>
  <c r="G56" i="2"/>
  <c r="BE542" i="4" l="1"/>
  <c r="BB543" i="4"/>
  <c r="Q544" i="4"/>
  <c r="G114" i="17"/>
  <c r="C45" i="16"/>
  <c r="O44" i="16"/>
  <c r="R4" i="16"/>
  <c r="U4" i="16"/>
  <c r="V4" i="16" s="1"/>
  <c r="R43" i="16"/>
  <c r="O11" i="16"/>
  <c r="O5" i="16"/>
  <c r="R10" i="16"/>
  <c r="O478" i="16"/>
  <c r="F479" i="16"/>
  <c r="C466" i="5"/>
  <c r="C467" i="5"/>
  <c r="C468" i="5"/>
  <c r="C469" i="5"/>
  <c r="C470" i="5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543" i="7"/>
  <c r="C543" i="7"/>
  <c r="E542" i="7"/>
  <c r="C542" i="7"/>
  <c r="E541" i="7"/>
  <c r="C541" i="7"/>
  <c r="E540" i="7"/>
  <c r="C540" i="7"/>
  <c r="E539" i="7"/>
  <c r="C539" i="7"/>
  <c r="E538" i="7"/>
  <c r="C538" i="7"/>
  <c r="E537" i="7"/>
  <c r="C537" i="7"/>
  <c r="E536" i="7"/>
  <c r="C536" i="7"/>
  <c r="E535" i="7"/>
  <c r="C535" i="7"/>
  <c r="E534" i="7"/>
  <c r="C534" i="7"/>
  <c r="E533" i="7"/>
  <c r="C533" i="7"/>
  <c r="E532" i="7"/>
  <c r="C532" i="7"/>
  <c r="E531" i="7"/>
  <c r="C531" i="7"/>
  <c r="E530" i="7"/>
  <c r="C530" i="7"/>
  <c r="E529" i="7"/>
  <c r="C529" i="7"/>
  <c r="E528" i="7"/>
  <c r="C528" i="7"/>
  <c r="E527" i="7"/>
  <c r="C527" i="7"/>
  <c r="E526" i="7"/>
  <c r="C526" i="7"/>
  <c r="E525" i="7"/>
  <c r="C525" i="7"/>
  <c r="E524" i="7"/>
  <c r="C524" i="7"/>
  <c r="E523" i="7"/>
  <c r="C523" i="7"/>
  <c r="E522" i="7"/>
  <c r="C522" i="7"/>
  <c r="E521" i="7"/>
  <c r="C521" i="7"/>
  <c r="E520" i="7"/>
  <c r="C520" i="7"/>
  <c r="E519" i="7"/>
  <c r="C519" i="7"/>
  <c r="E518" i="7"/>
  <c r="C518" i="7"/>
  <c r="E517" i="7"/>
  <c r="C517" i="7"/>
  <c r="E516" i="7"/>
  <c r="C516" i="7"/>
  <c r="E515" i="7"/>
  <c r="C515" i="7"/>
  <c r="E514" i="7"/>
  <c r="C514" i="7"/>
  <c r="E513" i="7"/>
  <c r="C513" i="7"/>
  <c r="E512" i="7"/>
  <c r="C512" i="7"/>
  <c r="E511" i="7"/>
  <c r="C511" i="7"/>
  <c r="E510" i="7"/>
  <c r="C510" i="7"/>
  <c r="E509" i="7"/>
  <c r="C509" i="7"/>
  <c r="E508" i="7"/>
  <c r="C508" i="7"/>
  <c r="E507" i="7"/>
  <c r="C507" i="7"/>
  <c r="E506" i="7"/>
  <c r="C506" i="7"/>
  <c r="E505" i="7"/>
  <c r="C505" i="7"/>
  <c r="E504" i="7"/>
  <c r="C504" i="7"/>
  <c r="E503" i="7"/>
  <c r="C503" i="7"/>
  <c r="E502" i="7"/>
  <c r="C502" i="7"/>
  <c r="E501" i="7"/>
  <c r="C501" i="7"/>
  <c r="E500" i="7"/>
  <c r="C500" i="7"/>
  <c r="E499" i="7"/>
  <c r="C499" i="7"/>
  <c r="E498" i="7"/>
  <c r="C498" i="7"/>
  <c r="E497" i="7"/>
  <c r="C497" i="7"/>
  <c r="E496" i="7"/>
  <c r="C496" i="7"/>
  <c r="E495" i="7"/>
  <c r="C495" i="7"/>
  <c r="E494" i="7"/>
  <c r="C494" i="7"/>
  <c r="E493" i="7"/>
  <c r="C493" i="7"/>
  <c r="E492" i="7"/>
  <c r="C492" i="7"/>
  <c r="E491" i="7"/>
  <c r="C491" i="7"/>
  <c r="E490" i="7"/>
  <c r="C490" i="7"/>
  <c r="E489" i="7"/>
  <c r="C489" i="7"/>
  <c r="E488" i="7"/>
  <c r="C488" i="7"/>
  <c r="E487" i="7"/>
  <c r="C487" i="7"/>
  <c r="E486" i="7"/>
  <c r="C486" i="7"/>
  <c r="E485" i="7"/>
  <c r="C485" i="7"/>
  <c r="E484" i="7"/>
  <c r="C484" i="7"/>
  <c r="E483" i="7"/>
  <c r="C483" i="7"/>
  <c r="E482" i="7"/>
  <c r="C482" i="7"/>
  <c r="E481" i="7"/>
  <c r="C481" i="7"/>
  <c r="E480" i="7"/>
  <c r="C480" i="7"/>
  <c r="E479" i="7"/>
  <c r="C479" i="7"/>
  <c r="E478" i="7"/>
  <c r="C478" i="7"/>
  <c r="E477" i="7"/>
  <c r="C477" i="7"/>
  <c r="E476" i="7"/>
  <c r="C476" i="7"/>
  <c r="E475" i="7"/>
  <c r="C475" i="7"/>
  <c r="E474" i="7"/>
  <c r="C474" i="7"/>
  <c r="E473" i="7"/>
  <c r="C473" i="7"/>
  <c r="E472" i="7"/>
  <c r="C472" i="7"/>
  <c r="E471" i="7"/>
  <c r="C471" i="7"/>
  <c r="E470" i="7"/>
  <c r="C470" i="7"/>
  <c r="E469" i="7"/>
  <c r="C469" i="7"/>
  <c r="E468" i="7"/>
  <c r="C468" i="7"/>
  <c r="E467" i="7"/>
  <c r="C467" i="7"/>
  <c r="E466" i="7"/>
  <c r="C466" i="7"/>
  <c r="E465" i="7"/>
  <c r="C465" i="7"/>
  <c r="E464" i="7"/>
  <c r="C464" i="7"/>
  <c r="E463" i="7"/>
  <c r="C463" i="7"/>
  <c r="E462" i="7"/>
  <c r="C462" i="7"/>
  <c r="E461" i="7"/>
  <c r="C461" i="7"/>
  <c r="E460" i="7"/>
  <c r="C460" i="7"/>
  <c r="E459" i="7"/>
  <c r="C459" i="7"/>
  <c r="E458" i="7"/>
  <c r="C458" i="7"/>
  <c r="E457" i="7"/>
  <c r="C457" i="7"/>
  <c r="E456" i="7"/>
  <c r="C456" i="7"/>
  <c r="E455" i="7"/>
  <c r="C455" i="7"/>
  <c r="E454" i="7"/>
  <c r="C454" i="7"/>
  <c r="E453" i="7"/>
  <c r="C453" i="7"/>
  <c r="E452" i="7"/>
  <c r="C452" i="7"/>
  <c r="E451" i="7"/>
  <c r="C451" i="7"/>
  <c r="E450" i="7"/>
  <c r="C450" i="7"/>
  <c r="E449" i="7"/>
  <c r="C449" i="7"/>
  <c r="E448" i="7"/>
  <c r="C448" i="7"/>
  <c r="E447" i="7"/>
  <c r="C447" i="7"/>
  <c r="E446" i="7"/>
  <c r="C446" i="7"/>
  <c r="E445" i="7"/>
  <c r="C445" i="7"/>
  <c r="E444" i="7"/>
  <c r="C444" i="7"/>
  <c r="E443" i="7"/>
  <c r="C443" i="7"/>
  <c r="E442" i="7"/>
  <c r="C442" i="7"/>
  <c r="E441" i="7"/>
  <c r="C441" i="7"/>
  <c r="E440" i="7"/>
  <c r="C440" i="7"/>
  <c r="E439" i="7"/>
  <c r="C439" i="7"/>
  <c r="E438" i="7"/>
  <c r="C438" i="7"/>
  <c r="E437" i="7"/>
  <c r="C437" i="7"/>
  <c r="E436" i="7"/>
  <c r="C436" i="7"/>
  <c r="E435" i="7"/>
  <c r="C435" i="7"/>
  <c r="E434" i="7"/>
  <c r="C434" i="7"/>
  <c r="E433" i="7"/>
  <c r="C433" i="7"/>
  <c r="E432" i="7"/>
  <c r="C432" i="7"/>
  <c r="E431" i="7"/>
  <c r="C431" i="7"/>
  <c r="E430" i="7"/>
  <c r="C430" i="7"/>
  <c r="E429" i="7"/>
  <c r="C429" i="7"/>
  <c r="E428" i="7"/>
  <c r="C428" i="7"/>
  <c r="E427" i="7"/>
  <c r="C427" i="7"/>
  <c r="E426" i="7"/>
  <c r="C426" i="7"/>
  <c r="E425" i="7"/>
  <c r="C425" i="7"/>
  <c r="E424" i="7"/>
  <c r="C424" i="7"/>
  <c r="E423" i="7"/>
  <c r="C423" i="7"/>
  <c r="E422" i="7"/>
  <c r="C422" i="7"/>
  <c r="E421" i="7"/>
  <c r="C421" i="7"/>
  <c r="E420" i="7"/>
  <c r="C420" i="7"/>
  <c r="E419" i="7"/>
  <c r="C419" i="7"/>
  <c r="E418" i="7"/>
  <c r="C418" i="7"/>
  <c r="E417" i="7"/>
  <c r="C417" i="7"/>
  <c r="E416" i="7"/>
  <c r="C416" i="7"/>
  <c r="E415" i="7"/>
  <c r="C415" i="7"/>
  <c r="E414" i="7"/>
  <c r="C414" i="7"/>
  <c r="E413" i="7"/>
  <c r="C413" i="7"/>
  <c r="E412" i="7"/>
  <c r="C412" i="7"/>
  <c r="E411" i="7"/>
  <c r="C411" i="7"/>
  <c r="E410" i="7"/>
  <c r="C410" i="7"/>
  <c r="E409" i="7"/>
  <c r="C409" i="7"/>
  <c r="E408" i="7"/>
  <c r="C408" i="7"/>
  <c r="E407" i="7"/>
  <c r="C407" i="7"/>
  <c r="E406" i="7"/>
  <c r="C406" i="7"/>
  <c r="E405" i="7"/>
  <c r="C405" i="7"/>
  <c r="E404" i="7"/>
  <c r="C404" i="7"/>
  <c r="E403" i="7"/>
  <c r="C403" i="7"/>
  <c r="E402" i="7"/>
  <c r="C402" i="7"/>
  <c r="E401" i="7"/>
  <c r="C401" i="7"/>
  <c r="E400" i="7"/>
  <c r="C400" i="7"/>
  <c r="E399" i="7"/>
  <c r="C399" i="7"/>
  <c r="E398" i="7"/>
  <c r="C398" i="7"/>
  <c r="E397" i="7"/>
  <c r="C397" i="7"/>
  <c r="E396" i="7"/>
  <c r="C396" i="7"/>
  <c r="E395" i="7"/>
  <c r="C395" i="7"/>
  <c r="E394" i="7"/>
  <c r="C394" i="7"/>
  <c r="E393" i="7"/>
  <c r="C393" i="7"/>
  <c r="E392" i="7"/>
  <c r="C392" i="7"/>
  <c r="E391" i="7"/>
  <c r="C391" i="7"/>
  <c r="E390" i="7"/>
  <c r="C390" i="7"/>
  <c r="E389" i="7"/>
  <c r="C389" i="7"/>
  <c r="E388" i="7"/>
  <c r="C388" i="7"/>
  <c r="E387" i="7"/>
  <c r="C387" i="7"/>
  <c r="E386" i="7"/>
  <c r="C386" i="7"/>
  <c r="E385" i="7"/>
  <c r="C385" i="7"/>
  <c r="E384" i="7"/>
  <c r="C384" i="7"/>
  <c r="E383" i="7"/>
  <c r="C383" i="7"/>
  <c r="E382" i="7"/>
  <c r="C382" i="7"/>
  <c r="E381" i="7"/>
  <c r="C381" i="7"/>
  <c r="E380" i="7"/>
  <c r="C380" i="7"/>
  <c r="E379" i="7"/>
  <c r="C379" i="7"/>
  <c r="E378" i="7"/>
  <c r="C378" i="7"/>
  <c r="E377" i="7"/>
  <c r="C377" i="7"/>
  <c r="E376" i="7"/>
  <c r="C376" i="7"/>
  <c r="E375" i="7"/>
  <c r="C375" i="7"/>
  <c r="E374" i="7"/>
  <c r="C374" i="7"/>
  <c r="E373" i="7"/>
  <c r="C373" i="7"/>
  <c r="E372" i="7"/>
  <c r="C372" i="7"/>
  <c r="E371" i="7"/>
  <c r="C371" i="7"/>
  <c r="E370" i="7"/>
  <c r="C370" i="7"/>
  <c r="E369" i="7"/>
  <c r="C369" i="7"/>
  <c r="E368" i="7"/>
  <c r="C368" i="7"/>
  <c r="E367" i="7"/>
  <c r="C367" i="7"/>
  <c r="E366" i="7"/>
  <c r="C366" i="7"/>
  <c r="E365" i="7"/>
  <c r="C365" i="7"/>
  <c r="E364" i="7"/>
  <c r="C364" i="7"/>
  <c r="E363" i="7"/>
  <c r="C363" i="7"/>
  <c r="E362" i="7"/>
  <c r="C362" i="7"/>
  <c r="E361" i="7"/>
  <c r="C361" i="7"/>
  <c r="E360" i="7"/>
  <c r="C360" i="7"/>
  <c r="E359" i="7"/>
  <c r="C359" i="7"/>
  <c r="E358" i="7"/>
  <c r="C358" i="7"/>
  <c r="E357" i="7"/>
  <c r="C357" i="7"/>
  <c r="E356" i="7"/>
  <c r="C356" i="7"/>
  <c r="E355" i="7"/>
  <c r="C355" i="7"/>
  <c r="E354" i="7"/>
  <c r="C354" i="7"/>
  <c r="E353" i="7"/>
  <c r="C353" i="7"/>
  <c r="E352" i="7"/>
  <c r="C352" i="7"/>
  <c r="E351" i="7"/>
  <c r="C351" i="7"/>
  <c r="E350" i="7"/>
  <c r="C350" i="7"/>
  <c r="E349" i="7"/>
  <c r="C349" i="7"/>
  <c r="E348" i="7"/>
  <c r="C348" i="7"/>
  <c r="E347" i="7"/>
  <c r="C347" i="7"/>
  <c r="E346" i="7"/>
  <c r="C346" i="7"/>
  <c r="E345" i="7"/>
  <c r="C345" i="7"/>
  <c r="E344" i="7"/>
  <c r="C344" i="7"/>
  <c r="E343" i="7"/>
  <c r="C343" i="7"/>
  <c r="E342" i="7"/>
  <c r="C342" i="7"/>
  <c r="E341" i="7"/>
  <c r="C341" i="7"/>
  <c r="E340" i="7"/>
  <c r="C340" i="7"/>
  <c r="E339" i="7"/>
  <c r="C339" i="7"/>
  <c r="E338" i="7"/>
  <c r="C338" i="7"/>
  <c r="E337" i="7"/>
  <c r="C337" i="7"/>
  <c r="E336" i="7"/>
  <c r="C336" i="7"/>
  <c r="E335" i="7"/>
  <c r="C335" i="7"/>
  <c r="E334" i="7"/>
  <c r="C334" i="7"/>
  <c r="E333" i="7"/>
  <c r="C333" i="7"/>
  <c r="E332" i="7"/>
  <c r="C332" i="7"/>
  <c r="E331" i="7"/>
  <c r="C331" i="7"/>
  <c r="E330" i="7"/>
  <c r="C330" i="7"/>
  <c r="E329" i="7"/>
  <c r="C329" i="7"/>
  <c r="E328" i="7"/>
  <c r="C328" i="7"/>
  <c r="E327" i="7"/>
  <c r="C327" i="7"/>
  <c r="E326" i="7"/>
  <c r="C326" i="7"/>
  <c r="E325" i="7"/>
  <c r="C325" i="7"/>
  <c r="E324" i="7"/>
  <c r="C324" i="7"/>
  <c r="E323" i="7"/>
  <c r="C323" i="7"/>
  <c r="E322" i="7"/>
  <c r="C322" i="7"/>
  <c r="E321" i="7"/>
  <c r="C321" i="7"/>
  <c r="E320" i="7"/>
  <c r="C320" i="7"/>
  <c r="E319" i="7"/>
  <c r="C319" i="7"/>
  <c r="E318" i="7"/>
  <c r="C318" i="7"/>
  <c r="E317" i="7"/>
  <c r="C317" i="7"/>
  <c r="E316" i="7"/>
  <c r="C316" i="7"/>
  <c r="E315" i="7"/>
  <c r="C315" i="7"/>
  <c r="E314" i="7"/>
  <c r="C314" i="7"/>
  <c r="E313" i="7"/>
  <c r="C313" i="7"/>
  <c r="E312" i="7"/>
  <c r="C312" i="7"/>
  <c r="E311" i="7"/>
  <c r="C311" i="7"/>
  <c r="E310" i="7"/>
  <c r="C310" i="7"/>
  <c r="E309" i="7"/>
  <c r="C309" i="7"/>
  <c r="E308" i="7"/>
  <c r="C308" i="7"/>
  <c r="E307" i="7"/>
  <c r="C307" i="7"/>
  <c r="E306" i="7"/>
  <c r="C306" i="7"/>
  <c r="E305" i="7"/>
  <c r="C305" i="7"/>
  <c r="E304" i="7"/>
  <c r="C304" i="7"/>
  <c r="E303" i="7"/>
  <c r="C303" i="7"/>
  <c r="E302" i="7"/>
  <c r="C302" i="7"/>
  <c r="E301" i="7"/>
  <c r="C301" i="7"/>
  <c r="E300" i="7"/>
  <c r="C300" i="7"/>
  <c r="E299" i="7"/>
  <c r="C299" i="7"/>
  <c r="E298" i="7"/>
  <c r="C298" i="7"/>
  <c r="E297" i="7"/>
  <c r="C297" i="7"/>
  <c r="E296" i="7"/>
  <c r="C296" i="7"/>
  <c r="E295" i="7"/>
  <c r="C295" i="7"/>
  <c r="E294" i="7"/>
  <c r="C294" i="7"/>
  <c r="E293" i="7"/>
  <c r="C293" i="7"/>
  <c r="E292" i="7"/>
  <c r="C292" i="7"/>
  <c r="E291" i="7"/>
  <c r="C291" i="7"/>
  <c r="E290" i="7"/>
  <c r="C290" i="7"/>
  <c r="E289" i="7"/>
  <c r="C289" i="7"/>
  <c r="E288" i="7"/>
  <c r="C288" i="7"/>
  <c r="E287" i="7"/>
  <c r="C287" i="7"/>
  <c r="E286" i="7"/>
  <c r="C286" i="7"/>
  <c r="E285" i="7"/>
  <c r="C285" i="7"/>
  <c r="E284" i="7"/>
  <c r="C284" i="7"/>
  <c r="E283" i="7"/>
  <c r="C283" i="7"/>
  <c r="E282" i="7"/>
  <c r="C282" i="7"/>
  <c r="E281" i="7"/>
  <c r="C281" i="7"/>
  <c r="E280" i="7"/>
  <c r="C280" i="7"/>
  <c r="E279" i="7"/>
  <c r="C279" i="7"/>
  <c r="E278" i="7"/>
  <c r="C278" i="7"/>
  <c r="E277" i="7"/>
  <c r="C277" i="7"/>
  <c r="E276" i="7"/>
  <c r="C276" i="7"/>
  <c r="E275" i="7"/>
  <c r="C275" i="7"/>
  <c r="E274" i="7"/>
  <c r="C274" i="7"/>
  <c r="E273" i="7"/>
  <c r="C273" i="7"/>
  <c r="E272" i="7"/>
  <c r="C272" i="7"/>
  <c r="E271" i="7"/>
  <c r="C271" i="7"/>
  <c r="E270" i="7"/>
  <c r="C270" i="7"/>
  <c r="E269" i="7"/>
  <c r="C269" i="7"/>
  <c r="E268" i="7"/>
  <c r="C268" i="7"/>
  <c r="E267" i="7"/>
  <c r="C267" i="7"/>
  <c r="E266" i="7"/>
  <c r="C266" i="7"/>
  <c r="E265" i="7"/>
  <c r="C265" i="7"/>
  <c r="E264" i="7"/>
  <c r="C264" i="7"/>
  <c r="E263" i="7"/>
  <c r="C263" i="7"/>
  <c r="E262" i="7"/>
  <c r="C262" i="7"/>
  <c r="E261" i="7"/>
  <c r="C261" i="7"/>
  <c r="E260" i="7"/>
  <c r="C260" i="7"/>
  <c r="E259" i="7"/>
  <c r="C259" i="7"/>
  <c r="E258" i="7"/>
  <c r="C258" i="7"/>
  <c r="E257" i="7"/>
  <c r="C257" i="7"/>
  <c r="E256" i="7"/>
  <c r="C256" i="7"/>
  <c r="E255" i="7"/>
  <c r="C255" i="7"/>
  <c r="E254" i="7"/>
  <c r="C254" i="7"/>
  <c r="E253" i="7"/>
  <c r="C253" i="7"/>
  <c r="E252" i="7"/>
  <c r="C252" i="7"/>
  <c r="E251" i="7"/>
  <c r="C251" i="7"/>
  <c r="E250" i="7"/>
  <c r="C250" i="7"/>
  <c r="E249" i="7"/>
  <c r="C249" i="7"/>
  <c r="E248" i="7"/>
  <c r="C248" i="7"/>
  <c r="E247" i="7"/>
  <c r="C247" i="7"/>
  <c r="E246" i="7"/>
  <c r="C246" i="7"/>
  <c r="E245" i="7"/>
  <c r="C245" i="7"/>
  <c r="E244" i="7"/>
  <c r="C244" i="7"/>
  <c r="E243" i="7"/>
  <c r="C243" i="7"/>
  <c r="E242" i="7"/>
  <c r="C242" i="7"/>
  <c r="E241" i="7"/>
  <c r="C241" i="7"/>
  <c r="E240" i="7"/>
  <c r="C240" i="7"/>
  <c r="E239" i="7"/>
  <c r="C239" i="7"/>
  <c r="E238" i="7"/>
  <c r="C238" i="7"/>
  <c r="E237" i="7"/>
  <c r="C237" i="7"/>
  <c r="E236" i="7"/>
  <c r="C236" i="7"/>
  <c r="E235" i="7"/>
  <c r="C235" i="7"/>
  <c r="E234" i="7"/>
  <c r="C234" i="7"/>
  <c r="E233" i="7"/>
  <c r="C233" i="7"/>
  <c r="E232" i="7"/>
  <c r="C232" i="7"/>
  <c r="E231" i="7"/>
  <c r="C231" i="7"/>
  <c r="E230" i="7"/>
  <c r="C230" i="7"/>
  <c r="E229" i="7"/>
  <c r="C229" i="7"/>
  <c r="E228" i="7"/>
  <c r="C228" i="7"/>
  <c r="E227" i="7"/>
  <c r="C227" i="7"/>
  <c r="E226" i="7"/>
  <c r="C226" i="7"/>
  <c r="E225" i="7"/>
  <c r="C225" i="7"/>
  <c r="E224" i="7"/>
  <c r="C224" i="7"/>
  <c r="E223" i="7"/>
  <c r="C223" i="7"/>
  <c r="E222" i="7"/>
  <c r="C222" i="7"/>
  <c r="E221" i="7"/>
  <c r="C221" i="7"/>
  <c r="E220" i="7"/>
  <c r="C220" i="7"/>
  <c r="E219" i="7"/>
  <c r="C219" i="7"/>
  <c r="E218" i="7"/>
  <c r="C218" i="7"/>
  <c r="E217" i="7"/>
  <c r="C217" i="7"/>
  <c r="E216" i="7"/>
  <c r="C216" i="7"/>
  <c r="E215" i="7"/>
  <c r="C215" i="7"/>
  <c r="E214" i="7"/>
  <c r="C214" i="7"/>
  <c r="E213" i="7"/>
  <c r="C213" i="7"/>
  <c r="E212" i="7"/>
  <c r="C212" i="7"/>
  <c r="E211" i="7"/>
  <c r="C211" i="7"/>
  <c r="E210" i="7"/>
  <c r="C210" i="7"/>
  <c r="E209" i="7"/>
  <c r="C209" i="7"/>
  <c r="E208" i="7"/>
  <c r="C208" i="7"/>
  <c r="E207" i="7"/>
  <c r="C207" i="7"/>
  <c r="E206" i="7"/>
  <c r="C206" i="7"/>
  <c r="E205" i="7"/>
  <c r="C205" i="7"/>
  <c r="E204" i="7"/>
  <c r="C204" i="7"/>
  <c r="E203" i="7"/>
  <c r="C203" i="7"/>
  <c r="E202" i="7"/>
  <c r="C202" i="7"/>
  <c r="E201" i="7"/>
  <c r="C201" i="7"/>
  <c r="E200" i="7"/>
  <c r="C200" i="7"/>
  <c r="E199" i="7"/>
  <c r="C199" i="7"/>
  <c r="E198" i="7"/>
  <c r="C198" i="7"/>
  <c r="E197" i="7"/>
  <c r="C197" i="7"/>
  <c r="E196" i="7"/>
  <c r="C196" i="7"/>
  <c r="E195" i="7"/>
  <c r="C195" i="7"/>
  <c r="E194" i="7"/>
  <c r="C194" i="7"/>
  <c r="E193" i="7"/>
  <c r="C193" i="7"/>
  <c r="E192" i="7"/>
  <c r="C192" i="7"/>
  <c r="E191" i="7"/>
  <c r="C191" i="7"/>
  <c r="E190" i="7"/>
  <c r="C190" i="7"/>
  <c r="E189" i="7"/>
  <c r="C189" i="7"/>
  <c r="E188" i="7"/>
  <c r="C188" i="7"/>
  <c r="E187" i="7"/>
  <c r="C187" i="7"/>
  <c r="E186" i="7"/>
  <c r="C186" i="7"/>
  <c r="E185" i="7"/>
  <c r="C185" i="7"/>
  <c r="E184" i="7"/>
  <c r="C184" i="7"/>
  <c r="E183" i="7"/>
  <c r="C183" i="7"/>
  <c r="E182" i="7"/>
  <c r="C182" i="7"/>
  <c r="E181" i="7"/>
  <c r="C181" i="7"/>
  <c r="E180" i="7"/>
  <c r="C180" i="7"/>
  <c r="E179" i="7"/>
  <c r="C179" i="7"/>
  <c r="E178" i="7"/>
  <c r="C178" i="7"/>
  <c r="E177" i="7"/>
  <c r="C177" i="7"/>
  <c r="E176" i="7"/>
  <c r="C176" i="7"/>
  <c r="E175" i="7"/>
  <c r="C175" i="7"/>
  <c r="E174" i="7"/>
  <c r="C174" i="7"/>
  <c r="E173" i="7"/>
  <c r="C173" i="7"/>
  <c r="E172" i="7"/>
  <c r="C172" i="7"/>
  <c r="E171" i="7"/>
  <c r="C171" i="7"/>
  <c r="E170" i="7"/>
  <c r="C170" i="7"/>
  <c r="E169" i="7"/>
  <c r="C169" i="7"/>
  <c r="E168" i="7"/>
  <c r="C168" i="7"/>
  <c r="E167" i="7"/>
  <c r="C167" i="7"/>
  <c r="E166" i="7"/>
  <c r="C166" i="7"/>
  <c r="E165" i="7"/>
  <c r="C165" i="7"/>
  <c r="E164" i="7"/>
  <c r="C164" i="7"/>
  <c r="E163" i="7"/>
  <c r="C163" i="7"/>
  <c r="E162" i="7"/>
  <c r="C162" i="7"/>
  <c r="E161" i="7"/>
  <c r="C161" i="7"/>
  <c r="E160" i="7"/>
  <c r="C160" i="7"/>
  <c r="E159" i="7"/>
  <c r="C159" i="7"/>
  <c r="E158" i="7"/>
  <c r="C158" i="7"/>
  <c r="E157" i="7"/>
  <c r="C157" i="7"/>
  <c r="E156" i="7"/>
  <c r="C156" i="7"/>
  <c r="E155" i="7"/>
  <c r="C155" i="7"/>
  <c r="E154" i="7"/>
  <c r="C154" i="7"/>
  <c r="E153" i="7"/>
  <c r="C153" i="7"/>
  <c r="E152" i="7"/>
  <c r="C152" i="7"/>
  <c r="E151" i="7"/>
  <c r="C151" i="7"/>
  <c r="E150" i="7"/>
  <c r="C150" i="7"/>
  <c r="E149" i="7"/>
  <c r="C149" i="7"/>
  <c r="E148" i="7"/>
  <c r="C148" i="7"/>
  <c r="E147" i="7"/>
  <c r="C147" i="7"/>
  <c r="E146" i="7"/>
  <c r="C146" i="7"/>
  <c r="E145" i="7"/>
  <c r="C145" i="7"/>
  <c r="E144" i="7"/>
  <c r="C144" i="7"/>
  <c r="E143" i="7"/>
  <c r="C143" i="7"/>
  <c r="E142" i="7"/>
  <c r="C142" i="7"/>
  <c r="E141" i="7"/>
  <c r="C141" i="7"/>
  <c r="E140" i="7"/>
  <c r="C140" i="7"/>
  <c r="E139" i="7"/>
  <c r="C139" i="7"/>
  <c r="E138" i="7"/>
  <c r="C138" i="7"/>
  <c r="E137" i="7"/>
  <c r="C137" i="7"/>
  <c r="E136" i="7"/>
  <c r="C136" i="7"/>
  <c r="E135" i="7"/>
  <c r="C135" i="7"/>
  <c r="E134" i="7"/>
  <c r="C134" i="7"/>
  <c r="E133" i="7"/>
  <c r="C133" i="7"/>
  <c r="E132" i="7"/>
  <c r="C132" i="7"/>
  <c r="E131" i="7"/>
  <c r="C131" i="7"/>
  <c r="E130" i="7"/>
  <c r="C130" i="7"/>
  <c r="E129" i="7"/>
  <c r="C129" i="7"/>
  <c r="E128" i="7"/>
  <c r="C128" i="7"/>
  <c r="E127" i="7"/>
  <c r="C127" i="7"/>
  <c r="E126" i="7"/>
  <c r="C126" i="7"/>
  <c r="E125" i="7"/>
  <c r="C125" i="7"/>
  <c r="E124" i="7"/>
  <c r="C124" i="7"/>
  <c r="E123" i="7"/>
  <c r="C123" i="7"/>
  <c r="E122" i="7"/>
  <c r="C122" i="7"/>
  <c r="E121" i="7"/>
  <c r="C121" i="7"/>
  <c r="E120" i="7"/>
  <c r="C120" i="7"/>
  <c r="E119" i="7"/>
  <c r="C119" i="7"/>
  <c r="E118" i="7"/>
  <c r="C118" i="7"/>
  <c r="E117" i="7"/>
  <c r="C117" i="7"/>
  <c r="E116" i="7"/>
  <c r="C116" i="7"/>
  <c r="E115" i="7"/>
  <c r="C115" i="7"/>
  <c r="E114" i="7"/>
  <c r="C114" i="7"/>
  <c r="E113" i="7"/>
  <c r="C113" i="7"/>
  <c r="E112" i="7"/>
  <c r="C112" i="7"/>
  <c r="E111" i="7"/>
  <c r="C111" i="7"/>
  <c r="E110" i="7"/>
  <c r="C110" i="7"/>
  <c r="E109" i="7"/>
  <c r="C109" i="7"/>
  <c r="E108" i="7"/>
  <c r="C108" i="7"/>
  <c r="E107" i="7"/>
  <c r="C107" i="7"/>
  <c r="E106" i="7"/>
  <c r="C106" i="7"/>
  <c r="E105" i="7"/>
  <c r="C105" i="7"/>
  <c r="E104" i="7"/>
  <c r="C104" i="7"/>
  <c r="E103" i="7"/>
  <c r="C103" i="7"/>
  <c r="E102" i="7"/>
  <c r="C102" i="7"/>
  <c r="E101" i="7"/>
  <c r="C101" i="7"/>
  <c r="E100" i="7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E2" i="7"/>
  <c r="C2" i="7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A444" i="4"/>
  <c r="BA445" i="4" s="1"/>
  <c r="BA446" i="4" s="1"/>
  <c r="B444" i="4"/>
  <c r="Y444" i="4" s="1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A428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W388" i="4" s="1"/>
  <c r="AW387" i="4"/>
  <c r="AW388" i="4" s="1"/>
  <c r="AW389" i="4" s="1"/>
  <c r="AW390" i="4" s="1"/>
  <c r="AW391" i="4" s="1"/>
  <c r="AW392" i="4" s="1"/>
  <c r="AW393" i="4" s="1"/>
  <c r="AW394" i="4" s="1"/>
  <c r="AW395" i="4" s="1"/>
  <c r="AW396" i="4" s="1"/>
  <c r="AW397" i="4" s="1"/>
  <c r="AW398" i="4" s="1"/>
  <c r="AW399" i="4" s="1"/>
  <c r="AW400" i="4" s="1"/>
  <c r="AW401" i="4" s="1"/>
  <c r="AW402" i="4" s="1"/>
  <c r="AW403" i="4" s="1"/>
  <c r="AW404" i="4" s="1"/>
  <c r="AW405" i="4" s="1"/>
  <c r="AW406" i="4" s="1"/>
  <c r="AW407" i="4" s="1"/>
  <c r="AW408" i="4" s="1"/>
  <c r="AW409" i="4" s="1"/>
  <c r="AW410" i="4" s="1"/>
  <c r="AW411" i="4" s="1"/>
  <c r="AW412" i="4" s="1"/>
  <c r="AW413" i="4" s="1"/>
  <c r="AW414" i="4" s="1"/>
  <c r="AW415" i="4" s="1"/>
  <c r="AW416" i="4" s="1"/>
  <c r="AW417" i="4" s="1"/>
  <c r="AW418" i="4" s="1"/>
  <c r="AW419" i="4" s="1"/>
  <c r="AW420" i="4" s="1"/>
  <c r="AW421" i="4" s="1"/>
  <c r="AW422" i="4" s="1"/>
  <c r="AW423" i="4" s="1"/>
  <c r="AW424" i="4" s="1"/>
  <c r="AW425" i="4" s="1"/>
  <c r="AW426" i="4" s="1"/>
  <c r="AW427" i="4" s="1"/>
  <c r="AW428" i="4" s="1"/>
  <c r="AW429" i="4" s="1"/>
  <c r="AW430" i="4" s="1"/>
  <c r="AW431" i="4" s="1"/>
  <c r="AW432" i="4" s="1"/>
  <c r="AW433" i="4" s="1"/>
  <c r="AW434" i="4" s="1"/>
  <c r="AW435" i="4" s="1"/>
  <c r="AW436" i="4" s="1"/>
  <c r="AW437" i="4" s="1"/>
  <c r="AW438" i="4" s="1"/>
  <c r="AW439" i="4" s="1"/>
  <c r="AW440" i="4" s="1"/>
  <c r="AW441" i="4" s="1"/>
  <c r="AW442" i="4" s="1"/>
  <c r="AW443" i="4" s="1"/>
  <c r="AW444" i="4" s="1"/>
  <c r="AW445" i="4" s="1"/>
  <c r="AW446" i="4" s="1"/>
  <c r="AW447" i="4" s="1"/>
  <c r="AW448" i="4" s="1"/>
  <c r="AW449" i="4" s="1"/>
  <c r="AW450" i="4" s="1"/>
  <c r="AW451" i="4" s="1"/>
  <c r="AW452" i="4" s="1"/>
  <c r="AW453" i="4" s="1"/>
  <c r="AW454" i="4" s="1"/>
  <c r="AW455" i="4" s="1"/>
  <c r="AW456" i="4" s="1"/>
  <c r="AW457" i="4" s="1"/>
  <c r="AW458" i="4" s="1"/>
  <c r="AW459" i="4" s="1"/>
  <c r="AW460" i="4" s="1"/>
  <c r="AW461" i="4" s="1"/>
  <c r="AW462" i="4" s="1"/>
  <c r="AW463" i="4" s="1"/>
  <c r="AW464" i="4" s="1"/>
  <c r="AW465" i="4" s="1"/>
  <c r="AW466" i="4" s="1"/>
  <c r="AW467" i="4" s="1"/>
  <c r="AW468" i="4" s="1"/>
  <c r="AW469" i="4" s="1"/>
  <c r="AW470" i="4" s="1"/>
  <c r="AW471" i="4" s="1"/>
  <c r="AW472" i="4" s="1"/>
  <c r="AW473" i="4" s="1"/>
  <c r="AW474" i="4" s="1"/>
  <c r="AW475" i="4" s="1"/>
  <c r="AW476" i="4" s="1"/>
  <c r="AW477" i="4" s="1"/>
  <c r="AW478" i="4" s="1"/>
  <c r="AW479" i="4" s="1"/>
  <c r="AW480" i="4" s="1"/>
  <c r="AW481" i="4" s="1"/>
  <c r="AW482" i="4" s="1"/>
  <c r="AW483" i="4" s="1"/>
  <c r="AW484" i="4" s="1"/>
  <c r="AW485" i="4" s="1"/>
  <c r="AW486" i="4" s="1"/>
  <c r="AW487" i="4" s="1"/>
  <c r="AW488" i="4" s="1"/>
  <c r="AW489" i="4" s="1"/>
  <c r="AW490" i="4" s="1"/>
  <c r="AW491" i="4" s="1"/>
  <c r="AW492" i="4" s="1"/>
  <c r="AW493" i="4" s="1"/>
  <c r="AW494" i="4" s="1"/>
  <c r="AW495" i="4" s="1"/>
  <c r="AW496" i="4" s="1"/>
  <c r="AW497" i="4" s="1"/>
  <c r="AW498" i="4" s="1"/>
  <c r="AW499" i="4" s="1"/>
  <c r="AW500" i="4" s="1"/>
  <c r="AW501" i="4" s="1"/>
  <c r="AW502" i="4" s="1"/>
  <c r="AW503" i="4" s="1"/>
  <c r="AW504" i="4" s="1"/>
  <c r="AW505" i="4" s="1"/>
  <c r="AW506" i="4" s="1"/>
  <c r="AW507" i="4" s="1"/>
  <c r="AW508" i="4" s="1"/>
  <c r="AW509" i="4" s="1"/>
  <c r="AW510" i="4" s="1"/>
  <c r="AW511" i="4" s="1"/>
  <c r="AW512" i="4" s="1"/>
  <c r="AW513" i="4" s="1"/>
  <c r="AW514" i="4" s="1"/>
  <c r="AW515" i="4" s="1"/>
  <c r="AW516" i="4" s="1"/>
  <c r="AW517" i="4" s="1"/>
  <c r="AW518" i="4" s="1"/>
  <c r="AW519" i="4" s="1"/>
  <c r="AW520" i="4" s="1"/>
  <c r="AW521" i="4" s="1"/>
  <c r="AW522" i="4" s="1"/>
  <c r="AW523" i="4" s="1"/>
  <c r="AW524" i="4" s="1"/>
  <c r="AW525" i="4" s="1"/>
  <c r="AW526" i="4" s="1"/>
  <c r="AW527" i="4" s="1"/>
  <c r="AW528" i="4" s="1"/>
  <c r="AW529" i="4" s="1"/>
  <c r="AW530" i="4" s="1"/>
  <c r="AT387" i="4"/>
  <c r="AT388" i="4" s="1"/>
  <c r="AT389" i="4" s="1"/>
  <c r="AT390" i="4" s="1"/>
  <c r="AT391" i="4" s="1"/>
  <c r="AT392" i="4" s="1"/>
  <c r="AT393" i="4" s="1"/>
  <c r="AT394" i="4" s="1"/>
  <c r="AT395" i="4" s="1"/>
  <c r="AT396" i="4" s="1"/>
  <c r="AT397" i="4" s="1"/>
  <c r="AT398" i="4" s="1"/>
  <c r="AT399" i="4" s="1"/>
  <c r="AT400" i="4" s="1"/>
  <c r="AT401" i="4" s="1"/>
  <c r="AT402" i="4" s="1"/>
  <c r="AT403" i="4" s="1"/>
  <c r="AT404" i="4" s="1"/>
  <c r="AT405" i="4" s="1"/>
  <c r="AT406" i="4" s="1"/>
  <c r="AT407" i="4" s="1"/>
  <c r="AT408" i="4" s="1"/>
  <c r="AT409" i="4" s="1"/>
  <c r="AT410" i="4" s="1"/>
  <c r="AT411" i="4" s="1"/>
  <c r="AT412" i="4" s="1"/>
  <c r="AT413" i="4" s="1"/>
  <c r="AT414" i="4" s="1"/>
  <c r="AT415" i="4" s="1"/>
  <c r="AT416" i="4" s="1"/>
  <c r="AT417" i="4" s="1"/>
  <c r="AT418" i="4" s="1"/>
  <c r="AT419" i="4" s="1"/>
  <c r="AT420" i="4" s="1"/>
  <c r="AT421" i="4" s="1"/>
  <c r="AT422" i="4" s="1"/>
  <c r="AT423" i="4" s="1"/>
  <c r="AT424" i="4" s="1"/>
  <c r="AT425" i="4" s="1"/>
  <c r="AT426" i="4" s="1"/>
  <c r="AT427" i="4" s="1"/>
  <c r="AT428" i="4" s="1"/>
  <c r="AT429" i="4" s="1"/>
  <c r="AT430" i="4" s="1"/>
  <c r="AT431" i="4" s="1"/>
  <c r="AT432" i="4" s="1"/>
  <c r="AT433" i="4" s="1"/>
  <c r="AT434" i="4" s="1"/>
  <c r="AT435" i="4" s="1"/>
  <c r="AT436" i="4" s="1"/>
  <c r="AT437" i="4" s="1"/>
  <c r="AT438" i="4" s="1"/>
  <c r="AT439" i="4" s="1"/>
  <c r="AT440" i="4" s="1"/>
  <c r="AT441" i="4" s="1"/>
  <c r="AT442" i="4" s="1"/>
  <c r="AT443" i="4" s="1"/>
  <c r="AT444" i="4" s="1"/>
  <c r="AT445" i="4" s="1"/>
  <c r="AT446" i="4" s="1"/>
  <c r="AT447" i="4" s="1"/>
  <c r="AT448" i="4" s="1"/>
  <c r="AT449" i="4" s="1"/>
  <c r="AT450" i="4" s="1"/>
  <c r="AT451" i="4" s="1"/>
  <c r="AT452" i="4" s="1"/>
  <c r="AT453" i="4" s="1"/>
  <c r="AT454" i="4" s="1"/>
  <c r="AT455" i="4" s="1"/>
  <c r="AT456" i="4" s="1"/>
  <c r="AT457" i="4" s="1"/>
  <c r="AT458" i="4" s="1"/>
  <c r="AT459" i="4" s="1"/>
  <c r="AT460" i="4" s="1"/>
  <c r="AT461" i="4" s="1"/>
  <c r="AT462" i="4" s="1"/>
  <c r="AT463" i="4" s="1"/>
  <c r="AT464" i="4" s="1"/>
  <c r="AT465" i="4" s="1"/>
  <c r="AT466" i="4" s="1"/>
  <c r="AT467" i="4" s="1"/>
  <c r="AT468" i="4" s="1"/>
  <c r="AT469" i="4" s="1"/>
  <c r="AT470" i="4" s="1"/>
  <c r="AT471" i="4" s="1"/>
  <c r="AT472" i="4" s="1"/>
  <c r="AT473" i="4" s="1"/>
  <c r="AT474" i="4" s="1"/>
  <c r="AT475" i="4" s="1"/>
  <c r="AT476" i="4" s="1"/>
  <c r="AT477" i="4" s="1"/>
  <c r="AT478" i="4" s="1"/>
  <c r="AT479" i="4" s="1"/>
  <c r="AT480" i="4" s="1"/>
  <c r="AT481" i="4" s="1"/>
  <c r="AT482" i="4" s="1"/>
  <c r="AT483" i="4" s="1"/>
  <c r="AT484" i="4" s="1"/>
  <c r="AT485" i="4" s="1"/>
  <c r="AT486" i="4" s="1"/>
  <c r="AT487" i="4" s="1"/>
  <c r="AT488" i="4" s="1"/>
  <c r="AT489" i="4" s="1"/>
  <c r="AT490" i="4" s="1"/>
  <c r="AT491" i="4" s="1"/>
  <c r="AT492" i="4" s="1"/>
  <c r="AT493" i="4" s="1"/>
  <c r="AT494" i="4" s="1"/>
  <c r="AT495" i="4" s="1"/>
  <c r="AT496" i="4" s="1"/>
  <c r="AT497" i="4" s="1"/>
  <c r="AT498" i="4" s="1"/>
  <c r="AT499" i="4" s="1"/>
  <c r="AT500" i="4" s="1"/>
  <c r="AT501" i="4" s="1"/>
  <c r="AT502" i="4" s="1"/>
  <c r="AT503" i="4" s="1"/>
  <c r="AT504" i="4" s="1"/>
  <c r="AT505" i="4" s="1"/>
  <c r="AT506" i="4" s="1"/>
  <c r="AT507" i="4" s="1"/>
  <c r="AT508" i="4" s="1"/>
  <c r="AT509" i="4" s="1"/>
  <c r="AT510" i="4" s="1"/>
  <c r="AT511" i="4" s="1"/>
  <c r="AT512" i="4" s="1"/>
  <c r="AT513" i="4" s="1"/>
  <c r="AT514" i="4" s="1"/>
  <c r="AT515" i="4" s="1"/>
  <c r="AT516" i="4" s="1"/>
  <c r="AT517" i="4" s="1"/>
  <c r="AT518" i="4" s="1"/>
  <c r="AT519" i="4" s="1"/>
  <c r="AT520" i="4" s="1"/>
  <c r="AT521" i="4" s="1"/>
  <c r="AT522" i="4" s="1"/>
  <c r="AT523" i="4" s="1"/>
  <c r="AT524" i="4" s="1"/>
  <c r="AT525" i="4" s="1"/>
  <c r="AT526" i="4" s="1"/>
  <c r="AT527" i="4" s="1"/>
  <c r="AT528" i="4" s="1"/>
  <c r="AT529" i="4" s="1"/>
  <c r="AT530" i="4" s="1"/>
  <c r="AO387" i="4"/>
  <c r="AO388" i="4" s="1"/>
  <c r="AO389" i="4" s="1"/>
  <c r="AO390" i="4" s="1"/>
  <c r="AO391" i="4" s="1"/>
  <c r="AO392" i="4" s="1"/>
  <c r="AO393" i="4" s="1"/>
  <c r="AO394" i="4" s="1"/>
  <c r="AO395" i="4" s="1"/>
  <c r="AO396" i="4" s="1"/>
  <c r="AO397" i="4" s="1"/>
  <c r="AO398" i="4" s="1"/>
  <c r="AO399" i="4" s="1"/>
  <c r="AO400" i="4" s="1"/>
  <c r="AO401" i="4" s="1"/>
  <c r="AO402" i="4" s="1"/>
  <c r="AO403" i="4" s="1"/>
  <c r="AO404" i="4" s="1"/>
  <c r="AO405" i="4" s="1"/>
  <c r="AO406" i="4" s="1"/>
  <c r="AO407" i="4" s="1"/>
  <c r="AO408" i="4" s="1"/>
  <c r="AO409" i="4" s="1"/>
  <c r="AO410" i="4" s="1"/>
  <c r="AO411" i="4" s="1"/>
  <c r="AO412" i="4" s="1"/>
  <c r="AO413" i="4" s="1"/>
  <c r="AO414" i="4" s="1"/>
  <c r="AO415" i="4" s="1"/>
  <c r="AO416" i="4" s="1"/>
  <c r="AO417" i="4" s="1"/>
  <c r="AO418" i="4" s="1"/>
  <c r="AO419" i="4" s="1"/>
  <c r="AO420" i="4" s="1"/>
  <c r="AO421" i="4" s="1"/>
  <c r="AO422" i="4" s="1"/>
  <c r="AO423" i="4" s="1"/>
  <c r="AO424" i="4" s="1"/>
  <c r="AO425" i="4" s="1"/>
  <c r="AO426" i="4" s="1"/>
  <c r="AO427" i="4" s="1"/>
  <c r="AO428" i="4" s="1"/>
  <c r="AO429" i="4" s="1"/>
  <c r="AO430" i="4" s="1"/>
  <c r="AO431" i="4" s="1"/>
  <c r="AO432" i="4" s="1"/>
  <c r="AO433" i="4" s="1"/>
  <c r="AO434" i="4" s="1"/>
  <c r="AO435" i="4" s="1"/>
  <c r="AO436" i="4" s="1"/>
  <c r="AO437" i="4" s="1"/>
  <c r="AO438" i="4" s="1"/>
  <c r="AO439" i="4" s="1"/>
  <c r="AO440" i="4" s="1"/>
  <c r="AO441" i="4" s="1"/>
  <c r="AO442" i="4" s="1"/>
  <c r="AO443" i="4" s="1"/>
  <c r="AO444" i="4" s="1"/>
  <c r="AO445" i="4" s="1"/>
  <c r="AO446" i="4" s="1"/>
  <c r="AO447" i="4" s="1"/>
  <c r="AO448" i="4" s="1"/>
  <c r="AO449" i="4" s="1"/>
  <c r="AO450" i="4" s="1"/>
  <c r="AO451" i="4" s="1"/>
  <c r="AO452" i="4" s="1"/>
  <c r="AO453" i="4" s="1"/>
  <c r="AO454" i="4" s="1"/>
  <c r="AO455" i="4" s="1"/>
  <c r="AO456" i="4" s="1"/>
  <c r="AO457" i="4" s="1"/>
  <c r="AO458" i="4" s="1"/>
  <c r="AO459" i="4" s="1"/>
  <c r="AO460" i="4" s="1"/>
  <c r="AO461" i="4" s="1"/>
  <c r="AO462" i="4" s="1"/>
  <c r="AO463" i="4" s="1"/>
  <c r="AO464" i="4" s="1"/>
  <c r="AO465" i="4" s="1"/>
  <c r="AO466" i="4" s="1"/>
  <c r="AO467" i="4" s="1"/>
  <c r="AO468" i="4" s="1"/>
  <c r="AO469" i="4" s="1"/>
  <c r="AO470" i="4" s="1"/>
  <c r="AO471" i="4" s="1"/>
  <c r="AO472" i="4" s="1"/>
  <c r="AO473" i="4" s="1"/>
  <c r="AO474" i="4" s="1"/>
  <c r="AO475" i="4" s="1"/>
  <c r="AO476" i="4" s="1"/>
  <c r="AO477" i="4" s="1"/>
  <c r="AO478" i="4" s="1"/>
  <c r="AO479" i="4" s="1"/>
  <c r="AO480" i="4" s="1"/>
  <c r="AO481" i="4" s="1"/>
  <c r="AO482" i="4" s="1"/>
  <c r="AO483" i="4" s="1"/>
  <c r="AO484" i="4" s="1"/>
  <c r="AO485" i="4" s="1"/>
  <c r="AO486" i="4" s="1"/>
  <c r="AO487" i="4" s="1"/>
  <c r="AO488" i="4" s="1"/>
  <c r="AO489" i="4" s="1"/>
  <c r="AO490" i="4" s="1"/>
  <c r="AO491" i="4" s="1"/>
  <c r="AO492" i="4" s="1"/>
  <c r="AO493" i="4" s="1"/>
  <c r="AO494" i="4" s="1"/>
  <c r="AO495" i="4" s="1"/>
  <c r="AO496" i="4" s="1"/>
  <c r="AO497" i="4" s="1"/>
  <c r="AO498" i="4" s="1"/>
  <c r="AO499" i="4" s="1"/>
  <c r="AO500" i="4" s="1"/>
  <c r="AO501" i="4" s="1"/>
  <c r="AO502" i="4" s="1"/>
  <c r="AO503" i="4" s="1"/>
  <c r="AO504" i="4" s="1"/>
  <c r="AO505" i="4" s="1"/>
  <c r="AO506" i="4" s="1"/>
  <c r="AO507" i="4" s="1"/>
  <c r="AO508" i="4" s="1"/>
  <c r="AO509" i="4" s="1"/>
  <c r="AO510" i="4" s="1"/>
  <c r="AO511" i="4" s="1"/>
  <c r="AO512" i="4" s="1"/>
  <c r="AO513" i="4" s="1"/>
  <c r="AO514" i="4" s="1"/>
  <c r="AO515" i="4" s="1"/>
  <c r="AO516" i="4" s="1"/>
  <c r="AO517" i="4" s="1"/>
  <c r="AO518" i="4" s="1"/>
  <c r="AO519" i="4" s="1"/>
  <c r="AO520" i="4" s="1"/>
  <c r="AO521" i="4" s="1"/>
  <c r="AO522" i="4" s="1"/>
  <c r="AO523" i="4" s="1"/>
  <c r="AO524" i="4" s="1"/>
  <c r="AO525" i="4" s="1"/>
  <c r="AO526" i="4" s="1"/>
  <c r="AO527" i="4" s="1"/>
  <c r="AO528" i="4" s="1"/>
  <c r="AO529" i="4" s="1"/>
  <c r="AO530" i="4" s="1"/>
  <c r="B387" i="4"/>
  <c r="B386" i="4"/>
  <c r="B385" i="4"/>
  <c r="B384" i="4"/>
  <c r="B383" i="4"/>
  <c r="B382" i="4"/>
  <c r="B381" i="4"/>
  <c r="B380" i="4"/>
  <c r="B379" i="4"/>
  <c r="AA379" i="4" s="1"/>
  <c r="AZ378" i="4"/>
  <c r="B378" i="4"/>
  <c r="B377" i="4"/>
  <c r="B376" i="4"/>
  <c r="V376" i="4" s="1"/>
  <c r="B375" i="4"/>
  <c r="B374" i="4"/>
  <c r="B373" i="4"/>
  <c r="B372" i="4"/>
  <c r="B371" i="4"/>
  <c r="B370" i="4"/>
  <c r="B369" i="4"/>
  <c r="B368" i="4"/>
  <c r="Z368" i="4" s="1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AN353" i="4"/>
  <c r="AN354" i="4" s="1"/>
  <c r="AN355" i="4" s="1"/>
  <c r="AN356" i="4" s="1"/>
  <c r="AN357" i="4" s="1"/>
  <c r="AN358" i="4" s="1"/>
  <c r="AN359" i="4" s="1"/>
  <c r="AN360" i="4" s="1"/>
  <c r="AN361" i="4" s="1"/>
  <c r="AN362" i="4" s="1"/>
  <c r="AN363" i="4" s="1"/>
  <c r="AN364" i="4" s="1"/>
  <c r="AN365" i="4" s="1"/>
  <c r="AN366" i="4" s="1"/>
  <c r="AN367" i="4" s="1"/>
  <c r="AN368" i="4" s="1"/>
  <c r="AN369" i="4" s="1"/>
  <c r="AN370" i="4" s="1"/>
  <c r="AN371" i="4" s="1"/>
  <c r="AN372" i="4" s="1"/>
  <c r="AN373" i="4" s="1"/>
  <c r="AN374" i="4" s="1"/>
  <c r="AN375" i="4" s="1"/>
  <c r="AN376" i="4" s="1"/>
  <c r="AN377" i="4" s="1"/>
  <c r="AN378" i="4" s="1"/>
  <c r="AN379" i="4" s="1"/>
  <c r="AN380" i="4" s="1"/>
  <c r="AN381" i="4" s="1"/>
  <c r="AN382" i="4" s="1"/>
  <c r="AN383" i="4" s="1"/>
  <c r="AN384" i="4" s="1"/>
  <c r="AN385" i="4" s="1"/>
  <c r="AN386" i="4" s="1"/>
  <c r="AN387" i="4" s="1"/>
  <c r="AN388" i="4" s="1"/>
  <c r="AN389" i="4" s="1"/>
  <c r="AN390" i="4" s="1"/>
  <c r="AN391" i="4" s="1"/>
  <c r="AN392" i="4" s="1"/>
  <c r="AN393" i="4" s="1"/>
  <c r="AN394" i="4" s="1"/>
  <c r="AN395" i="4" s="1"/>
  <c r="AN396" i="4" s="1"/>
  <c r="AN397" i="4" s="1"/>
  <c r="AN398" i="4" s="1"/>
  <c r="AN399" i="4" s="1"/>
  <c r="AN400" i="4" s="1"/>
  <c r="AN401" i="4" s="1"/>
  <c r="AN402" i="4" s="1"/>
  <c r="AN403" i="4" s="1"/>
  <c r="AN404" i="4" s="1"/>
  <c r="AN405" i="4" s="1"/>
  <c r="AN406" i="4" s="1"/>
  <c r="AN407" i="4" s="1"/>
  <c r="AN408" i="4" s="1"/>
  <c r="AN409" i="4" s="1"/>
  <c r="AN410" i="4" s="1"/>
  <c r="AN411" i="4" s="1"/>
  <c r="AN412" i="4" s="1"/>
  <c r="AN413" i="4" s="1"/>
  <c r="AN414" i="4" s="1"/>
  <c r="AN415" i="4" s="1"/>
  <c r="AN416" i="4" s="1"/>
  <c r="AN417" i="4" s="1"/>
  <c r="AN418" i="4" s="1"/>
  <c r="AN419" i="4" s="1"/>
  <c r="AN420" i="4" s="1"/>
  <c r="AN421" i="4" s="1"/>
  <c r="AN422" i="4" s="1"/>
  <c r="AN423" i="4" s="1"/>
  <c r="AN424" i="4" s="1"/>
  <c r="AN425" i="4" s="1"/>
  <c r="AN426" i="4" s="1"/>
  <c r="AN427" i="4" s="1"/>
  <c r="AN428" i="4" s="1"/>
  <c r="AN429" i="4" s="1"/>
  <c r="AN430" i="4" s="1"/>
  <c r="AN431" i="4" s="1"/>
  <c r="AN432" i="4" s="1"/>
  <c r="AN433" i="4" s="1"/>
  <c r="AN434" i="4" s="1"/>
  <c r="AN435" i="4" s="1"/>
  <c r="AN436" i="4" s="1"/>
  <c r="AN437" i="4" s="1"/>
  <c r="AN438" i="4" s="1"/>
  <c r="AN439" i="4" s="1"/>
  <c r="AN440" i="4" s="1"/>
  <c r="AN441" i="4" s="1"/>
  <c r="AN442" i="4" s="1"/>
  <c r="AN443" i="4" s="1"/>
  <c r="AN444" i="4" s="1"/>
  <c r="AN445" i="4" s="1"/>
  <c r="AN446" i="4" s="1"/>
  <c r="AN447" i="4" s="1"/>
  <c r="AN448" i="4" s="1"/>
  <c r="AN449" i="4" s="1"/>
  <c r="AN450" i="4" s="1"/>
  <c r="AN451" i="4" s="1"/>
  <c r="AN452" i="4" s="1"/>
  <c r="AN453" i="4" s="1"/>
  <c r="AN454" i="4" s="1"/>
  <c r="AN455" i="4" s="1"/>
  <c r="AN456" i="4" s="1"/>
  <c r="AN457" i="4" s="1"/>
  <c r="AN458" i="4" s="1"/>
  <c r="AN459" i="4" s="1"/>
  <c r="AN460" i="4" s="1"/>
  <c r="AN461" i="4" s="1"/>
  <c r="AN462" i="4" s="1"/>
  <c r="AN463" i="4" s="1"/>
  <c r="AN464" i="4" s="1"/>
  <c r="AN465" i="4" s="1"/>
  <c r="AN466" i="4" s="1"/>
  <c r="AN467" i="4" s="1"/>
  <c r="AN468" i="4" s="1"/>
  <c r="AN469" i="4" s="1"/>
  <c r="AN470" i="4" s="1"/>
  <c r="AN471" i="4" s="1"/>
  <c r="AN472" i="4" s="1"/>
  <c r="AN473" i="4" s="1"/>
  <c r="AN474" i="4" s="1"/>
  <c r="AN475" i="4" s="1"/>
  <c r="AN476" i="4" s="1"/>
  <c r="AN477" i="4" s="1"/>
  <c r="AN478" i="4" s="1"/>
  <c r="AN479" i="4" s="1"/>
  <c r="AN480" i="4" s="1"/>
  <c r="AN481" i="4" s="1"/>
  <c r="AN482" i="4" s="1"/>
  <c r="AN483" i="4" s="1"/>
  <c r="AN484" i="4" s="1"/>
  <c r="AN485" i="4" s="1"/>
  <c r="AN486" i="4" s="1"/>
  <c r="AN487" i="4" s="1"/>
  <c r="AN488" i="4" s="1"/>
  <c r="AN489" i="4" s="1"/>
  <c r="AN490" i="4" s="1"/>
  <c r="AN491" i="4" s="1"/>
  <c r="AN492" i="4" s="1"/>
  <c r="AN493" i="4" s="1"/>
  <c r="AN494" i="4" s="1"/>
  <c r="AN495" i="4" s="1"/>
  <c r="AN496" i="4" s="1"/>
  <c r="AN497" i="4" s="1"/>
  <c r="AN498" i="4" s="1"/>
  <c r="AN499" i="4" s="1"/>
  <c r="AN500" i="4" s="1"/>
  <c r="AN501" i="4" s="1"/>
  <c r="AN502" i="4" s="1"/>
  <c r="AN503" i="4" s="1"/>
  <c r="AN504" i="4" s="1"/>
  <c r="AN505" i="4" s="1"/>
  <c r="AN506" i="4" s="1"/>
  <c r="AN507" i="4" s="1"/>
  <c r="AN508" i="4" s="1"/>
  <c r="AN509" i="4" s="1"/>
  <c r="AN510" i="4" s="1"/>
  <c r="AN511" i="4" s="1"/>
  <c r="AN512" i="4" s="1"/>
  <c r="AN513" i="4" s="1"/>
  <c r="AN514" i="4" s="1"/>
  <c r="AN515" i="4" s="1"/>
  <c r="AN516" i="4" s="1"/>
  <c r="AN517" i="4" s="1"/>
  <c r="AN518" i="4" s="1"/>
  <c r="AN519" i="4" s="1"/>
  <c r="AN520" i="4" s="1"/>
  <c r="AN521" i="4" s="1"/>
  <c r="AN522" i="4" s="1"/>
  <c r="AN523" i="4" s="1"/>
  <c r="AN524" i="4" s="1"/>
  <c r="AN525" i="4" s="1"/>
  <c r="AN526" i="4" s="1"/>
  <c r="AN527" i="4" s="1"/>
  <c r="AN528" i="4" s="1"/>
  <c r="AN529" i="4" s="1"/>
  <c r="AN530" i="4" s="1"/>
  <c r="AM353" i="4"/>
  <c r="AM354" i="4" s="1"/>
  <c r="AM355" i="4" s="1"/>
  <c r="AM356" i="4" s="1"/>
  <c r="AM357" i="4" s="1"/>
  <c r="AM358" i="4" s="1"/>
  <c r="AM359" i="4" s="1"/>
  <c r="AM360" i="4" s="1"/>
  <c r="AM361" i="4" s="1"/>
  <c r="AM362" i="4" s="1"/>
  <c r="AM363" i="4" s="1"/>
  <c r="AM364" i="4" s="1"/>
  <c r="AM365" i="4" s="1"/>
  <c r="AM366" i="4" s="1"/>
  <c r="AM367" i="4" s="1"/>
  <c r="AM368" i="4" s="1"/>
  <c r="AM369" i="4" s="1"/>
  <c r="AM370" i="4" s="1"/>
  <c r="AM371" i="4" s="1"/>
  <c r="AM372" i="4" s="1"/>
  <c r="AM373" i="4" s="1"/>
  <c r="AM374" i="4" s="1"/>
  <c r="AM375" i="4" s="1"/>
  <c r="AM376" i="4" s="1"/>
  <c r="AM377" i="4" s="1"/>
  <c r="AM378" i="4" s="1"/>
  <c r="AM379" i="4" s="1"/>
  <c r="AM380" i="4" s="1"/>
  <c r="AM381" i="4" s="1"/>
  <c r="AM382" i="4" s="1"/>
  <c r="AM383" i="4" s="1"/>
  <c r="AM384" i="4" s="1"/>
  <c r="AM385" i="4" s="1"/>
  <c r="AM386" i="4" s="1"/>
  <c r="AM387" i="4" s="1"/>
  <c r="AM388" i="4" s="1"/>
  <c r="AM389" i="4" s="1"/>
  <c r="AM390" i="4" s="1"/>
  <c r="AM391" i="4" s="1"/>
  <c r="AM392" i="4" s="1"/>
  <c r="AM393" i="4" s="1"/>
  <c r="AM394" i="4" s="1"/>
  <c r="AM395" i="4" s="1"/>
  <c r="AM396" i="4" s="1"/>
  <c r="AM397" i="4" s="1"/>
  <c r="AM398" i="4" s="1"/>
  <c r="AM399" i="4" s="1"/>
  <c r="AM400" i="4" s="1"/>
  <c r="AM401" i="4" s="1"/>
  <c r="AM402" i="4" s="1"/>
  <c r="AM403" i="4" s="1"/>
  <c r="AM404" i="4" s="1"/>
  <c r="AM405" i="4" s="1"/>
  <c r="AM406" i="4" s="1"/>
  <c r="AM407" i="4" s="1"/>
  <c r="AM408" i="4" s="1"/>
  <c r="AM409" i="4" s="1"/>
  <c r="AM410" i="4" s="1"/>
  <c r="AM411" i="4" s="1"/>
  <c r="AM412" i="4" s="1"/>
  <c r="AM413" i="4" s="1"/>
  <c r="AM414" i="4" s="1"/>
  <c r="AM415" i="4" s="1"/>
  <c r="AM416" i="4" s="1"/>
  <c r="AM417" i="4" s="1"/>
  <c r="AM418" i="4" s="1"/>
  <c r="AM419" i="4" s="1"/>
  <c r="AM420" i="4" s="1"/>
  <c r="AM421" i="4" s="1"/>
  <c r="AM422" i="4" s="1"/>
  <c r="AM423" i="4" s="1"/>
  <c r="AM424" i="4" s="1"/>
  <c r="AM425" i="4" s="1"/>
  <c r="AM426" i="4" s="1"/>
  <c r="AM427" i="4" s="1"/>
  <c r="AM428" i="4" s="1"/>
  <c r="AM429" i="4" s="1"/>
  <c r="AM430" i="4" s="1"/>
  <c r="AM431" i="4" s="1"/>
  <c r="AM432" i="4" s="1"/>
  <c r="AM433" i="4" s="1"/>
  <c r="AM434" i="4" s="1"/>
  <c r="AM435" i="4" s="1"/>
  <c r="AM436" i="4" s="1"/>
  <c r="AM437" i="4" s="1"/>
  <c r="AM438" i="4" s="1"/>
  <c r="AM439" i="4" s="1"/>
  <c r="AM440" i="4" s="1"/>
  <c r="AM441" i="4" s="1"/>
  <c r="AM442" i="4" s="1"/>
  <c r="AM443" i="4" s="1"/>
  <c r="AM444" i="4" s="1"/>
  <c r="AM445" i="4" s="1"/>
  <c r="AM446" i="4" s="1"/>
  <c r="AM447" i="4" s="1"/>
  <c r="AM448" i="4" s="1"/>
  <c r="AM449" i="4" s="1"/>
  <c r="AM450" i="4" s="1"/>
  <c r="AM451" i="4" s="1"/>
  <c r="AM452" i="4" s="1"/>
  <c r="AM453" i="4" s="1"/>
  <c r="AM454" i="4" s="1"/>
  <c r="AM455" i="4" s="1"/>
  <c r="AM456" i="4" s="1"/>
  <c r="AM457" i="4" s="1"/>
  <c r="AM458" i="4" s="1"/>
  <c r="AM459" i="4" s="1"/>
  <c r="AM460" i="4" s="1"/>
  <c r="AM461" i="4" s="1"/>
  <c r="AM462" i="4" s="1"/>
  <c r="AM463" i="4" s="1"/>
  <c r="AM464" i="4" s="1"/>
  <c r="AM465" i="4" s="1"/>
  <c r="AM466" i="4" s="1"/>
  <c r="AM467" i="4" s="1"/>
  <c r="AM468" i="4" s="1"/>
  <c r="AM469" i="4" s="1"/>
  <c r="AM470" i="4" s="1"/>
  <c r="AM471" i="4" s="1"/>
  <c r="AM472" i="4" s="1"/>
  <c r="AM473" i="4" s="1"/>
  <c r="AM474" i="4" s="1"/>
  <c r="AM475" i="4" s="1"/>
  <c r="AM476" i="4" s="1"/>
  <c r="AM477" i="4" s="1"/>
  <c r="AM478" i="4" s="1"/>
  <c r="AM479" i="4" s="1"/>
  <c r="AM480" i="4" s="1"/>
  <c r="AM481" i="4" s="1"/>
  <c r="AM482" i="4" s="1"/>
  <c r="AM483" i="4" s="1"/>
  <c r="AM484" i="4" s="1"/>
  <c r="AM485" i="4" s="1"/>
  <c r="AM486" i="4" s="1"/>
  <c r="AM487" i="4" s="1"/>
  <c r="AM488" i="4" s="1"/>
  <c r="AM489" i="4" s="1"/>
  <c r="AM490" i="4" s="1"/>
  <c r="AM491" i="4" s="1"/>
  <c r="AM492" i="4" s="1"/>
  <c r="AM493" i="4" s="1"/>
  <c r="AM494" i="4" s="1"/>
  <c r="AM495" i="4" s="1"/>
  <c r="AM496" i="4" s="1"/>
  <c r="AM497" i="4" s="1"/>
  <c r="AM498" i="4" s="1"/>
  <c r="AM499" i="4" s="1"/>
  <c r="AM500" i="4" s="1"/>
  <c r="AM501" i="4" s="1"/>
  <c r="AM502" i="4" s="1"/>
  <c r="AM503" i="4" s="1"/>
  <c r="AM504" i="4" s="1"/>
  <c r="AM505" i="4" s="1"/>
  <c r="AM506" i="4" s="1"/>
  <c r="AM507" i="4" s="1"/>
  <c r="AM508" i="4" s="1"/>
  <c r="AM509" i="4" s="1"/>
  <c r="AM510" i="4" s="1"/>
  <c r="AM511" i="4" s="1"/>
  <c r="AM512" i="4" s="1"/>
  <c r="AM513" i="4" s="1"/>
  <c r="AM514" i="4" s="1"/>
  <c r="AM515" i="4" s="1"/>
  <c r="AM516" i="4" s="1"/>
  <c r="AM517" i="4" s="1"/>
  <c r="AM518" i="4" s="1"/>
  <c r="AM519" i="4" s="1"/>
  <c r="AM520" i="4" s="1"/>
  <c r="AM521" i="4" s="1"/>
  <c r="AM522" i="4" s="1"/>
  <c r="AM523" i="4" s="1"/>
  <c r="AM524" i="4" s="1"/>
  <c r="AM525" i="4" s="1"/>
  <c r="AM526" i="4" s="1"/>
  <c r="AM527" i="4" s="1"/>
  <c r="AM528" i="4" s="1"/>
  <c r="AM529" i="4" s="1"/>
  <c r="AM530" i="4" s="1"/>
  <c r="AL353" i="4"/>
  <c r="AL354" i="4" s="1"/>
  <c r="AL355" i="4" s="1"/>
  <c r="AL356" i="4" s="1"/>
  <c r="AL357" i="4" s="1"/>
  <c r="AL358" i="4" s="1"/>
  <c r="AL359" i="4" s="1"/>
  <c r="AL360" i="4" s="1"/>
  <c r="AL361" i="4" s="1"/>
  <c r="AL362" i="4" s="1"/>
  <c r="AL363" i="4" s="1"/>
  <c r="AL364" i="4" s="1"/>
  <c r="AL365" i="4" s="1"/>
  <c r="AL366" i="4" s="1"/>
  <c r="AL367" i="4" s="1"/>
  <c r="AL368" i="4" s="1"/>
  <c r="AL369" i="4" s="1"/>
  <c r="AL370" i="4" s="1"/>
  <c r="AL371" i="4" s="1"/>
  <c r="AL372" i="4" s="1"/>
  <c r="AL373" i="4" s="1"/>
  <c r="AL374" i="4" s="1"/>
  <c r="AL375" i="4" s="1"/>
  <c r="AL376" i="4" s="1"/>
  <c r="AL377" i="4" s="1"/>
  <c r="AL378" i="4" s="1"/>
  <c r="AL379" i="4" s="1"/>
  <c r="AL380" i="4" s="1"/>
  <c r="AL381" i="4" s="1"/>
  <c r="AL382" i="4" s="1"/>
  <c r="AL383" i="4" s="1"/>
  <c r="AL384" i="4" s="1"/>
  <c r="AL385" i="4" s="1"/>
  <c r="AL386" i="4" s="1"/>
  <c r="AL387" i="4" s="1"/>
  <c r="AL388" i="4" s="1"/>
  <c r="AL389" i="4" s="1"/>
  <c r="AL390" i="4" s="1"/>
  <c r="AL391" i="4" s="1"/>
  <c r="AL392" i="4" s="1"/>
  <c r="AL393" i="4" s="1"/>
  <c r="AL394" i="4" s="1"/>
  <c r="AL395" i="4" s="1"/>
  <c r="AL396" i="4" s="1"/>
  <c r="AL397" i="4" s="1"/>
  <c r="AL398" i="4" s="1"/>
  <c r="AL399" i="4" s="1"/>
  <c r="AL400" i="4" s="1"/>
  <c r="AL401" i="4" s="1"/>
  <c r="AL402" i="4" s="1"/>
  <c r="AL403" i="4" s="1"/>
  <c r="AL404" i="4" s="1"/>
  <c r="AL405" i="4" s="1"/>
  <c r="AL406" i="4" s="1"/>
  <c r="AL407" i="4" s="1"/>
  <c r="AL408" i="4" s="1"/>
  <c r="AL409" i="4" s="1"/>
  <c r="AL410" i="4" s="1"/>
  <c r="AL411" i="4" s="1"/>
  <c r="AL412" i="4" s="1"/>
  <c r="AL413" i="4" s="1"/>
  <c r="AL414" i="4" s="1"/>
  <c r="AL415" i="4" s="1"/>
  <c r="AL416" i="4" s="1"/>
  <c r="AL417" i="4" s="1"/>
  <c r="AL418" i="4" s="1"/>
  <c r="AL419" i="4" s="1"/>
  <c r="AL420" i="4" s="1"/>
  <c r="AL421" i="4" s="1"/>
  <c r="AL422" i="4" s="1"/>
  <c r="AL423" i="4" s="1"/>
  <c r="AL424" i="4" s="1"/>
  <c r="AL425" i="4" s="1"/>
  <c r="AL426" i="4" s="1"/>
  <c r="AL427" i="4" s="1"/>
  <c r="AL428" i="4" s="1"/>
  <c r="AL429" i="4" s="1"/>
  <c r="AL430" i="4" s="1"/>
  <c r="AL431" i="4" s="1"/>
  <c r="AL432" i="4" s="1"/>
  <c r="AL433" i="4" s="1"/>
  <c r="AL434" i="4" s="1"/>
  <c r="AL435" i="4" s="1"/>
  <c r="AL436" i="4" s="1"/>
  <c r="AL437" i="4" s="1"/>
  <c r="AL438" i="4" s="1"/>
  <c r="AL439" i="4" s="1"/>
  <c r="AL440" i="4" s="1"/>
  <c r="AL441" i="4" s="1"/>
  <c r="AL442" i="4" s="1"/>
  <c r="AL443" i="4" s="1"/>
  <c r="AL444" i="4" s="1"/>
  <c r="AL445" i="4" s="1"/>
  <c r="AL446" i="4" s="1"/>
  <c r="AL447" i="4" s="1"/>
  <c r="AL448" i="4" s="1"/>
  <c r="AL449" i="4" s="1"/>
  <c r="AL450" i="4" s="1"/>
  <c r="AL451" i="4" s="1"/>
  <c r="AL452" i="4" s="1"/>
  <c r="AL453" i="4" s="1"/>
  <c r="AL454" i="4" s="1"/>
  <c r="AL455" i="4" s="1"/>
  <c r="AL456" i="4" s="1"/>
  <c r="AL457" i="4" s="1"/>
  <c r="AL458" i="4" s="1"/>
  <c r="AL459" i="4" s="1"/>
  <c r="AL460" i="4" s="1"/>
  <c r="AL461" i="4" s="1"/>
  <c r="AL462" i="4" s="1"/>
  <c r="AL463" i="4" s="1"/>
  <c r="AL464" i="4" s="1"/>
  <c r="AL465" i="4" s="1"/>
  <c r="AL466" i="4" s="1"/>
  <c r="AL467" i="4" s="1"/>
  <c r="AL468" i="4" s="1"/>
  <c r="AL469" i="4" s="1"/>
  <c r="AL470" i="4" s="1"/>
  <c r="AL471" i="4" s="1"/>
  <c r="AL472" i="4" s="1"/>
  <c r="AL473" i="4" s="1"/>
  <c r="AL474" i="4" s="1"/>
  <c r="AL475" i="4" s="1"/>
  <c r="AL476" i="4" s="1"/>
  <c r="AL477" i="4" s="1"/>
  <c r="AL478" i="4" s="1"/>
  <c r="AL479" i="4" s="1"/>
  <c r="AL480" i="4" s="1"/>
  <c r="AL481" i="4" s="1"/>
  <c r="AL482" i="4" s="1"/>
  <c r="AL483" i="4" s="1"/>
  <c r="AL484" i="4" s="1"/>
  <c r="AL485" i="4" s="1"/>
  <c r="AL486" i="4" s="1"/>
  <c r="AL487" i="4" s="1"/>
  <c r="AL488" i="4" s="1"/>
  <c r="AL489" i="4" s="1"/>
  <c r="AL490" i="4" s="1"/>
  <c r="AL491" i="4" s="1"/>
  <c r="AL492" i="4" s="1"/>
  <c r="AL493" i="4" s="1"/>
  <c r="AL494" i="4" s="1"/>
  <c r="AL495" i="4" s="1"/>
  <c r="AL496" i="4" s="1"/>
  <c r="AL497" i="4" s="1"/>
  <c r="AL498" i="4" s="1"/>
  <c r="AL499" i="4" s="1"/>
  <c r="AL500" i="4" s="1"/>
  <c r="AL501" i="4" s="1"/>
  <c r="AL502" i="4" s="1"/>
  <c r="AL503" i="4" s="1"/>
  <c r="AL504" i="4" s="1"/>
  <c r="AL505" i="4" s="1"/>
  <c r="AL506" i="4" s="1"/>
  <c r="AL507" i="4" s="1"/>
  <c r="AL508" i="4" s="1"/>
  <c r="AL509" i="4" s="1"/>
  <c r="AL510" i="4" s="1"/>
  <c r="AL511" i="4" s="1"/>
  <c r="AL512" i="4" s="1"/>
  <c r="AL513" i="4" s="1"/>
  <c r="AL514" i="4" s="1"/>
  <c r="AL515" i="4" s="1"/>
  <c r="AL516" i="4" s="1"/>
  <c r="AL517" i="4" s="1"/>
  <c r="AL518" i="4" s="1"/>
  <c r="AL519" i="4" s="1"/>
  <c r="AL520" i="4" s="1"/>
  <c r="AL521" i="4" s="1"/>
  <c r="AL522" i="4" s="1"/>
  <c r="AL523" i="4" s="1"/>
  <c r="AL524" i="4" s="1"/>
  <c r="AL525" i="4" s="1"/>
  <c r="AL526" i="4" s="1"/>
  <c r="AL527" i="4" s="1"/>
  <c r="AL528" i="4" s="1"/>
  <c r="AL529" i="4" s="1"/>
  <c r="AL530" i="4" s="1"/>
  <c r="AK353" i="4"/>
  <c r="AK354" i="4" s="1"/>
  <c r="AK355" i="4" s="1"/>
  <c r="AK356" i="4" s="1"/>
  <c r="AK357" i="4" s="1"/>
  <c r="AK358" i="4" s="1"/>
  <c r="AK359" i="4" s="1"/>
  <c r="AK360" i="4" s="1"/>
  <c r="AK361" i="4" s="1"/>
  <c r="AK362" i="4" s="1"/>
  <c r="AK363" i="4" s="1"/>
  <c r="AK364" i="4" s="1"/>
  <c r="AK365" i="4" s="1"/>
  <c r="AK366" i="4" s="1"/>
  <c r="AK367" i="4" s="1"/>
  <c r="AK368" i="4" s="1"/>
  <c r="AK369" i="4" s="1"/>
  <c r="AK370" i="4" s="1"/>
  <c r="AK371" i="4" s="1"/>
  <c r="AK372" i="4" s="1"/>
  <c r="AK373" i="4" s="1"/>
  <c r="AK374" i="4" s="1"/>
  <c r="AK375" i="4" s="1"/>
  <c r="AK376" i="4" s="1"/>
  <c r="AK377" i="4" s="1"/>
  <c r="AK378" i="4" s="1"/>
  <c r="AK379" i="4" s="1"/>
  <c r="AK380" i="4" s="1"/>
  <c r="AK381" i="4" s="1"/>
  <c r="AK382" i="4" s="1"/>
  <c r="AK383" i="4" s="1"/>
  <c r="AK384" i="4" s="1"/>
  <c r="AK385" i="4" s="1"/>
  <c r="AK386" i="4" s="1"/>
  <c r="AK387" i="4" s="1"/>
  <c r="AK388" i="4" s="1"/>
  <c r="AK389" i="4" s="1"/>
  <c r="AK390" i="4" s="1"/>
  <c r="AK391" i="4" s="1"/>
  <c r="AK392" i="4" s="1"/>
  <c r="AK393" i="4" s="1"/>
  <c r="AK394" i="4" s="1"/>
  <c r="AK395" i="4" s="1"/>
  <c r="AK396" i="4" s="1"/>
  <c r="AK397" i="4" s="1"/>
  <c r="AK398" i="4" s="1"/>
  <c r="AK399" i="4" s="1"/>
  <c r="AK400" i="4" s="1"/>
  <c r="AK401" i="4" s="1"/>
  <c r="AK402" i="4" s="1"/>
  <c r="AK403" i="4" s="1"/>
  <c r="AK404" i="4" s="1"/>
  <c r="AK405" i="4" s="1"/>
  <c r="AK406" i="4" s="1"/>
  <c r="AK407" i="4" s="1"/>
  <c r="AK408" i="4" s="1"/>
  <c r="AK409" i="4" s="1"/>
  <c r="AK410" i="4" s="1"/>
  <c r="AK411" i="4" s="1"/>
  <c r="AK412" i="4" s="1"/>
  <c r="AK413" i="4" s="1"/>
  <c r="AK414" i="4" s="1"/>
  <c r="AK415" i="4" s="1"/>
  <c r="AK416" i="4" s="1"/>
  <c r="AK417" i="4" s="1"/>
  <c r="AK418" i="4" s="1"/>
  <c r="AK419" i="4" s="1"/>
  <c r="AK420" i="4" s="1"/>
  <c r="AK421" i="4" s="1"/>
  <c r="AK422" i="4" s="1"/>
  <c r="AK423" i="4" s="1"/>
  <c r="AK424" i="4" s="1"/>
  <c r="AK425" i="4" s="1"/>
  <c r="AK426" i="4" s="1"/>
  <c r="AK427" i="4" s="1"/>
  <c r="AK428" i="4" s="1"/>
  <c r="AK429" i="4" s="1"/>
  <c r="AK430" i="4" s="1"/>
  <c r="AK431" i="4" s="1"/>
  <c r="AK432" i="4" s="1"/>
  <c r="AK433" i="4" s="1"/>
  <c r="AK434" i="4" s="1"/>
  <c r="AK435" i="4" s="1"/>
  <c r="AK436" i="4" s="1"/>
  <c r="AK437" i="4" s="1"/>
  <c r="AK438" i="4" s="1"/>
  <c r="AK439" i="4" s="1"/>
  <c r="AK440" i="4" s="1"/>
  <c r="AK441" i="4" s="1"/>
  <c r="AK442" i="4" s="1"/>
  <c r="AK443" i="4" s="1"/>
  <c r="AK444" i="4" s="1"/>
  <c r="AK445" i="4" s="1"/>
  <c r="AK446" i="4" s="1"/>
  <c r="AK447" i="4" s="1"/>
  <c r="AK448" i="4" s="1"/>
  <c r="AK449" i="4" s="1"/>
  <c r="AK450" i="4" s="1"/>
  <c r="AK451" i="4" s="1"/>
  <c r="AK452" i="4" s="1"/>
  <c r="AK453" i="4" s="1"/>
  <c r="AK454" i="4" s="1"/>
  <c r="AK455" i="4" s="1"/>
  <c r="AK456" i="4" s="1"/>
  <c r="AK457" i="4" s="1"/>
  <c r="AK458" i="4" s="1"/>
  <c r="AK459" i="4" s="1"/>
  <c r="AK460" i="4" s="1"/>
  <c r="AK461" i="4" s="1"/>
  <c r="AK462" i="4" s="1"/>
  <c r="AK463" i="4" s="1"/>
  <c r="AK464" i="4" s="1"/>
  <c r="AK465" i="4" s="1"/>
  <c r="AK466" i="4" s="1"/>
  <c r="AK467" i="4" s="1"/>
  <c r="AK468" i="4" s="1"/>
  <c r="AK469" i="4" s="1"/>
  <c r="AK470" i="4" s="1"/>
  <c r="AK471" i="4" s="1"/>
  <c r="AK472" i="4" s="1"/>
  <c r="AK473" i="4" s="1"/>
  <c r="AK474" i="4" s="1"/>
  <c r="AK475" i="4" s="1"/>
  <c r="AK476" i="4" s="1"/>
  <c r="AK477" i="4" s="1"/>
  <c r="AK478" i="4" s="1"/>
  <c r="AK479" i="4" s="1"/>
  <c r="AK480" i="4" s="1"/>
  <c r="AK481" i="4" s="1"/>
  <c r="AK482" i="4" s="1"/>
  <c r="AK483" i="4" s="1"/>
  <c r="AK484" i="4" s="1"/>
  <c r="AK485" i="4" s="1"/>
  <c r="AK486" i="4" s="1"/>
  <c r="AK487" i="4" s="1"/>
  <c r="AK488" i="4" s="1"/>
  <c r="AK489" i="4" s="1"/>
  <c r="AK490" i="4" s="1"/>
  <c r="AK491" i="4" s="1"/>
  <c r="AK492" i="4" s="1"/>
  <c r="AK493" i="4" s="1"/>
  <c r="AK494" i="4" s="1"/>
  <c r="AK495" i="4" s="1"/>
  <c r="AK496" i="4" s="1"/>
  <c r="AK497" i="4" s="1"/>
  <c r="AK498" i="4" s="1"/>
  <c r="AK499" i="4" s="1"/>
  <c r="AK500" i="4" s="1"/>
  <c r="AK501" i="4" s="1"/>
  <c r="AK502" i="4" s="1"/>
  <c r="AK503" i="4" s="1"/>
  <c r="AK504" i="4" s="1"/>
  <c r="AK505" i="4" s="1"/>
  <c r="AK506" i="4" s="1"/>
  <c r="AK507" i="4" s="1"/>
  <c r="AK508" i="4" s="1"/>
  <c r="AK509" i="4" s="1"/>
  <c r="AK510" i="4" s="1"/>
  <c r="AK511" i="4" s="1"/>
  <c r="AK512" i="4" s="1"/>
  <c r="AK513" i="4" s="1"/>
  <c r="AK514" i="4" s="1"/>
  <c r="AK515" i="4" s="1"/>
  <c r="AK516" i="4" s="1"/>
  <c r="AK517" i="4" s="1"/>
  <c r="AK518" i="4" s="1"/>
  <c r="AK519" i="4" s="1"/>
  <c r="AK520" i="4" s="1"/>
  <c r="AK521" i="4" s="1"/>
  <c r="AK522" i="4" s="1"/>
  <c r="AK523" i="4" s="1"/>
  <c r="AK524" i="4" s="1"/>
  <c r="AK525" i="4" s="1"/>
  <c r="AK526" i="4" s="1"/>
  <c r="AK527" i="4" s="1"/>
  <c r="AK528" i="4" s="1"/>
  <c r="AK529" i="4" s="1"/>
  <c r="AK530" i="4" s="1"/>
  <c r="B353" i="4"/>
  <c r="AH352" i="4"/>
  <c r="AZ352" i="4" s="1"/>
  <c r="B352" i="4"/>
  <c r="AH351" i="4"/>
  <c r="AZ351" i="4" s="1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AV329" i="4"/>
  <c r="AV330" i="4" s="1"/>
  <c r="AV331" i="4" s="1"/>
  <c r="AV332" i="4" s="1"/>
  <c r="AV333" i="4" s="1"/>
  <c r="AV334" i="4" s="1"/>
  <c r="AV335" i="4" s="1"/>
  <c r="AV336" i="4" s="1"/>
  <c r="AV337" i="4" s="1"/>
  <c r="AV338" i="4" s="1"/>
  <c r="AV339" i="4" s="1"/>
  <c r="AV340" i="4" s="1"/>
  <c r="AV341" i="4" s="1"/>
  <c r="AV342" i="4" s="1"/>
  <c r="AV343" i="4" s="1"/>
  <c r="AV344" i="4" s="1"/>
  <c r="AV345" i="4" s="1"/>
  <c r="AV346" i="4" s="1"/>
  <c r="AV347" i="4" s="1"/>
  <c r="AV348" i="4" s="1"/>
  <c r="AV349" i="4" s="1"/>
  <c r="AV350" i="4" s="1"/>
  <c r="AV351" i="4" s="1"/>
  <c r="AV352" i="4" s="1"/>
  <c r="AV353" i="4" s="1"/>
  <c r="AV354" i="4" s="1"/>
  <c r="AV355" i="4" s="1"/>
  <c r="AV356" i="4" s="1"/>
  <c r="AV357" i="4" s="1"/>
  <c r="AV358" i="4" s="1"/>
  <c r="AV359" i="4" s="1"/>
  <c r="AV360" i="4" s="1"/>
  <c r="AV361" i="4" s="1"/>
  <c r="AV362" i="4" s="1"/>
  <c r="AV363" i="4" s="1"/>
  <c r="AV364" i="4" s="1"/>
  <c r="AV365" i="4" s="1"/>
  <c r="AV366" i="4" s="1"/>
  <c r="AV367" i="4" s="1"/>
  <c r="AV368" i="4" s="1"/>
  <c r="AV369" i="4" s="1"/>
  <c r="AV370" i="4" s="1"/>
  <c r="AV371" i="4" s="1"/>
  <c r="AV372" i="4" s="1"/>
  <c r="AV373" i="4" s="1"/>
  <c r="AV374" i="4" s="1"/>
  <c r="AV375" i="4" s="1"/>
  <c r="AV376" i="4" s="1"/>
  <c r="AV377" i="4" s="1"/>
  <c r="AV378" i="4" s="1"/>
  <c r="AV379" i="4" s="1"/>
  <c r="AV380" i="4" s="1"/>
  <c r="AV381" i="4" s="1"/>
  <c r="AV382" i="4" s="1"/>
  <c r="AV383" i="4" s="1"/>
  <c r="AV384" i="4" s="1"/>
  <c r="AV385" i="4" s="1"/>
  <c r="AV386" i="4" s="1"/>
  <c r="AV387" i="4" s="1"/>
  <c r="AV388" i="4" s="1"/>
  <c r="AV389" i="4" s="1"/>
  <c r="AV390" i="4" s="1"/>
  <c r="AV391" i="4" s="1"/>
  <c r="AV392" i="4" s="1"/>
  <c r="AV393" i="4" s="1"/>
  <c r="AV394" i="4" s="1"/>
  <c r="AV395" i="4" s="1"/>
  <c r="AV396" i="4" s="1"/>
  <c r="AV397" i="4" s="1"/>
  <c r="AV398" i="4" s="1"/>
  <c r="AV399" i="4" s="1"/>
  <c r="AV400" i="4" s="1"/>
  <c r="AV401" i="4" s="1"/>
  <c r="AV402" i="4" s="1"/>
  <c r="AV403" i="4" s="1"/>
  <c r="AV404" i="4" s="1"/>
  <c r="AV405" i="4" s="1"/>
  <c r="AV406" i="4" s="1"/>
  <c r="AV407" i="4" s="1"/>
  <c r="AV408" i="4" s="1"/>
  <c r="AV409" i="4" s="1"/>
  <c r="AV410" i="4" s="1"/>
  <c r="AV411" i="4" s="1"/>
  <c r="AV412" i="4" s="1"/>
  <c r="AV413" i="4" s="1"/>
  <c r="AV414" i="4" s="1"/>
  <c r="AV415" i="4" s="1"/>
  <c r="AV416" i="4" s="1"/>
  <c r="AV417" i="4" s="1"/>
  <c r="AV418" i="4" s="1"/>
  <c r="AV419" i="4" s="1"/>
  <c r="AV420" i="4" s="1"/>
  <c r="AV421" i="4" s="1"/>
  <c r="AV422" i="4" s="1"/>
  <c r="AV423" i="4" s="1"/>
  <c r="AV424" i="4" s="1"/>
  <c r="AV425" i="4" s="1"/>
  <c r="AV426" i="4" s="1"/>
  <c r="AV427" i="4" s="1"/>
  <c r="AV428" i="4" s="1"/>
  <c r="AV429" i="4" s="1"/>
  <c r="AV430" i="4" s="1"/>
  <c r="AV431" i="4" s="1"/>
  <c r="AV432" i="4" s="1"/>
  <c r="AV433" i="4" s="1"/>
  <c r="AV434" i="4" s="1"/>
  <c r="AV435" i="4" s="1"/>
  <c r="AV436" i="4" s="1"/>
  <c r="AV437" i="4" s="1"/>
  <c r="AV438" i="4" s="1"/>
  <c r="AV439" i="4" s="1"/>
  <c r="AV440" i="4" s="1"/>
  <c r="AV441" i="4" s="1"/>
  <c r="AV442" i="4" s="1"/>
  <c r="AV443" i="4" s="1"/>
  <c r="AV444" i="4" s="1"/>
  <c r="AV445" i="4" s="1"/>
  <c r="AV446" i="4" s="1"/>
  <c r="AV447" i="4" s="1"/>
  <c r="AV448" i="4" s="1"/>
  <c r="AV449" i="4" s="1"/>
  <c r="AV450" i="4" s="1"/>
  <c r="AV451" i="4" s="1"/>
  <c r="AV452" i="4" s="1"/>
  <c r="AV453" i="4" s="1"/>
  <c r="AV454" i="4" s="1"/>
  <c r="AV455" i="4" s="1"/>
  <c r="AV456" i="4" s="1"/>
  <c r="AV457" i="4" s="1"/>
  <c r="AV458" i="4" s="1"/>
  <c r="AV459" i="4" s="1"/>
  <c r="AV460" i="4" s="1"/>
  <c r="AV461" i="4" s="1"/>
  <c r="AV462" i="4" s="1"/>
  <c r="AV463" i="4" s="1"/>
  <c r="AV464" i="4" s="1"/>
  <c r="AV465" i="4" s="1"/>
  <c r="AV466" i="4" s="1"/>
  <c r="AV467" i="4" s="1"/>
  <c r="AV468" i="4" s="1"/>
  <c r="AV469" i="4" s="1"/>
  <c r="AV470" i="4" s="1"/>
  <c r="AV471" i="4" s="1"/>
  <c r="AV472" i="4" s="1"/>
  <c r="AV473" i="4" s="1"/>
  <c r="AV474" i="4" s="1"/>
  <c r="AV475" i="4" s="1"/>
  <c r="AV476" i="4" s="1"/>
  <c r="AV477" i="4" s="1"/>
  <c r="AV478" i="4" s="1"/>
  <c r="AV479" i="4" s="1"/>
  <c r="AV480" i="4" s="1"/>
  <c r="AV481" i="4" s="1"/>
  <c r="AV482" i="4" s="1"/>
  <c r="AV483" i="4" s="1"/>
  <c r="AV484" i="4" s="1"/>
  <c r="AV485" i="4" s="1"/>
  <c r="AV486" i="4" s="1"/>
  <c r="AV487" i="4" s="1"/>
  <c r="AV488" i="4" s="1"/>
  <c r="AV489" i="4" s="1"/>
  <c r="AV490" i="4" s="1"/>
  <c r="AV491" i="4" s="1"/>
  <c r="AV492" i="4" s="1"/>
  <c r="AV493" i="4" s="1"/>
  <c r="AV494" i="4" s="1"/>
  <c r="AV495" i="4" s="1"/>
  <c r="AV496" i="4" s="1"/>
  <c r="AV497" i="4" s="1"/>
  <c r="AV498" i="4" s="1"/>
  <c r="AV499" i="4" s="1"/>
  <c r="AV500" i="4" s="1"/>
  <c r="AV501" i="4" s="1"/>
  <c r="AV502" i="4" s="1"/>
  <c r="AV503" i="4" s="1"/>
  <c r="AV504" i="4" s="1"/>
  <c r="AV505" i="4" s="1"/>
  <c r="AV506" i="4" s="1"/>
  <c r="AV507" i="4" s="1"/>
  <c r="AV508" i="4" s="1"/>
  <c r="AV509" i="4" s="1"/>
  <c r="AV510" i="4" s="1"/>
  <c r="AV511" i="4" s="1"/>
  <c r="AV512" i="4" s="1"/>
  <c r="AV513" i="4" s="1"/>
  <c r="AV514" i="4" s="1"/>
  <c r="AV515" i="4" s="1"/>
  <c r="AV516" i="4" s="1"/>
  <c r="AV517" i="4" s="1"/>
  <c r="AV518" i="4" s="1"/>
  <c r="AV519" i="4" s="1"/>
  <c r="AV520" i="4" s="1"/>
  <c r="AV521" i="4" s="1"/>
  <c r="AV522" i="4" s="1"/>
  <c r="AV523" i="4" s="1"/>
  <c r="AV524" i="4" s="1"/>
  <c r="AV525" i="4" s="1"/>
  <c r="AV526" i="4" s="1"/>
  <c r="AV527" i="4" s="1"/>
  <c r="AV528" i="4" s="1"/>
  <c r="AV529" i="4" s="1"/>
  <c r="AV530" i="4" s="1"/>
  <c r="AJ329" i="4"/>
  <c r="AJ330" i="4" s="1"/>
  <c r="AJ331" i="4" s="1"/>
  <c r="AJ332" i="4" s="1"/>
  <c r="AJ333" i="4" s="1"/>
  <c r="AJ334" i="4" s="1"/>
  <c r="AJ335" i="4" s="1"/>
  <c r="AJ336" i="4" s="1"/>
  <c r="AJ337" i="4" s="1"/>
  <c r="AJ338" i="4" s="1"/>
  <c r="AJ339" i="4" s="1"/>
  <c r="AJ340" i="4" s="1"/>
  <c r="AJ341" i="4" s="1"/>
  <c r="AJ342" i="4" s="1"/>
  <c r="AJ343" i="4" s="1"/>
  <c r="AJ344" i="4" s="1"/>
  <c r="AJ345" i="4" s="1"/>
  <c r="AJ346" i="4" s="1"/>
  <c r="AJ347" i="4" s="1"/>
  <c r="AJ348" i="4" s="1"/>
  <c r="AJ349" i="4" s="1"/>
  <c r="AJ350" i="4" s="1"/>
  <c r="AJ351" i="4" s="1"/>
  <c r="AJ352" i="4" s="1"/>
  <c r="AJ353" i="4" s="1"/>
  <c r="AJ354" i="4" s="1"/>
  <c r="AJ355" i="4" s="1"/>
  <c r="AJ356" i="4" s="1"/>
  <c r="AJ357" i="4" s="1"/>
  <c r="AJ358" i="4" s="1"/>
  <c r="AJ359" i="4" s="1"/>
  <c r="AJ360" i="4" s="1"/>
  <c r="AJ361" i="4" s="1"/>
  <c r="AJ362" i="4" s="1"/>
  <c r="AJ363" i="4" s="1"/>
  <c r="AJ364" i="4" s="1"/>
  <c r="AJ365" i="4" s="1"/>
  <c r="AJ366" i="4" s="1"/>
  <c r="AJ367" i="4" s="1"/>
  <c r="AJ368" i="4" s="1"/>
  <c r="AJ369" i="4" s="1"/>
  <c r="AJ370" i="4" s="1"/>
  <c r="AJ371" i="4" s="1"/>
  <c r="AJ372" i="4" s="1"/>
  <c r="AJ373" i="4" s="1"/>
  <c r="AJ374" i="4" s="1"/>
  <c r="AJ375" i="4" s="1"/>
  <c r="AJ376" i="4" s="1"/>
  <c r="AJ377" i="4" s="1"/>
  <c r="AJ378" i="4" s="1"/>
  <c r="AJ379" i="4" s="1"/>
  <c r="AJ380" i="4" s="1"/>
  <c r="AJ381" i="4" s="1"/>
  <c r="AJ382" i="4" s="1"/>
  <c r="AJ383" i="4" s="1"/>
  <c r="AJ384" i="4" s="1"/>
  <c r="AJ385" i="4" s="1"/>
  <c r="AJ386" i="4" s="1"/>
  <c r="AJ387" i="4" s="1"/>
  <c r="AJ388" i="4" s="1"/>
  <c r="AJ389" i="4" s="1"/>
  <c r="AJ390" i="4" s="1"/>
  <c r="AJ391" i="4" s="1"/>
  <c r="AJ392" i="4" s="1"/>
  <c r="AJ393" i="4" s="1"/>
  <c r="AJ394" i="4" s="1"/>
  <c r="AJ395" i="4" s="1"/>
  <c r="AJ396" i="4" s="1"/>
  <c r="AJ397" i="4" s="1"/>
  <c r="AJ398" i="4" s="1"/>
  <c r="AJ399" i="4" s="1"/>
  <c r="AJ400" i="4" s="1"/>
  <c r="AJ401" i="4" s="1"/>
  <c r="AJ402" i="4" s="1"/>
  <c r="AJ403" i="4" s="1"/>
  <c r="AJ404" i="4" s="1"/>
  <c r="AJ405" i="4" s="1"/>
  <c r="AJ406" i="4" s="1"/>
  <c r="AJ407" i="4" s="1"/>
  <c r="AJ408" i="4" s="1"/>
  <c r="AJ409" i="4" s="1"/>
  <c r="AJ410" i="4" s="1"/>
  <c r="AJ411" i="4" s="1"/>
  <c r="AJ412" i="4" s="1"/>
  <c r="AJ413" i="4" s="1"/>
  <c r="AJ414" i="4" s="1"/>
  <c r="AJ415" i="4" s="1"/>
  <c r="AJ416" i="4" s="1"/>
  <c r="AJ417" i="4" s="1"/>
  <c r="AJ418" i="4" s="1"/>
  <c r="AJ419" i="4" s="1"/>
  <c r="AJ420" i="4" s="1"/>
  <c r="AJ421" i="4" s="1"/>
  <c r="AJ422" i="4" s="1"/>
  <c r="AJ423" i="4" s="1"/>
  <c r="AJ424" i="4" s="1"/>
  <c r="AJ425" i="4" s="1"/>
  <c r="AJ426" i="4" s="1"/>
  <c r="AJ427" i="4" s="1"/>
  <c r="AJ428" i="4" s="1"/>
  <c r="AJ429" i="4" s="1"/>
  <c r="AJ430" i="4" s="1"/>
  <c r="AJ431" i="4" s="1"/>
  <c r="AJ432" i="4" s="1"/>
  <c r="AJ433" i="4" s="1"/>
  <c r="AJ434" i="4" s="1"/>
  <c r="AJ435" i="4" s="1"/>
  <c r="AJ436" i="4" s="1"/>
  <c r="AJ437" i="4" s="1"/>
  <c r="AJ438" i="4" s="1"/>
  <c r="AJ439" i="4" s="1"/>
  <c r="AJ440" i="4" s="1"/>
  <c r="AJ441" i="4" s="1"/>
  <c r="AJ442" i="4" s="1"/>
  <c r="AJ443" i="4" s="1"/>
  <c r="AJ444" i="4" s="1"/>
  <c r="AJ445" i="4" s="1"/>
  <c r="AJ446" i="4" s="1"/>
  <c r="AJ447" i="4" s="1"/>
  <c r="AJ448" i="4" s="1"/>
  <c r="AJ449" i="4" s="1"/>
  <c r="AJ450" i="4" s="1"/>
  <c r="AJ451" i="4" s="1"/>
  <c r="AJ452" i="4" s="1"/>
  <c r="AJ453" i="4" s="1"/>
  <c r="AJ454" i="4" s="1"/>
  <c r="AJ455" i="4" s="1"/>
  <c r="AJ456" i="4" s="1"/>
  <c r="AJ457" i="4" s="1"/>
  <c r="AJ458" i="4" s="1"/>
  <c r="AJ459" i="4" s="1"/>
  <c r="AJ460" i="4" s="1"/>
  <c r="AJ461" i="4" s="1"/>
  <c r="AJ462" i="4" s="1"/>
  <c r="AJ463" i="4" s="1"/>
  <c r="AJ464" i="4" s="1"/>
  <c r="AJ465" i="4" s="1"/>
  <c r="AJ466" i="4" s="1"/>
  <c r="AJ467" i="4" s="1"/>
  <c r="AJ468" i="4" s="1"/>
  <c r="AJ469" i="4" s="1"/>
  <c r="AJ470" i="4" s="1"/>
  <c r="AJ471" i="4" s="1"/>
  <c r="AJ472" i="4" s="1"/>
  <c r="AJ473" i="4" s="1"/>
  <c r="AJ474" i="4" s="1"/>
  <c r="AJ475" i="4" s="1"/>
  <c r="AJ476" i="4" s="1"/>
  <c r="AJ477" i="4" s="1"/>
  <c r="AJ478" i="4" s="1"/>
  <c r="AJ479" i="4" s="1"/>
  <c r="AJ480" i="4" s="1"/>
  <c r="AJ481" i="4" s="1"/>
  <c r="AJ482" i="4" s="1"/>
  <c r="AJ483" i="4" s="1"/>
  <c r="AJ484" i="4" s="1"/>
  <c r="AJ485" i="4" s="1"/>
  <c r="AJ486" i="4" s="1"/>
  <c r="AJ487" i="4" s="1"/>
  <c r="AJ488" i="4" s="1"/>
  <c r="AJ489" i="4" s="1"/>
  <c r="AJ490" i="4" s="1"/>
  <c r="AJ491" i="4" s="1"/>
  <c r="AJ492" i="4" s="1"/>
  <c r="AJ493" i="4" s="1"/>
  <c r="AJ494" i="4" s="1"/>
  <c r="AJ495" i="4" s="1"/>
  <c r="AJ496" i="4" s="1"/>
  <c r="AJ497" i="4" s="1"/>
  <c r="AJ498" i="4" s="1"/>
  <c r="AJ499" i="4" s="1"/>
  <c r="AJ500" i="4" s="1"/>
  <c r="AJ501" i="4" s="1"/>
  <c r="AJ502" i="4" s="1"/>
  <c r="AJ503" i="4" s="1"/>
  <c r="AJ504" i="4" s="1"/>
  <c r="AJ505" i="4" s="1"/>
  <c r="AJ506" i="4" s="1"/>
  <c r="AJ507" i="4" s="1"/>
  <c r="AJ508" i="4" s="1"/>
  <c r="AJ509" i="4" s="1"/>
  <c r="AJ510" i="4" s="1"/>
  <c r="AJ511" i="4" s="1"/>
  <c r="AJ512" i="4" s="1"/>
  <c r="AJ513" i="4" s="1"/>
  <c r="AJ514" i="4" s="1"/>
  <c r="AJ515" i="4" s="1"/>
  <c r="AJ516" i="4" s="1"/>
  <c r="AJ517" i="4" s="1"/>
  <c r="AJ518" i="4" s="1"/>
  <c r="AJ519" i="4" s="1"/>
  <c r="AJ520" i="4" s="1"/>
  <c r="AJ521" i="4" s="1"/>
  <c r="AJ522" i="4" s="1"/>
  <c r="AJ523" i="4" s="1"/>
  <c r="AJ524" i="4" s="1"/>
  <c r="AJ525" i="4" s="1"/>
  <c r="AJ526" i="4" s="1"/>
  <c r="AJ527" i="4" s="1"/>
  <c r="AJ528" i="4" s="1"/>
  <c r="AJ529" i="4" s="1"/>
  <c r="AJ530" i="4" s="1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L317" i="4" s="1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AG302" i="4"/>
  <c r="B302" i="4"/>
  <c r="AG301" i="4"/>
  <c r="B301" i="4"/>
  <c r="AS300" i="4"/>
  <c r="AS301" i="4" s="1"/>
  <c r="AS302" i="4" s="1"/>
  <c r="AS303" i="4" s="1"/>
  <c r="AS304" i="4" s="1"/>
  <c r="AS305" i="4" s="1"/>
  <c r="AS306" i="4" s="1"/>
  <c r="AS307" i="4" s="1"/>
  <c r="AS308" i="4" s="1"/>
  <c r="AS309" i="4" s="1"/>
  <c r="AS310" i="4" s="1"/>
  <c r="AS311" i="4" s="1"/>
  <c r="AS312" i="4" s="1"/>
  <c r="AS313" i="4" s="1"/>
  <c r="AS314" i="4" s="1"/>
  <c r="AS315" i="4" s="1"/>
  <c r="AS316" i="4" s="1"/>
  <c r="AS317" i="4" s="1"/>
  <c r="AS318" i="4" s="1"/>
  <c r="AS319" i="4" s="1"/>
  <c r="AS320" i="4" s="1"/>
  <c r="AS321" i="4" s="1"/>
  <c r="AS322" i="4" s="1"/>
  <c r="AS323" i="4" s="1"/>
  <c r="AS324" i="4" s="1"/>
  <c r="AS325" i="4" s="1"/>
  <c r="AS326" i="4" s="1"/>
  <c r="AS327" i="4" s="1"/>
  <c r="AS328" i="4" s="1"/>
  <c r="AS329" i="4" s="1"/>
  <c r="AS330" i="4" s="1"/>
  <c r="AS331" i="4" s="1"/>
  <c r="AS332" i="4" s="1"/>
  <c r="AS333" i="4" s="1"/>
  <c r="AS334" i="4" s="1"/>
  <c r="AS335" i="4" s="1"/>
  <c r="AS336" i="4" s="1"/>
  <c r="AS337" i="4" s="1"/>
  <c r="AS338" i="4" s="1"/>
  <c r="AS339" i="4" s="1"/>
  <c r="AS340" i="4" s="1"/>
  <c r="AS341" i="4" s="1"/>
  <c r="AS342" i="4" s="1"/>
  <c r="AS343" i="4" s="1"/>
  <c r="AS344" i="4" s="1"/>
  <c r="AS345" i="4" s="1"/>
  <c r="AS346" i="4" s="1"/>
  <c r="AS347" i="4" s="1"/>
  <c r="AS348" i="4" s="1"/>
  <c r="AS349" i="4" s="1"/>
  <c r="AS350" i="4" s="1"/>
  <c r="AS351" i="4" s="1"/>
  <c r="AS352" i="4" s="1"/>
  <c r="AS353" i="4" s="1"/>
  <c r="AS354" i="4" s="1"/>
  <c r="AS355" i="4" s="1"/>
  <c r="AS356" i="4" s="1"/>
  <c r="AS357" i="4" s="1"/>
  <c r="AS358" i="4" s="1"/>
  <c r="AS359" i="4" s="1"/>
  <c r="AS360" i="4" s="1"/>
  <c r="AS361" i="4" s="1"/>
  <c r="AS362" i="4" s="1"/>
  <c r="AS363" i="4" s="1"/>
  <c r="AS364" i="4" s="1"/>
  <c r="AS365" i="4" s="1"/>
  <c r="AS366" i="4" s="1"/>
  <c r="AS367" i="4" s="1"/>
  <c r="AS368" i="4" s="1"/>
  <c r="AS369" i="4" s="1"/>
  <c r="AS370" i="4" s="1"/>
  <c r="AS371" i="4" s="1"/>
  <c r="AS372" i="4" s="1"/>
  <c r="AS373" i="4" s="1"/>
  <c r="AS374" i="4" s="1"/>
  <c r="AS375" i="4" s="1"/>
  <c r="AS376" i="4" s="1"/>
  <c r="AS377" i="4" s="1"/>
  <c r="AS378" i="4" s="1"/>
  <c r="AS379" i="4" s="1"/>
  <c r="AS380" i="4" s="1"/>
  <c r="AS381" i="4" s="1"/>
  <c r="AS382" i="4" s="1"/>
  <c r="AS383" i="4" s="1"/>
  <c r="AS384" i="4" s="1"/>
  <c r="AS385" i="4" s="1"/>
  <c r="AS386" i="4" s="1"/>
  <c r="AS387" i="4" s="1"/>
  <c r="AS388" i="4" s="1"/>
  <c r="AS389" i="4" s="1"/>
  <c r="AS390" i="4" s="1"/>
  <c r="AS391" i="4" s="1"/>
  <c r="AS392" i="4" s="1"/>
  <c r="AS393" i="4" s="1"/>
  <c r="AS394" i="4" s="1"/>
  <c r="AS395" i="4" s="1"/>
  <c r="AS396" i="4" s="1"/>
  <c r="AS397" i="4" s="1"/>
  <c r="AS398" i="4" s="1"/>
  <c r="AS399" i="4" s="1"/>
  <c r="AS400" i="4" s="1"/>
  <c r="AS401" i="4" s="1"/>
  <c r="AS402" i="4" s="1"/>
  <c r="AS403" i="4" s="1"/>
  <c r="AS404" i="4" s="1"/>
  <c r="AS405" i="4" s="1"/>
  <c r="AS406" i="4" s="1"/>
  <c r="AS407" i="4" s="1"/>
  <c r="AS408" i="4" s="1"/>
  <c r="AS409" i="4" s="1"/>
  <c r="AS410" i="4" s="1"/>
  <c r="AS411" i="4" s="1"/>
  <c r="AS412" i="4" s="1"/>
  <c r="AS413" i="4" s="1"/>
  <c r="AS414" i="4" s="1"/>
  <c r="AS415" i="4" s="1"/>
  <c r="AS416" i="4" s="1"/>
  <c r="AS417" i="4" s="1"/>
  <c r="AS418" i="4" s="1"/>
  <c r="AS419" i="4" s="1"/>
  <c r="AS420" i="4" s="1"/>
  <c r="AS421" i="4" s="1"/>
  <c r="AS422" i="4" s="1"/>
  <c r="AS423" i="4" s="1"/>
  <c r="AS424" i="4" s="1"/>
  <c r="AS425" i="4" s="1"/>
  <c r="AS426" i="4" s="1"/>
  <c r="AS427" i="4" s="1"/>
  <c r="AS428" i="4" s="1"/>
  <c r="AS429" i="4" s="1"/>
  <c r="AS430" i="4" s="1"/>
  <c r="AS431" i="4" s="1"/>
  <c r="AS432" i="4" s="1"/>
  <c r="AS433" i="4" s="1"/>
  <c r="AS434" i="4" s="1"/>
  <c r="AS435" i="4" s="1"/>
  <c r="AS436" i="4" s="1"/>
  <c r="AS437" i="4" s="1"/>
  <c r="AS438" i="4" s="1"/>
  <c r="AS439" i="4" s="1"/>
  <c r="AS440" i="4" s="1"/>
  <c r="AS441" i="4" s="1"/>
  <c r="AS442" i="4" s="1"/>
  <c r="AS443" i="4" s="1"/>
  <c r="AS444" i="4" s="1"/>
  <c r="AS445" i="4" s="1"/>
  <c r="AS446" i="4" s="1"/>
  <c r="AS447" i="4" s="1"/>
  <c r="AS448" i="4" s="1"/>
  <c r="AS449" i="4" s="1"/>
  <c r="AS450" i="4" s="1"/>
  <c r="AS451" i="4" s="1"/>
  <c r="AS452" i="4" s="1"/>
  <c r="AS453" i="4" s="1"/>
  <c r="AS454" i="4" s="1"/>
  <c r="AS455" i="4" s="1"/>
  <c r="AS456" i="4" s="1"/>
  <c r="AS457" i="4" s="1"/>
  <c r="AS458" i="4" s="1"/>
  <c r="AS459" i="4" s="1"/>
  <c r="AS460" i="4" s="1"/>
  <c r="AS461" i="4" s="1"/>
  <c r="AS462" i="4" s="1"/>
  <c r="AS463" i="4" s="1"/>
  <c r="AS464" i="4" s="1"/>
  <c r="AS465" i="4" s="1"/>
  <c r="AS466" i="4" s="1"/>
  <c r="AS467" i="4" s="1"/>
  <c r="AS468" i="4" s="1"/>
  <c r="AS469" i="4" s="1"/>
  <c r="AS470" i="4" s="1"/>
  <c r="AS471" i="4" s="1"/>
  <c r="AS472" i="4" s="1"/>
  <c r="AS473" i="4" s="1"/>
  <c r="AS474" i="4" s="1"/>
  <c r="AS475" i="4" s="1"/>
  <c r="AS476" i="4" s="1"/>
  <c r="AS477" i="4" s="1"/>
  <c r="AS478" i="4" s="1"/>
  <c r="AS479" i="4" s="1"/>
  <c r="AS480" i="4" s="1"/>
  <c r="AS481" i="4" s="1"/>
  <c r="AS482" i="4" s="1"/>
  <c r="AS483" i="4" s="1"/>
  <c r="AS484" i="4" s="1"/>
  <c r="AS485" i="4" s="1"/>
  <c r="AS486" i="4" s="1"/>
  <c r="AS487" i="4" s="1"/>
  <c r="AS488" i="4" s="1"/>
  <c r="AS489" i="4" s="1"/>
  <c r="AS490" i="4" s="1"/>
  <c r="AS491" i="4" s="1"/>
  <c r="AS492" i="4" s="1"/>
  <c r="AS493" i="4" s="1"/>
  <c r="AS494" i="4" s="1"/>
  <c r="AS495" i="4" s="1"/>
  <c r="AS496" i="4" s="1"/>
  <c r="AS497" i="4" s="1"/>
  <c r="AS498" i="4" s="1"/>
  <c r="AS499" i="4" s="1"/>
  <c r="AS500" i="4" s="1"/>
  <c r="AS501" i="4" s="1"/>
  <c r="AS502" i="4" s="1"/>
  <c r="AS503" i="4" s="1"/>
  <c r="AS504" i="4" s="1"/>
  <c r="AS505" i="4" s="1"/>
  <c r="AS506" i="4" s="1"/>
  <c r="AS507" i="4" s="1"/>
  <c r="AS508" i="4" s="1"/>
  <c r="AS509" i="4" s="1"/>
  <c r="AS510" i="4" s="1"/>
  <c r="AS511" i="4" s="1"/>
  <c r="AS512" i="4" s="1"/>
  <c r="AS513" i="4" s="1"/>
  <c r="AS514" i="4" s="1"/>
  <c r="AS515" i="4" s="1"/>
  <c r="AS516" i="4" s="1"/>
  <c r="AS517" i="4" s="1"/>
  <c r="AS518" i="4" s="1"/>
  <c r="AS519" i="4" s="1"/>
  <c r="AS520" i="4" s="1"/>
  <c r="AS521" i="4" s="1"/>
  <c r="AS522" i="4" s="1"/>
  <c r="AS523" i="4" s="1"/>
  <c r="AS524" i="4" s="1"/>
  <c r="AS525" i="4" s="1"/>
  <c r="AS526" i="4" s="1"/>
  <c r="AS527" i="4" s="1"/>
  <c r="AS528" i="4" s="1"/>
  <c r="AS529" i="4" s="1"/>
  <c r="AS530" i="4" s="1"/>
  <c r="AG300" i="4"/>
  <c r="B300" i="4"/>
  <c r="AG299" i="4"/>
  <c r="B299" i="4"/>
  <c r="AG298" i="4"/>
  <c r="B298" i="4"/>
  <c r="AG297" i="4"/>
  <c r="B297" i="4"/>
  <c r="K297" i="4" s="1"/>
  <c r="AG296" i="4"/>
  <c r="B296" i="4"/>
  <c r="AG295" i="4"/>
  <c r="B295" i="4"/>
  <c r="AG294" i="4"/>
  <c r="B294" i="4"/>
  <c r="AG293" i="4"/>
  <c r="B293" i="4"/>
  <c r="AG292" i="4"/>
  <c r="B292" i="4"/>
  <c r="AG291" i="4"/>
  <c r="B291" i="4"/>
  <c r="AG290" i="4"/>
  <c r="B290" i="4"/>
  <c r="AG289" i="4"/>
  <c r="B289" i="4"/>
  <c r="AG288" i="4"/>
  <c r="B288" i="4"/>
  <c r="AG287" i="4"/>
  <c r="B287" i="4"/>
  <c r="AG286" i="4"/>
  <c r="B286" i="4"/>
  <c r="AG285" i="4"/>
  <c r="B285" i="4"/>
  <c r="AG284" i="4"/>
  <c r="B284" i="4"/>
  <c r="AG283" i="4"/>
  <c r="B283" i="4"/>
  <c r="AG282" i="4"/>
  <c r="B282" i="4"/>
  <c r="AG281" i="4"/>
  <c r="B281" i="4"/>
  <c r="AG280" i="4"/>
  <c r="B280" i="4"/>
  <c r="AG279" i="4"/>
  <c r="B279" i="4"/>
  <c r="AG278" i="4"/>
  <c r="B278" i="4"/>
  <c r="AG277" i="4"/>
  <c r="B277" i="4"/>
  <c r="AG276" i="4"/>
  <c r="B276" i="4"/>
  <c r="AG275" i="4"/>
  <c r="B275" i="4"/>
  <c r="AG274" i="4"/>
  <c r="B274" i="4"/>
  <c r="AG273" i="4"/>
  <c r="B273" i="4"/>
  <c r="AG272" i="4"/>
  <c r="B272" i="4"/>
  <c r="AG271" i="4"/>
  <c r="B271" i="4"/>
  <c r="AG270" i="4"/>
  <c r="B270" i="4"/>
  <c r="AG269" i="4"/>
  <c r="B269" i="4"/>
  <c r="AG268" i="4"/>
  <c r="B268" i="4"/>
  <c r="AG267" i="4"/>
  <c r="B267" i="4"/>
  <c r="AG266" i="4"/>
  <c r="B266" i="4"/>
  <c r="AG265" i="4"/>
  <c r="B265" i="4"/>
  <c r="AG264" i="4"/>
  <c r="B264" i="4"/>
  <c r="AG263" i="4"/>
  <c r="B263" i="4"/>
  <c r="AG262" i="4"/>
  <c r="B262" i="4"/>
  <c r="AG261" i="4"/>
  <c r="B261" i="4"/>
  <c r="AG260" i="4"/>
  <c r="B260" i="4"/>
  <c r="AG259" i="4"/>
  <c r="B259" i="4"/>
  <c r="AG258" i="4"/>
  <c r="B258" i="4"/>
  <c r="AG257" i="4"/>
  <c r="B257" i="4"/>
  <c r="AG256" i="4"/>
  <c r="B256" i="4"/>
  <c r="AG255" i="4"/>
  <c r="B255" i="4"/>
  <c r="AG254" i="4"/>
  <c r="B254" i="4"/>
  <c r="AG253" i="4"/>
  <c r="B253" i="4"/>
  <c r="AG252" i="4"/>
  <c r="B252" i="4"/>
  <c r="AG251" i="4"/>
  <c r="B251" i="4"/>
  <c r="AG250" i="4"/>
  <c r="B250" i="4"/>
  <c r="AG249" i="4"/>
  <c r="B249" i="4"/>
  <c r="AG248" i="4"/>
  <c r="B248" i="4"/>
  <c r="AG247" i="4"/>
  <c r="B247" i="4"/>
  <c r="AG246" i="4"/>
  <c r="B246" i="4"/>
  <c r="AG245" i="4"/>
  <c r="B245" i="4"/>
  <c r="AG244" i="4"/>
  <c r="B244" i="4"/>
  <c r="AG243" i="4"/>
  <c r="B243" i="4"/>
  <c r="AG242" i="4"/>
  <c r="B242" i="4"/>
  <c r="AG241" i="4"/>
  <c r="B241" i="4"/>
  <c r="AG240" i="4"/>
  <c r="B240" i="4"/>
  <c r="AG239" i="4"/>
  <c r="B239" i="4"/>
  <c r="AG238" i="4"/>
  <c r="B238" i="4"/>
  <c r="AG237" i="4"/>
  <c r="B237" i="4"/>
  <c r="AG236" i="4"/>
  <c r="B236" i="4"/>
  <c r="AG235" i="4"/>
  <c r="B235" i="4"/>
  <c r="AG234" i="4"/>
  <c r="B234" i="4"/>
  <c r="AG233" i="4"/>
  <c r="B233" i="4"/>
  <c r="AG232" i="4"/>
  <c r="B232" i="4"/>
  <c r="AG231" i="4"/>
  <c r="B231" i="4"/>
  <c r="AG230" i="4"/>
  <c r="B230" i="4"/>
  <c r="AG229" i="4"/>
  <c r="B229" i="4"/>
  <c r="AG228" i="4"/>
  <c r="B228" i="4"/>
  <c r="AG227" i="4"/>
  <c r="B227" i="4"/>
  <c r="AG226" i="4"/>
  <c r="B226" i="4"/>
  <c r="AG225" i="4"/>
  <c r="B225" i="4"/>
  <c r="AG224" i="4"/>
  <c r="B224" i="4"/>
  <c r="AG223" i="4"/>
  <c r="B223" i="4"/>
  <c r="AG222" i="4"/>
  <c r="B222" i="4"/>
  <c r="AG221" i="4"/>
  <c r="B221" i="4"/>
  <c r="AG220" i="4"/>
  <c r="B220" i="4"/>
  <c r="AG219" i="4"/>
  <c r="B219" i="4"/>
  <c r="AG218" i="4"/>
  <c r="B218" i="4"/>
  <c r="AG217" i="4"/>
  <c r="B217" i="4"/>
  <c r="AG216" i="4"/>
  <c r="B216" i="4"/>
  <c r="AG215" i="4"/>
  <c r="B215" i="4"/>
  <c r="AG214" i="4"/>
  <c r="B214" i="4"/>
  <c r="AG213" i="4"/>
  <c r="B213" i="4"/>
  <c r="AG212" i="4"/>
  <c r="B212" i="4"/>
  <c r="AG211" i="4"/>
  <c r="B211" i="4"/>
  <c r="AG210" i="4"/>
  <c r="B210" i="4"/>
  <c r="AG209" i="4"/>
  <c r="B209" i="4"/>
  <c r="AG208" i="4"/>
  <c r="B208" i="4"/>
  <c r="AG207" i="4"/>
  <c r="B207" i="4"/>
  <c r="AG206" i="4"/>
  <c r="B206" i="4"/>
  <c r="AG205" i="4"/>
  <c r="B205" i="4"/>
  <c r="AG204" i="4"/>
  <c r="B204" i="4"/>
  <c r="AG203" i="4"/>
  <c r="B203" i="4"/>
  <c r="AG202" i="4"/>
  <c r="B202" i="4"/>
  <c r="AG201" i="4"/>
  <c r="B201" i="4"/>
  <c r="AG200" i="4"/>
  <c r="B200" i="4"/>
  <c r="AG199" i="4"/>
  <c r="B199" i="4"/>
  <c r="AG198" i="4"/>
  <c r="B198" i="4"/>
  <c r="AG197" i="4"/>
  <c r="B197" i="4"/>
  <c r="AG196" i="4"/>
  <c r="B196" i="4"/>
  <c r="AG195" i="4"/>
  <c r="B195" i="4"/>
  <c r="AG194" i="4"/>
  <c r="B194" i="4"/>
  <c r="AG193" i="4"/>
  <c r="B193" i="4"/>
  <c r="AG192" i="4"/>
  <c r="B192" i="4"/>
  <c r="AG191" i="4"/>
  <c r="B191" i="4"/>
  <c r="AG190" i="4"/>
  <c r="B190" i="4"/>
  <c r="AG189" i="4"/>
  <c r="B189" i="4"/>
  <c r="AG188" i="4"/>
  <c r="B188" i="4"/>
  <c r="AG187" i="4"/>
  <c r="B187" i="4"/>
  <c r="AG186" i="4"/>
  <c r="B186" i="4"/>
  <c r="AG185" i="4"/>
  <c r="B185" i="4"/>
  <c r="AG184" i="4"/>
  <c r="B184" i="4"/>
  <c r="AG183" i="4"/>
  <c r="B183" i="4"/>
  <c r="AG182" i="4"/>
  <c r="B182" i="4"/>
  <c r="AG181" i="4"/>
  <c r="B181" i="4"/>
  <c r="AG180" i="4"/>
  <c r="B180" i="4"/>
  <c r="AG179" i="4"/>
  <c r="B179" i="4"/>
  <c r="AG178" i="4"/>
  <c r="B178" i="4"/>
  <c r="AG177" i="4"/>
  <c r="B177" i="4"/>
  <c r="AG176" i="4"/>
  <c r="B176" i="4"/>
  <c r="AG175" i="4"/>
  <c r="B175" i="4"/>
  <c r="AG174" i="4"/>
  <c r="B174" i="4"/>
  <c r="AG173" i="4"/>
  <c r="B173" i="4"/>
  <c r="AG172" i="4"/>
  <c r="B172" i="4"/>
  <c r="AG171" i="4"/>
  <c r="B171" i="4"/>
  <c r="AG170" i="4"/>
  <c r="B170" i="4"/>
  <c r="AG169" i="4"/>
  <c r="B169" i="4"/>
  <c r="AG168" i="4"/>
  <c r="B168" i="4"/>
  <c r="AG167" i="4"/>
  <c r="B167" i="4"/>
  <c r="AG166" i="4"/>
  <c r="B166" i="4"/>
  <c r="AG165" i="4"/>
  <c r="B165" i="4"/>
  <c r="AG164" i="4"/>
  <c r="B164" i="4"/>
  <c r="AG163" i="4"/>
  <c r="B163" i="4"/>
  <c r="AG162" i="4"/>
  <c r="B162" i="4"/>
  <c r="AG161" i="4"/>
  <c r="B161" i="4"/>
  <c r="AG160" i="4"/>
  <c r="B160" i="4"/>
  <c r="AG159" i="4"/>
  <c r="B159" i="4"/>
  <c r="AG158" i="4"/>
  <c r="B158" i="4"/>
  <c r="AG157" i="4"/>
  <c r="B157" i="4"/>
  <c r="AG156" i="4"/>
  <c r="B156" i="4"/>
  <c r="AG155" i="4"/>
  <c r="B155" i="4"/>
  <c r="AG154" i="4"/>
  <c r="B154" i="4"/>
  <c r="AG153" i="4"/>
  <c r="B153" i="4"/>
  <c r="AG152" i="4"/>
  <c r="B152" i="4"/>
  <c r="AG151" i="4"/>
  <c r="B151" i="4"/>
  <c r="AG150" i="4"/>
  <c r="B150" i="4"/>
  <c r="AG149" i="4"/>
  <c r="B149" i="4"/>
  <c r="AG148" i="4"/>
  <c r="B148" i="4"/>
  <c r="AG147" i="4"/>
  <c r="B147" i="4"/>
  <c r="AG146" i="4"/>
  <c r="B146" i="4"/>
  <c r="AG145" i="4"/>
  <c r="B145" i="4"/>
  <c r="AG144" i="4"/>
  <c r="B144" i="4"/>
  <c r="AG143" i="4"/>
  <c r="B143" i="4"/>
  <c r="AG142" i="4"/>
  <c r="B142" i="4"/>
  <c r="AG141" i="4"/>
  <c r="B141" i="4"/>
  <c r="AG140" i="4"/>
  <c r="B140" i="4"/>
  <c r="AG139" i="4"/>
  <c r="B139" i="4"/>
  <c r="AG138" i="4"/>
  <c r="B138" i="4"/>
  <c r="AG137" i="4"/>
  <c r="B137" i="4"/>
  <c r="AG136" i="4"/>
  <c r="B136" i="4"/>
  <c r="AG135" i="4"/>
  <c r="B135" i="4"/>
  <c r="AG134" i="4"/>
  <c r="B134" i="4"/>
  <c r="AG133" i="4"/>
  <c r="B133" i="4"/>
  <c r="AG132" i="4"/>
  <c r="B132" i="4"/>
  <c r="AG131" i="4"/>
  <c r="B131" i="4"/>
  <c r="AG130" i="4"/>
  <c r="B130" i="4"/>
  <c r="AG129" i="4"/>
  <c r="B129" i="4"/>
  <c r="AG128" i="4"/>
  <c r="B128" i="4"/>
  <c r="AG127" i="4"/>
  <c r="B127" i="4"/>
  <c r="AG126" i="4"/>
  <c r="B126" i="4"/>
  <c r="J126" i="4" s="1"/>
  <c r="AG125" i="4"/>
  <c r="B125" i="4"/>
  <c r="AG124" i="4"/>
  <c r="B124" i="4"/>
  <c r="AG123" i="4"/>
  <c r="B123" i="4"/>
  <c r="AG122" i="4"/>
  <c r="B122" i="4"/>
  <c r="AG121" i="4"/>
  <c r="B121" i="4"/>
  <c r="AG120" i="4"/>
  <c r="B120" i="4"/>
  <c r="AG119" i="4"/>
  <c r="B119" i="4"/>
  <c r="AG118" i="4"/>
  <c r="B118" i="4"/>
  <c r="AG117" i="4"/>
  <c r="B117" i="4"/>
  <c r="AG116" i="4"/>
  <c r="B116" i="4"/>
  <c r="AG115" i="4"/>
  <c r="B115" i="4"/>
  <c r="AG114" i="4"/>
  <c r="B114" i="4"/>
  <c r="AG113" i="4"/>
  <c r="B113" i="4"/>
  <c r="AG112" i="4"/>
  <c r="B112" i="4"/>
  <c r="AG111" i="4"/>
  <c r="B111" i="4"/>
  <c r="AG110" i="4"/>
  <c r="B110" i="4"/>
  <c r="AG109" i="4"/>
  <c r="B109" i="4"/>
  <c r="AG108" i="4"/>
  <c r="B108" i="4"/>
  <c r="AG107" i="4"/>
  <c r="B107" i="4"/>
  <c r="AG106" i="4"/>
  <c r="B106" i="4"/>
  <c r="AG105" i="4"/>
  <c r="B105" i="4"/>
  <c r="AG104" i="4"/>
  <c r="B104" i="4"/>
  <c r="AG103" i="4"/>
  <c r="B103" i="4"/>
  <c r="AG102" i="4"/>
  <c r="B102" i="4"/>
  <c r="AG101" i="4"/>
  <c r="B101" i="4"/>
  <c r="AG100" i="4"/>
  <c r="B100" i="4"/>
  <c r="AG99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I73" i="4" s="1"/>
  <c r="AI72" i="4"/>
  <c r="AZ72" i="4" s="1"/>
  <c r="B72" i="4"/>
  <c r="AI71" i="4"/>
  <c r="AZ71" i="4" s="1"/>
  <c r="B71" i="4"/>
  <c r="AI70" i="4"/>
  <c r="AZ70" i="4" s="1"/>
  <c r="B70" i="4"/>
  <c r="AI69" i="4"/>
  <c r="AZ69" i="4" s="1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T43" i="4" s="1"/>
  <c r="AZ42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D29" i="4" s="1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AF11" i="4" s="1"/>
  <c r="B10" i="4"/>
  <c r="AZ9" i="4"/>
  <c r="B9" i="4"/>
  <c r="P9" i="4" s="1"/>
  <c r="B8" i="4"/>
  <c r="B7" i="4"/>
  <c r="B6" i="4"/>
  <c r="B5" i="4"/>
  <c r="BA4" i="4"/>
  <c r="BA5" i="4" s="1"/>
  <c r="B4" i="4"/>
  <c r="BL3" i="4"/>
  <c r="BK3" i="4"/>
  <c r="BJ3" i="4"/>
  <c r="BB3" i="4"/>
  <c r="B3" i="4"/>
  <c r="Q545" i="4" l="1"/>
  <c r="BB544" i="4"/>
  <c r="BE543" i="4"/>
  <c r="G115" i="17"/>
  <c r="J114" i="17"/>
  <c r="O479" i="16"/>
  <c r="F480" i="16"/>
  <c r="R478" i="16"/>
  <c r="O6" i="16"/>
  <c r="S4" i="16"/>
  <c r="T4" i="16"/>
  <c r="W4" i="16"/>
  <c r="Y4" i="16"/>
  <c r="X4" i="16"/>
  <c r="R11" i="16"/>
  <c r="R5" i="16"/>
  <c r="U5" i="16"/>
  <c r="V5" i="16" s="1"/>
  <c r="O12" i="16"/>
  <c r="R44" i="16"/>
  <c r="O45" i="16"/>
  <c r="C46" i="16"/>
  <c r="AB379" i="4"/>
  <c r="AB380" i="4" s="1"/>
  <c r="AB381" i="4" s="1"/>
  <c r="AB382" i="4" s="1"/>
  <c r="AB383" i="4" s="1"/>
  <c r="AB384" i="4" s="1"/>
  <c r="AB385" i="4" s="1"/>
  <c r="AB386" i="4" s="1"/>
  <c r="AB387" i="4" s="1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B410" i="4" s="1"/>
  <c r="AB411" i="4" s="1"/>
  <c r="AB412" i="4" s="1"/>
  <c r="AB413" i="4" s="1"/>
  <c r="AB414" i="4" s="1"/>
  <c r="AB415" i="4" s="1"/>
  <c r="AB416" i="4" s="1"/>
  <c r="AB417" i="4" s="1"/>
  <c r="AB418" i="4" s="1"/>
  <c r="AB419" i="4" s="1"/>
  <c r="AB420" i="4" s="1"/>
  <c r="AB421" i="4" s="1"/>
  <c r="AB422" i="4" s="1"/>
  <c r="AB423" i="4" s="1"/>
  <c r="AB424" i="4" s="1"/>
  <c r="AB425" i="4" s="1"/>
  <c r="AB426" i="4" s="1"/>
  <c r="AB427" i="4" s="1"/>
  <c r="AB428" i="4" s="1"/>
  <c r="AB429" i="4" s="1"/>
  <c r="AB430" i="4" s="1"/>
  <c r="AB431" i="4" s="1"/>
  <c r="AB432" i="4" s="1"/>
  <c r="AB433" i="4" s="1"/>
  <c r="AB434" i="4" s="1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AB457" i="4" s="1"/>
  <c r="AB458" i="4" s="1"/>
  <c r="AB459" i="4" s="1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J127" i="4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U297" i="4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U338" i="4" s="1"/>
  <c r="U339" i="4" s="1"/>
  <c r="U340" i="4" s="1"/>
  <c r="U341" i="4" s="1"/>
  <c r="U342" i="4" s="1"/>
  <c r="U343" i="4" s="1"/>
  <c r="U344" i="4" s="1"/>
  <c r="U345" i="4" s="1"/>
  <c r="U346" i="4" s="1"/>
  <c r="U347" i="4" s="1"/>
  <c r="U348" i="4" s="1"/>
  <c r="U349" i="4" s="1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U360" i="4" s="1"/>
  <c r="U361" i="4" s="1"/>
  <c r="U362" i="4" s="1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U385" i="4" s="1"/>
  <c r="U386" i="4" s="1"/>
  <c r="U387" i="4" s="1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U410" i="4" s="1"/>
  <c r="U411" i="4" s="1"/>
  <c r="U412" i="4" s="1"/>
  <c r="U413" i="4" s="1"/>
  <c r="U414" i="4" s="1"/>
  <c r="U415" i="4" s="1"/>
  <c r="U416" i="4" s="1"/>
  <c r="U417" i="4" s="1"/>
  <c r="U418" i="4" s="1"/>
  <c r="U419" i="4" s="1"/>
  <c r="U420" i="4" s="1"/>
  <c r="U421" i="4" s="1"/>
  <c r="U422" i="4" s="1"/>
  <c r="U423" i="4" s="1"/>
  <c r="U424" i="4" s="1"/>
  <c r="U425" i="4" s="1"/>
  <c r="U426" i="4" s="1"/>
  <c r="U427" i="4" s="1"/>
  <c r="U428" i="4" s="1"/>
  <c r="U429" i="4" s="1"/>
  <c r="U430" i="4" s="1"/>
  <c r="U431" i="4" s="1"/>
  <c r="U432" i="4" s="1"/>
  <c r="U433" i="4" s="1"/>
  <c r="U434" i="4" s="1"/>
  <c r="U435" i="4" s="1"/>
  <c r="U436" i="4" s="1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U457" i="4" s="1"/>
  <c r="U458" i="4" s="1"/>
  <c r="U459" i="4" s="1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U482" i="4" s="1"/>
  <c r="U483" i="4" s="1"/>
  <c r="U484" i="4" s="1"/>
  <c r="U485" i="4" s="1"/>
  <c r="U486" i="4" s="1"/>
  <c r="U487" i="4" s="1"/>
  <c r="U488" i="4" s="1"/>
  <c r="U489" i="4" s="1"/>
  <c r="U490" i="4" s="1"/>
  <c r="U491" i="4" s="1"/>
  <c r="U492" i="4" s="1"/>
  <c r="U493" i="4" s="1"/>
  <c r="U494" i="4" s="1"/>
  <c r="U495" i="4" s="1"/>
  <c r="U496" i="4" s="1"/>
  <c r="U497" i="4" s="1"/>
  <c r="U498" i="4" s="1"/>
  <c r="U499" i="4" s="1"/>
  <c r="U500" i="4" s="1"/>
  <c r="U501" i="4" s="1"/>
  <c r="U502" i="4" s="1"/>
  <c r="U503" i="4" s="1"/>
  <c r="U504" i="4" s="1"/>
  <c r="U505" i="4" s="1"/>
  <c r="U506" i="4" s="1"/>
  <c r="U507" i="4" s="1"/>
  <c r="U508" i="4" s="1"/>
  <c r="U509" i="4" s="1"/>
  <c r="U510" i="4" s="1"/>
  <c r="U511" i="4" s="1"/>
  <c r="U512" i="4" s="1"/>
  <c r="U513" i="4" s="1"/>
  <c r="U514" i="4" s="1"/>
  <c r="U515" i="4" s="1"/>
  <c r="U516" i="4" s="1"/>
  <c r="U517" i="4" s="1"/>
  <c r="U518" i="4" s="1"/>
  <c r="U519" i="4" s="1"/>
  <c r="U520" i="4" s="1"/>
  <c r="U521" i="4" s="1"/>
  <c r="U522" i="4" s="1"/>
  <c r="U523" i="4" s="1"/>
  <c r="U524" i="4" s="1"/>
  <c r="U525" i="4" s="1"/>
  <c r="U526" i="4" s="1"/>
  <c r="U527" i="4" s="1"/>
  <c r="U528" i="4" s="1"/>
  <c r="U529" i="4" s="1"/>
  <c r="U530" i="4" s="1"/>
  <c r="U531" i="4" s="1"/>
  <c r="U532" i="4" s="1"/>
  <c r="U533" i="4" s="1"/>
  <c r="U534" i="4" s="1"/>
  <c r="U535" i="4" s="1"/>
  <c r="U536" i="4" s="1"/>
  <c r="U537" i="4" s="1"/>
  <c r="U538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355" i="4" s="1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87" i="4" s="1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419" i="4" s="1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83" i="4" s="1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K298" i="4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V377" i="4"/>
  <c r="V378" i="4" s="1"/>
  <c r="V379" i="4" s="1"/>
  <c r="V380" i="4" s="1"/>
  <c r="AF12" i="4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AF266" i="4" s="1"/>
  <c r="AF267" i="4" s="1"/>
  <c r="AF268" i="4" s="1"/>
  <c r="AF269" i="4" s="1"/>
  <c r="AF270" i="4" s="1"/>
  <c r="AF271" i="4" s="1"/>
  <c r="AF272" i="4" s="1"/>
  <c r="AF273" i="4" s="1"/>
  <c r="AF274" i="4" s="1"/>
  <c r="AF275" i="4" s="1"/>
  <c r="AF276" i="4" s="1"/>
  <c r="AF277" i="4" s="1"/>
  <c r="AF278" i="4" s="1"/>
  <c r="AF279" i="4" s="1"/>
  <c r="AF280" i="4" s="1"/>
  <c r="AF281" i="4" s="1"/>
  <c r="AF282" i="4" s="1"/>
  <c r="AF283" i="4" s="1"/>
  <c r="AF284" i="4" s="1"/>
  <c r="AF285" i="4" s="1"/>
  <c r="AF286" i="4" s="1"/>
  <c r="AF287" i="4" s="1"/>
  <c r="AF288" i="4" s="1"/>
  <c r="AF289" i="4" s="1"/>
  <c r="AF290" i="4" s="1"/>
  <c r="AF291" i="4" s="1"/>
  <c r="AF292" i="4" s="1"/>
  <c r="AF293" i="4" s="1"/>
  <c r="AF294" i="4" s="1"/>
  <c r="AF295" i="4" s="1"/>
  <c r="AF296" i="4" s="1"/>
  <c r="AF297" i="4" s="1"/>
  <c r="AF298" i="4" s="1"/>
  <c r="AF299" i="4" s="1"/>
  <c r="AF300" i="4" s="1"/>
  <c r="AF301" i="4" s="1"/>
  <c r="AF302" i="4" s="1"/>
  <c r="AF303" i="4" s="1"/>
  <c r="AF304" i="4" s="1"/>
  <c r="AF305" i="4" s="1"/>
  <c r="AF306" i="4" s="1"/>
  <c r="AF307" i="4" s="1"/>
  <c r="AF308" i="4" s="1"/>
  <c r="AF309" i="4" s="1"/>
  <c r="AF310" i="4" s="1"/>
  <c r="AF311" i="4" s="1"/>
  <c r="AF312" i="4" s="1"/>
  <c r="AF313" i="4" s="1"/>
  <c r="AF314" i="4" s="1"/>
  <c r="AF315" i="4" s="1"/>
  <c r="AF316" i="4" s="1"/>
  <c r="AF317" i="4" s="1"/>
  <c r="AF318" i="4" s="1"/>
  <c r="AF319" i="4" s="1"/>
  <c r="AF320" i="4" s="1"/>
  <c r="AF321" i="4" s="1"/>
  <c r="AF322" i="4" s="1"/>
  <c r="AF323" i="4" s="1"/>
  <c r="AF324" i="4" s="1"/>
  <c r="AF325" i="4" s="1"/>
  <c r="AF326" i="4" s="1"/>
  <c r="AF327" i="4" s="1"/>
  <c r="AF328" i="4" s="1"/>
  <c r="AF329" i="4" s="1"/>
  <c r="AF330" i="4" s="1"/>
  <c r="AF331" i="4" s="1"/>
  <c r="AF332" i="4" s="1"/>
  <c r="AF333" i="4" s="1"/>
  <c r="AF334" i="4" s="1"/>
  <c r="AF335" i="4" s="1"/>
  <c r="AF336" i="4" s="1"/>
  <c r="AF337" i="4" s="1"/>
  <c r="AF338" i="4" s="1"/>
  <c r="AF339" i="4" s="1"/>
  <c r="AF340" i="4" s="1"/>
  <c r="AF341" i="4" s="1"/>
  <c r="AF342" i="4" s="1"/>
  <c r="AF343" i="4" s="1"/>
  <c r="AF344" i="4" s="1"/>
  <c r="AF345" i="4" s="1"/>
  <c r="AF346" i="4" s="1"/>
  <c r="AF347" i="4" s="1"/>
  <c r="AF348" i="4" s="1"/>
  <c r="AF349" i="4" s="1"/>
  <c r="AF350" i="4" s="1"/>
  <c r="AF351" i="4" s="1"/>
  <c r="AF352" i="4" s="1"/>
  <c r="AF353" i="4" s="1"/>
  <c r="AF354" i="4" s="1"/>
  <c r="AF355" i="4" s="1"/>
  <c r="AF356" i="4" s="1"/>
  <c r="AF357" i="4" s="1"/>
  <c r="AF358" i="4" s="1"/>
  <c r="AF359" i="4" s="1"/>
  <c r="AF360" i="4" s="1"/>
  <c r="AF361" i="4" s="1"/>
  <c r="AF362" i="4" s="1"/>
  <c r="AF363" i="4" s="1"/>
  <c r="AF364" i="4" s="1"/>
  <c r="AF365" i="4" s="1"/>
  <c r="AF366" i="4" s="1"/>
  <c r="AF367" i="4" s="1"/>
  <c r="AF368" i="4" s="1"/>
  <c r="AF369" i="4" s="1"/>
  <c r="AF370" i="4" s="1"/>
  <c r="AF371" i="4" s="1"/>
  <c r="AF372" i="4" s="1"/>
  <c r="AF373" i="4" s="1"/>
  <c r="AF374" i="4" s="1"/>
  <c r="AF375" i="4" s="1"/>
  <c r="AF376" i="4" s="1"/>
  <c r="AF377" i="4" s="1"/>
  <c r="AF378" i="4" s="1"/>
  <c r="AF379" i="4" s="1"/>
  <c r="AF380" i="4" s="1"/>
  <c r="AF381" i="4" s="1"/>
  <c r="AF382" i="4" s="1"/>
  <c r="AF383" i="4" s="1"/>
  <c r="AF384" i="4" s="1"/>
  <c r="AF385" i="4" s="1"/>
  <c r="AF386" i="4" s="1"/>
  <c r="AF387" i="4" s="1"/>
  <c r="AF388" i="4" s="1"/>
  <c r="AF389" i="4" s="1"/>
  <c r="AF390" i="4" s="1"/>
  <c r="AF391" i="4" s="1"/>
  <c r="AF392" i="4" s="1"/>
  <c r="AF393" i="4" s="1"/>
  <c r="AF394" i="4" s="1"/>
  <c r="AF395" i="4" s="1"/>
  <c r="AF396" i="4" s="1"/>
  <c r="AF397" i="4" s="1"/>
  <c r="AF398" i="4" s="1"/>
  <c r="AF399" i="4" s="1"/>
  <c r="AF400" i="4" s="1"/>
  <c r="AF401" i="4" s="1"/>
  <c r="AF402" i="4" s="1"/>
  <c r="AF403" i="4" s="1"/>
  <c r="AF404" i="4" s="1"/>
  <c r="AF405" i="4" s="1"/>
  <c r="AF406" i="4" s="1"/>
  <c r="AF407" i="4" s="1"/>
  <c r="AF408" i="4" s="1"/>
  <c r="AF409" i="4" s="1"/>
  <c r="AF410" i="4" s="1"/>
  <c r="AF411" i="4" s="1"/>
  <c r="AF412" i="4" s="1"/>
  <c r="AF413" i="4" s="1"/>
  <c r="AF414" i="4" s="1"/>
  <c r="AF415" i="4" s="1"/>
  <c r="AF416" i="4" s="1"/>
  <c r="AF417" i="4" s="1"/>
  <c r="AF418" i="4" s="1"/>
  <c r="AF419" i="4" s="1"/>
  <c r="AF420" i="4" s="1"/>
  <c r="AF421" i="4" s="1"/>
  <c r="AF422" i="4" s="1"/>
  <c r="AF423" i="4" s="1"/>
  <c r="AF424" i="4" s="1"/>
  <c r="AF425" i="4" s="1"/>
  <c r="AF426" i="4" s="1"/>
  <c r="AF427" i="4" s="1"/>
  <c r="AF428" i="4" s="1"/>
  <c r="AF429" i="4" s="1"/>
  <c r="AF430" i="4" s="1"/>
  <c r="AF431" i="4" s="1"/>
  <c r="AF432" i="4" s="1"/>
  <c r="AF433" i="4" s="1"/>
  <c r="AF434" i="4" s="1"/>
  <c r="AF435" i="4" s="1"/>
  <c r="AF436" i="4" s="1"/>
  <c r="AF437" i="4" s="1"/>
  <c r="AF438" i="4" s="1"/>
  <c r="AF439" i="4" s="1"/>
  <c r="AF440" i="4" s="1"/>
  <c r="AF441" i="4" s="1"/>
  <c r="AF442" i="4" s="1"/>
  <c r="AF443" i="4" s="1"/>
  <c r="AF444" i="4" s="1"/>
  <c r="AF445" i="4" s="1"/>
  <c r="AF446" i="4" s="1"/>
  <c r="AF447" i="4" s="1"/>
  <c r="AF448" i="4" s="1"/>
  <c r="AF449" i="4" s="1"/>
  <c r="AF450" i="4" s="1"/>
  <c r="AF451" i="4" s="1"/>
  <c r="AF452" i="4" s="1"/>
  <c r="AF453" i="4" s="1"/>
  <c r="AF454" i="4" s="1"/>
  <c r="AF455" i="4" s="1"/>
  <c r="AF456" i="4" s="1"/>
  <c r="AF457" i="4" s="1"/>
  <c r="AF458" i="4" s="1"/>
  <c r="AF459" i="4" s="1"/>
  <c r="AF460" i="4" s="1"/>
  <c r="AF461" i="4" s="1"/>
  <c r="AF462" i="4" s="1"/>
  <c r="AF463" i="4" s="1"/>
  <c r="AF464" i="4" s="1"/>
  <c r="AF465" i="4" s="1"/>
  <c r="AF466" i="4" s="1"/>
  <c r="AF467" i="4" s="1"/>
  <c r="AF468" i="4" s="1"/>
  <c r="AF469" i="4" s="1"/>
  <c r="AF470" i="4" s="1"/>
  <c r="AF471" i="4" s="1"/>
  <c r="AF472" i="4" s="1"/>
  <c r="AF473" i="4" s="1"/>
  <c r="AF474" i="4" s="1"/>
  <c r="AF475" i="4" s="1"/>
  <c r="AF476" i="4" s="1"/>
  <c r="AF477" i="4" s="1"/>
  <c r="AF478" i="4" s="1"/>
  <c r="AF479" i="4" s="1"/>
  <c r="AF480" i="4" s="1"/>
  <c r="AF481" i="4" s="1"/>
  <c r="AF482" i="4" s="1"/>
  <c r="AF483" i="4" s="1"/>
  <c r="AF484" i="4" s="1"/>
  <c r="AF485" i="4" s="1"/>
  <c r="AF486" i="4" s="1"/>
  <c r="AF487" i="4" s="1"/>
  <c r="AF488" i="4" s="1"/>
  <c r="AF489" i="4" s="1"/>
  <c r="AF490" i="4" s="1"/>
  <c r="AF491" i="4" s="1"/>
  <c r="AF492" i="4" s="1"/>
  <c r="AF493" i="4" s="1"/>
  <c r="AF494" i="4" s="1"/>
  <c r="AF495" i="4" s="1"/>
  <c r="AF496" i="4" s="1"/>
  <c r="AF497" i="4" s="1"/>
  <c r="AF498" i="4" s="1"/>
  <c r="AF499" i="4" s="1"/>
  <c r="AF500" i="4" s="1"/>
  <c r="AF501" i="4" s="1"/>
  <c r="AF502" i="4" s="1"/>
  <c r="AF503" i="4" s="1"/>
  <c r="AF504" i="4" s="1"/>
  <c r="AF505" i="4" s="1"/>
  <c r="AF506" i="4" s="1"/>
  <c r="AF507" i="4" s="1"/>
  <c r="AF508" i="4" s="1"/>
  <c r="AF509" i="4" s="1"/>
  <c r="AF510" i="4" s="1"/>
  <c r="AF511" i="4" s="1"/>
  <c r="AF512" i="4" s="1"/>
  <c r="AF513" i="4" s="1"/>
  <c r="AF514" i="4" s="1"/>
  <c r="AF515" i="4" s="1"/>
  <c r="AF516" i="4" s="1"/>
  <c r="AF517" i="4" s="1"/>
  <c r="AF518" i="4" s="1"/>
  <c r="AF519" i="4" s="1"/>
  <c r="AF520" i="4" s="1"/>
  <c r="AF521" i="4" s="1"/>
  <c r="AF522" i="4" s="1"/>
  <c r="AF523" i="4" s="1"/>
  <c r="AF524" i="4" s="1"/>
  <c r="AF525" i="4" s="1"/>
  <c r="AF526" i="4" s="1"/>
  <c r="AF527" i="4" s="1"/>
  <c r="AF528" i="4" s="1"/>
  <c r="AF529" i="4" s="1"/>
  <c r="AF530" i="4" s="1"/>
  <c r="AF531" i="4" s="1"/>
  <c r="AF532" i="4" s="1"/>
  <c r="AF533" i="4" s="1"/>
  <c r="I74" i="4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W389" i="4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418" i="4" s="1"/>
  <c r="W419" i="4" s="1"/>
  <c r="W420" i="4" s="1"/>
  <c r="W421" i="4" s="1"/>
  <c r="W422" i="4" s="1"/>
  <c r="W423" i="4" s="1"/>
  <c r="W424" i="4" s="1"/>
  <c r="W425" i="4" s="1"/>
  <c r="W426" i="4" s="1"/>
  <c r="W427" i="4" s="1"/>
  <c r="W428" i="4" s="1"/>
  <c r="W429" i="4" s="1"/>
  <c r="W430" i="4" s="1"/>
  <c r="W431" i="4" s="1"/>
  <c r="W432" i="4" s="1"/>
  <c r="W433" i="4" s="1"/>
  <c r="W434" i="4" s="1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W457" i="4" s="1"/>
  <c r="W458" i="4" s="1"/>
  <c r="W459" i="4" s="1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W482" i="4" s="1"/>
  <c r="W483" i="4" s="1"/>
  <c r="W484" i="4" s="1"/>
  <c r="W485" i="4" s="1"/>
  <c r="W486" i="4" s="1"/>
  <c r="W487" i="4" s="1"/>
  <c r="W488" i="4" s="1"/>
  <c r="W489" i="4" s="1"/>
  <c r="W490" i="4" s="1"/>
  <c r="W491" i="4" s="1"/>
  <c r="W492" i="4" s="1"/>
  <c r="W493" i="4" s="1"/>
  <c r="W494" i="4" s="1"/>
  <c r="W495" i="4" s="1"/>
  <c r="W496" i="4" s="1"/>
  <c r="W497" i="4" s="1"/>
  <c r="W498" i="4" s="1"/>
  <c r="W499" i="4" s="1"/>
  <c r="W500" i="4" s="1"/>
  <c r="W501" i="4" s="1"/>
  <c r="W502" i="4" s="1"/>
  <c r="W503" i="4" s="1"/>
  <c r="W504" i="4" s="1"/>
  <c r="W505" i="4" s="1"/>
  <c r="W506" i="4" s="1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W529" i="4" s="1"/>
  <c r="W530" i="4" s="1"/>
  <c r="W531" i="4" s="1"/>
  <c r="W532" i="4" s="1"/>
  <c r="W533" i="4" s="1"/>
  <c r="W534" i="4" s="1"/>
  <c r="W535" i="4" s="1"/>
  <c r="W536" i="4" s="1"/>
  <c r="W537" i="4" s="1"/>
  <c r="W538" i="4" s="1"/>
  <c r="T44" i="4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Q9" i="4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S355" i="4" s="1"/>
  <c r="S356" i="4" s="1"/>
  <c r="S357" i="4" s="1"/>
  <c r="S358" i="4" s="1"/>
  <c r="S359" i="4" s="1"/>
  <c r="S360" i="4" s="1"/>
  <c r="S361" i="4" s="1"/>
  <c r="S362" i="4" s="1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S385" i="4" s="1"/>
  <c r="S386" i="4" s="1"/>
  <c r="S387" i="4" s="1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S405" i="4" s="1"/>
  <c r="S406" i="4" s="1"/>
  <c r="S407" i="4" s="1"/>
  <c r="S408" i="4" s="1"/>
  <c r="S409" i="4" s="1"/>
  <c r="S410" i="4" s="1"/>
  <c r="S411" i="4" s="1"/>
  <c r="S412" i="4" s="1"/>
  <c r="S413" i="4" s="1"/>
  <c r="S414" i="4" s="1"/>
  <c r="S415" i="4" s="1"/>
  <c r="S416" i="4" s="1"/>
  <c r="S417" i="4" s="1"/>
  <c r="S418" i="4" s="1"/>
  <c r="S419" i="4" s="1"/>
  <c r="S420" i="4" s="1"/>
  <c r="S421" i="4" s="1"/>
  <c r="S422" i="4" s="1"/>
  <c r="S423" i="4" s="1"/>
  <c r="S424" i="4" s="1"/>
  <c r="S425" i="4" s="1"/>
  <c r="S426" i="4" s="1"/>
  <c r="S427" i="4" s="1"/>
  <c r="S428" i="4" s="1"/>
  <c r="S429" i="4" s="1"/>
  <c r="S430" i="4" s="1"/>
  <c r="S431" i="4" s="1"/>
  <c r="S432" i="4" s="1"/>
  <c r="S433" i="4" s="1"/>
  <c r="S434" i="4" s="1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  <c r="S456" i="4" s="1"/>
  <c r="S457" i="4" s="1"/>
  <c r="S458" i="4" s="1"/>
  <c r="S459" i="4" s="1"/>
  <c r="S460" i="4" s="1"/>
  <c r="S461" i="4" s="1"/>
  <c r="S462" i="4" s="1"/>
  <c r="S463" i="4" s="1"/>
  <c r="S464" i="4" s="1"/>
  <c r="S465" i="4" s="1"/>
  <c r="S466" i="4" s="1"/>
  <c r="S467" i="4" s="1"/>
  <c r="S468" i="4" s="1"/>
  <c r="S469" i="4" s="1"/>
  <c r="S470" i="4" s="1"/>
  <c r="S471" i="4" s="1"/>
  <c r="S472" i="4" s="1"/>
  <c r="S473" i="4" s="1"/>
  <c r="S474" i="4" s="1"/>
  <c r="S475" i="4" s="1"/>
  <c r="S476" i="4" s="1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C4" i="4"/>
  <c r="C5" i="4" s="1"/>
  <c r="C6" i="4" s="1"/>
  <c r="C7" i="4" s="1"/>
  <c r="C8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Z369" i="4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Z385" i="4" s="1"/>
  <c r="Z386" i="4" s="1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Z410" i="4" s="1"/>
  <c r="Z411" i="4" s="1"/>
  <c r="Z412" i="4" s="1"/>
  <c r="Z413" i="4" s="1"/>
  <c r="Z414" i="4" s="1"/>
  <c r="Z415" i="4" s="1"/>
  <c r="Z416" i="4" s="1"/>
  <c r="Z417" i="4" s="1"/>
  <c r="Z418" i="4" s="1"/>
  <c r="Z419" i="4" s="1"/>
  <c r="Z420" i="4" s="1"/>
  <c r="Z421" i="4" s="1"/>
  <c r="Z422" i="4" s="1"/>
  <c r="Z423" i="4" s="1"/>
  <c r="Z424" i="4" s="1"/>
  <c r="Z425" i="4" s="1"/>
  <c r="Z426" i="4" s="1"/>
  <c r="Z427" i="4" s="1"/>
  <c r="Z428" i="4" s="1"/>
  <c r="Z429" i="4" s="1"/>
  <c r="Z430" i="4" s="1"/>
  <c r="Z431" i="4" s="1"/>
  <c r="Z432" i="4" s="1"/>
  <c r="Z433" i="4" s="1"/>
  <c r="Z434" i="4" s="1"/>
  <c r="Z435" i="4" s="1"/>
  <c r="Z436" i="4" s="1"/>
  <c r="Z437" i="4" s="1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Z457" i="4" s="1"/>
  <c r="Z458" i="4" s="1"/>
  <c r="Z459" i="4" s="1"/>
  <c r="Z460" i="4" s="1"/>
  <c r="Z461" i="4" s="1"/>
  <c r="Z462" i="4" s="1"/>
  <c r="Z463" i="4" s="1"/>
  <c r="Z464" i="4" s="1"/>
  <c r="Z465" i="4" s="1"/>
  <c r="Z466" i="4" s="1"/>
  <c r="Z467" i="4" s="1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Z482" i="4" s="1"/>
  <c r="Z483" i="4" s="1"/>
  <c r="Z484" i="4" s="1"/>
  <c r="Z485" i="4" s="1"/>
  <c r="Z486" i="4" s="1"/>
  <c r="Z487" i="4" s="1"/>
  <c r="Z488" i="4" s="1"/>
  <c r="Z489" i="4" s="1"/>
  <c r="Z490" i="4" s="1"/>
  <c r="Z491" i="4" s="1"/>
  <c r="Z492" i="4" s="1"/>
  <c r="Z493" i="4" s="1"/>
  <c r="Z494" i="4" s="1"/>
  <c r="Z495" i="4" s="1"/>
  <c r="Z496" i="4" s="1"/>
  <c r="Z497" i="4" s="1"/>
  <c r="Z498" i="4" s="1"/>
  <c r="Z499" i="4" s="1"/>
  <c r="Z500" i="4" s="1"/>
  <c r="Z501" i="4" s="1"/>
  <c r="Z502" i="4" s="1"/>
  <c r="Z503" i="4" s="1"/>
  <c r="Z504" i="4" s="1"/>
  <c r="Z505" i="4" s="1"/>
  <c r="Z506" i="4" s="1"/>
  <c r="Z507" i="4" s="1"/>
  <c r="Z508" i="4" s="1"/>
  <c r="Z509" i="4" s="1"/>
  <c r="Z510" i="4" s="1"/>
  <c r="Z511" i="4" s="1"/>
  <c r="Z512" i="4" s="1"/>
  <c r="Z513" i="4" s="1"/>
  <c r="Z514" i="4" s="1"/>
  <c r="Z515" i="4" s="1"/>
  <c r="Z516" i="4" s="1"/>
  <c r="Z517" i="4" s="1"/>
  <c r="Z518" i="4" s="1"/>
  <c r="Z519" i="4" s="1"/>
  <c r="Z520" i="4" s="1"/>
  <c r="Z521" i="4" s="1"/>
  <c r="Z522" i="4" s="1"/>
  <c r="Z523" i="4" s="1"/>
  <c r="Z524" i="4" s="1"/>
  <c r="Z525" i="4" s="1"/>
  <c r="Z526" i="4" s="1"/>
  <c r="Z527" i="4" s="1"/>
  <c r="Z528" i="4" s="1"/>
  <c r="Z529" i="4" s="1"/>
  <c r="Z530" i="4" s="1"/>
  <c r="Z531" i="4" s="1"/>
  <c r="Z532" i="4" s="1"/>
  <c r="Z533" i="4" s="1"/>
  <c r="Z534" i="4" s="1"/>
  <c r="Z535" i="4" s="1"/>
  <c r="Z536" i="4" s="1"/>
  <c r="Z537" i="4" s="1"/>
  <c r="Z538" i="4" s="1"/>
  <c r="V381" i="4"/>
  <c r="V382" i="4" s="1"/>
  <c r="V383" i="4" s="1"/>
  <c r="V384" i="4" s="1"/>
  <c r="V385" i="4" s="1"/>
  <c r="V386" i="4" s="1"/>
  <c r="V387" i="4" s="1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V402" i="4" s="1"/>
  <c r="V403" i="4" s="1"/>
  <c r="V404" i="4" s="1"/>
  <c r="V405" i="4" s="1"/>
  <c r="V406" i="4" s="1"/>
  <c r="V407" i="4" s="1"/>
  <c r="V408" i="4" s="1"/>
  <c r="V409" i="4" s="1"/>
  <c r="V410" i="4" s="1"/>
  <c r="V411" i="4" s="1"/>
  <c r="V412" i="4" s="1"/>
  <c r="V413" i="4" s="1"/>
  <c r="V414" i="4" s="1"/>
  <c r="V415" i="4" s="1"/>
  <c r="V416" i="4" s="1"/>
  <c r="V417" i="4" s="1"/>
  <c r="V418" i="4" s="1"/>
  <c r="V419" i="4" s="1"/>
  <c r="V420" i="4" s="1"/>
  <c r="V421" i="4" s="1"/>
  <c r="V422" i="4" s="1"/>
  <c r="V423" i="4" s="1"/>
  <c r="V424" i="4" s="1"/>
  <c r="V425" i="4" s="1"/>
  <c r="V426" i="4" s="1"/>
  <c r="V427" i="4" s="1"/>
  <c r="V428" i="4" s="1"/>
  <c r="V429" i="4" s="1"/>
  <c r="V430" i="4" s="1"/>
  <c r="V431" i="4" s="1"/>
  <c r="V432" i="4" s="1"/>
  <c r="V433" i="4" s="1"/>
  <c r="V434" i="4" s="1"/>
  <c r="V435" i="4" s="1"/>
  <c r="V436" i="4" s="1"/>
  <c r="V437" i="4" s="1"/>
  <c r="V438" i="4" s="1"/>
  <c r="V439" i="4" s="1"/>
  <c r="V440" i="4" s="1"/>
  <c r="V441" i="4" s="1"/>
  <c r="V442" i="4" s="1"/>
  <c r="V443" i="4" s="1"/>
  <c r="V444" i="4" s="1"/>
  <c r="V445" i="4" s="1"/>
  <c r="V446" i="4" s="1"/>
  <c r="V447" i="4" s="1"/>
  <c r="V448" i="4" s="1"/>
  <c r="V449" i="4" s="1"/>
  <c r="V450" i="4" s="1"/>
  <c r="V451" i="4" s="1"/>
  <c r="V452" i="4" s="1"/>
  <c r="V453" i="4" s="1"/>
  <c r="V454" i="4" s="1"/>
  <c r="V455" i="4" s="1"/>
  <c r="V456" i="4" s="1"/>
  <c r="V457" i="4" s="1"/>
  <c r="V458" i="4" s="1"/>
  <c r="V459" i="4" s="1"/>
  <c r="V460" i="4" s="1"/>
  <c r="V461" i="4" s="1"/>
  <c r="V462" i="4" s="1"/>
  <c r="V463" i="4" s="1"/>
  <c r="V464" i="4" s="1"/>
  <c r="V465" i="4" s="1"/>
  <c r="V466" i="4" s="1"/>
  <c r="V467" i="4" s="1"/>
  <c r="V468" i="4" s="1"/>
  <c r="V469" i="4" s="1"/>
  <c r="V470" i="4" s="1"/>
  <c r="V471" i="4" s="1"/>
  <c r="V472" i="4" s="1"/>
  <c r="V473" i="4" s="1"/>
  <c r="V474" i="4" s="1"/>
  <c r="V475" i="4" s="1"/>
  <c r="V476" i="4" s="1"/>
  <c r="V477" i="4" s="1"/>
  <c r="V478" i="4" s="1"/>
  <c r="V479" i="4" s="1"/>
  <c r="V480" i="4" s="1"/>
  <c r="V481" i="4" s="1"/>
  <c r="V482" i="4" s="1"/>
  <c r="V483" i="4" s="1"/>
  <c r="V484" i="4" s="1"/>
  <c r="V485" i="4" s="1"/>
  <c r="V486" i="4" s="1"/>
  <c r="V487" i="4" s="1"/>
  <c r="V488" i="4" s="1"/>
  <c r="V489" i="4" s="1"/>
  <c r="V490" i="4" s="1"/>
  <c r="V491" i="4" s="1"/>
  <c r="V492" i="4" s="1"/>
  <c r="V493" i="4" s="1"/>
  <c r="V494" i="4" s="1"/>
  <c r="V495" i="4" s="1"/>
  <c r="V496" i="4" s="1"/>
  <c r="V497" i="4" s="1"/>
  <c r="V498" i="4" s="1"/>
  <c r="V499" i="4" s="1"/>
  <c r="V500" i="4" s="1"/>
  <c r="V501" i="4" s="1"/>
  <c r="V502" i="4" s="1"/>
  <c r="V503" i="4" s="1"/>
  <c r="V504" i="4" s="1"/>
  <c r="V505" i="4" s="1"/>
  <c r="V506" i="4" s="1"/>
  <c r="V507" i="4" s="1"/>
  <c r="V508" i="4" s="1"/>
  <c r="V509" i="4" s="1"/>
  <c r="V510" i="4" s="1"/>
  <c r="V511" i="4" s="1"/>
  <c r="V512" i="4" s="1"/>
  <c r="V513" i="4" s="1"/>
  <c r="V514" i="4" s="1"/>
  <c r="V515" i="4" s="1"/>
  <c r="V516" i="4" s="1"/>
  <c r="V517" i="4" s="1"/>
  <c r="V518" i="4" s="1"/>
  <c r="V519" i="4" s="1"/>
  <c r="V520" i="4" s="1"/>
  <c r="V521" i="4" s="1"/>
  <c r="V522" i="4" s="1"/>
  <c r="V523" i="4" s="1"/>
  <c r="V524" i="4" s="1"/>
  <c r="V525" i="4" s="1"/>
  <c r="V526" i="4" s="1"/>
  <c r="V527" i="4" s="1"/>
  <c r="V528" i="4" s="1"/>
  <c r="V529" i="4" s="1"/>
  <c r="V530" i="4" s="1"/>
  <c r="V531" i="4" s="1"/>
  <c r="V532" i="4" s="1"/>
  <c r="V533" i="4" s="1"/>
  <c r="V534" i="4" s="1"/>
  <c r="V535" i="4" s="1"/>
  <c r="V536" i="4" s="1"/>
  <c r="V537" i="4" s="1"/>
  <c r="V538" i="4" s="1"/>
  <c r="L318" i="4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Y445" i="4"/>
  <c r="Y446" i="4" s="1"/>
  <c r="Y447" i="4" s="1"/>
  <c r="Y448" i="4" s="1"/>
  <c r="Y449" i="4" s="1"/>
  <c r="Y450" i="4" s="1"/>
  <c r="Y451" i="4" s="1"/>
  <c r="Y452" i="4" s="1"/>
  <c r="Y453" i="4" s="1"/>
  <c r="Y454" i="4" s="1"/>
  <c r="Y455" i="4" s="1"/>
  <c r="Y456" i="4" s="1"/>
  <c r="Y457" i="4" s="1"/>
  <c r="Y458" i="4" s="1"/>
  <c r="Y459" i="4" s="1"/>
  <c r="Y460" i="4" s="1"/>
  <c r="Y461" i="4" s="1"/>
  <c r="Y462" i="4" s="1"/>
  <c r="Y463" i="4" s="1"/>
  <c r="Y464" i="4" s="1"/>
  <c r="Y465" i="4" s="1"/>
  <c r="Y466" i="4" s="1"/>
  <c r="Y467" i="4" s="1"/>
  <c r="Y468" i="4" s="1"/>
  <c r="Y469" i="4" s="1"/>
  <c r="Y470" i="4" s="1"/>
  <c r="Y471" i="4" s="1"/>
  <c r="Y472" i="4" s="1"/>
  <c r="Y473" i="4" s="1"/>
  <c r="Y474" i="4" s="1"/>
  <c r="Y475" i="4" s="1"/>
  <c r="Y476" i="4" s="1"/>
  <c r="Y477" i="4" s="1"/>
  <c r="Y478" i="4" s="1"/>
  <c r="Y479" i="4" s="1"/>
  <c r="Y480" i="4" s="1"/>
  <c r="Y481" i="4" s="1"/>
  <c r="Y482" i="4" s="1"/>
  <c r="Y483" i="4" s="1"/>
  <c r="Y484" i="4" s="1"/>
  <c r="Y485" i="4" s="1"/>
  <c r="Y486" i="4" s="1"/>
  <c r="Y487" i="4" s="1"/>
  <c r="Y488" i="4" s="1"/>
  <c r="Y489" i="4" s="1"/>
  <c r="Y490" i="4" s="1"/>
  <c r="Y491" i="4" s="1"/>
  <c r="Y492" i="4" s="1"/>
  <c r="Y493" i="4" s="1"/>
  <c r="Y494" i="4" s="1"/>
  <c r="Y495" i="4" s="1"/>
  <c r="Y496" i="4" s="1"/>
  <c r="Y497" i="4" s="1"/>
  <c r="Y498" i="4" s="1"/>
  <c r="Y499" i="4" s="1"/>
  <c r="Y500" i="4" s="1"/>
  <c r="Y501" i="4" s="1"/>
  <c r="Y502" i="4" s="1"/>
  <c r="Y503" i="4" s="1"/>
  <c r="Y504" i="4" s="1"/>
  <c r="Y505" i="4" s="1"/>
  <c r="Y506" i="4" s="1"/>
  <c r="Y507" i="4" s="1"/>
  <c r="Y508" i="4" s="1"/>
  <c r="Y509" i="4" s="1"/>
  <c r="Y510" i="4" s="1"/>
  <c r="Y511" i="4" s="1"/>
  <c r="Y512" i="4" s="1"/>
  <c r="Y513" i="4" s="1"/>
  <c r="Y514" i="4" s="1"/>
  <c r="Y515" i="4" s="1"/>
  <c r="Y516" i="4" s="1"/>
  <c r="Y517" i="4" s="1"/>
  <c r="Y518" i="4" s="1"/>
  <c r="Y519" i="4" s="1"/>
  <c r="Y520" i="4" s="1"/>
  <c r="Y521" i="4" s="1"/>
  <c r="Y522" i="4" s="1"/>
  <c r="Y523" i="4" s="1"/>
  <c r="Y524" i="4" s="1"/>
  <c r="Y525" i="4" s="1"/>
  <c r="Y526" i="4" s="1"/>
  <c r="Y527" i="4" s="1"/>
  <c r="Y528" i="4" s="1"/>
  <c r="Y529" i="4" s="1"/>
  <c r="Y530" i="4" s="1"/>
  <c r="Y531" i="4" s="1"/>
  <c r="Y532" i="4" s="1"/>
  <c r="Y533" i="4" s="1"/>
  <c r="Y534" i="4" s="1"/>
  <c r="Y535" i="4" s="1"/>
  <c r="Y536" i="4" s="1"/>
  <c r="Y537" i="4" s="1"/>
  <c r="Y538" i="4" s="1"/>
  <c r="AA380" i="4"/>
  <c r="AA381" i="4" s="1"/>
  <c r="AA382" i="4" s="1"/>
  <c r="AA383" i="4" s="1"/>
  <c r="AA384" i="4" s="1"/>
  <c r="AA385" i="4" s="1"/>
  <c r="AA386" i="4" s="1"/>
  <c r="AA387" i="4" s="1"/>
  <c r="AA388" i="4" s="1"/>
  <c r="AA389" i="4" s="1"/>
  <c r="AA390" i="4" s="1"/>
  <c r="AA391" i="4" s="1"/>
  <c r="AA392" i="4" s="1"/>
  <c r="AA393" i="4" s="1"/>
  <c r="AA394" i="4" s="1"/>
  <c r="AA395" i="4" s="1"/>
  <c r="AA396" i="4" s="1"/>
  <c r="AA397" i="4" s="1"/>
  <c r="AA398" i="4" s="1"/>
  <c r="AA399" i="4" s="1"/>
  <c r="AA400" i="4" s="1"/>
  <c r="AA401" i="4" s="1"/>
  <c r="AA402" i="4" s="1"/>
  <c r="AA403" i="4" s="1"/>
  <c r="AA404" i="4" s="1"/>
  <c r="AA405" i="4" s="1"/>
  <c r="AA406" i="4" s="1"/>
  <c r="AA407" i="4" s="1"/>
  <c r="AA408" i="4" s="1"/>
  <c r="AA409" i="4" s="1"/>
  <c r="AA410" i="4" s="1"/>
  <c r="AA411" i="4" s="1"/>
  <c r="AA412" i="4" s="1"/>
  <c r="AA413" i="4" s="1"/>
  <c r="AA414" i="4" s="1"/>
  <c r="AA415" i="4" s="1"/>
  <c r="AA416" i="4" s="1"/>
  <c r="AA417" i="4" s="1"/>
  <c r="AA418" i="4" s="1"/>
  <c r="AA419" i="4" s="1"/>
  <c r="AA420" i="4" s="1"/>
  <c r="AA421" i="4" s="1"/>
  <c r="AA422" i="4" s="1"/>
  <c r="AA423" i="4" s="1"/>
  <c r="AA424" i="4" s="1"/>
  <c r="AA425" i="4" s="1"/>
  <c r="AA426" i="4" s="1"/>
  <c r="AA427" i="4" s="1"/>
  <c r="AA428" i="4" s="1"/>
  <c r="AA429" i="4" s="1"/>
  <c r="AA430" i="4" s="1"/>
  <c r="AA431" i="4" s="1"/>
  <c r="AA432" i="4" s="1"/>
  <c r="AA433" i="4" s="1"/>
  <c r="AA434" i="4" s="1"/>
  <c r="AA435" i="4" s="1"/>
  <c r="AA436" i="4" s="1"/>
  <c r="AA437" i="4" s="1"/>
  <c r="AA438" i="4" s="1"/>
  <c r="AA439" i="4" s="1"/>
  <c r="AA440" i="4" s="1"/>
  <c r="AA441" i="4" s="1"/>
  <c r="AA442" i="4" s="1"/>
  <c r="AA443" i="4" s="1"/>
  <c r="AA444" i="4" s="1"/>
  <c r="AA445" i="4" s="1"/>
  <c r="AA446" i="4" s="1"/>
  <c r="AA447" i="4" s="1"/>
  <c r="AA448" i="4" s="1"/>
  <c r="AA449" i="4" s="1"/>
  <c r="AA450" i="4" s="1"/>
  <c r="AA451" i="4" s="1"/>
  <c r="AA452" i="4" s="1"/>
  <c r="AA453" i="4" s="1"/>
  <c r="AA454" i="4" s="1"/>
  <c r="AA455" i="4" s="1"/>
  <c r="AA456" i="4" s="1"/>
  <c r="AA457" i="4" s="1"/>
  <c r="AA458" i="4" s="1"/>
  <c r="AA459" i="4" s="1"/>
  <c r="AA460" i="4" s="1"/>
  <c r="AA461" i="4" s="1"/>
  <c r="AA462" i="4" s="1"/>
  <c r="AA463" i="4" s="1"/>
  <c r="AA464" i="4" s="1"/>
  <c r="AA465" i="4" s="1"/>
  <c r="AA466" i="4" s="1"/>
  <c r="AA467" i="4" s="1"/>
  <c r="AA468" i="4" s="1"/>
  <c r="AA469" i="4" s="1"/>
  <c r="AA470" i="4" s="1"/>
  <c r="AA471" i="4" s="1"/>
  <c r="AA472" i="4" s="1"/>
  <c r="AA473" i="4" s="1"/>
  <c r="AA474" i="4" s="1"/>
  <c r="AA475" i="4" s="1"/>
  <c r="AA476" i="4" s="1"/>
  <c r="X420" i="4"/>
  <c r="X421" i="4" s="1"/>
  <c r="X422" i="4" s="1"/>
  <c r="X423" i="4" s="1"/>
  <c r="X424" i="4" s="1"/>
  <c r="X425" i="4" s="1"/>
  <c r="X426" i="4" s="1"/>
  <c r="X427" i="4" s="1"/>
  <c r="X428" i="4" s="1"/>
  <c r="X429" i="4" s="1"/>
  <c r="X430" i="4" s="1"/>
  <c r="X431" i="4" s="1"/>
  <c r="X432" i="4" s="1"/>
  <c r="X433" i="4" s="1"/>
  <c r="X434" i="4" s="1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X457" i="4" s="1"/>
  <c r="X458" i="4" s="1"/>
  <c r="X459" i="4" s="1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X482" i="4" s="1"/>
  <c r="X483" i="4" s="1"/>
  <c r="X484" i="4" s="1"/>
  <c r="X485" i="4" s="1"/>
  <c r="X486" i="4" s="1"/>
  <c r="X487" i="4" s="1"/>
  <c r="X488" i="4" s="1"/>
  <c r="X489" i="4" s="1"/>
  <c r="X490" i="4" s="1"/>
  <c r="X491" i="4" s="1"/>
  <c r="X492" i="4" s="1"/>
  <c r="X493" i="4" s="1"/>
  <c r="X494" i="4" s="1"/>
  <c r="X495" i="4" s="1"/>
  <c r="X496" i="4" s="1"/>
  <c r="X497" i="4" s="1"/>
  <c r="X498" i="4" s="1"/>
  <c r="X499" i="4" s="1"/>
  <c r="X500" i="4" s="1"/>
  <c r="X501" i="4" s="1"/>
  <c r="X502" i="4" s="1"/>
  <c r="X503" i="4" s="1"/>
  <c r="X504" i="4" s="1"/>
  <c r="X505" i="4" s="1"/>
  <c r="X506" i="4" s="1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X529" i="4" s="1"/>
  <c r="X530" i="4" s="1"/>
  <c r="X531" i="4" s="1"/>
  <c r="X532" i="4" s="1"/>
  <c r="X533" i="4" s="1"/>
  <c r="X534" i="4" s="1"/>
  <c r="X535" i="4" s="1"/>
  <c r="X536" i="4" s="1"/>
  <c r="X537" i="4" s="1"/>
  <c r="X538" i="4" s="1"/>
  <c r="M420" i="4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BA6" i="4"/>
  <c r="BA429" i="4"/>
  <c r="BA447" i="4"/>
  <c r="BE544" i="4" l="1"/>
  <c r="BB545" i="4"/>
  <c r="Q546" i="4"/>
  <c r="J115" i="17"/>
  <c r="G116" i="17"/>
  <c r="C47" i="16"/>
  <c r="O46" i="16"/>
  <c r="R12" i="16"/>
  <c r="R45" i="16"/>
  <c r="O13" i="16"/>
  <c r="X5" i="16"/>
  <c r="W5" i="16"/>
  <c r="Y5" i="16"/>
  <c r="T5" i="16"/>
  <c r="S5" i="16"/>
  <c r="U6" i="16"/>
  <c r="V6" i="16" s="1"/>
  <c r="R6" i="16"/>
  <c r="F481" i="16"/>
  <c r="O480" i="16"/>
  <c r="O7" i="16"/>
  <c r="O8" i="16"/>
  <c r="R479" i="16"/>
  <c r="R499" i="4"/>
  <c r="Q503" i="4"/>
  <c r="BB4" i="4"/>
  <c r="BH4" i="4" s="1"/>
  <c r="BI4" i="4" s="1"/>
  <c r="BB5" i="4"/>
  <c r="AA477" i="4"/>
  <c r="AA478" i="4" s="1"/>
  <c r="AA479" i="4" s="1"/>
  <c r="AA480" i="4" s="1"/>
  <c r="AA481" i="4" s="1"/>
  <c r="AA482" i="4" s="1"/>
  <c r="AA483" i="4" s="1"/>
  <c r="AA484" i="4" s="1"/>
  <c r="AA485" i="4" s="1"/>
  <c r="AA486" i="4" s="1"/>
  <c r="AA487" i="4" s="1"/>
  <c r="AA488" i="4" s="1"/>
  <c r="AA489" i="4" s="1"/>
  <c r="AA490" i="4" s="1"/>
  <c r="AA491" i="4" s="1"/>
  <c r="AA492" i="4" s="1"/>
  <c r="AA493" i="4" s="1"/>
  <c r="AA494" i="4" s="1"/>
  <c r="AA495" i="4" s="1"/>
  <c r="AA496" i="4" s="1"/>
  <c r="AA497" i="4" s="1"/>
  <c r="AA498" i="4" s="1"/>
  <c r="AA499" i="4" s="1"/>
  <c r="AA500" i="4" s="1"/>
  <c r="AA501" i="4" s="1"/>
  <c r="AA502" i="4" s="1"/>
  <c r="AA503" i="4" s="1"/>
  <c r="AA504" i="4" s="1"/>
  <c r="AA505" i="4" s="1"/>
  <c r="AA506" i="4" s="1"/>
  <c r="AA507" i="4" s="1"/>
  <c r="AA508" i="4" s="1"/>
  <c r="AA509" i="4" s="1"/>
  <c r="AA510" i="4" s="1"/>
  <c r="AA511" i="4" s="1"/>
  <c r="AA512" i="4" s="1"/>
  <c r="AA513" i="4" s="1"/>
  <c r="AA514" i="4" s="1"/>
  <c r="AA515" i="4" s="1"/>
  <c r="AA516" i="4" s="1"/>
  <c r="AA517" i="4" s="1"/>
  <c r="AA518" i="4" s="1"/>
  <c r="AA519" i="4" s="1"/>
  <c r="AA520" i="4" s="1"/>
  <c r="AA521" i="4" s="1"/>
  <c r="AA522" i="4" s="1"/>
  <c r="AA523" i="4" s="1"/>
  <c r="AA524" i="4" s="1"/>
  <c r="AA525" i="4" s="1"/>
  <c r="AA526" i="4" s="1"/>
  <c r="AA527" i="4" s="1"/>
  <c r="AA528" i="4" s="1"/>
  <c r="AA529" i="4" s="1"/>
  <c r="AA530" i="4" s="1"/>
  <c r="AA531" i="4" s="1"/>
  <c r="AA532" i="4" s="1"/>
  <c r="AA533" i="4" s="1"/>
  <c r="AA534" i="4" s="1"/>
  <c r="AA535" i="4" s="1"/>
  <c r="AA536" i="4" s="1"/>
  <c r="AA537" i="4" s="1"/>
  <c r="AA538" i="4" s="1"/>
  <c r="AB477" i="4"/>
  <c r="AB478" i="4" s="1"/>
  <c r="AB479" i="4" s="1"/>
  <c r="AB480" i="4" s="1"/>
  <c r="AB481" i="4" s="1"/>
  <c r="AB482" i="4" s="1"/>
  <c r="AB483" i="4" s="1"/>
  <c r="AB484" i="4" s="1"/>
  <c r="AB485" i="4" s="1"/>
  <c r="AB486" i="4" s="1"/>
  <c r="AB487" i="4" s="1"/>
  <c r="AB488" i="4" s="1"/>
  <c r="AB489" i="4" s="1"/>
  <c r="AB490" i="4" s="1"/>
  <c r="AB491" i="4" s="1"/>
  <c r="AB492" i="4" s="1"/>
  <c r="AB493" i="4" s="1"/>
  <c r="AB494" i="4" s="1"/>
  <c r="AB495" i="4" s="1"/>
  <c r="AB496" i="4" s="1"/>
  <c r="AB497" i="4" s="1"/>
  <c r="AB498" i="4" s="1"/>
  <c r="AB499" i="4" s="1"/>
  <c r="AB500" i="4" s="1"/>
  <c r="AB501" i="4" s="1"/>
  <c r="AB502" i="4" s="1"/>
  <c r="AB503" i="4" s="1"/>
  <c r="AB504" i="4" s="1"/>
  <c r="AB505" i="4" s="1"/>
  <c r="AB506" i="4" s="1"/>
  <c r="AB507" i="4" s="1"/>
  <c r="AB508" i="4" s="1"/>
  <c r="AB509" i="4" s="1"/>
  <c r="AB510" i="4" s="1"/>
  <c r="AB511" i="4" s="1"/>
  <c r="AB512" i="4" s="1"/>
  <c r="AB513" i="4" s="1"/>
  <c r="AB514" i="4" s="1"/>
  <c r="AB515" i="4" s="1"/>
  <c r="AB516" i="4" s="1"/>
  <c r="AB517" i="4" s="1"/>
  <c r="AB518" i="4" s="1"/>
  <c r="AB519" i="4" s="1"/>
  <c r="AB520" i="4" s="1"/>
  <c r="AB521" i="4" s="1"/>
  <c r="AB522" i="4" s="1"/>
  <c r="AB523" i="4" s="1"/>
  <c r="AB524" i="4" s="1"/>
  <c r="AB525" i="4" s="1"/>
  <c r="AB526" i="4" s="1"/>
  <c r="AB527" i="4" s="1"/>
  <c r="AB528" i="4" s="1"/>
  <c r="AB529" i="4" s="1"/>
  <c r="AB530" i="4" s="1"/>
  <c r="AB531" i="4" s="1"/>
  <c r="AB532" i="4" s="1"/>
  <c r="AB533" i="4" s="1"/>
  <c r="AB534" i="4" s="1"/>
  <c r="AB535" i="4" s="1"/>
  <c r="AB536" i="4" s="1"/>
  <c r="AB537" i="4" s="1"/>
  <c r="AB538" i="4" s="1"/>
  <c r="S477" i="4"/>
  <c r="S478" i="4" s="1"/>
  <c r="S479" i="4" s="1"/>
  <c r="S480" i="4" s="1"/>
  <c r="S481" i="4" s="1"/>
  <c r="S482" i="4" s="1"/>
  <c r="S483" i="4" s="1"/>
  <c r="S484" i="4" s="1"/>
  <c r="S485" i="4" s="1"/>
  <c r="S486" i="4" s="1"/>
  <c r="S487" i="4" s="1"/>
  <c r="S488" i="4" s="1"/>
  <c r="S489" i="4" s="1"/>
  <c r="S490" i="4" s="1"/>
  <c r="S491" i="4" s="1"/>
  <c r="S492" i="4" s="1"/>
  <c r="S493" i="4" s="1"/>
  <c r="S494" i="4" s="1"/>
  <c r="S495" i="4" s="1"/>
  <c r="S496" i="4" s="1"/>
  <c r="S497" i="4" s="1"/>
  <c r="S498" i="4" s="1"/>
  <c r="S499" i="4" s="1"/>
  <c r="S500" i="4" s="1"/>
  <c r="S501" i="4" s="1"/>
  <c r="S502" i="4" s="1"/>
  <c r="S503" i="4" s="1"/>
  <c r="S504" i="4" s="1"/>
  <c r="S505" i="4" s="1"/>
  <c r="S506" i="4" s="1"/>
  <c r="S507" i="4" s="1"/>
  <c r="S508" i="4" s="1"/>
  <c r="S509" i="4" s="1"/>
  <c r="S510" i="4" s="1"/>
  <c r="S511" i="4" s="1"/>
  <c r="S512" i="4" s="1"/>
  <c r="S513" i="4" s="1"/>
  <c r="S514" i="4" s="1"/>
  <c r="S515" i="4" s="1"/>
  <c r="S516" i="4" s="1"/>
  <c r="S517" i="4" s="1"/>
  <c r="S518" i="4" s="1"/>
  <c r="S519" i="4" s="1"/>
  <c r="S520" i="4" s="1"/>
  <c r="S521" i="4" s="1"/>
  <c r="S522" i="4" s="1"/>
  <c r="S523" i="4" s="1"/>
  <c r="S524" i="4" s="1"/>
  <c r="S525" i="4" s="1"/>
  <c r="S526" i="4" s="1"/>
  <c r="S527" i="4" s="1"/>
  <c r="S528" i="4" s="1"/>
  <c r="S529" i="4" s="1"/>
  <c r="S530" i="4" s="1"/>
  <c r="S531" i="4" s="1"/>
  <c r="S532" i="4" s="1"/>
  <c r="S533" i="4" s="1"/>
  <c r="S534" i="4" s="1"/>
  <c r="S535" i="4" s="1"/>
  <c r="S536" i="4" s="1"/>
  <c r="S537" i="4" s="1"/>
  <c r="S538" i="4" s="1"/>
  <c r="BB427" i="4"/>
  <c r="BB428" i="4"/>
  <c r="BB443" i="4"/>
  <c r="I444" i="4"/>
  <c r="BA448" i="4"/>
  <c r="BB429" i="4"/>
  <c r="BA430" i="4"/>
  <c r="BA7" i="4"/>
  <c r="BB6" i="4"/>
  <c r="BE545" i="4" l="1"/>
  <c r="Q547" i="4"/>
  <c r="BB546" i="4"/>
  <c r="G117" i="17"/>
  <c r="J116" i="17"/>
  <c r="F482" i="16"/>
  <c r="O481" i="16"/>
  <c r="S6" i="16"/>
  <c r="T6" i="16"/>
  <c r="R8" i="16"/>
  <c r="R9" i="16"/>
  <c r="U7" i="16"/>
  <c r="V7" i="16" s="1"/>
  <c r="R7" i="16"/>
  <c r="R13" i="16"/>
  <c r="R46" i="16"/>
  <c r="Y6" i="16"/>
  <c r="W6" i="16"/>
  <c r="X6" i="16"/>
  <c r="O47" i="16"/>
  <c r="C48" i="16"/>
  <c r="O14" i="16"/>
  <c r="R480" i="16"/>
  <c r="BE5" i="4"/>
  <c r="Q504" i="4"/>
  <c r="R500" i="4"/>
  <c r="BE4" i="4"/>
  <c r="BG4" i="4" s="1"/>
  <c r="BE428" i="4"/>
  <c r="BF428" i="4" s="1"/>
  <c r="I445" i="4"/>
  <c r="BB444" i="4"/>
  <c r="BE6" i="4"/>
  <c r="BA8" i="4"/>
  <c r="BB7" i="4"/>
  <c r="BB430" i="4"/>
  <c r="BA431" i="4"/>
  <c r="BL4" i="4"/>
  <c r="BK4" i="4"/>
  <c r="BJ4" i="4"/>
  <c r="BE429" i="4"/>
  <c r="BH5" i="4"/>
  <c r="BI5" i="4" s="1"/>
  <c r="BA449" i="4"/>
  <c r="Q548" i="4" l="1"/>
  <c r="BB547" i="4"/>
  <c r="BE546" i="4"/>
  <c r="J117" i="17"/>
  <c r="G118" i="17"/>
  <c r="U8" i="16"/>
  <c r="V8" i="16" s="1"/>
  <c r="W8" i="16" s="1"/>
  <c r="O482" i="16"/>
  <c r="F483" i="16"/>
  <c r="W7" i="16"/>
  <c r="X7" i="16"/>
  <c r="Y7" i="16"/>
  <c r="O48" i="16"/>
  <c r="C49" i="16"/>
  <c r="R47" i="16"/>
  <c r="T7" i="16"/>
  <c r="T8" i="16" s="1"/>
  <c r="T9" i="16" s="1"/>
  <c r="T10" i="16" s="1"/>
  <c r="T11" i="16" s="1"/>
  <c r="T12" i="16" s="1"/>
  <c r="T13" i="16" s="1"/>
  <c r="S7" i="16"/>
  <c r="R481" i="16"/>
  <c r="R14" i="16"/>
  <c r="O15" i="16"/>
  <c r="S8" i="16"/>
  <c r="S9" i="16" s="1"/>
  <c r="S10" i="16" s="1"/>
  <c r="S11" i="16" s="1"/>
  <c r="S12" i="16" s="1"/>
  <c r="S13" i="16" s="1"/>
  <c r="BG5" i="4"/>
  <c r="BG6" i="4" s="1"/>
  <c r="R501" i="4"/>
  <c r="Q505" i="4"/>
  <c r="BF4" i="4"/>
  <c r="BF5" i="4" s="1"/>
  <c r="BF6" i="4" s="1"/>
  <c r="I446" i="4"/>
  <c r="BB445" i="4"/>
  <c r="BE445" i="4" s="1"/>
  <c r="BE444" i="4"/>
  <c r="BB431" i="4"/>
  <c r="BA432" i="4"/>
  <c r="BH6" i="4"/>
  <c r="BI6" i="4" s="1"/>
  <c r="BE430" i="4"/>
  <c r="BL5" i="4"/>
  <c r="BK5" i="4"/>
  <c r="BJ5" i="4"/>
  <c r="BE7" i="4"/>
  <c r="BB8" i="4"/>
  <c r="BA9" i="4"/>
  <c r="BF429" i="4"/>
  <c r="BA450" i="4"/>
  <c r="BB548" i="4" l="1"/>
  <c r="Q549" i="4"/>
  <c r="BE547" i="4"/>
  <c r="X8" i="16"/>
  <c r="J118" i="17"/>
  <c r="G119" i="17"/>
  <c r="Y8" i="16"/>
  <c r="U9" i="16"/>
  <c r="V9" i="16" s="1"/>
  <c r="O16" i="16"/>
  <c r="R15" i="16"/>
  <c r="T14" i="16"/>
  <c r="S14" i="16"/>
  <c r="F484" i="16"/>
  <c r="O483" i="16"/>
  <c r="C50" i="16"/>
  <c r="O49" i="16"/>
  <c r="R48" i="16"/>
  <c r="R482" i="16"/>
  <c r="R502" i="4"/>
  <c r="Q506" i="4"/>
  <c r="BH7" i="4"/>
  <c r="BI7" i="4" s="1"/>
  <c r="I447" i="4"/>
  <c r="BB446" i="4"/>
  <c r="BE446" i="4" s="1"/>
  <c r="BF430" i="4"/>
  <c r="BA451" i="4"/>
  <c r="BK6" i="4"/>
  <c r="BL6" i="4"/>
  <c r="BJ6" i="4"/>
  <c r="BB432" i="4"/>
  <c r="BA433" i="4"/>
  <c r="BE431" i="4"/>
  <c r="BA10" i="4"/>
  <c r="BB9" i="4"/>
  <c r="BE8" i="4"/>
  <c r="BF7" i="4"/>
  <c r="BG7" i="4"/>
  <c r="BE548" i="4" l="1"/>
  <c r="Q550" i="4"/>
  <c r="BB549" i="4"/>
  <c r="J119" i="17"/>
  <c r="G120" i="17"/>
  <c r="U10" i="16"/>
  <c r="V10" i="16" s="1"/>
  <c r="O50" i="16"/>
  <c r="C51" i="16"/>
  <c r="F485" i="16"/>
  <c r="O484" i="16"/>
  <c r="W9" i="16"/>
  <c r="Y9" i="16"/>
  <c r="X9" i="16"/>
  <c r="O17" i="16"/>
  <c r="R483" i="16"/>
  <c r="T15" i="16"/>
  <c r="S15" i="16"/>
  <c r="R49" i="16"/>
  <c r="R16" i="16"/>
  <c r="R503" i="4"/>
  <c r="Q507" i="4"/>
  <c r="Q508" i="4" s="1"/>
  <c r="BJ7" i="4"/>
  <c r="BL7" i="4"/>
  <c r="BH8" i="4"/>
  <c r="BI8" i="4" s="1"/>
  <c r="BJ8" i="4" s="1"/>
  <c r="BK7" i="4"/>
  <c r="I448" i="4"/>
  <c r="BB447" i="4"/>
  <c r="BE447" i="4" s="1"/>
  <c r="BF447" i="4" s="1"/>
  <c r="BA452" i="4"/>
  <c r="BA11" i="4"/>
  <c r="BB10" i="4"/>
  <c r="BF431" i="4"/>
  <c r="BE9" i="4"/>
  <c r="BE432" i="4"/>
  <c r="BB433" i="4"/>
  <c r="BA434" i="4"/>
  <c r="BG8" i="4"/>
  <c r="BF8" i="4"/>
  <c r="BE549" i="4" l="1"/>
  <c r="BB550" i="4"/>
  <c r="Q551" i="4"/>
  <c r="BB551" i="4" s="1"/>
  <c r="J120" i="17"/>
  <c r="G121" i="17"/>
  <c r="U11" i="16"/>
  <c r="U12" i="16" s="1"/>
  <c r="O18" i="16"/>
  <c r="R17" i="16"/>
  <c r="R484" i="16"/>
  <c r="C52" i="16"/>
  <c r="O51" i="16"/>
  <c r="X10" i="16"/>
  <c r="W10" i="16"/>
  <c r="Y10" i="16"/>
  <c r="T16" i="16"/>
  <c r="S16" i="16"/>
  <c r="O485" i="16"/>
  <c r="F486" i="16"/>
  <c r="R50" i="16"/>
  <c r="Q509" i="4"/>
  <c r="R504" i="4"/>
  <c r="BK8" i="4"/>
  <c r="BL8" i="4"/>
  <c r="BH9" i="4"/>
  <c r="BI9" i="4" s="1"/>
  <c r="I449" i="4"/>
  <c r="BB448" i="4"/>
  <c r="BE448" i="4" s="1"/>
  <c r="BF448" i="4" s="1"/>
  <c r="BB11" i="4"/>
  <c r="BA12" i="4"/>
  <c r="BE433" i="4"/>
  <c r="BF432" i="4"/>
  <c r="BB434" i="4"/>
  <c r="BA435" i="4"/>
  <c r="BE10" i="4"/>
  <c r="BG9" i="4"/>
  <c r="BF9" i="4"/>
  <c r="BA453" i="4"/>
  <c r="BE551" i="4" l="1"/>
  <c r="BE550" i="4"/>
  <c r="V11" i="16"/>
  <c r="Y11" i="16" s="1"/>
  <c r="J121" i="17"/>
  <c r="G122" i="17"/>
  <c r="R485" i="16"/>
  <c r="T17" i="16"/>
  <c r="S17" i="16"/>
  <c r="X11" i="16"/>
  <c r="C53" i="16"/>
  <c r="O52" i="16"/>
  <c r="F487" i="16"/>
  <c r="O486" i="16"/>
  <c r="V12" i="16"/>
  <c r="U13" i="16"/>
  <c r="R51" i="16"/>
  <c r="R18" i="16"/>
  <c r="O19" i="16"/>
  <c r="Q510" i="4"/>
  <c r="R505" i="4"/>
  <c r="BL9" i="4"/>
  <c r="BJ9" i="4"/>
  <c r="BH10" i="4"/>
  <c r="BI10" i="4" s="1"/>
  <c r="BK9" i="4"/>
  <c r="I450" i="4"/>
  <c r="BB449" i="4"/>
  <c r="BE449" i="4" s="1"/>
  <c r="BF449" i="4" s="1"/>
  <c r="BG10" i="4"/>
  <c r="BF10" i="4"/>
  <c r="BA454" i="4"/>
  <c r="BF433" i="4"/>
  <c r="BA13" i="4"/>
  <c r="BB12" i="4"/>
  <c r="BB435" i="4"/>
  <c r="BA436" i="4"/>
  <c r="BE434" i="4"/>
  <c r="BE11" i="4"/>
  <c r="W11" i="16" l="1"/>
  <c r="W12" i="16" s="1"/>
  <c r="G123" i="17"/>
  <c r="J122" i="17"/>
  <c r="R486" i="16"/>
  <c r="R52" i="16"/>
  <c r="F488" i="16"/>
  <c r="O487" i="16"/>
  <c r="C54" i="16"/>
  <c r="O53" i="16"/>
  <c r="R19" i="16"/>
  <c r="T18" i="16"/>
  <c r="S18" i="16"/>
  <c r="X12" i="16"/>
  <c r="Y12" i="16"/>
  <c r="O20" i="16"/>
  <c r="V13" i="16"/>
  <c r="U14" i="16"/>
  <c r="Q511" i="4"/>
  <c r="R506" i="4"/>
  <c r="BL10" i="4"/>
  <c r="BJ10" i="4"/>
  <c r="BK10" i="4"/>
  <c r="BH11" i="4"/>
  <c r="BI11" i="4" s="1"/>
  <c r="I451" i="4"/>
  <c r="BB450" i="4"/>
  <c r="BE450" i="4" s="1"/>
  <c r="BF450" i="4" s="1"/>
  <c r="BB13" i="4"/>
  <c r="BA14" i="4"/>
  <c r="BA455" i="4"/>
  <c r="BE435" i="4"/>
  <c r="BF11" i="4"/>
  <c r="BG11" i="4"/>
  <c r="BF434" i="4"/>
  <c r="BE12" i="4"/>
  <c r="BB436" i="4"/>
  <c r="BA437" i="4"/>
  <c r="G124" i="17" l="1"/>
  <c r="J123" i="17"/>
  <c r="R20" i="16"/>
  <c r="R487" i="16"/>
  <c r="C55" i="16"/>
  <c r="O54" i="16"/>
  <c r="S52" i="16"/>
  <c r="S19" i="16"/>
  <c r="T19" i="16"/>
  <c r="F489" i="16"/>
  <c r="O488" i="16"/>
  <c r="V14" i="16"/>
  <c r="U15" i="16"/>
  <c r="O21" i="16"/>
  <c r="Y13" i="16"/>
  <c r="W13" i="16"/>
  <c r="X13" i="16"/>
  <c r="R53" i="16"/>
  <c r="Q512" i="4"/>
  <c r="R507" i="4"/>
  <c r="R508" i="4" s="1"/>
  <c r="BL11" i="4"/>
  <c r="BJ11" i="4"/>
  <c r="BK11" i="4"/>
  <c r="BH12" i="4"/>
  <c r="BI12" i="4" s="1"/>
  <c r="I452" i="4"/>
  <c r="BB451" i="4"/>
  <c r="BE451" i="4" s="1"/>
  <c r="BF451" i="4" s="1"/>
  <c r="BA456" i="4"/>
  <c r="BB437" i="4"/>
  <c r="BA438" i="4"/>
  <c r="BB14" i="4"/>
  <c r="BA15" i="4"/>
  <c r="BF435" i="4"/>
  <c r="BE436" i="4"/>
  <c r="BG12" i="4"/>
  <c r="BF12" i="4"/>
  <c r="BE13" i="4"/>
  <c r="G125" i="17" l="1"/>
  <c r="J124" i="17"/>
  <c r="V15" i="16"/>
  <c r="U16" i="16"/>
  <c r="S53" i="16"/>
  <c r="R488" i="16"/>
  <c r="R54" i="16"/>
  <c r="O55" i="16"/>
  <c r="C56" i="16"/>
  <c r="O22" i="16"/>
  <c r="X14" i="16"/>
  <c r="Y14" i="16"/>
  <c r="W14" i="16"/>
  <c r="F490" i="16"/>
  <c r="O489" i="16"/>
  <c r="R21" i="16"/>
  <c r="T20" i="16"/>
  <c r="S20" i="16"/>
  <c r="R509" i="4"/>
  <c r="Q513" i="4"/>
  <c r="BL12" i="4"/>
  <c r="BK12" i="4"/>
  <c r="BJ12" i="4"/>
  <c r="BH13" i="4"/>
  <c r="BI13" i="4" s="1"/>
  <c r="I453" i="4"/>
  <c r="BB452" i="4"/>
  <c r="BE452" i="4" s="1"/>
  <c r="BF452" i="4" s="1"/>
  <c r="BG13" i="4"/>
  <c r="BF13" i="4"/>
  <c r="BE14" i="4"/>
  <c r="BA457" i="4"/>
  <c r="BA16" i="4"/>
  <c r="BB15" i="4"/>
  <c r="BE437" i="4"/>
  <c r="BB438" i="4"/>
  <c r="BA439" i="4"/>
  <c r="BF436" i="4"/>
  <c r="K124" i="17" l="1"/>
  <c r="J125" i="17"/>
  <c r="G126" i="17"/>
  <c r="O23" i="16"/>
  <c r="O56" i="16"/>
  <c r="C57" i="16"/>
  <c r="V16" i="16"/>
  <c r="U17" i="16"/>
  <c r="S488" i="16"/>
  <c r="S21" i="16"/>
  <c r="T21" i="16"/>
  <c r="R22" i="16"/>
  <c r="R489" i="16"/>
  <c r="R55" i="16"/>
  <c r="Y15" i="16"/>
  <c r="W15" i="16"/>
  <c r="X15" i="16"/>
  <c r="O490" i="16"/>
  <c r="F491" i="16"/>
  <c r="S54" i="16"/>
  <c r="Q514" i="4"/>
  <c r="R510" i="4"/>
  <c r="BL13" i="4"/>
  <c r="BH14" i="4"/>
  <c r="BI14" i="4" s="1"/>
  <c r="BJ13" i="4"/>
  <c r="BK13" i="4"/>
  <c r="I454" i="4"/>
  <c r="BB453" i="4"/>
  <c r="BE453" i="4" s="1"/>
  <c r="BF453" i="4" s="1"/>
  <c r="BB16" i="4"/>
  <c r="BA17" i="4"/>
  <c r="BF437" i="4"/>
  <c r="BE438" i="4"/>
  <c r="BG14" i="4"/>
  <c r="BF14" i="4"/>
  <c r="BE15" i="4"/>
  <c r="BA458" i="4"/>
  <c r="BB439" i="4"/>
  <c r="BA440" i="4"/>
  <c r="G127" i="17" l="1"/>
  <c r="K125" i="17"/>
  <c r="J126" i="17"/>
  <c r="O491" i="16"/>
  <c r="F492" i="16"/>
  <c r="S55" i="16"/>
  <c r="R490" i="16"/>
  <c r="S489" i="16"/>
  <c r="V17" i="16"/>
  <c r="U18" i="16"/>
  <c r="X16" i="16"/>
  <c r="Y16" i="16"/>
  <c r="W16" i="16"/>
  <c r="C58" i="16"/>
  <c r="O57" i="16"/>
  <c r="T22" i="16"/>
  <c r="S22" i="16"/>
  <c r="R56" i="16"/>
  <c r="O24" i="16"/>
  <c r="R23" i="16"/>
  <c r="R511" i="4"/>
  <c r="Q515" i="4"/>
  <c r="BH15" i="4"/>
  <c r="BI15" i="4" s="1"/>
  <c r="BK14" i="4"/>
  <c r="BL14" i="4"/>
  <c r="BJ14" i="4"/>
  <c r="I455" i="4"/>
  <c r="BB454" i="4"/>
  <c r="BE454" i="4" s="1"/>
  <c r="BF454" i="4" s="1"/>
  <c r="BG15" i="4"/>
  <c r="BF15" i="4"/>
  <c r="BA459" i="4"/>
  <c r="BB440" i="4"/>
  <c r="BA441" i="4"/>
  <c r="BF438" i="4"/>
  <c r="BE439" i="4"/>
  <c r="BA18" i="4"/>
  <c r="BB17" i="4"/>
  <c r="BE16" i="4"/>
  <c r="K126" i="17" l="1"/>
  <c r="G128" i="17"/>
  <c r="J127" i="17"/>
  <c r="C59" i="16"/>
  <c r="O58" i="16"/>
  <c r="S490" i="16"/>
  <c r="F493" i="16"/>
  <c r="O492" i="16"/>
  <c r="T23" i="16"/>
  <c r="S23" i="16"/>
  <c r="R491" i="16"/>
  <c r="R57" i="16"/>
  <c r="V18" i="16"/>
  <c r="U19" i="16"/>
  <c r="O25" i="16"/>
  <c r="W17" i="16"/>
  <c r="X17" i="16"/>
  <c r="Y17" i="16"/>
  <c r="R24" i="16"/>
  <c r="S56" i="16"/>
  <c r="Q516" i="4"/>
  <c r="R512" i="4"/>
  <c r="BH16" i="4"/>
  <c r="BI16" i="4" s="1"/>
  <c r="BL15" i="4"/>
  <c r="BK15" i="4"/>
  <c r="BJ15" i="4"/>
  <c r="I456" i="4"/>
  <c r="BB455" i="4"/>
  <c r="BE455" i="4" s="1"/>
  <c r="BF455" i="4" s="1"/>
  <c r="BA460" i="4"/>
  <c r="BF439" i="4"/>
  <c r="BF16" i="4"/>
  <c r="BG16" i="4"/>
  <c r="BA19" i="4"/>
  <c r="BB18" i="4"/>
  <c r="BE440" i="4"/>
  <c r="BB441" i="4"/>
  <c r="BA442" i="4"/>
  <c r="BB442" i="4" s="1"/>
  <c r="BE17" i="4"/>
  <c r="G129" i="17" l="1"/>
  <c r="J128" i="17"/>
  <c r="K127" i="17"/>
  <c r="O26" i="16"/>
  <c r="F494" i="16"/>
  <c r="O493" i="16"/>
  <c r="R492" i="16"/>
  <c r="S491" i="16"/>
  <c r="T24" i="16"/>
  <c r="S24" i="16"/>
  <c r="S57" i="16"/>
  <c r="R25" i="16"/>
  <c r="V19" i="16"/>
  <c r="U20" i="16"/>
  <c r="X18" i="16"/>
  <c r="W18" i="16"/>
  <c r="Y18" i="16"/>
  <c r="R58" i="16"/>
  <c r="C60" i="16"/>
  <c r="O59" i="16"/>
  <c r="R513" i="4"/>
  <c r="Q517" i="4"/>
  <c r="BL16" i="4"/>
  <c r="BJ16" i="4"/>
  <c r="BK16" i="4"/>
  <c r="BH17" i="4"/>
  <c r="BI17" i="4" s="1"/>
  <c r="I457" i="4"/>
  <c r="BB456" i="4"/>
  <c r="BE456" i="4" s="1"/>
  <c r="BF456" i="4" s="1"/>
  <c r="BG17" i="4"/>
  <c r="BF17" i="4"/>
  <c r="BE18" i="4"/>
  <c r="BA461" i="4"/>
  <c r="BF440" i="4"/>
  <c r="BB19" i="4"/>
  <c r="BA20" i="4"/>
  <c r="BE443" i="4"/>
  <c r="BE442" i="4"/>
  <c r="BE441" i="4"/>
  <c r="K128" i="17" l="1"/>
  <c r="J129" i="17"/>
  <c r="G130" i="17"/>
  <c r="O27" i="16"/>
  <c r="C61" i="16"/>
  <c r="O60" i="16"/>
  <c r="T25" i="16"/>
  <c r="S25" i="16"/>
  <c r="S492" i="16"/>
  <c r="R59" i="16"/>
  <c r="W19" i="16"/>
  <c r="Y19" i="16"/>
  <c r="X19" i="16"/>
  <c r="S58" i="16"/>
  <c r="R493" i="16"/>
  <c r="O494" i="16"/>
  <c r="F495" i="16"/>
  <c r="V20" i="16"/>
  <c r="U21" i="16"/>
  <c r="R26" i="16"/>
  <c r="Q518" i="4"/>
  <c r="R514" i="4"/>
  <c r="BK17" i="4"/>
  <c r="BL17" i="4"/>
  <c r="BJ17" i="4"/>
  <c r="BH18" i="4"/>
  <c r="BI18" i="4" s="1"/>
  <c r="I458" i="4"/>
  <c r="BB457" i="4"/>
  <c r="BE457" i="4" s="1"/>
  <c r="BF457" i="4" s="1"/>
  <c r="BG18" i="4"/>
  <c r="BF18" i="4"/>
  <c r="BA21" i="4"/>
  <c r="BB20" i="4"/>
  <c r="BA462" i="4"/>
  <c r="BF441" i="4"/>
  <c r="BF442" i="4" s="1"/>
  <c r="BF443" i="4" s="1"/>
  <c r="BF444" i="4" s="1"/>
  <c r="BF445" i="4" s="1"/>
  <c r="BF446" i="4" s="1"/>
  <c r="BE19" i="4"/>
  <c r="G131" i="17" l="1"/>
  <c r="J130" i="17"/>
  <c r="K129" i="17"/>
  <c r="R27" i="16"/>
  <c r="O495" i="16"/>
  <c r="F496" i="16"/>
  <c r="O28" i="16"/>
  <c r="T26" i="16"/>
  <c r="S26" i="16"/>
  <c r="V21" i="16"/>
  <c r="U22" i="16"/>
  <c r="X20" i="16"/>
  <c r="W20" i="16"/>
  <c r="Y20" i="16"/>
  <c r="R494" i="16"/>
  <c r="R60" i="16"/>
  <c r="S59" i="16"/>
  <c r="S493" i="16"/>
  <c r="O61" i="16"/>
  <c r="C62" i="16"/>
  <c r="R515" i="4"/>
  <c r="Q519" i="4"/>
  <c r="BK18" i="4"/>
  <c r="BL18" i="4"/>
  <c r="BJ18" i="4"/>
  <c r="BH19" i="4"/>
  <c r="BI19" i="4" s="1"/>
  <c r="I459" i="4"/>
  <c r="BB458" i="4"/>
  <c r="BE458" i="4" s="1"/>
  <c r="BF458" i="4" s="1"/>
  <c r="BE20" i="4"/>
  <c r="BF19" i="4"/>
  <c r="BG19" i="4"/>
  <c r="BB21" i="4"/>
  <c r="BA22" i="4"/>
  <c r="BA463" i="4"/>
  <c r="K130" i="17" l="1"/>
  <c r="G132" i="17"/>
  <c r="J131" i="17"/>
  <c r="O29" i="16"/>
  <c r="R28" i="16"/>
  <c r="R495" i="16"/>
  <c r="R61" i="16"/>
  <c r="O496" i="16"/>
  <c r="F497" i="16"/>
  <c r="V22" i="16"/>
  <c r="U23" i="16"/>
  <c r="S27" i="16"/>
  <c r="T27" i="16"/>
  <c r="S60" i="16"/>
  <c r="Y21" i="16"/>
  <c r="W21" i="16"/>
  <c r="X21" i="16"/>
  <c r="O62" i="16"/>
  <c r="C63" i="16"/>
  <c r="S494" i="16"/>
  <c r="Q520" i="4"/>
  <c r="R516" i="4"/>
  <c r="BJ19" i="4"/>
  <c r="BL19" i="4"/>
  <c r="BK19" i="4"/>
  <c r="BH20" i="4"/>
  <c r="BI20" i="4" s="1"/>
  <c r="I460" i="4"/>
  <c r="BB459" i="4"/>
  <c r="BE459" i="4" s="1"/>
  <c r="BF459" i="4" s="1"/>
  <c r="BA464" i="4"/>
  <c r="BE21" i="4"/>
  <c r="BB22" i="4"/>
  <c r="BA23" i="4"/>
  <c r="BG20" i="4"/>
  <c r="BF20" i="4"/>
  <c r="K131" i="17" l="1"/>
  <c r="J132" i="17"/>
  <c r="G133" i="17"/>
  <c r="O30" i="16"/>
  <c r="R62" i="16"/>
  <c r="S495" i="16"/>
  <c r="R496" i="16"/>
  <c r="O63" i="16"/>
  <c r="C64" i="16"/>
  <c r="S61" i="16"/>
  <c r="V23" i="16"/>
  <c r="U24" i="16"/>
  <c r="T28" i="16"/>
  <c r="S28" i="16"/>
  <c r="X22" i="16"/>
  <c r="Y22" i="16"/>
  <c r="W22" i="16"/>
  <c r="F498" i="16"/>
  <c r="O497" i="16"/>
  <c r="R29" i="16"/>
  <c r="R517" i="4"/>
  <c r="Q521" i="4"/>
  <c r="BJ20" i="4"/>
  <c r="BL20" i="4"/>
  <c r="BH21" i="4"/>
  <c r="BI21" i="4" s="1"/>
  <c r="BK20" i="4"/>
  <c r="I461" i="4"/>
  <c r="BB460" i="4"/>
  <c r="BE460" i="4" s="1"/>
  <c r="BF460" i="4" s="1"/>
  <c r="BA24" i="4"/>
  <c r="BB23" i="4"/>
  <c r="BG21" i="4"/>
  <c r="BF21" i="4"/>
  <c r="BE22" i="4"/>
  <c r="BA465" i="4"/>
  <c r="G134" i="17" l="1"/>
  <c r="J133" i="17"/>
  <c r="K132" i="17"/>
  <c r="F499" i="16"/>
  <c r="O498" i="16"/>
  <c r="S62" i="16"/>
  <c r="R63" i="16"/>
  <c r="T29" i="16"/>
  <c r="S29" i="16"/>
  <c r="V24" i="16"/>
  <c r="U25" i="16"/>
  <c r="S496" i="16"/>
  <c r="R497" i="16"/>
  <c r="Y23" i="16"/>
  <c r="W23" i="16"/>
  <c r="X23" i="16"/>
  <c r="O64" i="16"/>
  <c r="C65" i="16"/>
  <c r="R30" i="16"/>
  <c r="O31" i="16"/>
  <c r="R518" i="4"/>
  <c r="Q522" i="4"/>
  <c r="BL21" i="4"/>
  <c r="BK21" i="4"/>
  <c r="BJ21" i="4"/>
  <c r="BH22" i="4"/>
  <c r="BI22" i="4" s="1"/>
  <c r="I462" i="4"/>
  <c r="BB461" i="4"/>
  <c r="BE461" i="4" s="1"/>
  <c r="BF461" i="4" s="1"/>
  <c r="BA467" i="4"/>
  <c r="BG22" i="4"/>
  <c r="BF22" i="4"/>
  <c r="BE23" i="4"/>
  <c r="BB24" i="4"/>
  <c r="BA25" i="4"/>
  <c r="G135" i="17" l="1"/>
  <c r="K133" i="17"/>
  <c r="J134" i="17"/>
  <c r="O32" i="16"/>
  <c r="S497" i="16"/>
  <c r="S63" i="16"/>
  <c r="C66" i="16"/>
  <c r="O65" i="16"/>
  <c r="R31" i="16"/>
  <c r="R64" i="16"/>
  <c r="V25" i="16"/>
  <c r="U26" i="16"/>
  <c r="R498" i="16"/>
  <c r="O499" i="16"/>
  <c r="F500" i="16"/>
  <c r="T30" i="16"/>
  <c r="S30" i="16"/>
  <c r="X24" i="16"/>
  <c r="Y24" i="16"/>
  <c r="W24" i="16"/>
  <c r="Q523" i="4"/>
  <c r="R519" i="4"/>
  <c r="BL22" i="4"/>
  <c r="BH23" i="4"/>
  <c r="BI23" i="4" s="1"/>
  <c r="BJ22" i="4"/>
  <c r="BK22" i="4"/>
  <c r="BA468" i="4"/>
  <c r="I463" i="4"/>
  <c r="BB462" i="4"/>
  <c r="BE462" i="4" s="1"/>
  <c r="BF462" i="4" s="1"/>
  <c r="BA26" i="4"/>
  <c r="BB25" i="4"/>
  <c r="BE24" i="4"/>
  <c r="BG23" i="4"/>
  <c r="BF23" i="4"/>
  <c r="K134" i="17" l="1"/>
  <c r="J135" i="17"/>
  <c r="G136" i="17"/>
  <c r="C67" i="16"/>
  <c r="O66" i="16"/>
  <c r="S498" i="16"/>
  <c r="W25" i="16"/>
  <c r="X25" i="16"/>
  <c r="Y25" i="16"/>
  <c r="R499" i="16"/>
  <c r="R65" i="16"/>
  <c r="V26" i="16"/>
  <c r="U27" i="16"/>
  <c r="S64" i="16"/>
  <c r="T31" i="16"/>
  <c r="S31" i="16"/>
  <c r="O500" i="16"/>
  <c r="F501" i="16"/>
  <c r="R32" i="16"/>
  <c r="O33" i="16"/>
  <c r="R520" i="4"/>
  <c r="Q524" i="4"/>
  <c r="BL23" i="4"/>
  <c r="BJ23" i="4"/>
  <c r="BK23" i="4"/>
  <c r="BH24" i="4"/>
  <c r="BI24" i="4" s="1"/>
  <c r="BA469" i="4"/>
  <c r="I464" i="4"/>
  <c r="BB463" i="4"/>
  <c r="BE463" i="4" s="1"/>
  <c r="BF463" i="4" s="1"/>
  <c r="BF24" i="4"/>
  <c r="BG24" i="4"/>
  <c r="BE25" i="4"/>
  <c r="BB26" i="4"/>
  <c r="BA27" i="4"/>
  <c r="J136" i="17" l="1"/>
  <c r="K135" i="17"/>
  <c r="G137" i="17"/>
  <c r="R33" i="16"/>
  <c r="F502" i="16"/>
  <c r="O501" i="16"/>
  <c r="S65" i="16"/>
  <c r="R500" i="16"/>
  <c r="O34" i="16"/>
  <c r="S32" i="16"/>
  <c r="T32" i="16"/>
  <c r="V27" i="16"/>
  <c r="U28" i="16"/>
  <c r="X26" i="16"/>
  <c r="W26" i="16"/>
  <c r="Y26" i="16"/>
  <c r="S499" i="16"/>
  <c r="R66" i="16"/>
  <c r="O67" i="16"/>
  <c r="C68" i="16"/>
  <c r="Q525" i="4"/>
  <c r="R521" i="4"/>
  <c r="BL24" i="4"/>
  <c r="BJ24" i="4"/>
  <c r="BH25" i="4"/>
  <c r="BI25" i="4" s="1"/>
  <c r="BK24" i="4"/>
  <c r="BA470" i="4"/>
  <c r="I465" i="4"/>
  <c r="BB464" i="4"/>
  <c r="BE464" i="4" s="1"/>
  <c r="BF464" i="4" s="1"/>
  <c r="BA28" i="4"/>
  <c r="BB27" i="4"/>
  <c r="BE26" i="4"/>
  <c r="BG25" i="4"/>
  <c r="BF25" i="4"/>
  <c r="K136" i="17" l="1"/>
  <c r="J137" i="17"/>
  <c r="G138" i="17"/>
  <c r="O35" i="16"/>
  <c r="V28" i="16"/>
  <c r="U29" i="16"/>
  <c r="S66" i="16"/>
  <c r="W27" i="16"/>
  <c r="Y27" i="16"/>
  <c r="X27" i="16"/>
  <c r="S500" i="16"/>
  <c r="R67" i="16"/>
  <c r="R34" i="16"/>
  <c r="R501" i="16"/>
  <c r="F503" i="16"/>
  <c r="O502" i="16"/>
  <c r="C69" i="16"/>
  <c r="O68" i="16"/>
  <c r="S33" i="16"/>
  <c r="T33" i="16"/>
  <c r="Q526" i="4"/>
  <c r="R522" i="4"/>
  <c r="BL25" i="4"/>
  <c r="BH26" i="4"/>
  <c r="BI26" i="4" s="1"/>
  <c r="BK25" i="4"/>
  <c r="BJ25" i="4"/>
  <c r="BA471" i="4"/>
  <c r="I466" i="4"/>
  <c r="BB465" i="4"/>
  <c r="BE465" i="4" s="1"/>
  <c r="BF465" i="4" s="1"/>
  <c r="BF26" i="4"/>
  <c r="BG26" i="4"/>
  <c r="BE27" i="4"/>
  <c r="BB28" i="4"/>
  <c r="BA29" i="4"/>
  <c r="K137" i="17" l="1"/>
  <c r="G139" i="17"/>
  <c r="J138" i="17"/>
  <c r="S67" i="16"/>
  <c r="C70" i="16"/>
  <c r="O69" i="16"/>
  <c r="V29" i="16"/>
  <c r="U30" i="16"/>
  <c r="S501" i="16"/>
  <c r="R68" i="16"/>
  <c r="T34" i="16"/>
  <c r="S34" i="16"/>
  <c r="R502" i="16"/>
  <c r="X28" i="16"/>
  <c r="W28" i="16"/>
  <c r="Y28" i="16"/>
  <c r="O503" i="16"/>
  <c r="F504" i="16"/>
  <c r="R35" i="16"/>
  <c r="O36" i="16"/>
  <c r="R523" i="4"/>
  <c r="Q527" i="4"/>
  <c r="BL26" i="4"/>
  <c r="BH27" i="4"/>
  <c r="BI27" i="4" s="1"/>
  <c r="BJ26" i="4"/>
  <c r="BK26" i="4"/>
  <c r="BB466" i="4"/>
  <c r="BE466" i="4" s="1"/>
  <c r="BF466" i="4" s="1"/>
  <c r="I467" i="4"/>
  <c r="BA472" i="4"/>
  <c r="BG27" i="4"/>
  <c r="BF27" i="4"/>
  <c r="BE28" i="4"/>
  <c r="BB29" i="4"/>
  <c r="BA30" i="4"/>
  <c r="J139" i="17" l="1"/>
  <c r="K138" i="17"/>
  <c r="G140" i="17"/>
  <c r="C71" i="16"/>
  <c r="O70" i="16"/>
  <c r="S502" i="16"/>
  <c r="X29" i="16"/>
  <c r="W29" i="16"/>
  <c r="Y29" i="16"/>
  <c r="T35" i="16"/>
  <c r="S35" i="16"/>
  <c r="R69" i="16"/>
  <c r="R503" i="16"/>
  <c r="S68" i="16"/>
  <c r="O504" i="16"/>
  <c r="F505" i="16"/>
  <c r="O37" i="16"/>
  <c r="V30" i="16"/>
  <c r="U31" i="16"/>
  <c r="R36" i="16"/>
  <c r="Q528" i="4"/>
  <c r="R524" i="4"/>
  <c r="BL27" i="4"/>
  <c r="BH28" i="4"/>
  <c r="BI28" i="4" s="1"/>
  <c r="BK27" i="4"/>
  <c r="BJ27" i="4"/>
  <c r="I468" i="4"/>
  <c r="BB467" i="4"/>
  <c r="BE467" i="4" s="1"/>
  <c r="BF467" i="4" s="1"/>
  <c r="BA473" i="4"/>
  <c r="BE29" i="4"/>
  <c r="BF28" i="4"/>
  <c r="BG28" i="4"/>
  <c r="BB30" i="4"/>
  <c r="BA31" i="4"/>
  <c r="BK28" i="4" l="1"/>
  <c r="K139" i="17"/>
  <c r="J140" i="17"/>
  <c r="G141" i="17"/>
  <c r="T36" i="16"/>
  <c r="S36" i="16"/>
  <c r="R504" i="16"/>
  <c r="V31" i="16"/>
  <c r="U32" i="16"/>
  <c r="X30" i="16"/>
  <c r="Y30" i="16"/>
  <c r="W30" i="16"/>
  <c r="R37" i="16"/>
  <c r="O38" i="16"/>
  <c r="O505" i="16"/>
  <c r="F506" i="16"/>
  <c r="S503" i="16"/>
  <c r="S69" i="16"/>
  <c r="R70" i="16"/>
  <c r="C72" i="16"/>
  <c r="O71" i="16"/>
  <c r="R525" i="4"/>
  <c r="Q529" i="4"/>
  <c r="BL28" i="4"/>
  <c r="BJ28" i="4"/>
  <c r="BH29" i="4"/>
  <c r="BI29" i="4" s="1"/>
  <c r="I469" i="4"/>
  <c r="BB468" i="4"/>
  <c r="BE468" i="4" s="1"/>
  <c r="BF468" i="4" s="1"/>
  <c r="BA474" i="4"/>
  <c r="BE30" i="4"/>
  <c r="BG29" i="4"/>
  <c r="BF29" i="4"/>
  <c r="BB31" i="4"/>
  <c r="BA32" i="4"/>
  <c r="K140" i="17" l="1"/>
  <c r="G142" i="17"/>
  <c r="J141" i="17"/>
  <c r="F507" i="16"/>
  <c r="O506" i="16"/>
  <c r="S70" i="16"/>
  <c r="R505" i="16"/>
  <c r="V32" i="16"/>
  <c r="U33" i="16"/>
  <c r="R38" i="16"/>
  <c r="Y31" i="16"/>
  <c r="W31" i="16"/>
  <c r="X31" i="16"/>
  <c r="O39" i="16"/>
  <c r="S504" i="16"/>
  <c r="S37" i="16"/>
  <c r="T37" i="16"/>
  <c r="O72" i="16"/>
  <c r="C73" i="16"/>
  <c r="R71" i="16"/>
  <c r="Q530" i="4"/>
  <c r="Q531" i="4" s="1"/>
  <c r="R526" i="4"/>
  <c r="BL29" i="4"/>
  <c r="BK29" i="4"/>
  <c r="BJ29" i="4"/>
  <c r="BH30" i="4"/>
  <c r="BI30" i="4" s="1"/>
  <c r="I470" i="4"/>
  <c r="BB469" i="4"/>
  <c r="BE469" i="4" s="1"/>
  <c r="BF469" i="4" s="1"/>
  <c r="BG30" i="4"/>
  <c r="BF30" i="4"/>
  <c r="BE31" i="4"/>
  <c r="BA33" i="4"/>
  <c r="BB32" i="4"/>
  <c r="Q532" i="4" l="1"/>
  <c r="J142" i="17"/>
  <c r="K141" i="17"/>
  <c r="G143" i="17"/>
  <c r="C74" i="16"/>
  <c r="O73" i="16"/>
  <c r="R39" i="16"/>
  <c r="X32" i="16"/>
  <c r="Y32" i="16"/>
  <c r="W32" i="16"/>
  <c r="S505" i="16"/>
  <c r="O41" i="16"/>
  <c r="O40" i="16"/>
  <c r="V33" i="16"/>
  <c r="U34" i="16"/>
  <c r="S71" i="16"/>
  <c r="R72" i="16"/>
  <c r="T38" i="16"/>
  <c r="S38" i="16"/>
  <c r="R506" i="16"/>
  <c r="F508" i="16"/>
  <c r="O507" i="16"/>
  <c r="R527" i="4"/>
  <c r="BL30" i="4"/>
  <c r="BK30" i="4"/>
  <c r="BJ30" i="4"/>
  <c r="BH31" i="4"/>
  <c r="BI31" i="4" s="1"/>
  <c r="I471" i="4"/>
  <c r="BB470" i="4"/>
  <c r="BE470" i="4" s="1"/>
  <c r="BF470" i="4" s="1"/>
  <c r="BA476" i="4"/>
  <c r="BA479" i="4" s="1"/>
  <c r="BB33" i="4"/>
  <c r="BA34" i="4"/>
  <c r="BE32" i="4"/>
  <c r="BF31" i="4"/>
  <c r="BG31" i="4"/>
  <c r="Q533" i="4" l="1"/>
  <c r="Q534" i="4" s="1"/>
  <c r="BL31" i="4"/>
  <c r="G144" i="17"/>
  <c r="J143" i="17"/>
  <c r="K142" i="17"/>
  <c r="O508" i="16"/>
  <c r="F509" i="16"/>
  <c r="R41" i="16"/>
  <c r="R42" i="16"/>
  <c r="R507" i="16"/>
  <c r="V34" i="16"/>
  <c r="U35" i="16"/>
  <c r="X33" i="16"/>
  <c r="Y33" i="16"/>
  <c r="W33" i="16"/>
  <c r="R40" i="16"/>
  <c r="T39" i="16"/>
  <c r="S39" i="16"/>
  <c r="S72" i="16"/>
  <c r="S506" i="16"/>
  <c r="R73" i="16"/>
  <c r="C75" i="16"/>
  <c r="O74" i="16"/>
  <c r="BJ31" i="4"/>
  <c r="R528" i="4"/>
  <c r="BK31" i="4"/>
  <c r="BH32" i="4"/>
  <c r="BI32" i="4" s="1"/>
  <c r="BA480" i="4"/>
  <c r="BB479" i="4"/>
  <c r="I472" i="4"/>
  <c r="BB471" i="4"/>
  <c r="BE471" i="4" s="1"/>
  <c r="BF471" i="4" s="1"/>
  <c r="BF32" i="4"/>
  <c r="BG32" i="4"/>
  <c r="BB34" i="4"/>
  <c r="BA35" i="4"/>
  <c r="BE33" i="4"/>
  <c r="Q535" i="4" l="1"/>
  <c r="BK32" i="4"/>
  <c r="K143" i="17"/>
  <c r="G145" i="17"/>
  <c r="J144" i="17"/>
  <c r="T40" i="16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S40" i="16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07" i="16"/>
  <c r="R74" i="16"/>
  <c r="O509" i="16"/>
  <c r="F510" i="16"/>
  <c r="C76" i="16"/>
  <c r="O75" i="16"/>
  <c r="V35" i="16"/>
  <c r="U36" i="16"/>
  <c r="S73" i="16"/>
  <c r="X34" i="16"/>
  <c r="Y34" i="16"/>
  <c r="W34" i="16"/>
  <c r="R508" i="16"/>
  <c r="BL32" i="4"/>
  <c r="BH33" i="4"/>
  <c r="BI33" i="4" s="1"/>
  <c r="BL33" i="4" s="1"/>
  <c r="BJ32" i="4"/>
  <c r="R529" i="4"/>
  <c r="BA481" i="4"/>
  <c r="BB480" i="4"/>
  <c r="I473" i="4"/>
  <c r="BB472" i="4"/>
  <c r="BE472" i="4" s="1"/>
  <c r="BF472" i="4" s="1"/>
  <c r="BE34" i="4"/>
  <c r="BB35" i="4"/>
  <c r="BA36" i="4"/>
  <c r="BG33" i="4"/>
  <c r="BF33" i="4"/>
  <c r="Q536" i="4" l="1"/>
  <c r="BJ33" i="4"/>
  <c r="BH34" i="4"/>
  <c r="BI34" i="4" s="1"/>
  <c r="K144" i="17"/>
  <c r="J145" i="17"/>
  <c r="G146" i="17"/>
  <c r="R509" i="16"/>
  <c r="O510" i="16"/>
  <c r="F511" i="16"/>
  <c r="C77" i="16"/>
  <c r="O76" i="16"/>
  <c r="V36" i="16"/>
  <c r="U37" i="16"/>
  <c r="S508" i="16"/>
  <c r="R75" i="16"/>
  <c r="W35" i="16"/>
  <c r="Y35" i="16"/>
  <c r="X35" i="16"/>
  <c r="S74" i="16"/>
  <c r="T74" i="16"/>
  <c r="BK33" i="4"/>
  <c r="R530" i="4"/>
  <c r="R531" i="4" s="1"/>
  <c r="BB481" i="4"/>
  <c r="BE480" i="4"/>
  <c r="I474" i="4"/>
  <c r="BB473" i="4"/>
  <c r="BE473" i="4" s="1"/>
  <c r="BF473" i="4" s="1"/>
  <c r="BE35" i="4"/>
  <c r="BG34" i="4"/>
  <c r="BF34" i="4"/>
  <c r="BB36" i="4"/>
  <c r="BA37" i="4"/>
  <c r="Q537" i="4" l="1"/>
  <c r="BH35" i="4"/>
  <c r="BI35" i="4" s="1"/>
  <c r="R532" i="4"/>
  <c r="BJ34" i="4"/>
  <c r="BJ35" i="4" s="1"/>
  <c r="BL34" i="4"/>
  <c r="BL35" i="4" s="1"/>
  <c r="BK34" i="4"/>
  <c r="BK35" i="4" s="1"/>
  <c r="G147" i="17"/>
  <c r="J146" i="17"/>
  <c r="K145" i="17"/>
  <c r="O511" i="16"/>
  <c r="F512" i="16"/>
  <c r="C78" i="16"/>
  <c r="O77" i="16"/>
  <c r="R510" i="16"/>
  <c r="R76" i="16"/>
  <c r="S509" i="16"/>
  <c r="S75" i="16"/>
  <c r="T75" i="16"/>
  <c r="V37" i="16"/>
  <c r="U38" i="16"/>
  <c r="Y36" i="16"/>
  <c r="X36" i="16"/>
  <c r="W36" i="16"/>
  <c r="BE481" i="4"/>
  <c r="BA483" i="4"/>
  <c r="BB482" i="4"/>
  <c r="I475" i="4"/>
  <c r="BB474" i="4"/>
  <c r="BE474" i="4" s="1"/>
  <c r="BF474" i="4" s="1"/>
  <c r="BH36" i="4"/>
  <c r="BI36" i="4" s="1"/>
  <c r="BE36" i="4"/>
  <c r="BF35" i="4"/>
  <c r="BG35" i="4"/>
  <c r="BB37" i="4"/>
  <c r="BA38" i="4"/>
  <c r="Q538" i="4" l="1"/>
  <c r="R533" i="4"/>
  <c r="R534" i="4" s="1"/>
  <c r="J147" i="17"/>
  <c r="G148" i="17"/>
  <c r="K146" i="17"/>
  <c r="V38" i="16"/>
  <c r="U39" i="16"/>
  <c r="X37" i="16"/>
  <c r="Y37" i="16"/>
  <c r="W37" i="16"/>
  <c r="S510" i="16"/>
  <c r="T76" i="16"/>
  <c r="S76" i="16"/>
  <c r="R77" i="16"/>
  <c r="C79" i="16"/>
  <c r="O78" i="16"/>
  <c r="F513" i="16"/>
  <c r="O512" i="16"/>
  <c r="R511" i="16"/>
  <c r="BA484" i="4"/>
  <c r="BB483" i="4"/>
  <c r="BE482" i="4"/>
  <c r="I476" i="4"/>
  <c r="BB475" i="4"/>
  <c r="BE475" i="4" s="1"/>
  <c r="BF475" i="4" s="1"/>
  <c r="BH37" i="4"/>
  <c r="BI37" i="4" s="1"/>
  <c r="BE37" i="4"/>
  <c r="BF36" i="4"/>
  <c r="BG36" i="4"/>
  <c r="BB38" i="4"/>
  <c r="BA39" i="4"/>
  <c r="BK36" i="4"/>
  <c r="BJ36" i="4"/>
  <c r="BL36" i="4"/>
  <c r="R535" i="4" l="1"/>
  <c r="BB534" i="4"/>
  <c r="J148" i="17"/>
  <c r="G149" i="17"/>
  <c r="K147" i="17"/>
  <c r="R512" i="16"/>
  <c r="R78" i="16"/>
  <c r="C80" i="16"/>
  <c r="O79" i="16"/>
  <c r="S77" i="16"/>
  <c r="T77" i="16"/>
  <c r="O513" i="16"/>
  <c r="F514" i="16"/>
  <c r="S511" i="16"/>
  <c r="V39" i="16"/>
  <c r="U40" i="16"/>
  <c r="Y38" i="16"/>
  <c r="W38" i="16"/>
  <c r="X38" i="16"/>
  <c r="BE483" i="4"/>
  <c r="BA485" i="4"/>
  <c r="BB484" i="4"/>
  <c r="BB476" i="4"/>
  <c r="BH38" i="4"/>
  <c r="BI38" i="4" s="1"/>
  <c r="BE38" i="4"/>
  <c r="BB39" i="4"/>
  <c r="BA40" i="4"/>
  <c r="BG37" i="4"/>
  <c r="BF37" i="4"/>
  <c r="BL37" i="4"/>
  <c r="BJ37" i="4"/>
  <c r="BK37" i="4"/>
  <c r="R536" i="4" l="1"/>
  <c r="BB535" i="4"/>
  <c r="BE535" i="4" s="1"/>
  <c r="G150" i="17"/>
  <c r="J149" i="17"/>
  <c r="K148" i="17"/>
  <c r="C81" i="16"/>
  <c r="O80" i="16"/>
  <c r="T78" i="16"/>
  <c r="S78" i="16"/>
  <c r="R79" i="16"/>
  <c r="O514" i="16"/>
  <c r="F515" i="16"/>
  <c r="S512" i="16"/>
  <c r="V40" i="16"/>
  <c r="U41" i="16"/>
  <c r="W39" i="16"/>
  <c r="Y39" i="16"/>
  <c r="X39" i="16"/>
  <c r="R513" i="16"/>
  <c r="BA486" i="4"/>
  <c r="BB485" i="4"/>
  <c r="BE484" i="4"/>
  <c r="BE476" i="4"/>
  <c r="BB478" i="4"/>
  <c r="BB477" i="4"/>
  <c r="BB40" i="4"/>
  <c r="BA41" i="4"/>
  <c r="BH39" i="4"/>
  <c r="BI39" i="4" s="1"/>
  <c r="BE39" i="4"/>
  <c r="BG38" i="4"/>
  <c r="BF38" i="4"/>
  <c r="BJ38" i="4"/>
  <c r="BL38" i="4"/>
  <c r="BK38" i="4"/>
  <c r="R537" i="4" l="1"/>
  <c r="BB536" i="4"/>
  <c r="K149" i="17"/>
  <c r="G151" i="17"/>
  <c r="J150" i="17"/>
  <c r="O515" i="16"/>
  <c r="F516" i="16"/>
  <c r="S79" i="16"/>
  <c r="T79" i="16"/>
  <c r="V41" i="16"/>
  <c r="U42" i="16"/>
  <c r="Y40" i="16"/>
  <c r="X40" i="16"/>
  <c r="W40" i="16"/>
  <c r="R514" i="16"/>
  <c r="S513" i="16"/>
  <c r="R80" i="16"/>
  <c r="C82" i="16"/>
  <c r="O81" i="16"/>
  <c r="BE479" i="4"/>
  <c r="BE485" i="4"/>
  <c r="BA487" i="4"/>
  <c r="BB486" i="4"/>
  <c r="BE477" i="4"/>
  <c r="BE478" i="4"/>
  <c r="BF476" i="4"/>
  <c r="BF39" i="4"/>
  <c r="BG39" i="4"/>
  <c r="BA42" i="4"/>
  <c r="BB41" i="4"/>
  <c r="BL39" i="4"/>
  <c r="BJ39" i="4"/>
  <c r="BK39" i="4"/>
  <c r="BH40" i="4"/>
  <c r="BI40" i="4" s="1"/>
  <c r="BE40" i="4"/>
  <c r="BE536" i="4" l="1"/>
  <c r="R538" i="4"/>
  <c r="BB538" i="4" s="1"/>
  <c r="BB537" i="4"/>
  <c r="BE537" i="4" s="1"/>
  <c r="G152" i="17"/>
  <c r="K150" i="17"/>
  <c r="J151" i="17"/>
  <c r="S514" i="16"/>
  <c r="V42" i="16"/>
  <c r="U43" i="16"/>
  <c r="X41" i="16"/>
  <c r="W41" i="16"/>
  <c r="Y41" i="16"/>
  <c r="C83" i="16"/>
  <c r="O82" i="16"/>
  <c r="R81" i="16"/>
  <c r="O516" i="16"/>
  <c r="F517" i="16"/>
  <c r="T80" i="16"/>
  <c r="S80" i="16"/>
  <c r="R515" i="16"/>
  <c r="BB487" i="4"/>
  <c r="BE487" i="4" s="1"/>
  <c r="BA488" i="4"/>
  <c r="BE486" i="4"/>
  <c r="BF477" i="4"/>
  <c r="BF478" i="4" s="1"/>
  <c r="BF479" i="4" s="1"/>
  <c r="BF480" i="4" s="1"/>
  <c r="BF481" i="4" s="1"/>
  <c r="BF482" i="4" s="1"/>
  <c r="BF483" i="4" s="1"/>
  <c r="BF484" i="4" s="1"/>
  <c r="BF485" i="4" s="1"/>
  <c r="BL40" i="4"/>
  <c r="BK40" i="4"/>
  <c r="BJ40" i="4"/>
  <c r="BH41" i="4"/>
  <c r="BI41" i="4" s="1"/>
  <c r="BE41" i="4"/>
  <c r="BA43" i="4"/>
  <c r="BB42" i="4"/>
  <c r="BF40" i="4"/>
  <c r="BG40" i="4"/>
  <c r="BE539" i="4" l="1"/>
  <c r="BE538" i="4"/>
  <c r="K151" i="17"/>
  <c r="G153" i="17"/>
  <c r="J152" i="17"/>
  <c r="F518" i="16"/>
  <c r="O517" i="16"/>
  <c r="V43" i="16"/>
  <c r="U44" i="16"/>
  <c r="S515" i="16"/>
  <c r="S81" i="16"/>
  <c r="T81" i="16"/>
  <c r="Y42" i="16"/>
  <c r="X42" i="16"/>
  <c r="W42" i="16"/>
  <c r="C84" i="16"/>
  <c r="O83" i="16"/>
  <c r="R516" i="16"/>
  <c r="R82" i="16"/>
  <c r="BA489" i="4"/>
  <c r="BB488" i="4"/>
  <c r="BF486" i="4"/>
  <c r="BF487" i="4" s="1"/>
  <c r="BF41" i="4"/>
  <c r="BG41" i="4"/>
  <c r="BA44" i="4"/>
  <c r="BB43" i="4"/>
  <c r="BL41" i="4"/>
  <c r="BJ41" i="4"/>
  <c r="BK41" i="4"/>
  <c r="BH42" i="4"/>
  <c r="BI42" i="4" s="1"/>
  <c r="BE42" i="4"/>
  <c r="J153" i="17" l="1"/>
  <c r="G154" i="17"/>
  <c r="K152" i="17"/>
  <c r="C85" i="16"/>
  <c r="O84" i="16"/>
  <c r="R83" i="16"/>
  <c r="V44" i="16"/>
  <c r="U45" i="16"/>
  <c r="X43" i="16"/>
  <c r="W43" i="16"/>
  <c r="Y43" i="16"/>
  <c r="S516" i="16"/>
  <c r="S82" i="16"/>
  <c r="T82" i="16"/>
  <c r="R517" i="16"/>
  <c r="O518" i="16"/>
  <c r="F519" i="16"/>
  <c r="BE488" i="4"/>
  <c r="BA490" i="4"/>
  <c r="BB489" i="4"/>
  <c r="BE489" i="4" s="1"/>
  <c r="BL42" i="4"/>
  <c r="BK42" i="4"/>
  <c r="BJ42" i="4"/>
  <c r="BH43" i="4"/>
  <c r="BI43" i="4" s="1"/>
  <c r="BE43" i="4"/>
  <c r="BA45" i="4"/>
  <c r="BB44" i="4"/>
  <c r="BF42" i="4"/>
  <c r="BG42" i="4"/>
  <c r="G155" i="17" l="1"/>
  <c r="J154" i="17"/>
  <c r="K153" i="17"/>
  <c r="S517" i="16"/>
  <c r="S83" i="16"/>
  <c r="T83" i="16"/>
  <c r="O519" i="16"/>
  <c r="F520" i="16"/>
  <c r="V45" i="16"/>
  <c r="U46" i="16"/>
  <c r="X44" i="16"/>
  <c r="Y44" i="16"/>
  <c r="W44" i="16"/>
  <c r="R518" i="16"/>
  <c r="R84" i="16"/>
  <c r="C86" i="16"/>
  <c r="O85" i="16"/>
  <c r="BA491" i="4"/>
  <c r="BB490" i="4"/>
  <c r="BF488" i="4"/>
  <c r="BF489" i="4" s="1"/>
  <c r="BG43" i="4"/>
  <c r="BF43" i="4"/>
  <c r="BA46" i="4"/>
  <c r="BB45" i="4"/>
  <c r="BK43" i="4"/>
  <c r="BL43" i="4"/>
  <c r="BJ43" i="4"/>
  <c r="BH44" i="4"/>
  <c r="BI44" i="4" s="1"/>
  <c r="BE44" i="4"/>
  <c r="G156" i="17" l="1"/>
  <c r="K154" i="17"/>
  <c r="J155" i="17"/>
  <c r="S518" i="16"/>
  <c r="T84" i="16"/>
  <c r="S84" i="16"/>
  <c r="R519" i="16"/>
  <c r="C87" i="16"/>
  <c r="O86" i="16"/>
  <c r="V46" i="16"/>
  <c r="U47" i="16"/>
  <c r="F521" i="16"/>
  <c r="O520" i="16"/>
  <c r="R85" i="16"/>
  <c r="X45" i="16"/>
  <c r="W45" i="16"/>
  <c r="Y45" i="16"/>
  <c r="BE490" i="4"/>
  <c r="BB491" i="4"/>
  <c r="BL44" i="4"/>
  <c r="BJ44" i="4"/>
  <c r="BK44" i="4"/>
  <c r="BE45" i="4"/>
  <c r="BH45" i="4"/>
  <c r="BI45" i="4" s="1"/>
  <c r="BA47" i="4"/>
  <c r="BB46" i="4"/>
  <c r="BF44" i="4"/>
  <c r="BG44" i="4"/>
  <c r="J156" i="17" l="1"/>
  <c r="K155" i="17"/>
  <c r="G157" i="17"/>
  <c r="V47" i="16"/>
  <c r="U48" i="16"/>
  <c r="S85" i="16"/>
  <c r="T85" i="16"/>
  <c r="S519" i="16"/>
  <c r="R520" i="16"/>
  <c r="F522" i="16"/>
  <c r="O521" i="16"/>
  <c r="X46" i="16"/>
  <c r="Y46" i="16"/>
  <c r="W46" i="16"/>
  <c r="R86" i="16"/>
  <c r="C88" i="16"/>
  <c r="O87" i="16"/>
  <c r="BA493" i="4"/>
  <c r="BB492" i="4"/>
  <c r="BE492" i="4" s="1"/>
  <c r="BE491" i="4"/>
  <c r="BF490" i="4"/>
  <c r="BK45" i="4"/>
  <c r="BJ45" i="4"/>
  <c r="BL45" i="4"/>
  <c r="BH46" i="4"/>
  <c r="BI46" i="4" s="1"/>
  <c r="BE46" i="4"/>
  <c r="BA48" i="4"/>
  <c r="BB47" i="4"/>
  <c r="BG45" i="4"/>
  <c r="BF45" i="4"/>
  <c r="J157" i="17" l="1"/>
  <c r="K156" i="17"/>
  <c r="G158" i="17"/>
  <c r="T86" i="16"/>
  <c r="S86" i="16"/>
  <c r="R87" i="16"/>
  <c r="S520" i="16"/>
  <c r="C89" i="16"/>
  <c r="O88" i="16"/>
  <c r="R521" i="16"/>
  <c r="V48" i="16"/>
  <c r="U49" i="16"/>
  <c r="F523" i="16"/>
  <c r="O522" i="16"/>
  <c r="Y47" i="16"/>
  <c r="W47" i="16"/>
  <c r="X47" i="16"/>
  <c r="BF491" i="4"/>
  <c r="BF492" i="4" s="1"/>
  <c r="BA494" i="4"/>
  <c r="BB493" i="4"/>
  <c r="BJ46" i="4"/>
  <c r="BL46" i="4"/>
  <c r="BK46" i="4"/>
  <c r="BB48" i="4"/>
  <c r="BA49" i="4"/>
  <c r="BE47" i="4"/>
  <c r="BH47" i="4"/>
  <c r="BI47" i="4" s="1"/>
  <c r="BG46" i="4"/>
  <c r="BF46" i="4"/>
  <c r="K157" i="17" l="1"/>
  <c r="J158" i="17"/>
  <c r="G159" i="17"/>
  <c r="W48" i="16"/>
  <c r="Y48" i="16"/>
  <c r="X48" i="16"/>
  <c r="S87" i="16"/>
  <c r="T87" i="16"/>
  <c r="O523" i="16"/>
  <c r="F524" i="16"/>
  <c r="S521" i="16"/>
  <c r="R522" i="16"/>
  <c r="V49" i="16"/>
  <c r="U50" i="16"/>
  <c r="R88" i="16"/>
  <c r="C90" i="16"/>
  <c r="O89" i="16"/>
  <c r="BE493" i="4"/>
  <c r="BA495" i="4"/>
  <c r="BB494" i="4"/>
  <c r="BA50" i="4"/>
  <c r="BB49" i="4"/>
  <c r="BG47" i="4"/>
  <c r="BF47" i="4"/>
  <c r="BL47" i="4"/>
  <c r="BK47" i="4"/>
  <c r="BJ47" i="4"/>
  <c r="BH48" i="4"/>
  <c r="BI48" i="4" s="1"/>
  <c r="BE48" i="4"/>
  <c r="G160" i="17" l="1"/>
  <c r="J159" i="17"/>
  <c r="K158" i="17"/>
  <c r="S522" i="16"/>
  <c r="Y49" i="16"/>
  <c r="W49" i="16"/>
  <c r="X49" i="16"/>
  <c r="T88" i="16"/>
  <c r="S88" i="16"/>
  <c r="R523" i="16"/>
  <c r="V50" i="16"/>
  <c r="U51" i="16"/>
  <c r="R89" i="16"/>
  <c r="C91" i="16"/>
  <c r="O90" i="16"/>
  <c r="O524" i="16"/>
  <c r="F525" i="16"/>
  <c r="BE494" i="4"/>
  <c r="BA496" i="4"/>
  <c r="BB495" i="4"/>
  <c r="BF493" i="4"/>
  <c r="BL48" i="4"/>
  <c r="BK48" i="4"/>
  <c r="BJ48" i="4"/>
  <c r="BH49" i="4"/>
  <c r="BI49" i="4" s="1"/>
  <c r="BE49" i="4"/>
  <c r="BF48" i="4"/>
  <c r="BG48" i="4"/>
  <c r="BA51" i="4"/>
  <c r="BB50" i="4"/>
  <c r="K159" i="17" l="1"/>
  <c r="G161" i="17"/>
  <c r="J160" i="17"/>
  <c r="C92" i="16"/>
  <c r="O91" i="16"/>
  <c r="V51" i="16"/>
  <c r="U52" i="16"/>
  <c r="S89" i="16"/>
  <c r="T89" i="16"/>
  <c r="R524" i="16"/>
  <c r="F526" i="16"/>
  <c r="O525" i="16"/>
  <c r="Y50" i="16"/>
  <c r="X50" i="16"/>
  <c r="W50" i="16"/>
  <c r="R90" i="16"/>
  <c r="S523" i="16"/>
  <c r="BE495" i="4"/>
  <c r="BF494" i="4"/>
  <c r="BA497" i="4"/>
  <c r="BB496" i="4"/>
  <c r="BK49" i="4"/>
  <c r="BL49" i="4"/>
  <c r="BJ49" i="4"/>
  <c r="BG49" i="4"/>
  <c r="BF49" i="4"/>
  <c r="BA52" i="4"/>
  <c r="BB51" i="4"/>
  <c r="BE50" i="4"/>
  <c r="BH50" i="4"/>
  <c r="BI50" i="4" s="1"/>
  <c r="J161" i="17" l="1"/>
  <c r="K160" i="17"/>
  <c r="G162" i="17"/>
  <c r="R525" i="16"/>
  <c r="S524" i="16"/>
  <c r="V52" i="16"/>
  <c r="U53" i="16"/>
  <c r="S90" i="16"/>
  <c r="T90" i="16"/>
  <c r="X51" i="16"/>
  <c r="Y51" i="16"/>
  <c r="W51" i="16"/>
  <c r="O526" i="16"/>
  <c r="F527" i="16"/>
  <c r="R91" i="16"/>
  <c r="C93" i="16"/>
  <c r="O92" i="16"/>
  <c r="BA498" i="4"/>
  <c r="BB497" i="4"/>
  <c r="BE496" i="4"/>
  <c r="BF495" i="4"/>
  <c r="BH51" i="4"/>
  <c r="BI51" i="4" s="1"/>
  <c r="BE51" i="4"/>
  <c r="BF50" i="4"/>
  <c r="BG50" i="4"/>
  <c r="BA53" i="4"/>
  <c r="BB52" i="4"/>
  <c r="BL50" i="4"/>
  <c r="BK50" i="4"/>
  <c r="BJ50" i="4"/>
  <c r="K161" i="17" l="1"/>
  <c r="G163" i="17"/>
  <c r="J162" i="17"/>
  <c r="F528" i="16"/>
  <c r="O527" i="16"/>
  <c r="X52" i="16"/>
  <c r="Y52" i="16"/>
  <c r="W52" i="16"/>
  <c r="V53" i="16"/>
  <c r="U54" i="16"/>
  <c r="R526" i="16"/>
  <c r="R92" i="16"/>
  <c r="S525" i="16"/>
  <c r="C94" i="16"/>
  <c r="O93" i="16"/>
  <c r="S91" i="16"/>
  <c r="T91" i="16"/>
  <c r="BF496" i="4"/>
  <c r="BE497" i="4"/>
  <c r="BA499" i="4"/>
  <c r="BB498" i="4"/>
  <c r="BB53" i="4"/>
  <c r="BA54" i="4"/>
  <c r="BG51" i="4"/>
  <c r="BF51" i="4"/>
  <c r="BH52" i="4"/>
  <c r="BI52" i="4" s="1"/>
  <c r="BE52" i="4"/>
  <c r="BK51" i="4"/>
  <c r="BJ51" i="4"/>
  <c r="BL51" i="4"/>
  <c r="J163" i="17" l="1"/>
  <c r="G164" i="17"/>
  <c r="K162" i="17"/>
  <c r="R93" i="16"/>
  <c r="S526" i="16"/>
  <c r="O125" i="16"/>
  <c r="X53" i="16"/>
  <c r="W53" i="16"/>
  <c r="Y53" i="16"/>
  <c r="T92" i="16"/>
  <c r="S92" i="16"/>
  <c r="C95" i="16"/>
  <c r="O94" i="16"/>
  <c r="V54" i="16"/>
  <c r="U55" i="16"/>
  <c r="R527" i="16"/>
  <c r="F529" i="16"/>
  <c r="O528" i="16"/>
  <c r="BE498" i="4"/>
  <c r="BA500" i="4"/>
  <c r="BB499" i="4"/>
  <c r="BF497" i="4"/>
  <c r="BG52" i="4"/>
  <c r="BF52" i="4"/>
  <c r="BL52" i="4"/>
  <c r="BK52" i="4"/>
  <c r="BJ52" i="4"/>
  <c r="BA55" i="4"/>
  <c r="BB54" i="4"/>
  <c r="BE53" i="4"/>
  <c r="BH53" i="4"/>
  <c r="BI53" i="4" s="1"/>
  <c r="J164" i="17" l="1"/>
  <c r="G166" i="17"/>
  <c r="G165" i="17"/>
  <c r="K163" i="17"/>
  <c r="O126" i="16"/>
  <c r="R94" i="16"/>
  <c r="V55" i="16"/>
  <c r="U56" i="16"/>
  <c r="Y54" i="16"/>
  <c r="X54" i="16"/>
  <c r="W54" i="16"/>
  <c r="R528" i="16"/>
  <c r="C96" i="16"/>
  <c r="O95" i="16"/>
  <c r="S93" i="16"/>
  <c r="T93" i="16"/>
  <c r="F530" i="16"/>
  <c r="O530" i="16" s="1"/>
  <c r="O529" i="16"/>
  <c r="S527" i="16"/>
  <c r="BE499" i="4"/>
  <c r="BB500" i="4"/>
  <c r="BF498" i="4"/>
  <c r="BG53" i="4"/>
  <c r="BF53" i="4"/>
  <c r="BH54" i="4"/>
  <c r="BI54" i="4" s="1"/>
  <c r="BE54" i="4"/>
  <c r="BA56" i="4"/>
  <c r="BB55" i="4"/>
  <c r="BL53" i="4"/>
  <c r="BK53" i="4"/>
  <c r="BJ53" i="4"/>
  <c r="J165" i="17" l="1"/>
  <c r="J166" i="17"/>
  <c r="K164" i="17"/>
  <c r="V56" i="16"/>
  <c r="U57" i="16"/>
  <c r="R95" i="16"/>
  <c r="Y55" i="16"/>
  <c r="W55" i="16"/>
  <c r="X55" i="16"/>
  <c r="C97" i="16"/>
  <c r="O96" i="16"/>
  <c r="S528" i="16"/>
  <c r="R529" i="16"/>
  <c r="T94" i="16"/>
  <c r="S94" i="16"/>
  <c r="O127" i="16"/>
  <c r="R530" i="16"/>
  <c r="R126" i="16"/>
  <c r="BE500" i="4"/>
  <c r="BA502" i="4"/>
  <c r="BB501" i="4"/>
  <c r="BF499" i="4"/>
  <c r="BE55" i="4"/>
  <c r="BH55" i="4"/>
  <c r="BI55" i="4" s="1"/>
  <c r="BJ54" i="4"/>
  <c r="BL54" i="4"/>
  <c r="BK54" i="4"/>
  <c r="BG54" i="4"/>
  <c r="BF54" i="4"/>
  <c r="BB56" i="4"/>
  <c r="BA57" i="4"/>
  <c r="K165" i="17" l="1"/>
  <c r="K166" i="17" s="1"/>
  <c r="O128" i="16"/>
  <c r="C98" i="16"/>
  <c r="O97" i="16"/>
  <c r="S95" i="16"/>
  <c r="T95" i="16"/>
  <c r="V57" i="16"/>
  <c r="U58" i="16"/>
  <c r="S529" i="16"/>
  <c r="S530" i="16" s="1"/>
  <c r="R127" i="16"/>
  <c r="R96" i="16"/>
  <c r="Y56" i="16"/>
  <c r="W56" i="16"/>
  <c r="X56" i="16"/>
  <c r="BE501" i="4"/>
  <c r="BA503" i="4"/>
  <c r="BB502" i="4"/>
  <c r="BF500" i="4"/>
  <c r="BH56" i="4"/>
  <c r="BI56" i="4" s="1"/>
  <c r="BE56" i="4"/>
  <c r="BL55" i="4"/>
  <c r="BK55" i="4"/>
  <c r="BJ55" i="4"/>
  <c r="BA58" i="4"/>
  <c r="BB57" i="4"/>
  <c r="BG55" i="4"/>
  <c r="BF55" i="4"/>
  <c r="V58" i="16" l="1"/>
  <c r="U59" i="16"/>
  <c r="R97" i="16"/>
  <c r="C99" i="16"/>
  <c r="O98" i="16"/>
  <c r="X57" i="16"/>
  <c r="W57" i="16"/>
  <c r="Y57" i="16"/>
  <c r="T96" i="16"/>
  <c r="S96" i="16"/>
  <c r="R128" i="16"/>
  <c r="O129" i="16"/>
  <c r="BE502" i="4"/>
  <c r="BA504" i="4"/>
  <c r="BB503" i="4"/>
  <c r="BF501" i="4"/>
  <c r="BL56" i="4"/>
  <c r="BK56" i="4"/>
  <c r="BJ56" i="4"/>
  <c r="BA59" i="4"/>
  <c r="BB58" i="4"/>
  <c r="BH57" i="4"/>
  <c r="BI57" i="4" s="1"/>
  <c r="BE57" i="4"/>
  <c r="BG56" i="4"/>
  <c r="BF56" i="4"/>
  <c r="C100" i="16" l="1"/>
  <c r="O99" i="16"/>
  <c r="S97" i="16"/>
  <c r="T97" i="16"/>
  <c r="R98" i="16"/>
  <c r="V59" i="16"/>
  <c r="U60" i="16"/>
  <c r="Y58" i="16"/>
  <c r="X58" i="16"/>
  <c r="W58" i="16"/>
  <c r="R129" i="16"/>
  <c r="O130" i="16"/>
  <c r="BE503" i="4"/>
  <c r="BA505" i="4"/>
  <c r="BB504" i="4"/>
  <c r="BF502" i="4"/>
  <c r="BL57" i="4"/>
  <c r="BK57" i="4"/>
  <c r="BJ57" i="4"/>
  <c r="BE58" i="4"/>
  <c r="BH58" i="4"/>
  <c r="BI58" i="4" s="1"/>
  <c r="BA60" i="4"/>
  <c r="BB59" i="4"/>
  <c r="BG57" i="4"/>
  <c r="BF57" i="4"/>
  <c r="X59" i="16" l="1"/>
  <c r="W59" i="16"/>
  <c r="Y59" i="16"/>
  <c r="O131" i="16"/>
  <c r="S98" i="16"/>
  <c r="T98" i="16"/>
  <c r="R130" i="16"/>
  <c r="V60" i="16"/>
  <c r="U61" i="16"/>
  <c r="R99" i="16"/>
  <c r="C101" i="16"/>
  <c r="O100" i="16"/>
  <c r="BE504" i="4"/>
  <c r="BA506" i="4"/>
  <c r="BB505" i="4"/>
  <c r="BF503" i="4"/>
  <c r="BH59" i="4"/>
  <c r="BI59" i="4" s="1"/>
  <c r="BE59" i="4"/>
  <c r="BL58" i="4"/>
  <c r="BK58" i="4"/>
  <c r="BJ58" i="4"/>
  <c r="BA61" i="4"/>
  <c r="BB60" i="4"/>
  <c r="BF58" i="4"/>
  <c r="BG58" i="4"/>
  <c r="O132" i="16" l="1"/>
  <c r="C102" i="16"/>
  <c r="O101" i="16"/>
  <c r="V61" i="16"/>
  <c r="U62" i="16"/>
  <c r="T99" i="16"/>
  <c r="S99" i="16"/>
  <c r="Y60" i="16"/>
  <c r="X60" i="16"/>
  <c r="W60" i="16"/>
  <c r="R131" i="16"/>
  <c r="R100" i="16"/>
  <c r="BE505" i="4"/>
  <c r="BA507" i="4"/>
  <c r="BB506" i="4"/>
  <c r="BF504" i="4"/>
  <c r="BH60" i="4"/>
  <c r="BI60" i="4" s="1"/>
  <c r="BE60" i="4"/>
  <c r="BB61" i="4"/>
  <c r="BA62" i="4"/>
  <c r="BG59" i="4"/>
  <c r="BF59" i="4"/>
  <c r="BK59" i="4"/>
  <c r="BJ59" i="4"/>
  <c r="BL59" i="4"/>
  <c r="T100" i="16" l="1"/>
  <c r="S100" i="16"/>
  <c r="V62" i="16"/>
  <c r="U63" i="16"/>
  <c r="X61" i="16"/>
  <c r="W61" i="16"/>
  <c r="Y61" i="16"/>
  <c r="R101" i="16"/>
  <c r="C103" i="16"/>
  <c r="O102" i="16"/>
  <c r="O133" i="16"/>
  <c r="R132" i="16"/>
  <c r="BB507" i="4"/>
  <c r="BE507" i="4" s="1"/>
  <c r="BF505" i="4"/>
  <c r="BE506" i="4"/>
  <c r="BA63" i="4"/>
  <c r="BB62" i="4"/>
  <c r="BG60" i="4"/>
  <c r="BF60" i="4"/>
  <c r="BE61" i="4"/>
  <c r="BH61" i="4"/>
  <c r="BI61" i="4" s="1"/>
  <c r="BL60" i="4"/>
  <c r="BK60" i="4"/>
  <c r="BJ60" i="4"/>
  <c r="R102" i="16" l="1"/>
  <c r="O134" i="16"/>
  <c r="V63" i="16"/>
  <c r="U64" i="16"/>
  <c r="C104" i="16"/>
  <c r="O103" i="16"/>
  <c r="W62" i="16"/>
  <c r="X62" i="16"/>
  <c r="Y62" i="16"/>
  <c r="R133" i="16"/>
  <c r="S101" i="16"/>
  <c r="T101" i="16"/>
  <c r="BB508" i="4"/>
  <c r="BF506" i="4"/>
  <c r="BF507" i="4" s="1"/>
  <c r="BG61" i="4"/>
  <c r="BF61" i="4"/>
  <c r="BL61" i="4"/>
  <c r="BK61" i="4"/>
  <c r="BJ61" i="4"/>
  <c r="BH62" i="4"/>
  <c r="BI62" i="4" s="1"/>
  <c r="BE62" i="4"/>
  <c r="BA64" i="4"/>
  <c r="BB63" i="4"/>
  <c r="C105" i="16" l="1"/>
  <c r="O104" i="16"/>
  <c r="V64" i="16"/>
  <c r="U65" i="16"/>
  <c r="S133" i="16"/>
  <c r="T133" i="16"/>
  <c r="Y63" i="16"/>
  <c r="X63" i="16"/>
  <c r="W63" i="16"/>
  <c r="O135" i="16"/>
  <c r="R103" i="16"/>
  <c r="R134" i="16"/>
  <c r="S102" i="16"/>
  <c r="T102" i="16"/>
  <c r="BE508" i="4"/>
  <c r="BB509" i="4"/>
  <c r="BJ62" i="4"/>
  <c r="BL62" i="4"/>
  <c r="BK62" i="4"/>
  <c r="BG62" i="4"/>
  <c r="BF62" i="4"/>
  <c r="BB64" i="4"/>
  <c r="BA65" i="4"/>
  <c r="BE63" i="4"/>
  <c r="BH63" i="4"/>
  <c r="BI63" i="4" s="1"/>
  <c r="T103" i="16" l="1"/>
  <c r="S103" i="16"/>
  <c r="S134" i="16"/>
  <c r="T134" i="16"/>
  <c r="V65" i="16"/>
  <c r="U66" i="16"/>
  <c r="Y64" i="16"/>
  <c r="W64" i="16"/>
  <c r="X64" i="16"/>
  <c r="O136" i="16"/>
  <c r="R135" i="16"/>
  <c r="R104" i="16"/>
  <c r="C106" i="16"/>
  <c r="O105" i="16"/>
  <c r="BE509" i="4"/>
  <c r="BA511" i="4"/>
  <c r="BB510" i="4"/>
  <c r="BF508" i="4"/>
  <c r="BA66" i="4"/>
  <c r="BB65" i="4"/>
  <c r="BG63" i="4"/>
  <c r="BF63" i="4"/>
  <c r="BH64" i="4"/>
  <c r="BI64" i="4" s="1"/>
  <c r="BE64" i="4"/>
  <c r="BL63" i="4"/>
  <c r="BK63" i="4"/>
  <c r="BJ63" i="4"/>
  <c r="C107" i="16" l="1"/>
  <c r="O106" i="16"/>
  <c r="S104" i="16"/>
  <c r="T104" i="16"/>
  <c r="T135" i="16"/>
  <c r="S135" i="16"/>
  <c r="O137" i="16"/>
  <c r="V66" i="16"/>
  <c r="U67" i="16"/>
  <c r="X65" i="16"/>
  <c r="W65" i="16"/>
  <c r="Y65" i="16"/>
  <c r="R136" i="16"/>
  <c r="R105" i="16"/>
  <c r="BE510" i="4"/>
  <c r="BB511" i="4"/>
  <c r="BF509" i="4"/>
  <c r="BG64" i="4"/>
  <c r="BF64" i="4"/>
  <c r="BL64" i="4"/>
  <c r="BK64" i="4"/>
  <c r="BJ64" i="4"/>
  <c r="BH65" i="4"/>
  <c r="BI65" i="4" s="1"/>
  <c r="BE65" i="4"/>
  <c r="BA67" i="4"/>
  <c r="BB66" i="4"/>
  <c r="T105" i="16" l="1"/>
  <c r="S105" i="16"/>
  <c r="S136" i="16"/>
  <c r="T136" i="16"/>
  <c r="Y66" i="16"/>
  <c r="X66" i="16"/>
  <c r="W66" i="16"/>
  <c r="R137" i="16"/>
  <c r="O138" i="16"/>
  <c r="V67" i="16"/>
  <c r="U68" i="16"/>
  <c r="R106" i="16"/>
  <c r="C108" i="16"/>
  <c r="O107" i="16"/>
  <c r="BA513" i="4"/>
  <c r="BB512" i="4"/>
  <c r="BF510" i="4"/>
  <c r="BE511" i="4"/>
  <c r="BA68" i="4"/>
  <c r="BB67" i="4"/>
  <c r="BG65" i="4"/>
  <c r="BF65" i="4"/>
  <c r="BL65" i="4"/>
  <c r="BK65" i="4"/>
  <c r="BJ65" i="4"/>
  <c r="BE66" i="4"/>
  <c r="BH66" i="4"/>
  <c r="BI66" i="4" s="1"/>
  <c r="C109" i="16" l="1"/>
  <c r="O108" i="16"/>
  <c r="V68" i="16"/>
  <c r="U69" i="16"/>
  <c r="T106" i="16"/>
  <c r="S106" i="16"/>
  <c r="O139" i="16"/>
  <c r="R138" i="16"/>
  <c r="X67" i="16"/>
  <c r="Y67" i="16"/>
  <c r="W67" i="16"/>
  <c r="R107" i="16"/>
  <c r="T137" i="16"/>
  <c r="S137" i="16"/>
  <c r="BF511" i="4"/>
  <c r="BE512" i="4"/>
  <c r="BA514" i="4"/>
  <c r="BB513" i="4"/>
  <c r="BF66" i="4"/>
  <c r="BG66" i="4"/>
  <c r="BH67" i="4"/>
  <c r="BI67" i="4" s="1"/>
  <c r="BE67" i="4"/>
  <c r="BL66" i="4"/>
  <c r="BK66" i="4"/>
  <c r="BJ66" i="4"/>
  <c r="BA69" i="4"/>
  <c r="BB68" i="4"/>
  <c r="R139" i="16" l="1"/>
  <c r="O140" i="16"/>
  <c r="V69" i="16"/>
  <c r="U70" i="16"/>
  <c r="W68" i="16"/>
  <c r="Y68" i="16"/>
  <c r="X68" i="16"/>
  <c r="T107" i="16"/>
  <c r="S107" i="16"/>
  <c r="T138" i="16"/>
  <c r="S138" i="16"/>
  <c r="R108" i="16"/>
  <c r="C110" i="16"/>
  <c r="O109" i="16"/>
  <c r="BA515" i="4"/>
  <c r="BB514" i="4"/>
  <c r="BF512" i="4"/>
  <c r="BE513" i="4"/>
  <c r="BH68" i="4"/>
  <c r="BI68" i="4" s="1"/>
  <c r="BE68" i="4"/>
  <c r="BG67" i="4"/>
  <c r="BF67" i="4"/>
  <c r="BA70" i="4"/>
  <c r="BB69" i="4"/>
  <c r="BK67" i="4"/>
  <c r="BJ67" i="4"/>
  <c r="BL67" i="4"/>
  <c r="V70" i="16" l="1"/>
  <c r="U71" i="16"/>
  <c r="T108" i="16"/>
  <c r="S108" i="16"/>
  <c r="X69" i="16"/>
  <c r="Y69" i="16"/>
  <c r="W69" i="16"/>
  <c r="O141" i="16"/>
  <c r="T139" i="16"/>
  <c r="S139" i="16"/>
  <c r="C111" i="16"/>
  <c r="O110" i="16"/>
  <c r="R140" i="16"/>
  <c r="R109" i="16"/>
  <c r="BF513" i="4"/>
  <c r="BE514" i="4"/>
  <c r="BA516" i="4"/>
  <c r="BB515" i="4"/>
  <c r="BH69" i="4"/>
  <c r="BI69" i="4" s="1"/>
  <c r="BE69" i="4"/>
  <c r="BB70" i="4"/>
  <c r="BA71" i="4"/>
  <c r="BG68" i="4"/>
  <c r="BF68" i="4"/>
  <c r="BL68" i="4"/>
  <c r="BK68" i="4"/>
  <c r="BJ68" i="4"/>
  <c r="T109" i="16" l="1"/>
  <c r="S109" i="16"/>
  <c r="T140" i="16"/>
  <c r="S140" i="16"/>
  <c r="R110" i="16"/>
  <c r="R141" i="16"/>
  <c r="C112" i="16"/>
  <c r="O111" i="16"/>
  <c r="V71" i="16"/>
  <c r="U72" i="16"/>
  <c r="O142" i="16"/>
  <c r="Y70" i="16"/>
  <c r="X70" i="16"/>
  <c r="W70" i="16"/>
  <c r="BF514" i="4"/>
  <c r="BE515" i="4"/>
  <c r="BB516" i="4"/>
  <c r="BA72" i="4"/>
  <c r="BB71" i="4"/>
  <c r="BE70" i="4"/>
  <c r="BH70" i="4"/>
  <c r="BI70" i="4" s="1"/>
  <c r="BG69" i="4"/>
  <c r="BF69" i="4"/>
  <c r="BK69" i="4"/>
  <c r="BJ69" i="4"/>
  <c r="BL69" i="4"/>
  <c r="S110" i="16" l="1"/>
  <c r="T110" i="16"/>
  <c r="T141" i="16"/>
  <c r="S141" i="16"/>
  <c r="R142" i="16"/>
  <c r="O143" i="16"/>
  <c r="X71" i="16"/>
  <c r="W71" i="16"/>
  <c r="Y71" i="16"/>
  <c r="V72" i="16"/>
  <c r="U73" i="16"/>
  <c r="R111" i="16"/>
  <c r="C113" i="16"/>
  <c r="O112" i="16"/>
  <c r="BF515" i="4"/>
  <c r="BA518" i="4"/>
  <c r="BB517" i="4"/>
  <c r="BE516" i="4"/>
  <c r="BL70" i="4"/>
  <c r="BK70" i="4"/>
  <c r="BJ70" i="4"/>
  <c r="BF70" i="4"/>
  <c r="BG70" i="4"/>
  <c r="BH71" i="4"/>
  <c r="BI71" i="4" s="1"/>
  <c r="BE71" i="4"/>
  <c r="BB72" i="4"/>
  <c r="BA73" i="4"/>
  <c r="C114" i="16" l="1"/>
  <c r="O113" i="16"/>
  <c r="O144" i="16"/>
  <c r="V73" i="16"/>
  <c r="U74" i="16"/>
  <c r="T111" i="16"/>
  <c r="S111" i="16"/>
  <c r="Y72" i="16"/>
  <c r="W72" i="16"/>
  <c r="X72" i="16"/>
  <c r="R143" i="16"/>
  <c r="S142" i="16"/>
  <c r="T142" i="16"/>
  <c r="R112" i="16"/>
  <c r="BF516" i="4"/>
  <c r="BE517" i="4"/>
  <c r="BA519" i="4"/>
  <c r="BB518" i="4"/>
  <c r="BH72" i="4"/>
  <c r="BI72" i="4" s="1"/>
  <c r="BE72" i="4"/>
  <c r="BL71" i="4"/>
  <c r="BK71" i="4"/>
  <c r="BJ71" i="4"/>
  <c r="BG71" i="4"/>
  <c r="BF71" i="4"/>
  <c r="BA74" i="4"/>
  <c r="BB73" i="4"/>
  <c r="V74" i="16" l="1"/>
  <c r="U75" i="16"/>
  <c r="T143" i="16"/>
  <c r="S143" i="16"/>
  <c r="Y73" i="16"/>
  <c r="W73" i="16"/>
  <c r="X73" i="16"/>
  <c r="S112" i="16"/>
  <c r="T112" i="16"/>
  <c r="R144" i="16"/>
  <c r="O145" i="16"/>
  <c r="R113" i="16"/>
  <c r="C115" i="16"/>
  <c r="O114" i="16"/>
  <c r="BF517" i="4"/>
  <c r="BA520" i="4"/>
  <c r="BB519" i="4"/>
  <c r="BE518" i="4"/>
  <c r="BB74" i="4"/>
  <c r="BA75" i="4"/>
  <c r="BG72" i="4"/>
  <c r="BF72" i="4"/>
  <c r="BH73" i="4"/>
  <c r="BI73" i="4" s="1"/>
  <c r="BE73" i="4"/>
  <c r="BL72" i="4"/>
  <c r="BK72" i="4"/>
  <c r="BJ72" i="4"/>
  <c r="O146" i="16" l="1"/>
  <c r="S144" i="16"/>
  <c r="T144" i="16"/>
  <c r="R145" i="16"/>
  <c r="V75" i="16"/>
  <c r="U76" i="16"/>
  <c r="C116" i="16"/>
  <c r="O115" i="16"/>
  <c r="T113" i="16"/>
  <c r="S113" i="16"/>
  <c r="R114" i="16"/>
  <c r="Y74" i="16"/>
  <c r="W74" i="16"/>
  <c r="X74" i="16"/>
  <c r="BF518" i="4"/>
  <c r="BE519" i="4"/>
  <c r="BA521" i="4"/>
  <c r="BB520" i="4"/>
  <c r="BL73" i="4"/>
  <c r="BK73" i="4"/>
  <c r="BJ73" i="4"/>
  <c r="BH74" i="4"/>
  <c r="BI74" i="4" s="1"/>
  <c r="BE74" i="4"/>
  <c r="BG73" i="4"/>
  <c r="BF73" i="4"/>
  <c r="BA76" i="4"/>
  <c r="BB75" i="4"/>
  <c r="R115" i="16" l="1"/>
  <c r="X75" i="16"/>
  <c r="W75" i="16"/>
  <c r="Y75" i="16"/>
  <c r="T114" i="16"/>
  <c r="S114" i="16"/>
  <c r="T145" i="16"/>
  <c r="S145" i="16"/>
  <c r="V76" i="16"/>
  <c r="U77" i="16"/>
  <c r="O147" i="16"/>
  <c r="C117" i="16"/>
  <c r="O116" i="16"/>
  <c r="R146" i="16"/>
  <c r="BF519" i="4"/>
  <c r="BA522" i="4"/>
  <c r="BB521" i="4"/>
  <c r="BE520" i="4"/>
  <c r="BB76" i="4"/>
  <c r="BA77" i="4"/>
  <c r="BG74" i="4"/>
  <c r="BF74" i="4"/>
  <c r="BL74" i="4"/>
  <c r="BK74" i="4"/>
  <c r="BJ74" i="4"/>
  <c r="BH75" i="4"/>
  <c r="BI75" i="4" s="1"/>
  <c r="BE75" i="4"/>
  <c r="O148" i="16" l="1"/>
  <c r="C118" i="16"/>
  <c r="O117" i="16"/>
  <c r="R147" i="16"/>
  <c r="R116" i="16"/>
  <c r="V77" i="16"/>
  <c r="U78" i="16"/>
  <c r="Y76" i="16"/>
  <c r="W76" i="16"/>
  <c r="X76" i="16"/>
  <c r="T146" i="16"/>
  <c r="S146" i="16"/>
  <c r="T115" i="16"/>
  <c r="S115" i="16"/>
  <c r="BE521" i="4"/>
  <c r="BA523" i="4"/>
  <c r="BA524" i="4" s="1"/>
  <c r="BB522" i="4"/>
  <c r="BF520" i="4"/>
  <c r="BL75" i="4"/>
  <c r="BK75" i="4"/>
  <c r="BJ75" i="4"/>
  <c r="BA78" i="4"/>
  <c r="BB77" i="4"/>
  <c r="BG75" i="4"/>
  <c r="BF75" i="4"/>
  <c r="BH76" i="4"/>
  <c r="BI76" i="4" s="1"/>
  <c r="BE76" i="4"/>
  <c r="S147" i="16" l="1"/>
  <c r="T147" i="16"/>
  <c r="C119" i="16"/>
  <c r="O118" i="16"/>
  <c r="O149" i="16"/>
  <c r="T116" i="16"/>
  <c r="S116" i="16"/>
  <c r="R117" i="16"/>
  <c r="V78" i="16"/>
  <c r="U79" i="16"/>
  <c r="X77" i="16"/>
  <c r="W77" i="16"/>
  <c r="Y77" i="16"/>
  <c r="R148" i="16"/>
  <c r="BE522" i="4"/>
  <c r="BB523" i="4"/>
  <c r="BF521" i="4"/>
  <c r="BL76" i="4"/>
  <c r="BK76" i="4"/>
  <c r="BJ76" i="4"/>
  <c r="BH77" i="4"/>
  <c r="BI77" i="4" s="1"/>
  <c r="BE77" i="4"/>
  <c r="BB78" i="4"/>
  <c r="BA79" i="4"/>
  <c r="BG76" i="4"/>
  <c r="BF76" i="4"/>
  <c r="O150" i="16" l="1"/>
  <c r="R118" i="16"/>
  <c r="C120" i="16"/>
  <c r="O119" i="16"/>
  <c r="V79" i="16"/>
  <c r="U80" i="16"/>
  <c r="R149" i="16"/>
  <c r="Y78" i="16"/>
  <c r="W78" i="16"/>
  <c r="X78" i="16"/>
  <c r="T148" i="16"/>
  <c r="S148" i="16"/>
  <c r="S117" i="16"/>
  <c r="T117" i="16"/>
  <c r="BE523" i="4"/>
  <c r="BA525" i="4"/>
  <c r="BB524" i="4"/>
  <c r="BF522" i="4"/>
  <c r="BA80" i="4"/>
  <c r="BB79" i="4"/>
  <c r="BL77" i="4"/>
  <c r="BK77" i="4"/>
  <c r="BJ77" i="4"/>
  <c r="BG77" i="4"/>
  <c r="BF77" i="4"/>
  <c r="BH78" i="4"/>
  <c r="BI78" i="4" s="1"/>
  <c r="BE78" i="4"/>
  <c r="C121" i="16" l="1"/>
  <c r="O120" i="16"/>
  <c r="Y79" i="16"/>
  <c r="X79" i="16"/>
  <c r="W79" i="16"/>
  <c r="V80" i="16"/>
  <c r="U81" i="16"/>
  <c r="R119" i="16"/>
  <c r="O151" i="16"/>
  <c r="S118" i="16"/>
  <c r="T118" i="16"/>
  <c r="T149" i="16"/>
  <c r="S149" i="16"/>
  <c r="R150" i="16"/>
  <c r="BE524" i="4"/>
  <c r="BA526" i="4"/>
  <c r="BB525" i="4"/>
  <c r="BF523" i="4"/>
  <c r="BL78" i="4"/>
  <c r="BK78" i="4"/>
  <c r="BJ78" i="4"/>
  <c r="BG78" i="4"/>
  <c r="BF78" i="4"/>
  <c r="BH79" i="4"/>
  <c r="BI79" i="4" s="1"/>
  <c r="BE79" i="4"/>
  <c r="BB80" i="4"/>
  <c r="BA81" i="4"/>
  <c r="V81" i="16" l="1"/>
  <c r="U82" i="16"/>
  <c r="S119" i="16"/>
  <c r="T119" i="16"/>
  <c r="Y80" i="16"/>
  <c r="W80" i="16"/>
  <c r="X80" i="16"/>
  <c r="S150" i="16"/>
  <c r="T150" i="16"/>
  <c r="O152" i="16"/>
  <c r="R151" i="16"/>
  <c r="R120" i="16"/>
  <c r="C122" i="16"/>
  <c r="O121" i="16"/>
  <c r="BE525" i="4"/>
  <c r="BA527" i="4"/>
  <c r="BB526" i="4"/>
  <c r="BF524" i="4"/>
  <c r="BH80" i="4"/>
  <c r="BI80" i="4" s="1"/>
  <c r="BE80" i="4"/>
  <c r="BG79" i="4"/>
  <c r="BF79" i="4"/>
  <c r="BL79" i="4"/>
  <c r="BK79" i="4"/>
  <c r="BJ79" i="4"/>
  <c r="BA82" i="4"/>
  <c r="BB81" i="4"/>
  <c r="T151" i="16" l="1"/>
  <c r="S151" i="16"/>
  <c r="C123" i="16"/>
  <c r="O122" i="16"/>
  <c r="S120" i="16"/>
  <c r="T120" i="16"/>
  <c r="R152" i="16"/>
  <c r="V82" i="16"/>
  <c r="U83" i="16"/>
  <c r="O153" i="16"/>
  <c r="R121" i="16"/>
  <c r="Y81" i="16"/>
  <c r="W81" i="16"/>
  <c r="X81" i="16"/>
  <c r="BE526" i="4"/>
  <c r="BB527" i="4"/>
  <c r="BF525" i="4"/>
  <c r="BG80" i="4"/>
  <c r="BF80" i="4"/>
  <c r="BB82" i="4"/>
  <c r="BA83" i="4"/>
  <c r="BH81" i="4"/>
  <c r="BI81" i="4" s="1"/>
  <c r="BE81" i="4"/>
  <c r="BL80" i="4"/>
  <c r="BK80" i="4"/>
  <c r="BJ80" i="4"/>
  <c r="T121" i="16" l="1"/>
  <c r="S121" i="16"/>
  <c r="S152" i="16"/>
  <c r="T152" i="16"/>
  <c r="C124" i="16"/>
  <c r="O124" i="16" s="1"/>
  <c r="O123" i="16"/>
  <c r="O154" i="16"/>
  <c r="R153" i="16"/>
  <c r="R122" i="16"/>
  <c r="V83" i="16"/>
  <c r="U84" i="16"/>
  <c r="Y82" i="16"/>
  <c r="W82" i="16"/>
  <c r="X82" i="16"/>
  <c r="BE527" i="4"/>
  <c r="BA529" i="4"/>
  <c r="BB528" i="4"/>
  <c r="BF526" i="4"/>
  <c r="BG81" i="4"/>
  <c r="BF81" i="4"/>
  <c r="BA84" i="4"/>
  <c r="BB83" i="4"/>
  <c r="BH82" i="4"/>
  <c r="BI82" i="4" s="1"/>
  <c r="BE82" i="4"/>
  <c r="BL81" i="4"/>
  <c r="BK81" i="4"/>
  <c r="BJ81" i="4"/>
  <c r="R124" i="16" l="1"/>
  <c r="R125" i="16"/>
  <c r="R154" i="16"/>
  <c r="S122" i="16"/>
  <c r="T122" i="16"/>
  <c r="R123" i="16"/>
  <c r="O155" i="16"/>
  <c r="V84" i="16"/>
  <c r="U85" i="16"/>
  <c r="T153" i="16"/>
  <c r="S153" i="16"/>
  <c r="X83" i="16"/>
  <c r="W83" i="16"/>
  <c r="Y83" i="16"/>
  <c r="BA530" i="4"/>
  <c r="BB529" i="4"/>
  <c r="BF527" i="4"/>
  <c r="BE528" i="4"/>
  <c r="BG82" i="4"/>
  <c r="BF82" i="4"/>
  <c r="BH83" i="4"/>
  <c r="BI83" i="4" s="1"/>
  <c r="BE83" i="4"/>
  <c r="BB84" i="4"/>
  <c r="BA85" i="4"/>
  <c r="BL82" i="4"/>
  <c r="BK82" i="4"/>
  <c r="BJ82" i="4"/>
  <c r="BB530" i="4" l="1"/>
  <c r="BA531" i="4"/>
  <c r="V85" i="16"/>
  <c r="U86" i="16"/>
  <c r="T154" i="16"/>
  <c r="S154" i="16"/>
  <c r="Y84" i="16"/>
  <c r="W84" i="16"/>
  <c r="X84" i="16"/>
  <c r="T123" i="16"/>
  <c r="S123" i="16"/>
  <c r="S124" i="16" s="1"/>
  <c r="S125" i="16" s="1"/>
  <c r="S126" i="16" s="1"/>
  <c r="S127" i="16" s="1"/>
  <c r="S128" i="16" s="1"/>
  <c r="S129" i="16" s="1"/>
  <c r="S130" i="16" s="1"/>
  <c r="S131" i="16" s="1"/>
  <c r="S132" i="16" s="1"/>
  <c r="T124" i="16"/>
  <c r="T125" i="16" s="1"/>
  <c r="T126" i="16" s="1"/>
  <c r="T127" i="16" s="1"/>
  <c r="T128" i="16" s="1"/>
  <c r="T129" i="16" s="1"/>
  <c r="T130" i="16" s="1"/>
  <c r="T131" i="16" s="1"/>
  <c r="T132" i="16" s="1"/>
  <c r="O156" i="16"/>
  <c r="R155" i="16"/>
  <c r="BF528" i="4"/>
  <c r="BE529" i="4"/>
  <c r="BA86" i="4"/>
  <c r="BB85" i="4"/>
  <c r="BG83" i="4"/>
  <c r="BF83" i="4"/>
  <c r="BL83" i="4"/>
  <c r="BK83" i="4"/>
  <c r="BJ83" i="4"/>
  <c r="BH84" i="4"/>
  <c r="BI84" i="4" s="1"/>
  <c r="BE84" i="4"/>
  <c r="BA532" i="4" l="1"/>
  <c r="BB531" i="4"/>
  <c r="BE531" i="4" s="1"/>
  <c r="BF531" i="4" s="1"/>
  <c r="BE530" i="4"/>
  <c r="O157" i="16"/>
  <c r="V86" i="16"/>
  <c r="U87" i="16"/>
  <c r="R156" i="16"/>
  <c r="T155" i="16"/>
  <c r="S155" i="16"/>
  <c r="Y85" i="16"/>
  <c r="W85" i="16"/>
  <c r="X85" i="16"/>
  <c r="BF529" i="4"/>
  <c r="BF530" i="4" s="1"/>
  <c r="BL84" i="4"/>
  <c r="BK84" i="4"/>
  <c r="BJ84" i="4"/>
  <c r="BH85" i="4"/>
  <c r="BI85" i="4" s="1"/>
  <c r="BE85" i="4"/>
  <c r="BG84" i="4"/>
  <c r="BF84" i="4"/>
  <c r="BB86" i="4"/>
  <c r="BA87" i="4"/>
  <c r="BA533" i="4" l="1"/>
  <c r="BB533" i="4" s="1"/>
  <c r="BB532" i="4"/>
  <c r="BE532" i="4" s="1"/>
  <c r="BF532" i="4" s="1"/>
  <c r="V87" i="16"/>
  <c r="U88" i="16"/>
  <c r="S156" i="16"/>
  <c r="T156" i="16"/>
  <c r="Y86" i="16"/>
  <c r="W86" i="16"/>
  <c r="X86" i="16"/>
  <c r="O158" i="16"/>
  <c r="R157" i="16"/>
  <c r="BL85" i="4"/>
  <c r="BK85" i="4"/>
  <c r="BJ85" i="4"/>
  <c r="BH86" i="4"/>
  <c r="BI86" i="4" s="1"/>
  <c r="BE86" i="4"/>
  <c r="BG85" i="4"/>
  <c r="BF85" i="4"/>
  <c r="BA88" i="4"/>
  <c r="BB87" i="4"/>
  <c r="BE533" i="4" l="1"/>
  <c r="BE534" i="4"/>
  <c r="BF533" i="4"/>
  <c r="R158" i="16"/>
  <c r="T157" i="16"/>
  <c r="S157" i="16"/>
  <c r="V88" i="16"/>
  <c r="U89" i="16"/>
  <c r="O159" i="16"/>
  <c r="Y87" i="16"/>
  <c r="X87" i="16"/>
  <c r="W87" i="16"/>
  <c r="BL86" i="4"/>
  <c r="BK86" i="4"/>
  <c r="BJ86" i="4"/>
  <c r="BG86" i="4"/>
  <c r="BF86" i="4"/>
  <c r="BB88" i="4"/>
  <c r="BA89" i="4"/>
  <c r="BH87" i="4"/>
  <c r="BI87" i="4" s="1"/>
  <c r="BE87" i="4"/>
  <c r="BF534" i="4" l="1"/>
  <c r="BF535" i="4" s="1"/>
  <c r="BF536" i="4" s="1"/>
  <c r="BF537" i="4" s="1"/>
  <c r="BF538" i="4" s="1"/>
  <c r="BF539" i="4" s="1"/>
  <c r="BF540" i="4" s="1"/>
  <c r="BF541" i="4" s="1"/>
  <c r="BF542" i="4" s="1"/>
  <c r="BF543" i="4" s="1"/>
  <c r="BF544" i="4" s="1"/>
  <c r="BF545" i="4" s="1"/>
  <c r="BF546" i="4" s="1"/>
  <c r="BF547" i="4" s="1"/>
  <c r="BF548" i="4" s="1"/>
  <c r="BF549" i="4" s="1"/>
  <c r="BF550" i="4" s="1"/>
  <c r="BF551" i="4" s="1"/>
  <c r="R159" i="16"/>
  <c r="Y88" i="16"/>
  <c r="W88" i="16"/>
  <c r="X88" i="16"/>
  <c r="V89" i="16"/>
  <c r="U90" i="16"/>
  <c r="S158" i="16"/>
  <c r="T158" i="16"/>
  <c r="O160" i="16"/>
  <c r="BA90" i="4"/>
  <c r="BB89" i="4"/>
  <c r="BL87" i="4"/>
  <c r="BK87" i="4"/>
  <c r="BJ87" i="4"/>
  <c r="BH88" i="4"/>
  <c r="BI88" i="4" s="1"/>
  <c r="BE88" i="4"/>
  <c r="BG87" i="4"/>
  <c r="BF87" i="4"/>
  <c r="Y89" i="16" l="1"/>
  <c r="W89" i="16"/>
  <c r="X89" i="16"/>
  <c r="O161" i="16"/>
  <c r="V90" i="16"/>
  <c r="U91" i="16"/>
  <c r="R160" i="16"/>
  <c r="T159" i="16"/>
  <c r="S159" i="16"/>
  <c r="BG88" i="4"/>
  <c r="BF88" i="4"/>
  <c r="BL88" i="4"/>
  <c r="BK88" i="4"/>
  <c r="BJ88" i="4"/>
  <c r="BH89" i="4"/>
  <c r="BI89" i="4" s="1"/>
  <c r="BE89" i="4"/>
  <c r="BB90" i="4"/>
  <c r="BA91" i="4"/>
  <c r="O162" i="16" l="1"/>
  <c r="V91" i="16"/>
  <c r="U92" i="16"/>
  <c r="Y90" i="16"/>
  <c r="W90" i="16"/>
  <c r="X90" i="16"/>
  <c r="R161" i="16"/>
  <c r="S160" i="16"/>
  <c r="T160" i="16"/>
  <c r="BG89" i="4"/>
  <c r="BF89" i="4"/>
  <c r="BH90" i="4"/>
  <c r="BI90" i="4" s="1"/>
  <c r="BE90" i="4"/>
  <c r="BL89" i="4"/>
  <c r="BK89" i="4"/>
  <c r="BJ89" i="4"/>
  <c r="BA92" i="4"/>
  <c r="BB91" i="4"/>
  <c r="R162" i="16" l="1"/>
  <c r="T161" i="16"/>
  <c r="S161" i="16"/>
  <c r="V92" i="16"/>
  <c r="U93" i="16"/>
  <c r="X91" i="16"/>
  <c r="W91" i="16"/>
  <c r="Y91" i="16"/>
  <c r="O163" i="16"/>
  <c r="BB92" i="4"/>
  <c r="BA93" i="4"/>
  <c r="BL90" i="4"/>
  <c r="BK90" i="4"/>
  <c r="BJ90" i="4"/>
  <c r="BG90" i="4"/>
  <c r="BF90" i="4"/>
  <c r="BH91" i="4"/>
  <c r="BI91" i="4" s="1"/>
  <c r="BE91" i="4"/>
  <c r="V93" i="16" l="1"/>
  <c r="U94" i="16"/>
  <c r="Y92" i="16"/>
  <c r="W92" i="16"/>
  <c r="X92" i="16"/>
  <c r="O164" i="16"/>
  <c r="R163" i="16"/>
  <c r="T162" i="16"/>
  <c r="S162" i="16"/>
  <c r="BL91" i="4"/>
  <c r="BK91" i="4"/>
  <c r="BJ91" i="4"/>
  <c r="BA94" i="4"/>
  <c r="BB93" i="4"/>
  <c r="BG91" i="4"/>
  <c r="BF91" i="4"/>
  <c r="BH92" i="4"/>
  <c r="BI92" i="4" s="1"/>
  <c r="BE92" i="4"/>
  <c r="O165" i="16" l="1"/>
  <c r="V94" i="16"/>
  <c r="U95" i="16"/>
  <c r="R164" i="16"/>
  <c r="S163" i="16"/>
  <c r="T163" i="16"/>
  <c r="Y93" i="16"/>
  <c r="W93" i="16"/>
  <c r="X93" i="16"/>
  <c r="BB94" i="4"/>
  <c r="BA95" i="4"/>
  <c r="BL92" i="4"/>
  <c r="BK92" i="4"/>
  <c r="BJ92" i="4"/>
  <c r="BH93" i="4"/>
  <c r="BI93" i="4" s="1"/>
  <c r="BE93" i="4"/>
  <c r="BG92" i="4"/>
  <c r="BF92" i="4"/>
  <c r="T164" i="16" l="1"/>
  <c r="S164" i="16"/>
  <c r="V95" i="16"/>
  <c r="U96" i="16"/>
  <c r="Y94" i="16"/>
  <c r="W94" i="16"/>
  <c r="X94" i="16"/>
  <c r="O166" i="16"/>
  <c r="R165" i="16"/>
  <c r="BG93" i="4"/>
  <c r="BF93" i="4"/>
  <c r="BL93" i="4"/>
  <c r="BK93" i="4"/>
  <c r="BJ93" i="4"/>
  <c r="BA96" i="4"/>
  <c r="BB95" i="4"/>
  <c r="BH94" i="4"/>
  <c r="BI94" i="4" s="1"/>
  <c r="BE94" i="4"/>
  <c r="R166" i="16" l="1"/>
  <c r="V96" i="16"/>
  <c r="U97" i="16"/>
  <c r="S165" i="16"/>
  <c r="T165" i="16"/>
  <c r="Y95" i="16"/>
  <c r="X95" i="16"/>
  <c r="W95" i="16"/>
  <c r="O167" i="16"/>
  <c r="BB96" i="4"/>
  <c r="BA97" i="4"/>
  <c r="BH95" i="4"/>
  <c r="BI95" i="4" s="1"/>
  <c r="BE95" i="4"/>
  <c r="BL94" i="4"/>
  <c r="BK94" i="4"/>
  <c r="BJ94" i="4"/>
  <c r="BG94" i="4"/>
  <c r="BF94" i="4"/>
  <c r="O168" i="16" l="1"/>
  <c r="Y96" i="16"/>
  <c r="W96" i="16"/>
  <c r="X96" i="16"/>
  <c r="V97" i="16"/>
  <c r="U98" i="16"/>
  <c r="R167" i="16"/>
  <c r="S166" i="16"/>
  <c r="T166" i="16"/>
  <c r="BG95" i="4"/>
  <c r="BF95" i="4"/>
  <c r="BA98" i="4"/>
  <c r="BB97" i="4"/>
  <c r="BL95" i="4"/>
  <c r="BK95" i="4"/>
  <c r="BJ95" i="4"/>
  <c r="BH96" i="4"/>
  <c r="BI96" i="4" s="1"/>
  <c r="BE96" i="4"/>
  <c r="V98" i="16" l="1"/>
  <c r="U99" i="16"/>
  <c r="Y97" i="16"/>
  <c r="W97" i="16"/>
  <c r="X97" i="16"/>
  <c r="O169" i="16"/>
  <c r="T167" i="16"/>
  <c r="S167" i="16"/>
  <c r="R168" i="16"/>
  <c r="BH97" i="4"/>
  <c r="BI97" i="4" s="1"/>
  <c r="BE97" i="4"/>
  <c r="BB98" i="4"/>
  <c r="BA99" i="4"/>
  <c r="BL96" i="4"/>
  <c r="BK96" i="4"/>
  <c r="BJ96" i="4"/>
  <c r="BG96" i="4"/>
  <c r="BF96" i="4"/>
  <c r="R169" i="16" l="1"/>
  <c r="S168" i="16"/>
  <c r="T168" i="16"/>
  <c r="V99" i="16"/>
  <c r="U100" i="16"/>
  <c r="O170" i="16"/>
  <c r="Y98" i="16"/>
  <c r="W98" i="16"/>
  <c r="X98" i="16"/>
  <c r="BH98" i="4"/>
  <c r="BI98" i="4" s="1"/>
  <c r="BE98" i="4"/>
  <c r="BB99" i="4"/>
  <c r="BA100" i="4"/>
  <c r="BG97" i="4"/>
  <c r="BF97" i="4"/>
  <c r="BL97" i="4"/>
  <c r="BK97" i="4"/>
  <c r="BJ97" i="4"/>
  <c r="V100" i="16" l="1"/>
  <c r="U101" i="16"/>
  <c r="Y99" i="16"/>
  <c r="W99" i="16"/>
  <c r="X99" i="16"/>
  <c r="R170" i="16"/>
  <c r="O171" i="16"/>
  <c r="T169" i="16"/>
  <c r="S169" i="16"/>
  <c r="BE99" i="4"/>
  <c r="BH99" i="4"/>
  <c r="BI99" i="4" s="1"/>
  <c r="BA101" i="4"/>
  <c r="BB100" i="4"/>
  <c r="BG98" i="4"/>
  <c r="BF98" i="4"/>
  <c r="BL98" i="4"/>
  <c r="BK98" i="4"/>
  <c r="BJ98" i="4"/>
  <c r="T170" i="16" l="1"/>
  <c r="S170" i="16"/>
  <c r="R171" i="16"/>
  <c r="V101" i="16"/>
  <c r="U102" i="16"/>
  <c r="O172" i="16"/>
  <c r="W100" i="16"/>
  <c r="Y100" i="16"/>
  <c r="X100" i="16"/>
  <c r="BB101" i="4"/>
  <c r="BA102" i="4"/>
  <c r="BL99" i="4"/>
  <c r="BK99" i="4"/>
  <c r="BJ99" i="4"/>
  <c r="BH100" i="4"/>
  <c r="BI100" i="4" s="1"/>
  <c r="BE100" i="4"/>
  <c r="BG99" i="4"/>
  <c r="BF99" i="4"/>
  <c r="X101" i="16" l="1"/>
  <c r="W101" i="16"/>
  <c r="Y101" i="16"/>
  <c r="O173" i="16"/>
  <c r="R172" i="16"/>
  <c r="T171" i="16"/>
  <c r="S171" i="16"/>
  <c r="V102" i="16"/>
  <c r="U103" i="16"/>
  <c r="BG100" i="4"/>
  <c r="BF100" i="4"/>
  <c r="BJ100" i="4"/>
  <c r="BL100" i="4"/>
  <c r="BK100" i="4"/>
  <c r="BA103" i="4"/>
  <c r="BB102" i="4"/>
  <c r="BE101" i="4"/>
  <c r="BH101" i="4"/>
  <c r="BI101" i="4" s="1"/>
  <c r="O174" i="16" l="1"/>
  <c r="V103" i="16"/>
  <c r="U104" i="16"/>
  <c r="Y102" i="16"/>
  <c r="X102" i="16"/>
  <c r="W102" i="16"/>
  <c r="T172" i="16"/>
  <c r="S172" i="16"/>
  <c r="R173" i="16"/>
  <c r="BG101" i="4"/>
  <c r="BF101" i="4"/>
  <c r="BA104" i="4"/>
  <c r="BB103" i="4"/>
  <c r="BH102" i="4"/>
  <c r="BI102" i="4" s="1"/>
  <c r="BE102" i="4"/>
  <c r="BL101" i="4"/>
  <c r="BK101" i="4"/>
  <c r="BJ101" i="4"/>
  <c r="T173" i="16" l="1"/>
  <c r="S173" i="16"/>
  <c r="X103" i="16"/>
  <c r="Y103" i="16"/>
  <c r="W103" i="16"/>
  <c r="O175" i="16"/>
  <c r="V104" i="16"/>
  <c r="U105" i="16"/>
  <c r="R174" i="16"/>
  <c r="BG102" i="4"/>
  <c r="BF102" i="4"/>
  <c r="BH103" i="4"/>
  <c r="BI103" i="4" s="1"/>
  <c r="BE103" i="4"/>
  <c r="BB104" i="4"/>
  <c r="BA105" i="4"/>
  <c r="BL102" i="4"/>
  <c r="BK102" i="4"/>
  <c r="BJ102" i="4"/>
  <c r="R175" i="16" l="1"/>
  <c r="Y104" i="16"/>
  <c r="X104" i="16"/>
  <c r="W104" i="16"/>
  <c r="O176" i="16"/>
  <c r="S174" i="16"/>
  <c r="T174" i="16"/>
  <c r="V105" i="16"/>
  <c r="U106" i="16"/>
  <c r="BA106" i="4"/>
  <c r="BB105" i="4"/>
  <c r="BG103" i="4"/>
  <c r="BF103" i="4"/>
  <c r="BK103" i="4"/>
  <c r="BJ103" i="4"/>
  <c r="BL103" i="4"/>
  <c r="BE104" i="4"/>
  <c r="BH104" i="4"/>
  <c r="BI104" i="4" s="1"/>
  <c r="R176" i="16" l="1"/>
  <c r="Y105" i="16"/>
  <c r="W105" i="16"/>
  <c r="X105" i="16"/>
  <c r="T175" i="16"/>
  <c r="S175" i="16"/>
  <c r="O177" i="16"/>
  <c r="V106" i="16"/>
  <c r="U107" i="16"/>
  <c r="BF104" i="4"/>
  <c r="BG104" i="4"/>
  <c r="BL104" i="4"/>
  <c r="BK104" i="4"/>
  <c r="BJ104" i="4"/>
  <c r="BH105" i="4"/>
  <c r="BI105" i="4" s="1"/>
  <c r="BE105" i="4"/>
  <c r="BB106" i="4"/>
  <c r="BA107" i="4"/>
  <c r="R177" i="16" l="1"/>
  <c r="V107" i="16"/>
  <c r="U108" i="16"/>
  <c r="Y106" i="16"/>
  <c r="W106" i="16"/>
  <c r="X106" i="16"/>
  <c r="S176" i="16"/>
  <c r="T176" i="16"/>
  <c r="O178" i="16"/>
  <c r="BG105" i="4"/>
  <c r="BF105" i="4"/>
  <c r="BL105" i="4"/>
  <c r="BK105" i="4"/>
  <c r="BJ105" i="4"/>
  <c r="BH106" i="4"/>
  <c r="BI106" i="4" s="1"/>
  <c r="BE106" i="4"/>
  <c r="BB107" i="4"/>
  <c r="BA108" i="4"/>
  <c r="O179" i="16" l="1"/>
  <c r="Y107" i="16"/>
  <c r="X107" i="16"/>
  <c r="W107" i="16"/>
  <c r="R178" i="16"/>
  <c r="T177" i="16"/>
  <c r="S177" i="16"/>
  <c r="V108" i="16"/>
  <c r="U109" i="16"/>
  <c r="BL106" i="4"/>
  <c r="BK106" i="4"/>
  <c r="BJ106" i="4"/>
  <c r="BE107" i="4"/>
  <c r="BH107" i="4"/>
  <c r="BI107" i="4" s="1"/>
  <c r="BG106" i="4"/>
  <c r="BF106" i="4"/>
  <c r="BA109" i="4"/>
  <c r="BB108" i="4"/>
  <c r="T178" i="16" l="1"/>
  <c r="S178" i="16"/>
  <c r="V109" i="16"/>
  <c r="U110" i="16"/>
  <c r="O180" i="16"/>
  <c r="W108" i="16"/>
  <c r="Y108" i="16"/>
  <c r="X108" i="16"/>
  <c r="R179" i="16"/>
  <c r="BB109" i="4"/>
  <c r="BA110" i="4"/>
  <c r="BL107" i="4"/>
  <c r="BK107" i="4"/>
  <c r="BJ107" i="4"/>
  <c r="BG107" i="4"/>
  <c r="BF107" i="4"/>
  <c r="BH108" i="4"/>
  <c r="BI108" i="4" s="1"/>
  <c r="BE108" i="4"/>
  <c r="O181" i="16" l="1"/>
  <c r="R180" i="16"/>
  <c r="T179" i="16"/>
  <c r="S179" i="16"/>
  <c r="X109" i="16"/>
  <c r="W109" i="16"/>
  <c r="Y109" i="16"/>
  <c r="V110" i="16"/>
  <c r="U111" i="16"/>
  <c r="BA111" i="4"/>
  <c r="BB110" i="4"/>
  <c r="BJ108" i="4"/>
  <c r="BL108" i="4"/>
  <c r="BK108" i="4"/>
  <c r="BG108" i="4"/>
  <c r="BF108" i="4"/>
  <c r="BE109" i="4"/>
  <c r="BH109" i="4"/>
  <c r="BI109" i="4" s="1"/>
  <c r="T180" i="16" l="1"/>
  <c r="S180" i="16"/>
  <c r="O182" i="16"/>
  <c r="V111" i="16"/>
  <c r="U112" i="16"/>
  <c r="W110" i="16"/>
  <c r="Y110" i="16"/>
  <c r="X110" i="16"/>
  <c r="R181" i="16"/>
  <c r="BF109" i="4"/>
  <c r="BG109" i="4"/>
  <c r="BL109" i="4"/>
  <c r="BK109" i="4"/>
  <c r="BJ109" i="4"/>
  <c r="BH110" i="4"/>
  <c r="BI110" i="4" s="1"/>
  <c r="BE110" i="4"/>
  <c r="BB111" i="4"/>
  <c r="BA112" i="4"/>
  <c r="X111" i="16" l="1"/>
  <c r="W111" i="16"/>
  <c r="Y111" i="16"/>
  <c r="O183" i="16"/>
  <c r="V112" i="16"/>
  <c r="U113" i="16"/>
  <c r="T181" i="16"/>
  <c r="S181" i="16"/>
  <c r="R182" i="16"/>
  <c r="BG110" i="4"/>
  <c r="BF110" i="4"/>
  <c r="BJ110" i="4"/>
  <c r="BL110" i="4"/>
  <c r="BK110" i="4"/>
  <c r="BE111" i="4"/>
  <c r="BH111" i="4"/>
  <c r="BI111" i="4" s="1"/>
  <c r="BA113" i="4"/>
  <c r="BB112" i="4"/>
  <c r="O184" i="16" l="1"/>
  <c r="R183" i="16"/>
  <c r="Y112" i="16"/>
  <c r="X112" i="16"/>
  <c r="W112" i="16"/>
  <c r="V113" i="16"/>
  <c r="U114" i="16"/>
  <c r="T182" i="16"/>
  <c r="S182" i="16"/>
  <c r="BB113" i="4"/>
  <c r="BA114" i="4"/>
  <c r="BF111" i="4"/>
  <c r="BG111" i="4"/>
  <c r="BL111" i="4"/>
  <c r="BK111" i="4"/>
  <c r="BJ111" i="4"/>
  <c r="BH112" i="4"/>
  <c r="BI112" i="4" s="1"/>
  <c r="BE112" i="4"/>
  <c r="X113" i="16" l="1"/>
  <c r="W113" i="16"/>
  <c r="Y113" i="16"/>
  <c r="V114" i="16"/>
  <c r="U115" i="16"/>
  <c r="S183" i="16"/>
  <c r="T183" i="16"/>
  <c r="R184" i="16"/>
  <c r="O185" i="16"/>
  <c r="BK112" i="4"/>
  <c r="BJ112" i="4"/>
  <c r="BL112" i="4"/>
  <c r="BA115" i="4"/>
  <c r="BB114" i="4"/>
  <c r="BG112" i="4"/>
  <c r="BF112" i="4"/>
  <c r="BE113" i="4"/>
  <c r="BH113" i="4"/>
  <c r="BI113" i="4" s="1"/>
  <c r="V115" i="16" l="1"/>
  <c r="U116" i="16"/>
  <c r="Y114" i="16"/>
  <c r="W114" i="16"/>
  <c r="X114" i="16"/>
  <c r="R185" i="16"/>
  <c r="O186" i="16"/>
  <c r="T184" i="16"/>
  <c r="S184" i="16"/>
  <c r="BF113" i="4"/>
  <c r="BG113" i="4"/>
  <c r="BE114" i="4"/>
  <c r="BH114" i="4"/>
  <c r="BI114" i="4" s="1"/>
  <c r="BA116" i="4"/>
  <c r="BB115" i="4"/>
  <c r="BJ113" i="4"/>
  <c r="BL113" i="4"/>
  <c r="BK113" i="4"/>
  <c r="V116" i="16" l="1"/>
  <c r="U117" i="16"/>
  <c r="O187" i="16"/>
  <c r="S185" i="16"/>
  <c r="T185" i="16"/>
  <c r="R186" i="16"/>
  <c r="Y115" i="16"/>
  <c r="X115" i="16"/>
  <c r="W115" i="16"/>
  <c r="BH115" i="4"/>
  <c r="BI115" i="4" s="1"/>
  <c r="BE115" i="4"/>
  <c r="BK114" i="4"/>
  <c r="BJ114" i="4"/>
  <c r="BL114" i="4"/>
  <c r="BG114" i="4"/>
  <c r="BF114" i="4"/>
  <c r="BA117" i="4"/>
  <c r="BB116" i="4"/>
  <c r="O188" i="16" l="1"/>
  <c r="T186" i="16"/>
  <c r="S186" i="16"/>
  <c r="V117" i="16"/>
  <c r="U118" i="16"/>
  <c r="R187" i="16"/>
  <c r="W116" i="16"/>
  <c r="X116" i="16"/>
  <c r="Y116" i="16"/>
  <c r="BA118" i="4"/>
  <c r="BB117" i="4"/>
  <c r="BF115" i="4"/>
  <c r="BG115" i="4"/>
  <c r="BH116" i="4"/>
  <c r="BI116" i="4" s="1"/>
  <c r="BE116" i="4"/>
  <c r="BL115" i="4"/>
  <c r="BK115" i="4"/>
  <c r="BJ115" i="4"/>
  <c r="X117" i="16" l="1"/>
  <c r="W117" i="16"/>
  <c r="Y117" i="16"/>
  <c r="V118" i="16"/>
  <c r="U119" i="16"/>
  <c r="T187" i="16"/>
  <c r="S187" i="16"/>
  <c r="R188" i="16"/>
  <c r="O189" i="16"/>
  <c r="BK116" i="4"/>
  <c r="BL116" i="4"/>
  <c r="BJ116" i="4"/>
  <c r="BG116" i="4"/>
  <c r="BF116" i="4"/>
  <c r="BH117" i="4"/>
  <c r="BI117" i="4" s="1"/>
  <c r="BE117" i="4"/>
  <c r="BA119" i="4"/>
  <c r="BB118" i="4"/>
  <c r="V119" i="16" l="1"/>
  <c r="U120" i="16"/>
  <c r="Y118" i="16"/>
  <c r="W118" i="16"/>
  <c r="X118" i="16"/>
  <c r="O190" i="16"/>
  <c r="T188" i="16"/>
  <c r="S188" i="16"/>
  <c r="R189" i="16"/>
  <c r="BL117" i="4"/>
  <c r="BK117" i="4"/>
  <c r="BJ117" i="4"/>
  <c r="BF117" i="4"/>
  <c r="BG117" i="4"/>
  <c r="BB119" i="4"/>
  <c r="BA120" i="4"/>
  <c r="BH118" i="4"/>
  <c r="BI118" i="4" s="1"/>
  <c r="BE118" i="4"/>
  <c r="R190" i="16" l="1"/>
  <c r="O191" i="16"/>
  <c r="S189" i="16"/>
  <c r="T189" i="16"/>
  <c r="V120" i="16"/>
  <c r="U121" i="16"/>
  <c r="X119" i="16"/>
  <c r="Y119" i="16"/>
  <c r="W119" i="16"/>
  <c r="BH119" i="4"/>
  <c r="BI119" i="4" s="1"/>
  <c r="BE119" i="4"/>
  <c r="BL118" i="4"/>
  <c r="BK118" i="4"/>
  <c r="BJ118" i="4"/>
  <c r="BB120" i="4"/>
  <c r="BA121" i="4"/>
  <c r="BG118" i="4"/>
  <c r="BF118" i="4"/>
  <c r="V121" i="16" l="1"/>
  <c r="U122" i="16"/>
  <c r="Y120" i="16"/>
  <c r="X120" i="16"/>
  <c r="W120" i="16"/>
  <c r="R191" i="16"/>
  <c r="T190" i="16"/>
  <c r="S190" i="16"/>
  <c r="O192" i="16"/>
  <c r="BA122" i="4"/>
  <c r="BB121" i="4"/>
  <c r="BG119" i="4"/>
  <c r="BF119" i="4"/>
  <c r="BH120" i="4"/>
  <c r="BI120" i="4" s="1"/>
  <c r="BE120" i="4"/>
  <c r="BL119" i="4"/>
  <c r="BK119" i="4"/>
  <c r="BJ119" i="4"/>
  <c r="T191" i="16" l="1"/>
  <c r="S191" i="16"/>
  <c r="R192" i="16"/>
  <c r="V122" i="16"/>
  <c r="U123" i="16"/>
  <c r="O193" i="16"/>
  <c r="W121" i="16"/>
  <c r="Y121" i="16"/>
  <c r="X121" i="16"/>
  <c r="BL120" i="4"/>
  <c r="BK120" i="4"/>
  <c r="BJ120" i="4"/>
  <c r="BG120" i="4"/>
  <c r="BF120" i="4"/>
  <c r="BH121" i="4"/>
  <c r="BI121" i="4" s="1"/>
  <c r="BE121" i="4"/>
  <c r="BB122" i="4"/>
  <c r="BA123" i="4"/>
  <c r="O194" i="16" l="1"/>
  <c r="V123" i="16"/>
  <c r="U124" i="16"/>
  <c r="Y122" i="16"/>
  <c r="W122" i="16"/>
  <c r="X122" i="16"/>
  <c r="T192" i="16"/>
  <c r="S192" i="16"/>
  <c r="R193" i="16"/>
  <c r="BJ121" i="4"/>
  <c r="BK121" i="4"/>
  <c r="BL121" i="4"/>
  <c r="BE122" i="4"/>
  <c r="BH122" i="4"/>
  <c r="BI122" i="4" s="1"/>
  <c r="BG121" i="4"/>
  <c r="BF121" i="4"/>
  <c r="BA124" i="4"/>
  <c r="BB123" i="4"/>
  <c r="V124" i="16" l="1"/>
  <c r="U125" i="16"/>
  <c r="T193" i="16"/>
  <c r="S193" i="16"/>
  <c r="X123" i="16"/>
  <c r="W123" i="16"/>
  <c r="Y123" i="16"/>
  <c r="R194" i="16"/>
  <c r="O195" i="16"/>
  <c r="BB124" i="4"/>
  <c r="BA125" i="4"/>
  <c r="BG122" i="4"/>
  <c r="BF122" i="4"/>
  <c r="BL122" i="4"/>
  <c r="BK122" i="4"/>
  <c r="BJ122" i="4"/>
  <c r="BH123" i="4"/>
  <c r="BI123" i="4" s="1"/>
  <c r="BE123" i="4"/>
  <c r="T194" i="16" l="1"/>
  <c r="S194" i="16"/>
  <c r="R195" i="16"/>
  <c r="V125" i="16"/>
  <c r="U126" i="16"/>
  <c r="O196" i="16"/>
  <c r="W124" i="16"/>
  <c r="X124" i="16"/>
  <c r="Y124" i="16"/>
  <c r="BL123" i="4"/>
  <c r="BK123" i="4"/>
  <c r="BJ123" i="4"/>
  <c r="BB125" i="4"/>
  <c r="BA126" i="4"/>
  <c r="BG123" i="4"/>
  <c r="BF123" i="4"/>
  <c r="BH124" i="4"/>
  <c r="BI124" i="4" s="1"/>
  <c r="BE124" i="4"/>
  <c r="Y125" i="16" l="1"/>
  <c r="X125" i="16"/>
  <c r="W125" i="16"/>
  <c r="R196" i="16"/>
  <c r="O197" i="16"/>
  <c r="T195" i="16"/>
  <c r="S195" i="16"/>
  <c r="V126" i="16"/>
  <c r="U127" i="16"/>
  <c r="BK124" i="4"/>
  <c r="BJ124" i="4"/>
  <c r="BL124" i="4"/>
  <c r="BH125" i="4"/>
  <c r="BI125" i="4" s="1"/>
  <c r="BE125" i="4"/>
  <c r="BA127" i="4"/>
  <c r="BB126" i="4"/>
  <c r="BG124" i="4"/>
  <c r="BF124" i="4"/>
  <c r="R197" i="16" l="1"/>
  <c r="V127" i="16"/>
  <c r="U128" i="16"/>
  <c r="T196" i="16"/>
  <c r="S196" i="16"/>
  <c r="Y126" i="16"/>
  <c r="W126" i="16"/>
  <c r="X126" i="16"/>
  <c r="O198" i="16"/>
  <c r="BE126" i="4"/>
  <c r="BH126" i="4"/>
  <c r="BI126" i="4" s="1"/>
  <c r="BG125" i="4"/>
  <c r="BF125" i="4"/>
  <c r="BL125" i="4"/>
  <c r="BK125" i="4"/>
  <c r="BJ125" i="4"/>
  <c r="BA128" i="4"/>
  <c r="BB127" i="4"/>
  <c r="V128" i="16" l="1"/>
  <c r="U129" i="16"/>
  <c r="R198" i="16"/>
  <c r="W127" i="16"/>
  <c r="Y127" i="16"/>
  <c r="X127" i="16"/>
  <c r="O199" i="16"/>
  <c r="T197" i="16"/>
  <c r="S197" i="16"/>
  <c r="BB128" i="4"/>
  <c r="BA129" i="4"/>
  <c r="BL126" i="4"/>
  <c r="BK126" i="4"/>
  <c r="BJ126" i="4"/>
  <c r="BH127" i="4"/>
  <c r="BI127" i="4" s="1"/>
  <c r="BE127" i="4"/>
  <c r="BF126" i="4"/>
  <c r="BG126" i="4"/>
  <c r="O200" i="16" l="1"/>
  <c r="T198" i="16"/>
  <c r="S198" i="16"/>
  <c r="Z129" i="16"/>
  <c r="V129" i="16"/>
  <c r="U130" i="16"/>
  <c r="R199" i="16"/>
  <c r="X128" i="16"/>
  <c r="Y128" i="16"/>
  <c r="W128" i="16"/>
  <c r="BK127" i="4"/>
  <c r="BJ127" i="4"/>
  <c r="BL127" i="4"/>
  <c r="BF127" i="4"/>
  <c r="BG127" i="4"/>
  <c r="BB129" i="4"/>
  <c r="BA130" i="4"/>
  <c r="BH128" i="4"/>
  <c r="BI128" i="4" s="1"/>
  <c r="BE128" i="4"/>
  <c r="S199" i="16" l="1"/>
  <c r="T199" i="16"/>
  <c r="V130" i="16"/>
  <c r="Z130" i="16"/>
  <c r="U131" i="16"/>
  <c r="Y129" i="16"/>
  <c r="W129" i="16"/>
  <c r="X129" i="16"/>
  <c r="R200" i="16"/>
  <c r="O201" i="16"/>
  <c r="BH129" i="4"/>
  <c r="BE129" i="4"/>
  <c r="BK128" i="4"/>
  <c r="BL128" i="4"/>
  <c r="BJ128" i="4"/>
  <c r="BB130" i="4"/>
  <c r="BA131" i="4"/>
  <c r="BG128" i="4"/>
  <c r="BF128" i="4"/>
  <c r="Z131" i="16" l="1"/>
  <c r="V131" i="16"/>
  <c r="U132" i="16"/>
  <c r="O202" i="16"/>
  <c r="Y130" i="16"/>
  <c r="X130" i="16"/>
  <c r="W130" i="16"/>
  <c r="R201" i="16"/>
  <c r="T200" i="16"/>
  <c r="S200" i="16"/>
  <c r="BH130" i="4"/>
  <c r="BE130" i="4"/>
  <c r="BB131" i="4"/>
  <c r="BA132" i="4"/>
  <c r="BG129" i="4"/>
  <c r="BF129" i="4"/>
  <c r="BM129" i="4"/>
  <c r="BI129" i="4"/>
  <c r="R202" i="16" l="1"/>
  <c r="Z132" i="16"/>
  <c r="V132" i="16"/>
  <c r="U133" i="16"/>
  <c r="Y131" i="16"/>
  <c r="W131" i="16"/>
  <c r="X131" i="16"/>
  <c r="O203" i="16"/>
  <c r="T201" i="16"/>
  <c r="S201" i="16"/>
  <c r="BB132" i="4"/>
  <c r="BA133" i="4"/>
  <c r="BG130" i="4"/>
  <c r="BF130" i="4"/>
  <c r="BL129" i="4"/>
  <c r="BK129" i="4"/>
  <c r="BJ129" i="4"/>
  <c r="BH131" i="4"/>
  <c r="BE131" i="4"/>
  <c r="BI130" i="4"/>
  <c r="BM130" i="4"/>
  <c r="Z133" i="16" l="1"/>
  <c r="V133" i="16"/>
  <c r="U134" i="16"/>
  <c r="Y132" i="16"/>
  <c r="X132" i="16"/>
  <c r="W132" i="16"/>
  <c r="R203" i="16"/>
  <c r="O204" i="16"/>
  <c r="T202" i="16"/>
  <c r="S202" i="16"/>
  <c r="BM131" i="4"/>
  <c r="BI131" i="4"/>
  <c r="BB133" i="4"/>
  <c r="BA134" i="4"/>
  <c r="BL130" i="4"/>
  <c r="BK130" i="4"/>
  <c r="BJ130" i="4"/>
  <c r="BG131" i="4"/>
  <c r="BF131" i="4"/>
  <c r="BH132" i="4"/>
  <c r="BE132" i="4"/>
  <c r="S203" i="16" l="1"/>
  <c r="T203" i="16"/>
  <c r="Z134" i="16"/>
  <c r="V134" i="16"/>
  <c r="U135" i="16"/>
  <c r="R204" i="16"/>
  <c r="Y133" i="16"/>
  <c r="X133" i="16"/>
  <c r="W133" i="16"/>
  <c r="O205" i="16"/>
  <c r="BH133" i="4"/>
  <c r="BE133" i="4"/>
  <c r="BB134" i="4"/>
  <c r="BA135" i="4"/>
  <c r="BI132" i="4"/>
  <c r="BM132" i="4"/>
  <c r="BL131" i="4"/>
  <c r="BK131" i="4"/>
  <c r="BJ131" i="4"/>
  <c r="BF132" i="4"/>
  <c r="BG132" i="4"/>
  <c r="V135" i="16" l="1"/>
  <c r="Z135" i="16"/>
  <c r="U136" i="16"/>
  <c r="R205" i="16"/>
  <c r="Y134" i="16"/>
  <c r="W134" i="16"/>
  <c r="X134" i="16"/>
  <c r="O206" i="16"/>
  <c r="T204" i="16"/>
  <c r="S204" i="16"/>
  <c r="BB135" i="4"/>
  <c r="BA136" i="4"/>
  <c r="BH134" i="4"/>
  <c r="BE134" i="4"/>
  <c r="BL132" i="4"/>
  <c r="BK132" i="4"/>
  <c r="BJ132" i="4"/>
  <c r="BG133" i="4"/>
  <c r="BF133" i="4"/>
  <c r="BM133" i="4"/>
  <c r="BI133" i="4"/>
  <c r="T205" i="16" l="1"/>
  <c r="S205" i="16"/>
  <c r="V136" i="16"/>
  <c r="Z136" i="16"/>
  <c r="U137" i="16"/>
  <c r="R206" i="16"/>
  <c r="O207" i="16"/>
  <c r="Y135" i="16"/>
  <c r="X135" i="16"/>
  <c r="W135" i="16"/>
  <c r="BF134" i="4"/>
  <c r="BG134" i="4"/>
  <c r="BI134" i="4"/>
  <c r="BM134" i="4"/>
  <c r="BB136" i="4"/>
  <c r="BA137" i="4"/>
  <c r="BJ133" i="4"/>
  <c r="BL133" i="4"/>
  <c r="BK133" i="4"/>
  <c r="BH135" i="4"/>
  <c r="BE135" i="4"/>
  <c r="T206" i="16" l="1"/>
  <c r="S206" i="16"/>
  <c r="Z137" i="16"/>
  <c r="V137" i="16"/>
  <c r="U138" i="16"/>
  <c r="O208" i="16"/>
  <c r="Y136" i="16"/>
  <c r="X136" i="16"/>
  <c r="W136" i="16"/>
  <c r="R207" i="16"/>
  <c r="BL134" i="4"/>
  <c r="BK134" i="4"/>
  <c r="BJ134" i="4"/>
  <c r="BH136" i="4"/>
  <c r="BE136" i="4"/>
  <c r="BM135" i="4"/>
  <c r="BI135" i="4"/>
  <c r="BB137" i="4"/>
  <c r="BA138" i="4"/>
  <c r="BF135" i="4"/>
  <c r="BG135" i="4"/>
  <c r="O209" i="16" l="1"/>
  <c r="V138" i="16"/>
  <c r="Z138" i="16"/>
  <c r="U139" i="16"/>
  <c r="T207" i="16"/>
  <c r="S207" i="16"/>
  <c r="R208" i="16"/>
  <c r="Y137" i="16"/>
  <c r="W137" i="16"/>
  <c r="X137" i="16"/>
  <c r="BH137" i="4"/>
  <c r="BE137" i="4"/>
  <c r="BF136" i="4"/>
  <c r="BG136" i="4"/>
  <c r="BI136" i="4"/>
  <c r="BM136" i="4"/>
  <c r="BJ135" i="4"/>
  <c r="BL135" i="4"/>
  <c r="BK135" i="4"/>
  <c r="BB138" i="4"/>
  <c r="BA139" i="4"/>
  <c r="Z139" i="16" l="1"/>
  <c r="V139" i="16"/>
  <c r="U140" i="16"/>
  <c r="T208" i="16"/>
  <c r="S208" i="16"/>
  <c r="Y138" i="16"/>
  <c r="X138" i="16"/>
  <c r="W138" i="16"/>
  <c r="R209" i="16"/>
  <c r="O210" i="16"/>
  <c r="BL136" i="4"/>
  <c r="BJ136" i="4"/>
  <c r="BK136" i="4"/>
  <c r="BH138" i="4"/>
  <c r="BE138" i="4"/>
  <c r="BF137" i="4"/>
  <c r="BG137" i="4"/>
  <c r="BB139" i="4"/>
  <c r="BA140" i="4"/>
  <c r="BM137" i="4"/>
  <c r="BI137" i="4"/>
  <c r="V140" i="16" l="1"/>
  <c r="Z140" i="16"/>
  <c r="U141" i="16"/>
  <c r="R210" i="16"/>
  <c r="T209" i="16"/>
  <c r="S209" i="16"/>
  <c r="O211" i="16"/>
  <c r="Y139" i="16"/>
  <c r="W139" i="16"/>
  <c r="X139" i="16"/>
  <c r="BI138" i="4"/>
  <c r="BM138" i="4"/>
  <c r="BH139" i="4"/>
  <c r="BE139" i="4"/>
  <c r="BJ137" i="4"/>
  <c r="BL137" i="4"/>
  <c r="BK137" i="4"/>
  <c r="BF138" i="4"/>
  <c r="BG138" i="4"/>
  <c r="BB140" i="4"/>
  <c r="BA141" i="4"/>
  <c r="O212" i="16" l="1"/>
  <c r="T210" i="16"/>
  <c r="S210" i="16"/>
  <c r="Z141" i="16"/>
  <c r="V141" i="16"/>
  <c r="U142" i="16"/>
  <c r="R211" i="16"/>
  <c r="Y140" i="16"/>
  <c r="X140" i="16"/>
  <c r="W140" i="16"/>
  <c r="BM139" i="4"/>
  <c r="BI139" i="4"/>
  <c r="BF139" i="4"/>
  <c r="BG139" i="4"/>
  <c r="BH140" i="4"/>
  <c r="BE140" i="4"/>
  <c r="BB141" i="4"/>
  <c r="BA142" i="4"/>
  <c r="BL138" i="4"/>
  <c r="BJ138" i="4"/>
  <c r="BK138" i="4"/>
  <c r="T211" i="16" l="1"/>
  <c r="S211" i="16"/>
  <c r="Y141" i="16"/>
  <c r="X141" i="16"/>
  <c r="W141" i="16"/>
  <c r="Z142" i="16"/>
  <c r="V142" i="16"/>
  <c r="U143" i="16"/>
  <c r="R212" i="16"/>
  <c r="O213" i="16"/>
  <c r="BI140" i="4"/>
  <c r="BM140" i="4"/>
  <c r="BH141" i="4"/>
  <c r="BE141" i="4"/>
  <c r="BF140" i="4"/>
  <c r="BG140" i="4"/>
  <c r="BJ139" i="4"/>
  <c r="BL139" i="4"/>
  <c r="BK139" i="4"/>
  <c r="BB142" i="4"/>
  <c r="BA143" i="4"/>
  <c r="Z143" i="16" l="1"/>
  <c r="V143" i="16"/>
  <c r="U144" i="16"/>
  <c r="Y142" i="16"/>
  <c r="X142" i="16"/>
  <c r="W142" i="16"/>
  <c r="R213" i="16"/>
  <c r="O214" i="16"/>
  <c r="T212" i="16"/>
  <c r="S212" i="16"/>
  <c r="BM141" i="4"/>
  <c r="BI141" i="4"/>
  <c r="BF141" i="4"/>
  <c r="BG141" i="4"/>
  <c r="BH142" i="4"/>
  <c r="BE142" i="4"/>
  <c r="BB143" i="4"/>
  <c r="BA144" i="4"/>
  <c r="BL140" i="4"/>
  <c r="BJ140" i="4"/>
  <c r="BK140" i="4"/>
  <c r="T213" i="16" l="1"/>
  <c r="S213" i="16"/>
  <c r="V144" i="16"/>
  <c r="Z144" i="16"/>
  <c r="U145" i="16"/>
  <c r="R214" i="16"/>
  <c r="Y143" i="16"/>
  <c r="W143" i="16"/>
  <c r="X143" i="16"/>
  <c r="O215" i="16"/>
  <c r="BI142" i="4"/>
  <c r="BM142" i="4"/>
  <c r="BH143" i="4"/>
  <c r="BE143" i="4"/>
  <c r="BB144" i="4"/>
  <c r="BA145" i="4"/>
  <c r="BF142" i="4"/>
  <c r="BG142" i="4"/>
  <c r="BJ141" i="4"/>
  <c r="BL141" i="4"/>
  <c r="BK141" i="4"/>
  <c r="T214" i="16" l="1"/>
  <c r="S214" i="16"/>
  <c r="V145" i="16"/>
  <c r="Z145" i="16"/>
  <c r="U146" i="16"/>
  <c r="O216" i="16"/>
  <c r="Y144" i="16"/>
  <c r="X144" i="16"/>
  <c r="W144" i="16"/>
  <c r="R215" i="16"/>
  <c r="BH144" i="4"/>
  <c r="BE144" i="4"/>
  <c r="BM143" i="4"/>
  <c r="BI143" i="4"/>
  <c r="BB145" i="4"/>
  <c r="BA146" i="4"/>
  <c r="BF143" i="4"/>
  <c r="BG143" i="4"/>
  <c r="BL142" i="4"/>
  <c r="BJ142" i="4"/>
  <c r="BK142" i="4"/>
  <c r="V146" i="16" l="1"/>
  <c r="Z146" i="16"/>
  <c r="U147" i="16"/>
  <c r="T215" i="16"/>
  <c r="S215" i="16"/>
  <c r="O217" i="16"/>
  <c r="Y145" i="16"/>
  <c r="W145" i="16"/>
  <c r="X145" i="16"/>
  <c r="R216" i="16"/>
  <c r="BB146" i="4"/>
  <c r="BA147" i="4"/>
  <c r="BF144" i="4"/>
  <c r="BG144" i="4"/>
  <c r="BH145" i="4"/>
  <c r="BE145" i="4"/>
  <c r="BJ143" i="4"/>
  <c r="BL143" i="4"/>
  <c r="BK143" i="4"/>
  <c r="BI144" i="4"/>
  <c r="BM144" i="4"/>
  <c r="O218" i="16" l="1"/>
  <c r="Z147" i="16"/>
  <c r="V147" i="16"/>
  <c r="U148" i="16"/>
  <c r="R217" i="16"/>
  <c r="T216" i="16"/>
  <c r="S216" i="16"/>
  <c r="Y146" i="16"/>
  <c r="X146" i="16"/>
  <c r="W146" i="16"/>
  <c r="BM145" i="4"/>
  <c r="BI145" i="4"/>
  <c r="BB147" i="4"/>
  <c r="BA148" i="4"/>
  <c r="BF145" i="4"/>
  <c r="BG145" i="4"/>
  <c r="BL144" i="4"/>
  <c r="BJ144" i="4"/>
  <c r="BK144" i="4"/>
  <c r="BH146" i="4"/>
  <c r="BE146" i="4"/>
  <c r="Z148" i="16" l="1"/>
  <c r="V148" i="16"/>
  <c r="U149" i="16"/>
  <c r="Y147" i="16"/>
  <c r="W147" i="16"/>
  <c r="X147" i="16"/>
  <c r="T217" i="16"/>
  <c r="S217" i="16"/>
  <c r="R218" i="16"/>
  <c r="O219" i="16"/>
  <c r="BB148" i="4"/>
  <c r="BA149" i="4"/>
  <c r="BH147" i="4"/>
  <c r="BE147" i="4"/>
  <c r="BI146" i="4"/>
  <c r="BM146" i="4"/>
  <c r="BJ145" i="4"/>
  <c r="BL145" i="4"/>
  <c r="BK145" i="4"/>
  <c r="BF146" i="4"/>
  <c r="BG146" i="4"/>
  <c r="O220" i="16" l="1"/>
  <c r="R219" i="16"/>
  <c r="Z149" i="16"/>
  <c r="V149" i="16"/>
  <c r="U150" i="16"/>
  <c r="Y148" i="16"/>
  <c r="X148" i="16"/>
  <c r="W148" i="16"/>
  <c r="T218" i="16"/>
  <c r="S218" i="16"/>
  <c r="BL146" i="4"/>
  <c r="BJ146" i="4"/>
  <c r="BK146" i="4"/>
  <c r="BF147" i="4"/>
  <c r="BG147" i="4"/>
  <c r="BM147" i="4"/>
  <c r="BI147" i="4"/>
  <c r="BB149" i="4"/>
  <c r="BA150" i="4"/>
  <c r="BH148" i="4"/>
  <c r="BE148" i="4"/>
  <c r="Z150" i="16" l="1"/>
  <c r="V150" i="16"/>
  <c r="U151" i="16"/>
  <c r="Y149" i="16"/>
  <c r="X149" i="16"/>
  <c r="W149" i="16"/>
  <c r="T219" i="16"/>
  <c r="S219" i="16"/>
  <c r="R220" i="16"/>
  <c r="O221" i="16"/>
  <c r="BH149" i="4"/>
  <c r="BE149" i="4"/>
  <c r="BF148" i="4"/>
  <c r="BG148" i="4"/>
  <c r="BJ147" i="4"/>
  <c r="BL147" i="4"/>
  <c r="BK147" i="4"/>
  <c r="BI148" i="4"/>
  <c r="BM148" i="4"/>
  <c r="BB150" i="4"/>
  <c r="BA151" i="4"/>
  <c r="O222" i="16" l="1"/>
  <c r="Y150" i="16"/>
  <c r="X150" i="16"/>
  <c r="W150" i="16"/>
  <c r="R221" i="16"/>
  <c r="Z151" i="16"/>
  <c r="V151" i="16"/>
  <c r="U152" i="16"/>
  <c r="T220" i="16"/>
  <c r="S220" i="16"/>
  <c r="BL148" i="4"/>
  <c r="BJ148" i="4"/>
  <c r="BK148" i="4"/>
  <c r="BB151" i="4"/>
  <c r="BA152" i="4"/>
  <c r="BH150" i="4"/>
  <c r="BE150" i="4"/>
  <c r="BF149" i="4"/>
  <c r="BG149" i="4"/>
  <c r="BM149" i="4"/>
  <c r="BI149" i="4"/>
  <c r="Y151" i="16" l="1"/>
  <c r="X151" i="16"/>
  <c r="W151" i="16"/>
  <c r="T221" i="16"/>
  <c r="S221" i="16"/>
  <c r="V152" i="16"/>
  <c r="Z152" i="16"/>
  <c r="U153" i="16"/>
  <c r="R222" i="16"/>
  <c r="O223" i="16"/>
  <c r="BH151" i="4"/>
  <c r="BE151" i="4"/>
  <c r="BF150" i="4"/>
  <c r="BG150" i="4"/>
  <c r="BI150" i="4"/>
  <c r="BM150" i="4"/>
  <c r="BJ149" i="4"/>
  <c r="BL149" i="4"/>
  <c r="BK149" i="4"/>
  <c r="BB152" i="4"/>
  <c r="BA153" i="4"/>
  <c r="R223" i="16" l="1"/>
  <c r="O224" i="16"/>
  <c r="V153" i="16"/>
  <c r="Z153" i="16"/>
  <c r="U154" i="16"/>
  <c r="Y152" i="16"/>
  <c r="X152" i="16"/>
  <c r="W152" i="16"/>
  <c r="T222" i="16"/>
  <c r="S222" i="16"/>
  <c r="BL150" i="4"/>
  <c r="BJ150" i="4"/>
  <c r="BK150" i="4"/>
  <c r="BH152" i="4"/>
  <c r="BE152" i="4"/>
  <c r="BF151" i="4"/>
  <c r="BG151" i="4"/>
  <c r="BB153" i="4"/>
  <c r="BA154" i="4"/>
  <c r="BM151" i="4"/>
  <c r="BI151" i="4"/>
  <c r="Y153" i="16" l="1"/>
  <c r="W153" i="16"/>
  <c r="X153" i="16"/>
  <c r="R224" i="16"/>
  <c r="O225" i="16"/>
  <c r="T223" i="16"/>
  <c r="S223" i="16"/>
  <c r="V154" i="16"/>
  <c r="Z154" i="16"/>
  <c r="U155" i="16"/>
  <c r="BI152" i="4"/>
  <c r="BM152" i="4"/>
  <c r="BH153" i="4"/>
  <c r="BE153" i="4"/>
  <c r="BF152" i="4"/>
  <c r="BG152" i="4"/>
  <c r="BJ151" i="4"/>
  <c r="BL151" i="4"/>
  <c r="BK151" i="4"/>
  <c r="BB154" i="4"/>
  <c r="BA155" i="4"/>
  <c r="R225" i="16" l="1"/>
  <c r="Z155" i="16"/>
  <c r="V155" i="16"/>
  <c r="U156" i="16"/>
  <c r="O226" i="16"/>
  <c r="T224" i="16"/>
  <c r="S224" i="16"/>
  <c r="Y154" i="16"/>
  <c r="X154" i="16"/>
  <c r="W154" i="16"/>
  <c r="BM153" i="4"/>
  <c r="BI153" i="4"/>
  <c r="BF153" i="4"/>
  <c r="BG153" i="4"/>
  <c r="BH154" i="4"/>
  <c r="BE154" i="4"/>
  <c r="BB155" i="4"/>
  <c r="BA156" i="4"/>
  <c r="BL152" i="4"/>
  <c r="BJ152" i="4"/>
  <c r="BK152" i="4"/>
  <c r="Z156" i="16" l="1"/>
  <c r="V156" i="16"/>
  <c r="U157" i="16"/>
  <c r="R226" i="16"/>
  <c r="Y155" i="16"/>
  <c r="W155" i="16"/>
  <c r="X155" i="16"/>
  <c r="T225" i="16"/>
  <c r="S225" i="16"/>
  <c r="O227" i="16"/>
  <c r="BF154" i="4"/>
  <c r="BG154" i="4"/>
  <c r="BH155" i="4"/>
  <c r="BE155" i="4"/>
  <c r="BB156" i="4"/>
  <c r="BA157" i="4"/>
  <c r="BI154" i="4"/>
  <c r="BM154" i="4"/>
  <c r="BJ153" i="4"/>
  <c r="BL153" i="4"/>
  <c r="BK153" i="4"/>
  <c r="R227" i="16" l="1"/>
  <c r="Z157" i="16"/>
  <c r="V157" i="16"/>
  <c r="U158" i="16"/>
  <c r="T226" i="16"/>
  <c r="S226" i="16"/>
  <c r="Y156" i="16"/>
  <c r="X156" i="16"/>
  <c r="W156" i="16"/>
  <c r="O228" i="16"/>
  <c r="BF155" i="4"/>
  <c r="BG155" i="4"/>
  <c r="BB157" i="4"/>
  <c r="BA158" i="4"/>
  <c r="BM155" i="4"/>
  <c r="BI155" i="4"/>
  <c r="BH156" i="4"/>
  <c r="BE156" i="4"/>
  <c r="BL154" i="4"/>
  <c r="BJ154" i="4"/>
  <c r="BK154" i="4"/>
  <c r="Z158" i="16" l="1"/>
  <c r="V158" i="16"/>
  <c r="U159" i="16"/>
  <c r="O229" i="16"/>
  <c r="R228" i="16"/>
  <c r="Y157" i="16"/>
  <c r="X157" i="16"/>
  <c r="W157" i="16"/>
  <c r="T227" i="16"/>
  <c r="S227" i="16"/>
  <c r="BB158" i="4"/>
  <c r="BA159" i="4"/>
  <c r="BF156" i="4"/>
  <c r="BG156" i="4"/>
  <c r="BH157" i="4"/>
  <c r="BE157" i="4"/>
  <c r="BJ155" i="4"/>
  <c r="BL155" i="4"/>
  <c r="BK155" i="4"/>
  <c r="BI156" i="4"/>
  <c r="BM156" i="4"/>
  <c r="R229" i="16" l="1"/>
  <c r="O230" i="16"/>
  <c r="Z159" i="16"/>
  <c r="V159" i="16"/>
  <c r="U160" i="16"/>
  <c r="Y158" i="16"/>
  <c r="W158" i="16"/>
  <c r="X158" i="16"/>
  <c r="T228" i="16"/>
  <c r="S228" i="16"/>
  <c r="BM157" i="4"/>
  <c r="BI157" i="4"/>
  <c r="BB159" i="4"/>
  <c r="BA160" i="4"/>
  <c r="BF157" i="4"/>
  <c r="BG157" i="4"/>
  <c r="BL156" i="4"/>
  <c r="BJ156" i="4"/>
  <c r="BK156" i="4"/>
  <c r="BE158" i="4"/>
  <c r="BH158" i="4"/>
  <c r="V160" i="16" l="1"/>
  <c r="Z160" i="16"/>
  <c r="U161" i="16"/>
  <c r="Y159" i="16"/>
  <c r="X159" i="16"/>
  <c r="W159" i="16"/>
  <c r="R230" i="16"/>
  <c r="O231" i="16"/>
  <c r="T229" i="16"/>
  <c r="S229" i="16"/>
  <c r="BB160" i="4"/>
  <c r="BA161" i="4"/>
  <c r="BH159" i="4"/>
  <c r="BE159" i="4"/>
  <c r="BF158" i="4"/>
  <c r="BG158" i="4"/>
  <c r="BJ157" i="4"/>
  <c r="BL157" i="4"/>
  <c r="BK157" i="4"/>
  <c r="BM158" i="4"/>
  <c r="BI158" i="4"/>
  <c r="T230" i="16" l="1"/>
  <c r="S230" i="16"/>
  <c r="V161" i="16"/>
  <c r="Z161" i="16"/>
  <c r="U162" i="16"/>
  <c r="R231" i="16"/>
  <c r="O232" i="16"/>
  <c r="Y160" i="16"/>
  <c r="W160" i="16"/>
  <c r="X160" i="16"/>
  <c r="BF159" i="4"/>
  <c r="BG159" i="4"/>
  <c r="BI159" i="4"/>
  <c r="BM159" i="4"/>
  <c r="BB161" i="4"/>
  <c r="BA162" i="4"/>
  <c r="BL158" i="4"/>
  <c r="BJ158" i="4"/>
  <c r="BK158" i="4"/>
  <c r="BE160" i="4"/>
  <c r="BH160" i="4"/>
  <c r="O233" i="16" l="1"/>
  <c r="Y161" i="16"/>
  <c r="W161" i="16"/>
  <c r="X161" i="16"/>
  <c r="T231" i="16"/>
  <c r="S231" i="16"/>
  <c r="V162" i="16"/>
  <c r="Z162" i="16"/>
  <c r="U163" i="16"/>
  <c r="R232" i="16"/>
  <c r="BB162" i="4"/>
  <c r="BA163" i="4"/>
  <c r="BM160" i="4"/>
  <c r="BI160" i="4"/>
  <c r="BJ159" i="4"/>
  <c r="BL159" i="4"/>
  <c r="BK159" i="4"/>
  <c r="BH161" i="4"/>
  <c r="BE161" i="4"/>
  <c r="BF160" i="4"/>
  <c r="BG160" i="4"/>
  <c r="Y162" i="16" l="1"/>
  <c r="X162" i="16"/>
  <c r="W162" i="16"/>
  <c r="T232" i="16"/>
  <c r="S232" i="16"/>
  <c r="Z163" i="16"/>
  <c r="V163" i="16"/>
  <c r="U164" i="16"/>
  <c r="R233" i="16"/>
  <c r="O234" i="16"/>
  <c r="BL160" i="4"/>
  <c r="BJ160" i="4"/>
  <c r="BK160" i="4"/>
  <c r="BB163" i="4"/>
  <c r="BA164" i="4"/>
  <c r="BI161" i="4"/>
  <c r="BM161" i="4"/>
  <c r="BF161" i="4"/>
  <c r="BG161" i="4"/>
  <c r="BE162" i="4"/>
  <c r="BH162" i="4"/>
  <c r="Y163" i="16" l="1"/>
  <c r="W163" i="16"/>
  <c r="X163" i="16"/>
  <c r="Z164" i="16"/>
  <c r="V164" i="16"/>
  <c r="U165" i="16"/>
  <c r="R234" i="16"/>
  <c r="O235" i="16"/>
  <c r="T233" i="16"/>
  <c r="S233" i="16"/>
  <c r="BJ161" i="4"/>
  <c r="BL161" i="4"/>
  <c r="BK161" i="4"/>
  <c r="BH163" i="4"/>
  <c r="BE163" i="4"/>
  <c r="BM162" i="4"/>
  <c r="BI162" i="4"/>
  <c r="BB164" i="4"/>
  <c r="BA165" i="4"/>
  <c r="BF162" i="4"/>
  <c r="BG162" i="4"/>
  <c r="T234" i="16" l="1"/>
  <c r="S234" i="16"/>
  <c r="Z165" i="16"/>
  <c r="V165" i="16"/>
  <c r="U166" i="16"/>
  <c r="Y164" i="16"/>
  <c r="X164" i="16"/>
  <c r="W164" i="16"/>
  <c r="R235" i="16"/>
  <c r="O236" i="16"/>
  <c r="BF163" i="4"/>
  <c r="BG163" i="4"/>
  <c r="BL162" i="4"/>
  <c r="BJ162" i="4"/>
  <c r="BK162" i="4"/>
  <c r="BI163" i="4"/>
  <c r="BM163" i="4"/>
  <c r="BE164" i="4"/>
  <c r="BH164" i="4"/>
  <c r="BB165" i="4"/>
  <c r="BA166" i="4"/>
  <c r="Z166" i="16" l="1"/>
  <c r="V166" i="16"/>
  <c r="U167" i="16"/>
  <c r="R236" i="16"/>
  <c r="Y165" i="16"/>
  <c r="X165" i="16"/>
  <c r="W165" i="16"/>
  <c r="T235" i="16"/>
  <c r="S235" i="16"/>
  <c r="O237" i="16"/>
  <c r="BF164" i="4"/>
  <c r="BG164" i="4"/>
  <c r="BJ163" i="4"/>
  <c r="BL163" i="4"/>
  <c r="BK163" i="4"/>
  <c r="BH165" i="4"/>
  <c r="BE165" i="4"/>
  <c r="BB166" i="4"/>
  <c r="BA167" i="4"/>
  <c r="BM164" i="4"/>
  <c r="BI164" i="4"/>
  <c r="V167" i="16" l="1"/>
  <c r="Z167" i="16"/>
  <c r="U168" i="16"/>
  <c r="R237" i="16"/>
  <c r="T236" i="16"/>
  <c r="S236" i="16"/>
  <c r="Y166" i="16"/>
  <c r="X166" i="16"/>
  <c r="W166" i="16"/>
  <c r="O238" i="16"/>
  <c r="BE166" i="4"/>
  <c r="BH166" i="4"/>
  <c r="BF165" i="4"/>
  <c r="BG165" i="4"/>
  <c r="BI165" i="4"/>
  <c r="BM165" i="4"/>
  <c r="BL164" i="4"/>
  <c r="BJ164" i="4"/>
  <c r="BK164" i="4"/>
  <c r="BB167" i="4"/>
  <c r="BA168" i="4"/>
  <c r="T237" i="16" l="1"/>
  <c r="S237" i="16"/>
  <c r="O239" i="16"/>
  <c r="V168" i="16"/>
  <c r="Z168" i="16"/>
  <c r="U169" i="16"/>
  <c r="R238" i="16"/>
  <c r="Y167" i="16"/>
  <c r="X167" i="16"/>
  <c r="W167" i="16"/>
  <c r="BJ165" i="4"/>
  <c r="BL165" i="4"/>
  <c r="BK165" i="4"/>
  <c r="BH167" i="4"/>
  <c r="BE167" i="4"/>
  <c r="BM166" i="4"/>
  <c r="BI166" i="4"/>
  <c r="BB168" i="4"/>
  <c r="BA169" i="4"/>
  <c r="BF166" i="4"/>
  <c r="BG166" i="4"/>
  <c r="T238" i="16" l="1"/>
  <c r="S238" i="16"/>
  <c r="Z169" i="16"/>
  <c r="V169" i="16"/>
  <c r="U170" i="16"/>
  <c r="Y168" i="16"/>
  <c r="W168" i="16"/>
  <c r="X168" i="16"/>
  <c r="O240" i="16"/>
  <c r="R239" i="16"/>
  <c r="BL166" i="4"/>
  <c r="BJ166" i="4"/>
  <c r="BK166" i="4"/>
  <c r="BE168" i="4"/>
  <c r="BH168" i="4"/>
  <c r="BI167" i="4"/>
  <c r="BM167" i="4"/>
  <c r="BF167" i="4"/>
  <c r="BG167" i="4"/>
  <c r="BB169" i="4"/>
  <c r="BA170" i="4"/>
  <c r="V170" i="16" l="1"/>
  <c r="Z170" i="16"/>
  <c r="U171" i="16"/>
  <c r="Y169" i="16"/>
  <c r="W169" i="16"/>
  <c r="X169" i="16"/>
  <c r="T239" i="16"/>
  <c r="S239" i="16"/>
  <c r="R240" i="16"/>
  <c r="O241" i="16"/>
  <c r="BM168" i="4"/>
  <c r="BI168" i="4"/>
  <c r="BJ167" i="4"/>
  <c r="BL167" i="4"/>
  <c r="BK167" i="4"/>
  <c r="BB170" i="4"/>
  <c r="BA171" i="4"/>
  <c r="BF168" i="4"/>
  <c r="BG168" i="4"/>
  <c r="BH169" i="4"/>
  <c r="BE169" i="4"/>
  <c r="Z171" i="16" l="1"/>
  <c r="V171" i="16"/>
  <c r="U172" i="16"/>
  <c r="R241" i="16"/>
  <c r="O242" i="16"/>
  <c r="T240" i="16"/>
  <c r="S240" i="16"/>
  <c r="Y170" i="16"/>
  <c r="X170" i="16"/>
  <c r="W170" i="16"/>
  <c r="BB171" i="4"/>
  <c r="BA172" i="4"/>
  <c r="BE170" i="4"/>
  <c r="BH170" i="4"/>
  <c r="BI169" i="4"/>
  <c r="BM169" i="4"/>
  <c r="BL168" i="4"/>
  <c r="BJ168" i="4"/>
  <c r="BK168" i="4"/>
  <c r="BF169" i="4"/>
  <c r="BG169" i="4"/>
  <c r="O243" i="16" l="1"/>
  <c r="T241" i="16"/>
  <c r="S241" i="16"/>
  <c r="R242" i="16"/>
  <c r="V172" i="16"/>
  <c r="Z172" i="16"/>
  <c r="U173" i="16"/>
  <c r="Y171" i="16"/>
  <c r="W171" i="16"/>
  <c r="X171" i="16"/>
  <c r="BJ169" i="4"/>
  <c r="BL169" i="4"/>
  <c r="BK169" i="4"/>
  <c r="BM170" i="4"/>
  <c r="BI170" i="4"/>
  <c r="BF170" i="4"/>
  <c r="BG170" i="4"/>
  <c r="BB172" i="4"/>
  <c r="BA173" i="4"/>
  <c r="BH171" i="4"/>
  <c r="BE171" i="4"/>
  <c r="Z173" i="16" l="1"/>
  <c r="V173" i="16"/>
  <c r="U174" i="16"/>
  <c r="Y172" i="16"/>
  <c r="X172" i="16"/>
  <c r="W172" i="16"/>
  <c r="T242" i="16"/>
  <c r="S242" i="16"/>
  <c r="R243" i="16"/>
  <c r="O244" i="16"/>
  <c r="BL170" i="4"/>
  <c r="BJ170" i="4"/>
  <c r="BK170" i="4"/>
  <c r="BE172" i="4"/>
  <c r="BH172" i="4"/>
  <c r="BF171" i="4"/>
  <c r="BG171" i="4"/>
  <c r="BI171" i="4"/>
  <c r="BM171" i="4"/>
  <c r="BB173" i="4"/>
  <c r="BA174" i="4"/>
  <c r="R244" i="16" l="1"/>
  <c r="Z174" i="16"/>
  <c r="V174" i="16"/>
  <c r="U175" i="16"/>
  <c r="Y173" i="16"/>
  <c r="X173" i="16"/>
  <c r="W173" i="16"/>
  <c r="O245" i="16"/>
  <c r="T243" i="16"/>
  <c r="S243" i="16"/>
  <c r="BJ171" i="4"/>
  <c r="BL171" i="4"/>
  <c r="BK171" i="4"/>
  <c r="BM172" i="4"/>
  <c r="BI172" i="4"/>
  <c r="BF172" i="4"/>
  <c r="BG172" i="4"/>
  <c r="BB174" i="4"/>
  <c r="BA175" i="4"/>
  <c r="BH173" i="4"/>
  <c r="BE173" i="4"/>
  <c r="V175" i="16" l="1"/>
  <c r="Z175" i="16"/>
  <c r="U176" i="16"/>
  <c r="Y174" i="16"/>
  <c r="X174" i="16"/>
  <c r="W174" i="16"/>
  <c r="R245" i="16"/>
  <c r="O246" i="16"/>
  <c r="T244" i="16"/>
  <c r="S244" i="16"/>
  <c r="BE174" i="4"/>
  <c r="BH174" i="4"/>
  <c r="BL172" i="4"/>
  <c r="BJ172" i="4"/>
  <c r="BK172" i="4"/>
  <c r="BF173" i="4"/>
  <c r="BG173" i="4"/>
  <c r="BI173" i="4"/>
  <c r="BM173" i="4"/>
  <c r="BB175" i="4"/>
  <c r="BA176" i="4"/>
  <c r="T245" i="16" l="1"/>
  <c r="S245" i="16"/>
  <c r="V176" i="16"/>
  <c r="Z176" i="16"/>
  <c r="U177" i="16"/>
  <c r="R246" i="16"/>
  <c r="O247" i="16"/>
  <c r="Y175" i="16"/>
  <c r="W175" i="16"/>
  <c r="X175" i="16"/>
  <c r="BB176" i="4"/>
  <c r="BA177" i="4"/>
  <c r="BJ173" i="4"/>
  <c r="BL173" i="4"/>
  <c r="BK173" i="4"/>
  <c r="BM174" i="4"/>
  <c r="BI174" i="4"/>
  <c r="BH175" i="4"/>
  <c r="BE175" i="4"/>
  <c r="BF174" i="4"/>
  <c r="BG174" i="4"/>
  <c r="V177" i="16" l="1"/>
  <c r="Z177" i="16"/>
  <c r="U178" i="16"/>
  <c r="Y176" i="16"/>
  <c r="W176" i="16"/>
  <c r="X176" i="16"/>
  <c r="O248" i="16"/>
  <c r="T246" i="16"/>
  <c r="S246" i="16"/>
  <c r="R247" i="16"/>
  <c r="BL174" i="4"/>
  <c r="BJ174" i="4"/>
  <c r="BK174" i="4"/>
  <c r="BB177" i="4"/>
  <c r="BA178" i="4"/>
  <c r="BI175" i="4"/>
  <c r="BM175" i="4"/>
  <c r="BF175" i="4"/>
  <c r="BG175" i="4"/>
  <c r="BE176" i="4"/>
  <c r="BH176" i="4"/>
  <c r="T247" i="16" l="1"/>
  <c r="S247" i="16"/>
  <c r="O249" i="16"/>
  <c r="V178" i="16"/>
  <c r="Z178" i="16"/>
  <c r="U179" i="16"/>
  <c r="R248" i="16"/>
  <c r="Y177" i="16"/>
  <c r="W177" i="16"/>
  <c r="X177" i="16"/>
  <c r="BH177" i="4"/>
  <c r="BE177" i="4"/>
  <c r="BJ175" i="4"/>
  <c r="BL175" i="4"/>
  <c r="BK175" i="4"/>
  <c r="BM176" i="4"/>
  <c r="BI176" i="4"/>
  <c r="BB178" i="4"/>
  <c r="BA179" i="4"/>
  <c r="BF176" i="4"/>
  <c r="BG176" i="4"/>
  <c r="T248" i="16" l="1"/>
  <c r="S248" i="16"/>
  <c r="R249" i="16"/>
  <c r="O250" i="16"/>
  <c r="Z179" i="16"/>
  <c r="V179" i="16"/>
  <c r="U180" i="16"/>
  <c r="Y178" i="16"/>
  <c r="X178" i="16"/>
  <c r="W178" i="16"/>
  <c r="BE178" i="4"/>
  <c r="BH178" i="4"/>
  <c r="BL176" i="4"/>
  <c r="BJ176" i="4"/>
  <c r="BK176" i="4"/>
  <c r="BF177" i="4"/>
  <c r="BG177" i="4"/>
  <c r="BB179" i="4"/>
  <c r="BA180" i="4"/>
  <c r="BI177" i="4"/>
  <c r="BM177" i="4"/>
  <c r="O251" i="16" l="1"/>
  <c r="R250" i="16"/>
  <c r="T249" i="16"/>
  <c r="S249" i="16"/>
  <c r="Y179" i="16"/>
  <c r="W179" i="16"/>
  <c r="X179" i="16"/>
  <c r="Z180" i="16"/>
  <c r="V180" i="16"/>
  <c r="U181" i="16"/>
  <c r="BH179" i="4"/>
  <c r="BE179" i="4"/>
  <c r="BJ177" i="4"/>
  <c r="BL177" i="4"/>
  <c r="BK177" i="4"/>
  <c r="BM178" i="4"/>
  <c r="BI178" i="4"/>
  <c r="BB180" i="4"/>
  <c r="BA181" i="4"/>
  <c r="BF178" i="4"/>
  <c r="BG178" i="4"/>
  <c r="Z181" i="16" l="1"/>
  <c r="V181" i="16"/>
  <c r="U182" i="16"/>
  <c r="W180" i="16"/>
  <c r="Y180" i="16"/>
  <c r="X180" i="16"/>
  <c r="T250" i="16"/>
  <c r="S250" i="16"/>
  <c r="R251" i="16"/>
  <c r="O252" i="16"/>
  <c r="BL178" i="4"/>
  <c r="BJ178" i="4"/>
  <c r="BK178" i="4"/>
  <c r="BE180" i="4"/>
  <c r="BH180" i="4"/>
  <c r="BF179" i="4"/>
  <c r="BG179" i="4"/>
  <c r="BB181" i="4"/>
  <c r="BA182" i="4"/>
  <c r="BI179" i="4"/>
  <c r="BM179" i="4"/>
  <c r="R252" i="16" l="1"/>
  <c r="Z182" i="16"/>
  <c r="V182" i="16"/>
  <c r="U183" i="16"/>
  <c r="T251" i="16"/>
  <c r="S251" i="16"/>
  <c r="X181" i="16"/>
  <c r="Y181" i="16"/>
  <c r="W181" i="16"/>
  <c r="O253" i="16"/>
  <c r="BH181" i="4"/>
  <c r="BE181" i="4"/>
  <c r="BF180" i="4"/>
  <c r="BG180" i="4"/>
  <c r="BM180" i="4"/>
  <c r="BI180" i="4"/>
  <c r="BJ179" i="4"/>
  <c r="BL179" i="4"/>
  <c r="BK179" i="4"/>
  <c r="BB182" i="4"/>
  <c r="BA183" i="4"/>
  <c r="Z183" i="16" l="1"/>
  <c r="V183" i="16"/>
  <c r="U184" i="16"/>
  <c r="O254" i="16"/>
  <c r="R253" i="16"/>
  <c r="X182" i="16"/>
  <c r="W182" i="16"/>
  <c r="Y182" i="16"/>
  <c r="T252" i="16"/>
  <c r="S252" i="16"/>
  <c r="BL180" i="4"/>
  <c r="BJ180" i="4"/>
  <c r="BK180" i="4"/>
  <c r="BE182" i="4"/>
  <c r="BH182" i="4"/>
  <c r="BF181" i="4"/>
  <c r="BG181" i="4"/>
  <c r="BB183" i="4"/>
  <c r="BA184" i="4"/>
  <c r="BI181" i="4"/>
  <c r="BM181" i="4"/>
  <c r="R254" i="16" l="1"/>
  <c r="V184" i="16"/>
  <c r="Z184" i="16"/>
  <c r="U185" i="16"/>
  <c r="T253" i="16"/>
  <c r="S253" i="16"/>
  <c r="X183" i="16"/>
  <c r="Y183" i="16"/>
  <c r="W183" i="16"/>
  <c r="O255" i="16"/>
  <c r="BH183" i="4"/>
  <c r="BE183" i="4"/>
  <c r="BF182" i="4"/>
  <c r="BG182" i="4"/>
  <c r="BM182" i="4"/>
  <c r="BI182" i="4"/>
  <c r="BJ181" i="4"/>
  <c r="BL181" i="4"/>
  <c r="BK181" i="4"/>
  <c r="BB184" i="4"/>
  <c r="BA185" i="4"/>
  <c r="V185" i="16" l="1"/>
  <c r="Z185" i="16"/>
  <c r="U186" i="16"/>
  <c r="Y184" i="16"/>
  <c r="X184" i="16"/>
  <c r="W184" i="16"/>
  <c r="O256" i="16"/>
  <c r="R255" i="16"/>
  <c r="T254" i="16"/>
  <c r="S254" i="16"/>
  <c r="BL182" i="4"/>
  <c r="BJ182" i="4"/>
  <c r="BK182" i="4"/>
  <c r="BE184" i="4"/>
  <c r="BH184" i="4"/>
  <c r="BF183" i="4"/>
  <c r="BG183" i="4"/>
  <c r="BB185" i="4"/>
  <c r="BA186" i="4"/>
  <c r="BI183" i="4"/>
  <c r="BM183" i="4"/>
  <c r="O257" i="16" l="1"/>
  <c r="R256" i="16"/>
  <c r="V186" i="16"/>
  <c r="Z186" i="16"/>
  <c r="U187" i="16"/>
  <c r="T255" i="16"/>
  <c r="S255" i="16"/>
  <c r="X185" i="16"/>
  <c r="W185" i="16"/>
  <c r="Y185" i="16"/>
  <c r="BH185" i="4"/>
  <c r="BE185" i="4"/>
  <c r="BF184" i="4"/>
  <c r="BG184" i="4"/>
  <c r="BM184" i="4"/>
  <c r="BI184" i="4"/>
  <c r="BJ183" i="4"/>
  <c r="BL183" i="4"/>
  <c r="BK183" i="4"/>
  <c r="BB186" i="4"/>
  <c r="BA187" i="4"/>
  <c r="Z187" i="16" l="1"/>
  <c r="V187" i="16"/>
  <c r="U188" i="16"/>
  <c r="Y186" i="16"/>
  <c r="W186" i="16"/>
  <c r="X186" i="16"/>
  <c r="S256" i="16"/>
  <c r="T256" i="16"/>
  <c r="O258" i="16"/>
  <c r="R257" i="16"/>
  <c r="BL184" i="4"/>
  <c r="BJ184" i="4"/>
  <c r="BK184" i="4"/>
  <c r="BE186" i="4"/>
  <c r="BH186" i="4"/>
  <c r="BF185" i="4"/>
  <c r="BG185" i="4"/>
  <c r="BB187" i="4"/>
  <c r="BA188" i="4"/>
  <c r="BI185" i="4"/>
  <c r="BM185" i="4"/>
  <c r="Z188" i="16" l="1"/>
  <c r="V188" i="16"/>
  <c r="U189" i="16"/>
  <c r="O259" i="16"/>
  <c r="X187" i="16"/>
  <c r="Y187" i="16"/>
  <c r="W187" i="16"/>
  <c r="T257" i="16"/>
  <c r="S257" i="16"/>
  <c r="R258" i="16"/>
  <c r="BF186" i="4"/>
  <c r="BG186" i="4"/>
  <c r="BH187" i="4"/>
  <c r="BE187" i="4"/>
  <c r="BM186" i="4"/>
  <c r="BI186" i="4"/>
  <c r="BJ185" i="4"/>
  <c r="BL185" i="4"/>
  <c r="BK185" i="4"/>
  <c r="BB188" i="4"/>
  <c r="BA189" i="4"/>
  <c r="R259" i="16" l="1"/>
  <c r="S258" i="16"/>
  <c r="T258" i="16"/>
  <c r="Z189" i="16"/>
  <c r="V189" i="16"/>
  <c r="U190" i="16"/>
  <c r="W188" i="16"/>
  <c r="X188" i="16"/>
  <c r="Y188" i="16"/>
  <c r="O260" i="16"/>
  <c r="BF187" i="4"/>
  <c r="BG187" i="4"/>
  <c r="BI187" i="4"/>
  <c r="BM187" i="4"/>
  <c r="BL186" i="4"/>
  <c r="BJ186" i="4"/>
  <c r="BK186" i="4"/>
  <c r="BE188" i="4"/>
  <c r="BH188" i="4"/>
  <c r="BA190" i="4"/>
  <c r="BB189" i="4"/>
  <c r="Z190" i="16" l="1"/>
  <c r="V190" i="16"/>
  <c r="U191" i="16"/>
  <c r="X189" i="16"/>
  <c r="Y189" i="16"/>
  <c r="W189" i="16"/>
  <c r="O261" i="16"/>
  <c r="R260" i="16"/>
  <c r="T259" i="16"/>
  <c r="S259" i="16"/>
  <c r="BF188" i="4"/>
  <c r="BG188" i="4"/>
  <c r="BH189" i="4"/>
  <c r="BE189" i="4"/>
  <c r="BJ187" i="4"/>
  <c r="BL187" i="4"/>
  <c r="BK187" i="4"/>
  <c r="BB190" i="4"/>
  <c r="BA191" i="4"/>
  <c r="BM188" i="4"/>
  <c r="BI188" i="4"/>
  <c r="R261" i="16" l="1"/>
  <c r="V191" i="16"/>
  <c r="Z191" i="16"/>
  <c r="U192" i="16"/>
  <c r="O262" i="16"/>
  <c r="S260" i="16"/>
  <c r="T260" i="16"/>
  <c r="X190" i="16"/>
  <c r="W190" i="16"/>
  <c r="Y190" i="16"/>
  <c r="BE190" i="4"/>
  <c r="BH190" i="4"/>
  <c r="BF189" i="4"/>
  <c r="BG189" i="4"/>
  <c r="BL188" i="4"/>
  <c r="BJ188" i="4"/>
  <c r="BK188" i="4"/>
  <c r="BI189" i="4"/>
  <c r="BM189" i="4"/>
  <c r="BA192" i="4"/>
  <c r="BB191" i="4"/>
  <c r="R262" i="16" l="1"/>
  <c r="Z192" i="16"/>
  <c r="V192" i="16"/>
  <c r="U193" i="16"/>
  <c r="O263" i="16"/>
  <c r="X191" i="16"/>
  <c r="W191" i="16"/>
  <c r="Y191" i="16"/>
  <c r="S261" i="16"/>
  <c r="T261" i="16"/>
  <c r="BJ189" i="4"/>
  <c r="BL189" i="4"/>
  <c r="BK189" i="4"/>
  <c r="BH191" i="4"/>
  <c r="BE191" i="4"/>
  <c r="BM190" i="4"/>
  <c r="BI190" i="4"/>
  <c r="BB192" i="4"/>
  <c r="BA193" i="4"/>
  <c r="BF190" i="4"/>
  <c r="BG190" i="4"/>
  <c r="V193" i="16" l="1"/>
  <c r="Z193" i="16"/>
  <c r="U194" i="16"/>
  <c r="O264" i="16"/>
  <c r="X192" i="16"/>
  <c r="W192" i="16"/>
  <c r="Y192" i="16"/>
  <c r="S262" i="16"/>
  <c r="T262" i="16"/>
  <c r="R263" i="16"/>
  <c r="BI191" i="4"/>
  <c r="BM191" i="4"/>
  <c r="BE192" i="4"/>
  <c r="BH192" i="4"/>
  <c r="BG191" i="4"/>
  <c r="BF191" i="4"/>
  <c r="BL190" i="4"/>
  <c r="BK190" i="4"/>
  <c r="BJ190" i="4"/>
  <c r="BA194" i="4"/>
  <c r="BB193" i="4"/>
  <c r="O265" i="16" l="1"/>
  <c r="Z194" i="16"/>
  <c r="V194" i="16"/>
  <c r="U195" i="16"/>
  <c r="R264" i="16"/>
  <c r="T263" i="16"/>
  <c r="S263" i="16"/>
  <c r="X193" i="16"/>
  <c r="Y193" i="16"/>
  <c r="W193" i="16"/>
  <c r="BM192" i="4"/>
  <c r="BI192" i="4"/>
  <c r="BF192" i="4"/>
  <c r="BG192" i="4"/>
  <c r="BB194" i="4"/>
  <c r="BA195" i="4"/>
  <c r="BH193" i="4"/>
  <c r="BE193" i="4"/>
  <c r="BJ191" i="4"/>
  <c r="BL191" i="4"/>
  <c r="BK191" i="4"/>
  <c r="S264" i="16" l="1"/>
  <c r="T264" i="16"/>
  <c r="V195" i="16"/>
  <c r="Z195" i="16"/>
  <c r="U196" i="16"/>
  <c r="Y194" i="16"/>
  <c r="X194" i="16"/>
  <c r="W194" i="16"/>
  <c r="R265" i="16"/>
  <c r="O266" i="16"/>
  <c r="BE194" i="4"/>
  <c r="BH194" i="4"/>
  <c r="BG193" i="4"/>
  <c r="BF193" i="4"/>
  <c r="BI193" i="4"/>
  <c r="BM193" i="4"/>
  <c r="BL192" i="4"/>
  <c r="BK192" i="4"/>
  <c r="BJ192" i="4"/>
  <c r="BA196" i="4"/>
  <c r="BB195" i="4"/>
  <c r="Z196" i="16" l="1"/>
  <c r="V196" i="16"/>
  <c r="U197" i="16"/>
  <c r="O267" i="16"/>
  <c r="R266" i="16"/>
  <c r="X195" i="16"/>
  <c r="W195" i="16"/>
  <c r="Y195" i="16"/>
  <c r="T265" i="16"/>
  <c r="S265" i="16"/>
  <c r="BB196" i="4"/>
  <c r="BA197" i="4"/>
  <c r="BM194" i="4"/>
  <c r="BI194" i="4"/>
  <c r="BJ193" i="4"/>
  <c r="BL193" i="4"/>
  <c r="BK193" i="4"/>
  <c r="BH195" i="4"/>
  <c r="BE195" i="4"/>
  <c r="BF194" i="4"/>
  <c r="BG194" i="4"/>
  <c r="O268" i="16" l="1"/>
  <c r="V197" i="16"/>
  <c r="Z197" i="16"/>
  <c r="U198" i="16"/>
  <c r="X196" i="16"/>
  <c r="Y196" i="16"/>
  <c r="W196" i="16"/>
  <c r="S266" i="16"/>
  <c r="T266" i="16"/>
  <c r="R267" i="16"/>
  <c r="BL194" i="4"/>
  <c r="BK194" i="4"/>
  <c r="BJ194" i="4"/>
  <c r="BI195" i="4"/>
  <c r="BM195" i="4"/>
  <c r="BA198" i="4"/>
  <c r="BB197" i="4"/>
  <c r="BG195" i="4"/>
  <c r="BF195" i="4"/>
  <c r="BE196" i="4"/>
  <c r="BH196" i="4"/>
  <c r="Z198" i="16" l="1"/>
  <c r="V198" i="16"/>
  <c r="U199" i="16"/>
  <c r="T267" i="16"/>
  <c r="S267" i="16"/>
  <c r="X197" i="16"/>
  <c r="W197" i="16"/>
  <c r="Y197" i="16"/>
  <c r="R268" i="16"/>
  <c r="O269" i="16"/>
  <c r="BH197" i="4"/>
  <c r="BE197" i="4"/>
  <c r="BM196" i="4"/>
  <c r="BI196" i="4"/>
  <c r="BB198" i="4"/>
  <c r="BA199" i="4"/>
  <c r="BJ195" i="4"/>
  <c r="BL195" i="4"/>
  <c r="BK195" i="4"/>
  <c r="BF196" i="4"/>
  <c r="BG196" i="4"/>
  <c r="R269" i="16" l="1"/>
  <c r="T268" i="16"/>
  <c r="S268" i="16"/>
  <c r="X198" i="16"/>
  <c r="W198" i="16"/>
  <c r="Y198" i="16"/>
  <c r="O270" i="16"/>
  <c r="V199" i="16"/>
  <c r="Z199" i="16"/>
  <c r="U200" i="16"/>
  <c r="BA200" i="4"/>
  <c r="BB199" i="4"/>
  <c r="BE198" i="4"/>
  <c r="BH198" i="4"/>
  <c r="BG197" i="4"/>
  <c r="BF197" i="4"/>
  <c r="BL196" i="4"/>
  <c r="BK196" i="4"/>
  <c r="BJ196" i="4"/>
  <c r="BI197" i="4"/>
  <c r="BM197" i="4"/>
  <c r="O271" i="16" l="1"/>
  <c r="X199" i="16"/>
  <c r="W199" i="16"/>
  <c r="Y199" i="16"/>
  <c r="Z200" i="16"/>
  <c r="V200" i="16"/>
  <c r="U201" i="16"/>
  <c r="R270" i="16"/>
  <c r="S269" i="16"/>
  <c r="T269" i="16"/>
  <c r="BM198" i="4"/>
  <c r="BI198" i="4"/>
  <c r="BF198" i="4"/>
  <c r="BG198" i="4"/>
  <c r="BJ197" i="4"/>
  <c r="BL197" i="4"/>
  <c r="BK197" i="4"/>
  <c r="BH199" i="4"/>
  <c r="BE199" i="4"/>
  <c r="BB200" i="4"/>
  <c r="BA201" i="4"/>
  <c r="V201" i="16" l="1"/>
  <c r="Z201" i="16"/>
  <c r="U202" i="16"/>
  <c r="X200" i="16"/>
  <c r="W200" i="16"/>
  <c r="Y200" i="16"/>
  <c r="S270" i="16"/>
  <c r="T270" i="16"/>
  <c r="R271" i="16"/>
  <c r="O272" i="16"/>
  <c r="BI199" i="4"/>
  <c r="BM199" i="4"/>
  <c r="BA202" i="4"/>
  <c r="BB201" i="4"/>
  <c r="BL198" i="4"/>
  <c r="BK198" i="4"/>
  <c r="BJ198" i="4"/>
  <c r="BE200" i="4"/>
  <c r="BH200" i="4"/>
  <c r="BG199" i="4"/>
  <c r="BF199" i="4"/>
  <c r="O273" i="16" l="1"/>
  <c r="Z202" i="16"/>
  <c r="V202" i="16"/>
  <c r="U203" i="16"/>
  <c r="R272" i="16"/>
  <c r="T271" i="16"/>
  <c r="S271" i="16"/>
  <c r="X201" i="16"/>
  <c r="Y201" i="16"/>
  <c r="W201" i="16"/>
  <c r="BF200" i="4"/>
  <c r="BG200" i="4"/>
  <c r="BB202" i="4"/>
  <c r="BA203" i="4"/>
  <c r="BH201" i="4"/>
  <c r="BE201" i="4"/>
  <c r="BM200" i="4"/>
  <c r="BI200" i="4"/>
  <c r="BJ199" i="4"/>
  <c r="BL199" i="4"/>
  <c r="BK199" i="4"/>
  <c r="V203" i="16" l="1"/>
  <c r="Z203" i="16"/>
  <c r="U204" i="16"/>
  <c r="S272" i="16"/>
  <c r="T272" i="16"/>
  <c r="Y202" i="16"/>
  <c r="W202" i="16"/>
  <c r="X202" i="16"/>
  <c r="R273" i="16"/>
  <c r="O274" i="16"/>
  <c r="BA204" i="4"/>
  <c r="BB203" i="4"/>
  <c r="BL200" i="4"/>
  <c r="BK200" i="4"/>
  <c r="BJ200" i="4"/>
  <c r="BG201" i="4"/>
  <c r="BF201" i="4"/>
  <c r="BE202" i="4"/>
  <c r="BH202" i="4"/>
  <c r="BI201" i="4"/>
  <c r="BM201" i="4"/>
  <c r="O275" i="16" l="1"/>
  <c r="R274" i="16"/>
  <c r="Z204" i="16"/>
  <c r="V204" i="16"/>
  <c r="U205" i="16"/>
  <c r="T273" i="16"/>
  <c r="S273" i="16"/>
  <c r="X203" i="16"/>
  <c r="W203" i="16"/>
  <c r="Y203" i="16"/>
  <c r="BF202" i="4"/>
  <c r="BG202" i="4"/>
  <c r="BM202" i="4"/>
  <c r="BI202" i="4"/>
  <c r="BJ201" i="4"/>
  <c r="BL201" i="4"/>
  <c r="BK201" i="4"/>
  <c r="BH203" i="4"/>
  <c r="BE203" i="4"/>
  <c r="BB204" i="4"/>
  <c r="BA205" i="4"/>
  <c r="V205" i="16" l="1"/>
  <c r="Z205" i="16"/>
  <c r="U206" i="16"/>
  <c r="X204" i="16"/>
  <c r="Y204" i="16"/>
  <c r="W204" i="16"/>
  <c r="O276" i="16"/>
  <c r="T274" i="16"/>
  <c r="S274" i="16"/>
  <c r="R275" i="16"/>
  <c r="BL202" i="4"/>
  <c r="BK202" i="4"/>
  <c r="BJ202" i="4"/>
  <c r="BA206" i="4"/>
  <c r="BB205" i="4"/>
  <c r="BI203" i="4"/>
  <c r="BM203" i="4"/>
  <c r="BE204" i="4"/>
  <c r="BH204" i="4"/>
  <c r="BG203" i="4"/>
  <c r="BF203" i="4"/>
  <c r="O277" i="16" l="1"/>
  <c r="R276" i="16"/>
  <c r="Z206" i="16"/>
  <c r="V206" i="16"/>
  <c r="U207" i="16"/>
  <c r="T275" i="16"/>
  <c r="S275" i="16"/>
  <c r="X205" i="16"/>
  <c r="Y205" i="16"/>
  <c r="W205" i="16"/>
  <c r="BA207" i="4"/>
  <c r="BB206" i="4"/>
  <c r="BJ203" i="4"/>
  <c r="BL203" i="4"/>
  <c r="BK203" i="4"/>
  <c r="BF204" i="4"/>
  <c r="BG204" i="4"/>
  <c r="BH205" i="4"/>
  <c r="BE205" i="4"/>
  <c r="BM204" i="4"/>
  <c r="BI204" i="4"/>
  <c r="V207" i="16" l="1"/>
  <c r="Z207" i="16"/>
  <c r="U208" i="16"/>
  <c r="X206" i="16"/>
  <c r="W206" i="16"/>
  <c r="Y206" i="16"/>
  <c r="T276" i="16"/>
  <c r="S276" i="16"/>
  <c r="R277" i="16"/>
  <c r="O278" i="16"/>
  <c r="BL204" i="4"/>
  <c r="BK204" i="4"/>
  <c r="BJ204" i="4"/>
  <c r="BG205" i="4"/>
  <c r="BF205" i="4"/>
  <c r="BI205" i="4"/>
  <c r="BM205" i="4"/>
  <c r="BE206" i="4"/>
  <c r="BH206" i="4"/>
  <c r="BB207" i="4"/>
  <c r="BA208" i="4"/>
  <c r="O279" i="16" l="1"/>
  <c r="Z208" i="16"/>
  <c r="V208" i="16"/>
  <c r="U209" i="16"/>
  <c r="R278" i="16"/>
  <c r="S277" i="16"/>
  <c r="T277" i="16"/>
  <c r="X207" i="16"/>
  <c r="W207" i="16"/>
  <c r="Y207" i="16"/>
  <c r="BK205" i="4"/>
  <c r="BJ205" i="4"/>
  <c r="BL205" i="4"/>
  <c r="BG206" i="4"/>
  <c r="BF206" i="4"/>
  <c r="BA209" i="4"/>
  <c r="BB208" i="4"/>
  <c r="BE207" i="4"/>
  <c r="BH207" i="4"/>
  <c r="BM206" i="4"/>
  <c r="BI206" i="4"/>
  <c r="V209" i="16" l="1"/>
  <c r="Z209" i="16"/>
  <c r="U210" i="16"/>
  <c r="T278" i="16"/>
  <c r="S278" i="16"/>
  <c r="X208" i="16"/>
  <c r="W208" i="16"/>
  <c r="Y208" i="16"/>
  <c r="R279" i="16"/>
  <c r="O280" i="16"/>
  <c r="BE208" i="4"/>
  <c r="BH208" i="4"/>
  <c r="BB209" i="4"/>
  <c r="BA210" i="4"/>
  <c r="BL206" i="4"/>
  <c r="BK206" i="4"/>
  <c r="BJ206" i="4"/>
  <c r="BG207" i="4"/>
  <c r="BF207" i="4"/>
  <c r="BI207" i="4"/>
  <c r="BM207" i="4"/>
  <c r="R280" i="16" l="1"/>
  <c r="Z210" i="16"/>
  <c r="V210" i="16"/>
  <c r="U211" i="16"/>
  <c r="O281" i="16"/>
  <c r="S279" i="16"/>
  <c r="T279" i="16"/>
  <c r="X209" i="16"/>
  <c r="Y209" i="16"/>
  <c r="W209" i="16"/>
  <c r="BH209" i="4"/>
  <c r="BE209" i="4"/>
  <c r="BB210" i="4"/>
  <c r="BA211" i="4"/>
  <c r="BL207" i="4"/>
  <c r="BK207" i="4"/>
  <c r="BJ207" i="4"/>
  <c r="BM208" i="4"/>
  <c r="BI208" i="4"/>
  <c r="BG208" i="4"/>
  <c r="BF208" i="4"/>
  <c r="R281" i="16" l="1"/>
  <c r="V211" i="16"/>
  <c r="Z211" i="16"/>
  <c r="U212" i="16"/>
  <c r="X210" i="16"/>
  <c r="Y210" i="16"/>
  <c r="W210" i="16"/>
  <c r="O282" i="16"/>
  <c r="S280" i="16"/>
  <c r="T280" i="16"/>
  <c r="BG209" i="4"/>
  <c r="BF209" i="4"/>
  <c r="BB211" i="4"/>
  <c r="BA212" i="4"/>
  <c r="BH210" i="4"/>
  <c r="BE210" i="4"/>
  <c r="BK208" i="4"/>
  <c r="BJ208" i="4"/>
  <c r="BL208" i="4"/>
  <c r="BI209" i="4"/>
  <c r="BM209" i="4"/>
  <c r="Z212" i="16" l="1"/>
  <c r="V212" i="16"/>
  <c r="U213" i="16"/>
  <c r="X211" i="16"/>
  <c r="W211" i="16"/>
  <c r="Y211" i="16"/>
  <c r="O283" i="16"/>
  <c r="R282" i="16"/>
  <c r="T281" i="16"/>
  <c r="S281" i="16"/>
  <c r="BG210" i="4"/>
  <c r="BF210" i="4"/>
  <c r="BM210" i="4"/>
  <c r="BI210" i="4"/>
  <c r="BH211" i="4"/>
  <c r="BE211" i="4"/>
  <c r="BB212" i="4"/>
  <c r="BA213" i="4"/>
  <c r="BL209" i="4"/>
  <c r="BJ209" i="4"/>
  <c r="BK209" i="4"/>
  <c r="O284" i="16" l="1"/>
  <c r="V213" i="16"/>
  <c r="Z213" i="16"/>
  <c r="U214" i="16"/>
  <c r="R283" i="16"/>
  <c r="X212" i="16"/>
  <c r="Y212" i="16"/>
  <c r="W212" i="16"/>
  <c r="T282" i="16"/>
  <c r="S282" i="16"/>
  <c r="BI211" i="4"/>
  <c r="BM211" i="4"/>
  <c r="BG211" i="4"/>
  <c r="BF211" i="4"/>
  <c r="BL210" i="4"/>
  <c r="BJ210" i="4"/>
  <c r="BK210" i="4"/>
  <c r="BB213" i="4"/>
  <c r="BA214" i="4"/>
  <c r="BH212" i="4"/>
  <c r="BE212" i="4"/>
  <c r="S283" i="16" l="1"/>
  <c r="T283" i="16"/>
  <c r="Z214" i="16"/>
  <c r="V214" i="16"/>
  <c r="U215" i="16"/>
  <c r="X213" i="16"/>
  <c r="Y213" i="16"/>
  <c r="W213" i="16"/>
  <c r="O285" i="16"/>
  <c r="R284" i="16"/>
  <c r="BH213" i="4"/>
  <c r="BE213" i="4"/>
  <c r="BG212" i="4"/>
  <c r="BF212" i="4"/>
  <c r="BM212" i="4"/>
  <c r="BI212" i="4"/>
  <c r="BB214" i="4"/>
  <c r="BA215" i="4"/>
  <c r="BL211" i="4"/>
  <c r="BK211" i="4"/>
  <c r="BJ211" i="4"/>
  <c r="V215" i="16" l="1"/>
  <c r="Z215" i="16"/>
  <c r="U216" i="16"/>
  <c r="X214" i="16"/>
  <c r="W214" i="16"/>
  <c r="Y214" i="16"/>
  <c r="T284" i="16"/>
  <c r="S284" i="16"/>
  <c r="R285" i="16"/>
  <c r="O286" i="16"/>
  <c r="BB215" i="4"/>
  <c r="BA216" i="4"/>
  <c r="BL212" i="4"/>
  <c r="BK212" i="4"/>
  <c r="BJ212" i="4"/>
  <c r="BG213" i="4"/>
  <c r="BF213" i="4"/>
  <c r="BH214" i="4"/>
  <c r="BE214" i="4"/>
  <c r="BI213" i="4"/>
  <c r="BM213" i="4"/>
  <c r="Z216" i="16" l="1"/>
  <c r="V216" i="16"/>
  <c r="U217" i="16"/>
  <c r="O287" i="16"/>
  <c r="R286" i="16"/>
  <c r="T285" i="16"/>
  <c r="S285" i="16"/>
  <c r="X215" i="16"/>
  <c r="W215" i="16"/>
  <c r="Y215" i="16"/>
  <c r="BM214" i="4"/>
  <c r="BI214" i="4"/>
  <c r="BB216" i="4"/>
  <c r="BA217" i="4"/>
  <c r="BL213" i="4"/>
  <c r="BK213" i="4"/>
  <c r="BJ213" i="4"/>
  <c r="BG214" i="4"/>
  <c r="BF214" i="4"/>
  <c r="BH215" i="4"/>
  <c r="BE215" i="4"/>
  <c r="O288" i="16" l="1"/>
  <c r="R287" i="16"/>
  <c r="T286" i="16"/>
  <c r="S286" i="16"/>
  <c r="V217" i="16"/>
  <c r="Z217" i="16"/>
  <c r="U218" i="16"/>
  <c r="X216" i="16"/>
  <c r="W216" i="16"/>
  <c r="Y216" i="16"/>
  <c r="BH216" i="4"/>
  <c r="BE216" i="4"/>
  <c r="BI215" i="4"/>
  <c r="BM215" i="4"/>
  <c r="BL214" i="4"/>
  <c r="BK214" i="4"/>
  <c r="BJ214" i="4"/>
  <c r="BB217" i="4"/>
  <c r="BA218" i="4"/>
  <c r="BG215" i="4"/>
  <c r="BF215" i="4"/>
  <c r="X217" i="16" l="1"/>
  <c r="Y217" i="16"/>
  <c r="W217" i="16"/>
  <c r="Z218" i="16"/>
  <c r="V218" i="16"/>
  <c r="U219" i="16"/>
  <c r="S287" i="16"/>
  <c r="T287" i="16"/>
  <c r="R288" i="16"/>
  <c r="O289" i="16"/>
  <c r="BH217" i="4"/>
  <c r="BE217" i="4"/>
  <c r="BL215" i="4"/>
  <c r="BK215" i="4"/>
  <c r="BJ215" i="4"/>
  <c r="BG216" i="4"/>
  <c r="BF216" i="4"/>
  <c r="BB218" i="4"/>
  <c r="BA219" i="4"/>
  <c r="BM216" i="4"/>
  <c r="BI216" i="4"/>
  <c r="V219" i="16" l="1"/>
  <c r="Z219" i="16"/>
  <c r="U220" i="16"/>
  <c r="X218" i="16"/>
  <c r="Y218" i="16"/>
  <c r="W218" i="16"/>
  <c r="R289" i="16"/>
  <c r="T288" i="16"/>
  <c r="S288" i="16"/>
  <c r="O290" i="16"/>
  <c r="BH218" i="4"/>
  <c r="BE218" i="4"/>
  <c r="BL216" i="4"/>
  <c r="BK216" i="4"/>
  <c r="BJ216" i="4"/>
  <c r="BG217" i="4"/>
  <c r="BF217" i="4"/>
  <c r="BB219" i="4"/>
  <c r="BA220" i="4"/>
  <c r="BI217" i="4"/>
  <c r="BM217" i="4"/>
  <c r="S289" i="16" l="1"/>
  <c r="T289" i="16"/>
  <c r="R290" i="16"/>
  <c r="O291" i="16"/>
  <c r="Z220" i="16"/>
  <c r="V220" i="16"/>
  <c r="U221" i="16"/>
  <c r="X219" i="16"/>
  <c r="Y219" i="16"/>
  <c r="W219" i="16"/>
  <c r="BH219" i="4"/>
  <c r="BE219" i="4"/>
  <c r="BL217" i="4"/>
  <c r="BK217" i="4"/>
  <c r="BJ217" i="4"/>
  <c r="BG218" i="4"/>
  <c r="BF218" i="4"/>
  <c r="BB220" i="4"/>
  <c r="BA221" i="4"/>
  <c r="BM218" i="4"/>
  <c r="BI218" i="4"/>
  <c r="O292" i="16" l="1"/>
  <c r="R291" i="16"/>
  <c r="T290" i="16"/>
  <c r="S290" i="16"/>
  <c r="X220" i="16"/>
  <c r="Y220" i="16"/>
  <c r="W220" i="16"/>
  <c r="V221" i="16"/>
  <c r="Z221" i="16"/>
  <c r="U222" i="16"/>
  <c r="BH220" i="4"/>
  <c r="BE220" i="4"/>
  <c r="BL218" i="4"/>
  <c r="BK218" i="4"/>
  <c r="BJ218" i="4"/>
  <c r="BG219" i="4"/>
  <c r="BF219" i="4"/>
  <c r="BB221" i="4"/>
  <c r="BA222" i="4"/>
  <c r="BI219" i="4"/>
  <c r="BM219" i="4"/>
  <c r="Z222" i="16" l="1"/>
  <c r="V222" i="16"/>
  <c r="U223" i="16"/>
  <c r="T291" i="16"/>
  <c r="S291" i="16"/>
  <c r="O293" i="16"/>
  <c r="X221" i="16"/>
  <c r="Y221" i="16"/>
  <c r="W221" i="16"/>
  <c r="R292" i="16"/>
  <c r="BH221" i="4"/>
  <c r="BE221" i="4"/>
  <c r="BL219" i="4"/>
  <c r="BK219" i="4"/>
  <c r="BJ219" i="4"/>
  <c r="BF220" i="4"/>
  <c r="BG220" i="4"/>
  <c r="BB222" i="4"/>
  <c r="BA223" i="4"/>
  <c r="BM220" i="4"/>
  <c r="BI220" i="4"/>
  <c r="O294" i="16" l="1"/>
  <c r="V223" i="16"/>
  <c r="Z223" i="16"/>
  <c r="U224" i="16"/>
  <c r="R293" i="16"/>
  <c r="X222" i="16"/>
  <c r="Y222" i="16"/>
  <c r="W222" i="16"/>
  <c r="S292" i="16"/>
  <c r="T292" i="16"/>
  <c r="BH222" i="4"/>
  <c r="BE222" i="4"/>
  <c r="BL220" i="4"/>
  <c r="BJ220" i="4"/>
  <c r="BK220" i="4"/>
  <c r="BF221" i="4"/>
  <c r="BG221" i="4"/>
  <c r="BB223" i="4"/>
  <c r="BA224" i="4"/>
  <c r="BI221" i="4"/>
  <c r="BM221" i="4"/>
  <c r="Z224" i="16" l="1"/>
  <c r="V224" i="16"/>
  <c r="U225" i="16"/>
  <c r="T293" i="16"/>
  <c r="S293" i="16"/>
  <c r="X223" i="16"/>
  <c r="W223" i="16"/>
  <c r="Y223" i="16"/>
  <c r="R294" i="16"/>
  <c r="O295" i="16"/>
  <c r="BH223" i="4"/>
  <c r="BE223" i="4"/>
  <c r="BL221" i="4"/>
  <c r="BJ221" i="4"/>
  <c r="BK221" i="4"/>
  <c r="BG222" i="4"/>
  <c r="BF222" i="4"/>
  <c r="BB224" i="4"/>
  <c r="BA225" i="4"/>
  <c r="BM222" i="4"/>
  <c r="BI222" i="4"/>
  <c r="O296" i="16" l="1"/>
  <c r="V225" i="16"/>
  <c r="Z225" i="16"/>
  <c r="U226" i="16"/>
  <c r="S294" i="16"/>
  <c r="T294" i="16"/>
  <c r="X224" i="16"/>
  <c r="W224" i="16"/>
  <c r="Y224" i="16"/>
  <c r="R295" i="16"/>
  <c r="BH224" i="4"/>
  <c r="BE224" i="4"/>
  <c r="BL222" i="4"/>
  <c r="BJ222" i="4"/>
  <c r="BK222" i="4"/>
  <c r="BF223" i="4"/>
  <c r="BG223" i="4"/>
  <c r="BB225" i="4"/>
  <c r="BA226" i="4"/>
  <c r="BI223" i="4"/>
  <c r="BM223" i="4"/>
  <c r="S295" i="16" l="1"/>
  <c r="T295" i="16"/>
  <c r="X225" i="16"/>
  <c r="Y225" i="16"/>
  <c r="W225" i="16"/>
  <c r="Z226" i="16"/>
  <c r="V226" i="16"/>
  <c r="U227" i="16"/>
  <c r="R296" i="16"/>
  <c r="O297" i="16"/>
  <c r="BH225" i="4"/>
  <c r="BE225" i="4"/>
  <c r="BL223" i="4"/>
  <c r="BK223" i="4"/>
  <c r="BJ223" i="4"/>
  <c r="BF224" i="4"/>
  <c r="BG224" i="4"/>
  <c r="BB226" i="4"/>
  <c r="BA227" i="4"/>
  <c r="BM224" i="4"/>
  <c r="BI224" i="4"/>
  <c r="V227" i="16" l="1"/>
  <c r="Z227" i="16"/>
  <c r="U228" i="16"/>
  <c r="X226" i="16"/>
  <c r="Y226" i="16"/>
  <c r="W226" i="16"/>
  <c r="R297" i="16"/>
  <c r="T296" i="16"/>
  <c r="S296" i="16"/>
  <c r="O298" i="16"/>
  <c r="BH226" i="4"/>
  <c r="BE226" i="4"/>
  <c r="BL224" i="4"/>
  <c r="BJ224" i="4"/>
  <c r="BK224" i="4"/>
  <c r="BF225" i="4"/>
  <c r="BG225" i="4"/>
  <c r="BB227" i="4"/>
  <c r="BA228" i="4"/>
  <c r="BI225" i="4"/>
  <c r="BM225" i="4"/>
  <c r="O299" i="16" l="1"/>
  <c r="Z228" i="16"/>
  <c r="V228" i="16"/>
  <c r="U229" i="16"/>
  <c r="S297" i="16"/>
  <c r="T297" i="16"/>
  <c r="R298" i="16"/>
  <c r="X227" i="16"/>
  <c r="Y227" i="16"/>
  <c r="W227" i="16"/>
  <c r="BH227" i="4"/>
  <c r="BE227" i="4"/>
  <c r="BL225" i="4"/>
  <c r="BJ225" i="4"/>
  <c r="BK225" i="4"/>
  <c r="BF226" i="4"/>
  <c r="BG226" i="4"/>
  <c r="BA229" i="4"/>
  <c r="BB228" i="4"/>
  <c r="BM226" i="4"/>
  <c r="BI226" i="4"/>
  <c r="S298" i="16" l="1"/>
  <c r="T298" i="16"/>
  <c r="X228" i="16"/>
  <c r="Y228" i="16"/>
  <c r="W228" i="16"/>
  <c r="V229" i="16"/>
  <c r="Z229" i="16"/>
  <c r="U230" i="16"/>
  <c r="O300" i="16"/>
  <c r="R299" i="16"/>
  <c r="BB229" i="4"/>
  <c r="BA230" i="4"/>
  <c r="BL226" i="4"/>
  <c r="BJ226" i="4"/>
  <c r="BK226" i="4"/>
  <c r="BF227" i="4"/>
  <c r="BG227" i="4"/>
  <c r="BH228" i="4"/>
  <c r="BE228" i="4"/>
  <c r="BI227" i="4"/>
  <c r="BM227" i="4"/>
  <c r="X229" i="16" l="1"/>
  <c r="Y229" i="16"/>
  <c r="W229" i="16"/>
  <c r="O301" i="16"/>
  <c r="Z230" i="16"/>
  <c r="V230" i="16"/>
  <c r="U231" i="16"/>
  <c r="T299" i="16"/>
  <c r="S299" i="16"/>
  <c r="R300" i="16"/>
  <c r="BA231" i="4"/>
  <c r="BB230" i="4"/>
  <c r="BM228" i="4"/>
  <c r="BI228" i="4"/>
  <c r="BL227" i="4"/>
  <c r="BK227" i="4"/>
  <c r="BJ227" i="4"/>
  <c r="BG228" i="4"/>
  <c r="BF228" i="4"/>
  <c r="BH229" i="4"/>
  <c r="BE229" i="4"/>
  <c r="O302" i="16" l="1"/>
  <c r="R301" i="16"/>
  <c r="T300" i="16"/>
  <c r="S300" i="16"/>
  <c r="V231" i="16"/>
  <c r="Z231" i="16"/>
  <c r="U232" i="16"/>
  <c r="X230" i="16"/>
  <c r="W230" i="16"/>
  <c r="Y230" i="16"/>
  <c r="BL228" i="4"/>
  <c r="BJ228" i="4"/>
  <c r="BK228" i="4"/>
  <c r="BF229" i="4"/>
  <c r="BG229" i="4"/>
  <c r="BI229" i="4"/>
  <c r="BM229" i="4"/>
  <c r="BH230" i="4"/>
  <c r="BE230" i="4"/>
  <c r="BB231" i="4"/>
  <c r="BA232" i="4"/>
  <c r="S301" i="16" l="1"/>
  <c r="T301" i="16"/>
  <c r="X231" i="16"/>
  <c r="Y231" i="16"/>
  <c r="W231" i="16"/>
  <c r="O303" i="16"/>
  <c r="Z232" i="16"/>
  <c r="V232" i="16"/>
  <c r="U233" i="16"/>
  <c r="R302" i="16"/>
  <c r="BM230" i="4"/>
  <c r="BI230" i="4"/>
  <c r="BL229" i="4"/>
  <c r="BK229" i="4"/>
  <c r="BJ229" i="4"/>
  <c r="BA233" i="4"/>
  <c r="BB232" i="4"/>
  <c r="BH231" i="4"/>
  <c r="BE231" i="4"/>
  <c r="BG230" i="4"/>
  <c r="BF230" i="4"/>
  <c r="R303" i="16" l="1"/>
  <c r="T302" i="16"/>
  <c r="S302" i="16"/>
  <c r="V233" i="16"/>
  <c r="Z233" i="16"/>
  <c r="U234" i="16"/>
  <c r="O304" i="16"/>
  <c r="X232" i="16"/>
  <c r="Y232" i="16"/>
  <c r="W232" i="16"/>
  <c r="BB233" i="4"/>
  <c r="BA234" i="4"/>
  <c r="BH232" i="4"/>
  <c r="BE232" i="4"/>
  <c r="BL230" i="4"/>
  <c r="BK230" i="4"/>
  <c r="BJ230" i="4"/>
  <c r="BI231" i="4"/>
  <c r="BM231" i="4"/>
  <c r="BG231" i="4"/>
  <c r="BF231" i="4"/>
  <c r="R304" i="16" l="1"/>
  <c r="X233" i="16"/>
  <c r="W233" i="16"/>
  <c r="Y233" i="16"/>
  <c r="Z234" i="16"/>
  <c r="V234" i="16"/>
  <c r="U235" i="16"/>
  <c r="O305" i="16"/>
  <c r="T303" i="16"/>
  <c r="S303" i="16"/>
  <c r="BG232" i="4"/>
  <c r="BF232" i="4"/>
  <c r="BM232" i="4"/>
  <c r="BI232" i="4"/>
  <c r="BA235" i="4"/>
  <c r="BB234" i="4"/>
  <c r="BL231" i="4"/>
  <c r="BK231" i="4"/>
  <c r="BJ231" i="4"/>
  <c r="BH233" i="4"/>
  <c r="BE233" i="4"/>
  <c r="X234" i="16" l="1"/>
  <c r="Y234" i="16"/>
  <c r="W234" i="16"/>
  <c r="V235" i="16"/>
  <c r="Z235" i="16"/>
  <c r="U236" i="16"/>
  <c r="O306" i="16"/>
  <c r="R305" i="16"/>
  <c r="S304" i="16"/>
  <c r="T304" i="16"/>
  <c r="BH234" i="4"/>
  <c r="BE234" i="4"/>
  <c r="BG233" i="4"/>
  <c r="BF233" i="4"/>
  <c r="BB235" i="4"/>
  <c r="BA236" i="4"/>
  <c r="BI233" i="4"/>
  <c r="BM233" i="4"/>
  <c r="BL232" i="4"/>
  <c r="BK232" i="4"/>
  <c r="BJ232" i="4"/>
  <c r="O307" i="16" l="1"/>
  <c r="R306" i="16"/>
  <c r="X235" i="16"/>
  <c r="Y235" i="16"/>
  <c r="W235" i="16"/>
  <c r="Z236" i="16"/>
  <c r="V236" i="16"/>
  <c r="U237" i="16"/>
  <c r="T305" i="16"/>
  <c r="S305" i="16"/>
  <c r="BH235" i="4"/>
  <c r="BE235" i="4"/>
  <c r="BL233" i="4"/>
  <c r="BK233" i="4"/>
  <c r="BJ233" i="4"/>
  <c r="BG234" i="4"/>
  <c r="BF234" i="4"/>
  <c r="BA237" i="4"/>
  <c r="BB236" i="4"/>
  <c r="BM234" i="4"/>
  <c r="BI234" i="4"/>
  <c r="T306" i="16" l="1"/>
  <c r="S306" i="16"/>
  <c r="X236" i="16"/>
  <c r="Y236" i="16"/>
  <c r="W236" i="16"/>
  <c r="V237" i="16"/>
  <c r="Z237" i="16"/>
  <c r="U238" i="16"/>
  <c r="R307" i="16"/>
  <c r="O308" i="16"/>
  <c r="BB237" i="4"/>
  <c r="BA238" i="4"/>
  <c r="BG235" i="4"/>
  <c r="BF235" i="4"/>
  <c r="BL234" i="4"/>
  <c r="BK234" i="4"/>
  <c r="BJ234" i="4"/>
  <c r="BH236" i="4"/>
  <c r="BE236" i="4"/>
  <c r="BI235" i="4"/>
  <c r="BM235" i="4"/>
  <c r="O309" i="16" l="1"/>
  <c r="T307" i="16"/>
  <c r="S307" i="16"/>
  <c r="Z238" i="16"/>
  <c r="V238" i="16"/>
  <c r="U239" i="16"/>
  <c r="X237" i="16"/>
  <c r="Y237" i="16"/>
  <c r="W237" i="16"/>
  <c r="R308" i="16"/>
  <c r="BA239" i="4"/>
  <c r="BB238" i="4"/>
  <c r="BM236" i="4"/>
  <c r="BI236" i="4"/>
  <c r="BL235" i="4"/>
  <c r="BK235" i="4"/>
  <c r="BJ235" i="4"/>
  <c r="BG236" i="4"/>
  <c r="BF236" i="4"/>
  <c r="BH237" i="4"/>
  <c r="BE237" i="4"/>
  <c r="V239" i="16" l="1"/>
  <c r="Z239" i="16"/>
  <c r="U240" i="16"/>
  <c r="X238" i="16"/>
  <c r="Y238" i="16"/>
  <c r="W238" i="16"/>
  <c r="T308" i="16"/>
  <c r="S308" i="16"/>
  <c r="R309" i="16"/>
  <c r="O310" i="16"/>
  <c r="BL236" i="4"/>
  <c r="BK236" i="4"/>
  <c r="BJ236" i="4"/>
  <c r="BG237" i="4"/>
  <c r="BF237" i="4"/>
  <c r="BI237" i="4"/>
  <c r="BM237" i="4"/>
  <c r="BH238" i="4"/>
  <c r="BE238" i="4"/>
  <c r="BB239" i="4"/>
  <c r="BA240" i="4"/>
  <c r="Z240" i="16" l="1"/>
  <c r="V240" i="16"/>
  <c r="U241" i="16"/>
  <c r="O311" i="16"/>
  <c r="R310" i="16"/>
  <c r="T309" i="16"/>
  <c r="S309" i="16"/>
  <c r="X239" i="16"/>
  <c r="W239" i="16"/>
  <c r="Y239" i="16"/>
  <c r="BM238" i="4"/>
  <c r="BI238" i="4"/>
  <c r="BL237" i="4"/>
  <c r="BK237" i="4"/>
  <c r="BJ237" i="4"/>
  <c r="BA241" i="4"/>
  <c r="BB240" i="4"/>
  <c r="BH239" i="4"/>
  <c r="BE239" i="4"/>
  <c r="BG238" i="4"/>
  <c r="BF238" i="4"/>
  <c r="O312" i="16" l="1"/>
  <c r="R311" i="16"/>
  <c r="V241" i="16"/>
  <c r="Z241" i="16"/>
  <c r="U242" i="16"/>
  <c r="X240" i="16"/>
  <c r="W240" i="16"/>
  <c r="Y240" i="16"/>
  <c r="S310" i="16"/>
  <c r="T310" i="16"/>
  <c r="BB241" i="4"/>
  <c r="BA242" i="4"/>
  <c r="BH240" i="4"/>
  <c r="BE240" i="4"/>
  <c r="BI239" i="4"/>
  <c r="BM239" i="4"/>
  <c r="BL238" i="4"/>
  <c r="BK238" i="4"/>
  <c r="BJ238" i="4"/>
  <c r="BG239" i="4"/>
  <c r="BF239" i="4"/>
  <c r="X241" i="16" l="1"/>
  <c r="Y241" i="16"/>
  <c r="W241" i="16"/>
  <c r="Z242" i="16"/>
  <c r="V242" i="16"/>
  <c r="U243" i="16"/>
  <c r="T311" i="16"/>
  <c r="S311" i="16"/>
  <c r="R312" i="16"/>
  <c r="O313" i="16"/>
  <c r="BL239" i="4"/>
  <c r="BK239" i="4"/>
  <c r="BJ239" i="4"/>
  <c r="BG240" i="4"/>
  <c r="BF240" i="4"/>
  <c r="BM240" i="4"/>
  <c r="BI240" i="4"/>
  <c r="BA243" i="4"/>
  <c r="BB242" i="4"/>
  <c r="BH241" i="4"/>
  <c r="BE241" i="4"/>
  <c r="X242" i="16" l="1"/>
  <c r="Y242" i="16"/>
  <c r="W242" i="16"/>
  <c r="V243" i="16"/>
  <c r="Z243" i="16"/>
  <c r="U244" i="16"/>
  <c r="R313" i="16"/>
  <c r="O314" i="16"/>
  <c r="T312" i="16"/>
  <c r="S312" i="16"/>
  <c r="BL240" i="4"/>
  <c r="BK240" i="4"/>
  <c r="BJ240" i="4"/>
  <c r="BB243" i="4"/>
  <c r="BA244" i="4"/>
  <c r="BG241" i="4"/>
  <c r="BF241" i="4"/>
  <c r="BI241" i="4"/>
  <c r="BM241" i="4"/>
  <c r="BH242" i="4"/>
  <c r="BE242" i="4"/>
  <c r="Z244" i="16" l="1"/>
  <c r="V244" i="16"/>
  <c r="U245" i="16"/>
  <c r="X243" i="16"/>
  <c r="Y243" i="16"/>
  <c r="W243" i="16"/>
  <c r="S313" i="16"/>
  <c r="T313" i="16"/>
  <c r="R314" i="16"/>
  <c r="O315" i="16"/>
  <c r="BA245" i="4"/>
  <c r="BB244" i="4"/>
  <c r="BL241" i="4"/>
  <c r="BK241" i="4"/>
  <c r="BJ241" i="4"/>
  <c r="BG242" i="4"/>
  <c r="BF242" i="4"/>
  <c r="BH243" i="4"/>
  <c r="BE243" i="4"/>
  <c r="BM242" i="4"/>
  <c r="BI242" i="4"/>
  <c r="R315" i="16" l="1"/>
  <c r="V245" i="16"/>
  <c r="Z245" i="16"/>
  <c r="U246" i="16"/>
  <c r="T314" i="16"/>
  <c r="S314" i="16"/>
  <c r="X244" i="16"/>
  <c r="Y244" i="16"/>
  <c r="W244" i="16"/>
  <c r="O316" i="16"/>
  <c r="BG243" i="4"/>
  <c r="BF243" i="4"/>
  <c r="BL242" i="4"/>
  <c r="BK242" i="4"/>
  <c r="BJ242" i="4"/>
  <c r="BI243" i="4"/>
  <c r="BM243" i="4"/>
  <c r="BH244" i="4"/>
  <c r="BE244" i="4"/>
  <c r="BB245" i="4"/>
  <c r="BA246" i="4"/>
  <c r="Z246" i="16" l="1"/>
  <c r="V246" i="16"/>
  <c r="U247" i="16"/>
  <c r="O317" i="16"/>
  <c r="X245" i="16"/>
  <c r="Y245" i="16"/>
  <c r="W245" i="16"/>
  <c r="S315" i="16"/>
  <c r="T315" i="16"/>
  <c r="R316" i="16"/>
  <c r="BA247" i="4"/>
  <c r="BB246" i="4"/>
  <c r="BM244" i="4"/>
  <c r="BI244" i="4"/>
  <c r="BL243" i="4"/>
  <c r="BK243" i="4"/>
  <c r="BJ243" i="4"/>
  <c r="BH245" i="4"/>
  <c r="BE245" i="4"/>
  <c r="BG244" i="4"/>
  <c r="BF244" i="4"/>
  <c r="O318" i="16" l="1"/>
  <c r="R317" i="16"/>
  <c r="V247" i="16"/>
  <c r="Z247" i="16"/>
  <c r="U248" i="16"/>
  <c r="T316" i="16"/>
  <c r="S316" i="16"/>
  <c r="X246" i="16"/>
  <c r="W246" i="16"/>
  <c r="Y246" i="16"/>
  <c r="BI245" i="4"/>
  <c r="BM245" i="4"/>
  <c r="BL244" i="4"/>
  <c r="BK244" i="4"/>
  <c r="BJ244" i="4"/>
  <c r="BG245" i="4"/>
  <c r="BF245" i="4"/>
  <c r="BH246" i="4"/>
  <c r="BE246" i="4"/>
  <c r="BB247" i="4"/>
  <c r="BA248" i="4"/>
  <c r="Z248" i="16" l="1"/>
  <c r="V248" i="16"/>
  <c r="U249" i="16"/>
  <c r="X247" i="16"/>
  <c r="Y247" i="16"/>
  <c r="W247" i="16"/>
  <c r="S317" i="16"/>
  <c r="T317" i="16"/>
  <c r="O319" i="16"/>
  <c r="R318" i="16"/>
  <c r="BM246" i="4"/>
  <c r="BI246" i="4"/>
  <c r="BA249" i="4"/>
  <c r="BB248" i="4"/>
  <c r="BH247" i="4"/>
  <c r="BE247" i="4"/>
  <c r="BG246" i="4"/>
  <c r="BF246" i="4"/>
  <c r="BL245" i="4"/>
  <c r="BK245" i="4"/>
  <c r="BJ245" i="4"/>
  <c r="R319" i="16" l="1"/>
  <c r="T318" i="16"/>
  <c r="S318" i="16"/>
  <c r="V249" i="16"/>
  <c r="Z249" i="16"/>
  <c r="U250" i="16"/>
  <c r="O320" i="16"/>
  <c r="X248" i="16"/>
  <c r="W248" i="16"/>
  <c r="Y248" i="16"/>
  <c r="BI247" i="4"/>
  <c r="BM247" i="4"/>
  <c r="BB249" i="4"/>
  <c r="BA250" i="4"/>
  <c r="BL246" i="4"/>
  <c r="BK246" i="4"/>
  <c r="BJ246" i="4"/>
  <c r="BG247" i="4"/>
  <c r="BF247" i="4"/>
  <c r="BH248" i="4"/>
  <c r="BE248" i="4"/>
  <c r="Z250" i="16" l="1"/>
  <c r="V250" i="16"/>
  <c r="U251" i="16"/>
  <c r="X249" i="16"/>
  <c r="W249" i="16"/>
  <c r="Y249" i="16"/>
  <c r="R320" i="16"/>
  <c r="T319" i="16"/>
  <c r="S319" i="16"/>
  <c r="O321" i="16"/>
  <c r="BH249" i="4"/>
  <c r="BE249" i="4"/>
  <c r="BM248" i="4"/>
  <c r="BI248" i="4"/>
  <c r="BA251" i="4"/>
  <c r="BB250" i="4"/>
  <c r="BG248" i="4"/>
  <c r="BF248" i="4"/>
  <c r="BL247" i="4"/>
  <c r="BK247" i="4"/>
  <c r="BJ247" i="4"/>
  <c r="O322" i="16" l="1"/>
  <c r="V251" i="16"/>
  <c r="Z251" i="16"/>
  <c r="U252" i="16"/>
  <c r="T320" i="16"/>
  <c r="S320" i="16"/>
  <c r="X250" i="16"/>
  <c r="W250" i="16"/>
  <c r="Y250" i="16"/>
  <c r="R321" i="16"/>
  <c r="BH250" i="4"/>
  <c r="BE250" i="4"/>
  <c r="BG249" i="4"/>
  <c r="BF249" i="4"/>
  <c r="BB251" i="4"/>
  <c r="BA252" i="4"/>
  <c r="BL248" i="4"/>
  <c r="BK248" i="4"/>
  <c r="BJ248" i="4"/>
  <c r="BI249" i="4"/>
  <c r="BM249" i="4"/>
  <c r="Z252" i="16" l="1"/>
  <c r="V252" i="16"/>
  <c r="U253" i="16"/>
  <c r="T321" i="16"/>
  <c r="S321" i="16"/>
  <c r="X251" i="16"/>
  <c r="Y251" i="16"/>
  <c r="W251" i="16"/>
  <c r="O323" i="16"/>
  <c r="R322" i="16"/>
  <c r="BH251" i="4"/>
  <c r="BE251" i="4"/>
  <c r="BL249" i="4"/>
  <c r="BK249" i="4"/>
  <c r="BJ249" i="4"/>
  <c r="BG250" i="4"/>
  <c r="BF250" i="4"/>
  <c r="BA253" i="4"/>
  <c r="BB252" i="4"/>
  <c r="BM250" i="4"/>
  <c r="BI250" i="4"/>
  <c r="T322" i="16" l="1"/>
  <c r="S322" i="16"/>
  <c r="V253" i="16"/>
  <c r="Z253" i="16"/>
  <c r="U254" i="16"/>
  <c r="O324" i="16"/>
  <c r="X252" i="16"/>
  <c r="Y252" i="16"/>
  <c r="W252" i="16"/>
  <c r="R323" i="16"/>
  <c r="BB253" i="4"/>
  <c r="BA254" i="4"/>
  <c r="BG251" i="4"/>
  <c r="BF251" i="4"/>
  <c r="BL250" i="4"/>
  <c r="BK250" i="4"/>
  <c r="BJ250" i="4"/>
  <c r="BH252" i="4"/>
  <c r="BE252" i="4"/>
  <c r="BI251" i="4"/>
  <c r="BM251" i="4"/>
  <c r="O325" i="16" l="1"/>
  <c r="R324" i="16"/>
  <c r="Z254" i="16"/>
  <c r="V254" i="16"/>
  <c r="U255" i="16"/>
  <c r="T323" i="16"/>
  <c r="S323" i="16"/>
  <c r="X253" i="16"/>
  <c r="Y253" i="16"/>
  <c r="W253" i="16"/>
  <c r="BA255" i="4"/>
  <c r="BB254" i="4"/>
  <c r="BM252" i="4"/>
  <c r="BI252" i="4"/>
  <c r="BL251" i="4"/>
  <c r="BK251" i="4"/>
  <c r="BJ251" i="4"/>
  <c r="BG252" i="4"/>
  <c r="BF252" i="4"/>
  <c r="BH253" i="4"/>
  <c r="BE253" i="4"/>
  <c r="X254" i="16" l="1"/>
  <c r="Y254" i="16"/>
  <c r="W254" i="16"/>
  <c r="T324" i="16"/>
  <c r="S324" i="16"/>
  <c r="V255" i="16"/>
  <c r="Z255" i="16"/>
  <c r="AA255" i="16"/>
  <c r="U256" i="16"/>
  <c r="O326" i="16"/>
  <c r="R325" i="16"/>
  <c r="BL252" i="4"/>
  <c r="BK252" i="4"/>
  <c r="BJ252" i="4"/>
  <c r="BG253" i="4"/>
  <c r="BF253" i="4"/>
  <c r="BI253" i="4"/>
  <c r="BM253" i="4"/>
  <c r="BH254" i="4"/>
  <c r="BE254" i="4"/>
  <c r="BB255" i="4"/>
  <c r="BA256" i="4"/>
  <c r="T325" i="16" l="1"/>
  <c r="S325" i="16"/>
  <c r="O327" i="16"/>
  <c r="R326" i="16"/>
  <c r="X255" i="16"/>
  <c r="W255" i="16"/>
  <c r="Y255" i="16"/>
  <c r="AA256" i="16"/>
  <c r="V256" i="16"/>
  <c r="Z256" i="16"/>
  <c r="U257" i="16"/>
  <c r="BM254" i="4"/>
  <c r="BI254" i="4"/>
  <c r="BL253" i="4"/>
  <c r="BK253" i="4"/>
  <c r="BJ253" i="4"/>
  <c r="BB256" i="4"/>
  <c r="BA257" i="4"/>
  <c r="BH255" i="4"/>
  <c r="BE255" i="4"/>
  <c r="BG254" i="4"/>
  <c r="BF254" i="4"/>
  <c r="V257" i="16" l="1"/>
  <c r="Z257" i="16"/>
  <c r="AA257" i="16"/>
  <c r="U258" i="16"/>
  <c r="T326" i="16"/>
  <c r="S326" i="16"/>
  <c r="O328" i="16"/>
  <c r="Y256" i="16"/>
  <c r="W256" i="16"/>
  <c r="X256" i="16"/>
  <c r="R327" i="16"/>
  <c r="BE256" i="4"/>
  <c r="BH256" i="4"/>
  <c r="BA258" i="4"/>
  <c r="BB257" i="4"/>
  <c r="BL254" i="4"/>
  <c r="BK254" i="4"/>
  <c r="BJ254" i="4"/>
  <c r="BI255" i="4"/>
  <c r="BN255" i="4"/>
  <c r="BM255" i="4"/>
  <c r="BG255" i="4"/>
  <c r="BF255" i="4"/>
  <c r="R328" i="16" l="1"/>
  <c r="Z258" i="16"/>
  <c r="V258" i="16"/>
  <c r="AA258" i="16"/>
  <c r="U259" i="16"/>
  <c r="T327" i="16"/>
  <c r="S327" i="16"/>
  <c r="O329" i="16"/>
  <c r="X257" i="16"/>
  <c r="W257" i="16"/>
  <c r="Y257" i="16"/>
  <c r="BB258" i="4"/>
  <c r="BA259" i="4"/>
  <c r="BN256" i="4"/>
  <c r="BM256" i="4"/>
  <c r="BI256" i="4"/>
  <c r="BL255" i="4"/>
  <c r="BK255" i="4"/>
  <c r="BJ255" i="4"/>
  <c r="BH257" i="4"/>
  <c r="BE257" i="4"/>
  <c r="BG256" i="4"/>
  <c r="BF256" i="4"/>
  <c r="Z259" i="16" l="1"/>
  <c r="V259" i="16"/>
  <c r="AA259" i="16"/>
  <c r="U260" i="16"/>
  <c r="Y258" i="16"/>
  <c r="W258" i="16"/>
  <c r="X258" i="16"/>
  <c r="O330" i="16"/>
  <c r="R329" i="16"/>
  <c r="T328" i="16"/>
  <c r="S328" i="16"/>
  <c r="BA260" i="4"/>
  <c r="BB259" i="4"/>
  <c r="BL256" i="4"/>
  <c r="BK256" i="4"/>
  <c r="BJ256" i="4"/>
  <c r="BG257" i="4"/>
  <c r="BF257" i="4"/>
  <c r="BI257" i="4"/>
  <c r="BN257" i="4"/>
  <c r="BM257" i="4"/>
  <c r="BE258" i="4"/>
  <c r="BH258" i="4"/>
  <c r="O331" i="16" l="1"/>
  <c r="AA260" i="16"/>
  <c r="V260" i="16"/>
  <c r="Z260" i="16"/>
  <c r="U261" i="16"/>
  <c r="T329" i="16"/>
  <c r="S329" i="16"/>
  <c r="X259" i="16"/>
  <c r="W259" i="16"/>
  <c r="Y259" i="16"/>
  <c r="R330" i="16"/>
  <c r="BJ257" i="4"/>
  <c r="BL257" i="4"/>
  <c r="BK257" i="4"/>
  <c r="BG258" i="4"/>
  <c r="BF258" i="4"/>
  <c r="BM258" i="4"/>
  <c r="BI258" i="4"/>
  <c r="BN258" i="4"/>
  <c r="BH259" i="4"/>
  <c r="BE259" i="4"/>
  <c r="BA261" i="4"/>
  <c r="BB260" i="4"/>
  <c r="Z261" i="16" l="1"/>
  <c r="V261" i="16"/>
  <c r="AA261" i="16"/>
  <c r="U262" i="16"/>
  <c r="S330" i="16"/>
  <c r="T330" i="16"/>
  <c r="W260" i="16"/>
  <c r="X260" i="16"/>
  <c r="Y260" i="16"/>
  <c r="O332" i="16"/>
  <c r="R331" i="16"/>
  <c r="BL258" i="4"/>
  <c r="BK258" i="4"/>
  <c r="BJ258" i="4"/>
  <c r="BH260" i="4"/>
  <c r="BE260" i="4"/>
  <c r="BG259" i="4"/>
  <c r="BF259" i="4"/>
  <c r="BB261" i="4"/>
  <c r="BA262" i="4"/>
  <c r="BN259" i="4"/>
  <c r="BM259" i="4"/>
  <c r="BI259" i="4"/>
  <c r="AA262" i="16" l="1"/>
  <c r="Z262" i="16"/>
  <c r="V262" i="16"/>
  <c r="U263" i="16"/>
  <c r="O333" i="16"/>
  <c r="R332" i="16"/>
  <c r="X261" i="16"/>
  <c r="W261" i="16"/>
  <c r="Y261" i="16"/>
  <c r="T331" i="16"/>
  <c r="S331" i="16"/>
  <c r="BG260" i="4"/>
  <c r="BF260" i="4"/>
  <c r="BI260" i="4"/>
  <c r="BN260" i="4"/>
  <c r="BM260" i="4"/>
  <c r="BE261" i="4"/>
  <c r="BH261" i="4"/>
  <c r="BL259" i="4"/>
  <c r="BK259" i="4"/>
  <c r="BJ259" i="4"/>
  <c r="BA263" i="4"/>
  <c r="BB262" i="4"/>
  <c r="S332" i="16" l="1"/>
  <c r="T332" i="16"/>
  <c r="R333" i="16"/>
  <c r="O334" i="16"/>
  <c r="V263" i="16"/>
  <c r="AA263" i="16"/>
  <c r="Z263" i="16"/>
  <c r="U264" i="16"/>
  <c r="Y262" i="16"/>
  <c r="X262" i="16"/>
  <c r="W262" i="16"/>
  <c r="BN261" i="4"/>
  <c r="BM261" i="4"/>
  <c r="BI261" i="4"/>
  <c r="BB263" i="4"/>
  <c r="BA264" i="4"/>
  <c r="BK260" i="4"/>
  <c r="BJ260" i="4"/>
  <c r="BL260" i="4"/>
  <c r="BF261" i="4"/>
  <c r="BG261" i="4"/>
  <c r="BH262" i="4"/>
  <c r="BE262" i="4"/>
  <c r="X263" i="16" l="1"/>
  <c r="Y263" i="16"/>
  <c r="W263" i="16"/>
  <c r="R334" i="16"/>
  <c r="O335" i="16"/>
  <c r="T333" i="16"/>
  <c r="S333" i="16"/>
  <c r="AA264" i="16"/>
  <c r="Z264" i="16"/>
  <c r="V264" i="16"/>
  <c r="U265" i="16"/>
  <c r="BH263" i="4"/>
  <c r="BE263" i="4"/>
  <c r="BB264" i="4"/>
  <c r="BA265" i="4"/>
  <c r="BL261" i="4"/>
  <c r="BK261" i="4"/>
  <c r="BJ261" i="4"/>
  <c r="BG262" i="4"/>
  <c r="BF262" i="4"/>
  <c r="BI262" i="4"/>
  <c r="BN262" i="4"/>
  <c r="BM262" i="4"/>
  <c r="R335" i="16" l="1"/>
  <c r="Y264" i="16"/>
  <c r="W264" i="16"/>
  <c r="X264" i="16"/>
  <c r="S334" i="16"/>
  <c r="T334" i="16"/>
  <c r="O336" i="16"/>
  <c r="V265" i="16"/>
  <c r="Z265" i="16"/>
  <c r="AA265" i="16"/>
  <c r="U266" i="16"/>
  <c r="BE264" i="4"/>
  <c r="BH264" i="4"/>
  <c r="BL262" i="4"/>
  <c r="BK262" i="4"/>
  <c r="BJ262" i="4"/>
  <c r="BG263" i="4"/>
  <c r="BF263" i="4"/>
  <c r="BA266" i="4"/>
  <c r="BB265" i="4"/>
  <c r="BI263" i="4"/>
  <c r="BN263" i="4"/>
  <c r="BM263" i="4"/>
  <c r="R336" i="16" l="1"/>
  <c r="O337" i="16"/>
  <c r="T335" i="16"/>
  <c r="S335" i="16"/>
  <c r="Y265" i="16"/>
  <c r="X265" i="16"/>
  <c r="W265" i="16"/>
  <c r="AA266" i="16"/>
  <c r="Z266" i="16"/>
  <c r="V266" i="16"/>
  <c r="U267" i="16"/>
  <c r="BN264" i="4"/>
  <c r="BM264" i="4"/>
  <c r="BI264" i="4"/>
  <c r="BB266" i="4"/>
  <c r="BA267" i="4"/>
  <c r="BL263" i="4"/>
  <c r="BK263" i="4"/>
  <c r="BJ263" i="4"/>
  <c r="BH265" i="4"/>
  <c r="BE265" i="4"/>
  <c r="BG264" i="4"/>
  <c r="BF264" i="4"/>
  <c r="T336" i="16" l="1"/>
  <c r="S336" i="16"/>
  <c r="Z267" i="16"/>
  <c r="AA267" i="16"/>
  <c r="V267" i="16"/>
  <c r="U268" i="16"/>
  <c r="Y266" i="16"/>
  <c r="W266" i="16"/>
  <c r="X266" i="16"/>
  <c r="R337" i="16"/>
  <c r="O338" i="16"/>
  <c r="BA268" i="4"/>
  <c r="BB267" i="4"/>
  <c r="BE266" i="4"/>
  <c r="BH266" i="4"/>
  <c r="BG265" i="4"/>
  <c r="BF265" i="4"/>
  <c r="BL264" i="4"/>
  <c r="BK264" i="4"/>
  <c r="BJ264" i="4"/>
  <c r="BI265" i="4"/>
  <c r="BN265" i="4"/>
  <c r="BM265" i="4"/>
  <c r="AA268" i="16" l="1"/>
  <c r="Z268" i="16"/>
  <c r="V268" i="16"/>
  <c r="U269" i="16"/>
  <c r="R338" i="16"/>
  <c r="Y267" i="16"/>
  <c r="X267" i="16"/>
  <c r="W267" i="16"/>
  <c r="O339" i="16"/>
  <c r="T337" i="16"/>
  <c r="S337" i="16"/>
  <c r="BM266" i="4"/>
  <c r="BI266" i="4"/>
  <c r="BN266" i="4"/>
  <c r="BG266" i="4"/>
  <c r="BF266" i="4"/>
  <c r="BJ265" i="4"/>
  <c r="BL265" i="4"/>
  <c r="BK265" i="4"/>
  <c r="BH267" i="4"/>
  <c r="BE267" i="4"/>
  <c r="BA269" i="4"/>
  <c r="BB268" i="4"/>
  <c r="S338" i="16" l="1"/>
  <c r="T338" i="16"/>
  <c r="Z269" i="16"/>
  <c r="V269" i="16"/>
  <c r="AA269" i="16"/>
  <c r="U270" i="16"/>
  <c r="O340" i="16"/>
  <c r="W268" i="16"/>
  <c r="Y268" i="16"/>
  <c r="X268" i="16"/>
  <c r="R339" i="16"/>
  <c r="BB269" i="4"/>
  <c r="BA270" i="4"/>
  <c r="BH268" i="4"/>
  <c r="BE268" i="4"/>
  <c r="BG267" i="4"/>
  <c r="BF267" i="4"/>
  <c r="BL266" i="4"/>
  <c r="BK266" i="4"/>
  <c r="BJ266" i="4"/>
  <c r="BN267" i="4"/>
  <c r="BM267" i="4"/>
  <c r="BI267" i="4"/>
  <c r="O341" i="16" l="1"/>
  <c r="AA270" i="16"/>
  <c r="Z270" i="16"/>
  <c r="V270" i="16"/>
  <c r="U271" i="16"/>
  <c r="X269" i="16"/>
  <c r="W269" i="16"/>
  <c r="Y269" i="16"/>
  <c r="R340" i="16"/>
  <c r="S339" i="16"/>
  <c r="T339" i="16"/>
  <c r="BG268" i="4"/>
  <c r="BF268" i="4"/>
  <c r="BI268" i="4"/>
  <c r="BN268" i="4"/>
  <c r="BM268" i="4"/>
  <c r="BA271" i="4"/>
  <c r="BB270" i="4"/>
  <c r="BL267" i="4"/>
  <c r="BK267" i="4"/>
  <c r="BJ267" i="4"/>
  <c r="BE269" i="4"/>
  <c r="BH269" i="4"/>
  <c r="V271" i="16" l="1"/>
  <c r="AA271" i="16"/>
  <c r="Z271" i="16"/>
  <c r="U272" i="16"/>
  <c r="Y270" i="16"/>
  <c r="X270" i="16"/>
  <c r="W270" i="16"/>
  <c r="S340" i="16"/>
  <c r="T340" i="16"/>
  <c r="R341" i="16"/>
  <c r="O342" i="16"/>
  <c r="BH270" i="4"/>
  <c r="BE270" i="4"/>
  <c r="BN269" i="4"/>
  <c r="BM269" i="4"/>
  <c r="BI269" i="4"/>
  <c r="BK268" i="4"/>
  <c r="BJ268" i="4"/>
  <c r="BL268" i="4"/>
  <c r="BB271" i="4"/>
  <c r="BA272" i="4"/>
  <c r="BF269" i="4"/>
  <c r="BG269" i="4"/>
  <c r="AA272" i="16" l="1"/>
  <c r="V272" i="16"/>
  <c r="Z272" i="16"/>
  <c r="U273" i="16"/>
  <c r="O343" i="16"/>
  <c r="T341" i="16"/>
  <c r="S341" i="16"/>
  <c r="R342" i="16"/>
  <c r="X271" i="16"/>
  <c r="Y271" i="16"/>
  <c r="W271" i="16"/>
  <c r="BL269" i="4"/>
  <c r="BK269" i="4"/>
  <c r="BJ269" i="4"/>
  <c r="BB272" i="4"/>
  <c r="BA273" i="4"/>
  <c r="BG270" i="4"/>
  <c r="BF270" i="4"/>
  <c r="BH271" i="4"/>
  <c r="BE271" i="4"/>
  <c r="BI270" i="4"/>
  <c r="BN270" i="4"/>
  <c r="BM270" i="4"/>
  <c r="V273" i="16" l="1"/>
  <c r="AA273" i="16"/>
  <c r="Z273" i="16"/>
  <c r="U274" i="16"/>
  <c r="O344" i="16"/>
  <c r="Y272" i="16"/>
  <c r="X272" i="16"/>
  <c r="W272" i="16"/>
  <c r="R343" i="16"/>
  <c r="S342" i="16"/>
  <c r="T342" i="16"/>
  <c r="BI271" i="4"/>
  <c r="BN271" i="4"/>
  <c r="BM271" i="4"/>
  <c r="BA274" i="4"/>
  <c r="BB273" i="4"/>
  <c r="BE272" i="4"/>
  <c r="BH272" i="4"/>
  <c r="BL270" i="4"/>
  <c r="BK270" i="4"/>
  <c r="BJ270" i="4"/>
  <c r="BG271" i="4"/>
  <c r="BF271" i="4"/>
  <c r="V274" i="16" l="1"/>
  <c r="AA274" i="16"/>
  <c r="Z274" i="16"/>
  <c r="U275" i="16"/>
  <c r="R344" i="16"/>
  <c r="O345" i="16"/>
  <c r="T343" i="16"/>
  <c r="S343" i="16"/>
  <c r="Y273" i="16"/>
  <c r="X273" i="16"/>
  <c r="W273" i="16"/>
  <c r="BB274" i="4"/>
  <c r="BA275" i="4"/>
  <c r="BH273" i="4"/>
  <c r="BE273" i="4"/>
  <c r="BN272" i="4"/>
  <c r="BM272" i="4"/>
  <c r="BI272" i="4"/>
  <c r="BG272" i="4"/>
  <c r="BF272" i="4"/>
  <c r="BL271" i="4"/>
  <c r="BK271" i="4"/>
  <c r="BJ271" i="4"/>
  <c r="O346" i="16" l="1"/>
  <c r="T344" i="16"/>
  <c r="S344" i="16"/>
  <c r="R345" i="16"/>
  <c r="Z275" i="16"/>
  <c r="AA275" i="16"/>
  <c r="V275" i="16"/>
  <c r="U276" i="16"/>
  <c r="Y274" i="16"/>
  <c r="W274" i="16"/>
  <c r="X274" i="16"/>
  <c r="BG273" i="4"/>
  <c r="BF273" i="4"/>
  <c r="BI273" i="4"/>
  <c r="BN273" i="4"/>
  <c r="BM273" i="4"/>
  <c r="BA276" i="4"/>
  <c r="BB275" i="4"/>
  <c r="BL272" i="4"/>
  <c r="BK272" i="4"/>
  <c r="BJ272" i="4"/>
  <c r="BE274" i="4"/>
  <c r="BH274" i="4"/>
  <c r="Y275" i="16" l="1"/>
  <c r="X275" i="16"/>
  <c r="W275" i="16"/>
  <c r="T345" i="16"/>
  <c r="S345" i="16"/>
  <c r="AA276" i="16"/>
  <c r="Z276" i="16"/>
  <c r="V276" i="16"/>
  <c r="U277" i="16"/>
  <c r="R346" i="16"/>
  <c r="O347" i="16"/>
  <c r="BG274" i="4"/>
  <c r="BF274" i="4"/>
  <c r="BJ273" i="4"/>
  <c r="BL273" i="4"/>
  <c r="BK273" i="4"/>
  <c r="BA277" i="4"/>
  <c r="BB276" i="4"/>
  <c r="BH275" i="4"/>
  <c r="BE275" i="4"/>
  <c r="BM274" i="4"/>
  <c r="BI274" i="4"/>
  <c r="BN274" i="4"/>
  <c r="W276" i="16" l="1"/>
  <c r="Y276" i="16"/>
  <c r="X276" i="16"/>
  <c r="O348" i="16"/>
  <c r="R347" i="16"/>
  <c r="S346" i="16"/>
  <c r="T346" i="16"/>
  <c r="Z277" i="16"/>
  <c r="AA277" i="16"/>
  <c r="V277" i="16"/>
  <c r="U278" i="16"/>
  <c r="BN275" i="4"/>
  <c r="BM275" i="4"/>
  <c r="BI275" i="4"/>
  <c r="BH276" i="4"/>
  <c r="BE276" i="4"/>
  <c r="BB277" i="4"/>
  <c r="BA278" i="4"/>
  <c r="BL274" i="4"/>
  <c r="BK274" i="4"/>
  <c r="BJ274" i="4"/>
  <c r="BG275" i="4"/>
  <c r="BF275" i="4"/>
  <c r="O349" i="16" l="1"/>
  <c r="R348" i="16"/>
  <c r="T347" i="16"/>
  <c r="S347" i="16"/>
  <c r="Y277" i="16"/>
  <c r="X277" i="16"/>
  <c r="W277" i="16"/>
  <c r="AA278" i="16"/>
  <c r="V278" i="16"/>
  <c r="Z278" i="16"/>
  <c r="U279" i="16"/>
  <c r="BI276" i="4"/>
  <c r="BN276" i="4"/>
  <c r="BM276" i="4"/>
  <c r="BL275" i="4"/>
  <c r="BK275" i="4"/>
  <c r="BJ275" i="4"/>
  <c r="BA279" i="4"/>
  <c r="BB278" i="4"/>
  <c r="BG276" i="4"/>
  <c r="BF276" i="4"/>
  <c r="BE277" i="4"/>
  <c r="BH277" i="4"/>
  <c r="T348" i="16" l="1"/>
  <c r="S348" i="16"/>
  <c r="AA279" i="16"/>
  <c r="Z279" i="16"/>
  <c r="V279" i="16"/>
  <c r="U280" i="16"/>
  <c r="X278" i="16"/>
  <c r="W278" i="16"/>
  <c r="Y278" i="16"/>
  <c r="R349" i="16"/>
  <c r="O350" i="16"/>
  <c r="BB279" i="4"/>
  <c r="BA280" i="4"/>
  <c r="BH278" i="4"/>
  <c r="BE278" i="4"/>
  <c r="BN277" i="4"/>
  <c r="BM277" i="4"/>
  <c r="BI277" i="4"/>
  <c r="BF277" i="4"/>
  <c r="BG277" i="4"/>
  <c r="BK276" i="4"/>
  <c r="BJ276" i="4"/>
  <c r="BL276" i="4"/>
  <c r="V280" i="16" l="1"/>
  <c r="AA280" i="16"/>
  <c r="Z280" i="16"/>
  <c r="U281" i="16"/>
  <c r="O351" i="16"/>
  <c r="T349" i="16"/>
  <c r="S349" i="16"/>
  <c r="X279" i="16"/>
  <c r="W279" i="16"/>
  <c r="Y279" i="16"/>
  <c r="R350" i="16"/>
  <c r="BL277" i="4"/>
  <c r="BK277" i="4"/>
  <c r="BJ277" i="4"/>
  <c r="BG278" i="4"/>
  <c r="BF278" i="4"/>
  <c r="BI278" i="4"/>
  <c r="BN278" i="4"/>
  <c r="BM278" i="4"/>
  <c r="BB280" i="4"/>
  <c r="BA281" i="4"/>
  <c r="BH279" i="4"/>
  <c r="BE279" i="4"/>
  <c r="R351" i="16" l="1"/>
  <c r="AA281" i="16"/>
  <c r="Z281" i="16"/>
  <c r="V281" i="16"/>
  <c r="U282" i="16"/>
  <c r="O352" i="16"/>
  <c r="S350" i="16"/>
  <c r="T350" i="16"/>
  <c r="Y280" i="16"/>
  <c r="X280" i="16"/>
  <c r="W280" i="16"/>
  <c r="BG279" i="4"/>
  <c r="BF279" i="4"/>
  <c r="BL278" i="4"/>
  <c r="BK278" i="4"/>
  <c r="BJ278" i="4"/>
  <c r="BI279" i="4"/>
  <c r="BN279" i="4"/>
  <c r="BM279" i="4"/>
  <c r="BA282" i="4"/>
  <c r="BB281" i="4"/>
  <c r="BE280" i="4"/>
  <c r="BH280" i="4"/>
  <c r="AA282" i="16" l="1"/>
  <c r="Z282" i="16"/>
  <c r="V282" i="16"/>
  <c r="U283" i="16"/>
  <c r="R352" i="16"/>
  <c r="T351" i="16"/>
  <c r="S351" i="16"/>
  <c r="O353" i="16"/>
  <c r="Y281" i="16"/>
  <c r="X281" i="16"/>
  <c r="W281" i="16"/>
  <c r="BL279" i="4"/>
  <c r="BK279" i="4"/>
  <c r="BJ279" i="4"/>
  <c r="BN280" i="4"/>
  <c r="BM280" i="4"/>
  <c r="BI280" i="4"/>
  <c r="BG280" i="4"/>
  <c r="BF280" i="4"/>
  <c r="BH281" i="4"/>
  <c r="BE281" i="4"/>
  <c r="BB282" i="4"/>
  <c r="BA283" i="4"/>
  <c r="S352" i="16" l="1"/>
  <c r="T352" i="16"/>
  <c r="V283" i="16"/>
  <c r="AA283" i="16"/>
  <c r="Z283" i="16"/>
  <c r="U284" i="16"/>
  <c r="Y282" i="16"/>
  <c r="W282" i="16"/>
  <c r="X282" i="16"/>
  <c r="O354" i="16"/>
  <c r="R353" i="16"/>
  <c r="BA284" i="4"/>
  <c r="BB283" i="4"/>
  <c r="BL280" i="4"/>
  <c r="BK280" i="4"/>
  <c r="BJ280" i="4"/>
  <c r="BE282" i="4"/>
  <c r="BH282" i="4"/>
  <c r="BG281" i="4"/>
  <c r="BF281" i="4"/>
  <c r="BI281" i="4"/>
  <c r="BN281" i="4"/>
  <c r="BM281" i="4"/>
  <c r="Z284" i="16" l="1"/>
  <c r="V284" i="16"/>
  <c r="AA284" i="16"/>
  <c r="U285" i="16"/>
  <c r="T353" i="16"/>
  <c r="S353" i="16"/>
  <c r="R354" i="16"/>
  <c r="W283" i="16"/>
  <c r="X283" i="16"/>
  <c r="Y283" i="16"/>
  <c r="O355" i="16"/>
  <c r="BG282" i="4"/>
  <c r="BF282" i="4"/>
  <c r="BM282" i="4"/>
  <c r="BI282" i="4"/>
  <c r="BN282" i="4"/>
  <c r="BJ281" i="4"/>
  <c r="BL281" i="4"/>
  <c r="BK281" i="4"/>
  <c r="BH283" i="4"/>
  <c r="BE283" i="4"/>
  <c r="BB284" i="4"/>
  <c r="BA285" i="4"/>
  <c r="AA285" i="16" l="1"/>
  <c r="Z285" i="16"/>
  <c r="V285" i="16"/>
  <c r="U286" i="16"/>
  <c r="O356" i="16"/>
  <c r="Y284" i="16"/>
  <c r="X284" i="16"/>
  <c r="W284" i="16"/>
  <c r="S354" i="16"/>
  <c r="T354" i="16"/>
  <c r="R355" i="16"/>
  <c r="BL282" i="4"/>
  <c r="BK282" i="4"/>
  <c r="BJ282" i="4"/>
  <c r="BB285" i="4"/>
  <c r="BA286" i="4"/>
  <c r="BH284" i="4"/>
  <c r="BE284" i="4"/>
  <c r="BG283" i="4"/>
  <c r="BF283" i="4"/>
  <c r="BN283" i="4"/>
  <c r="BM283" i="4"/>
  <c r="BI283" i="4"/>
  <c r="R356" i="16" l="1"/>
  <c r="S355" i="16"/>
  <c r="T355" i="16"/>
  <c r="O357" i="16"/>
  <c r="V286" i="16"/>
  <c r="AA286" i="16"/>
  <c r="Z286" i="16"/>
  <c r="U287" i="16"/>
  <c r="Y285" i="16"/>
  <c r="X285" i="16"/>
  <c r="W285" i="16"/>
  <c r="BE285" i="4"/>
  <c r="BH285" i="4"/>
  <c r="BG284" i="4"/>
  <c r="BF284" i="4"/>
  <c r="BA287" i="4"/>
  <c r="BB286" i="4"/>
  <c r="BN284" i="4"/>
  <c r="BM284" i="4"/>
  <c r="BI284" i="4"/>
  <c r="BL283" i="4"/>
  <c r="BK283" i="4"/>
  <c r="BJ283" i="4"/>
  <c r="O358" i="16" l="1"/>
  <c r="R357" i="16"/>
  <c r="X286" i="16"/>
  <c r="W286" i="16"/>
  <c r="Y286" i="16"/>
  <c r="AA287" i="16"/>
  <c r="Z287" i="16"/>
  <c r="V287" i="16"/>
  <c r="U288" i="16"/>
  <c r="T356" i="16"/>
  <c r="S356" i="16"/>
  <c r="BH286" i="4"/>
  <c r="BE286" i="4"/>
  <c r="BA288" i="4"/>
  <c r="BB287" i="4"/>
  <c r="BM285" i="4"/>
  <c r="BN285" i="4"/>
  <c r="BI285" i="4"/>
  <c r="BL284" i="4"/>
  <c r="BK284" i="4"/>
  <c r="BJ284" i="4"/>
  <c r="BG285" i="4"/>
  <c r="BF285" i="4"/>
  <c r="S357" i="16" l="1"/>
  <c r="T357" i="16"/>
  <c r="V288" i="16"/>
  <c r="Z288" i="16"/>
  <c r="AA288" i="16"/>
  <c r="U289" i="16"/>
  <c r="O359" i="16"/>
  <c r="Y287" i="16"/>
  <c r="X287" i="16"/>
  <c r="W287" i="16"/>
  <c r="R358" i="16"/>
  <c r="BH287" i="4"/>
  <c r="BE287" i="4"/>
  <c r="BB288" i="4"/>
  <c r="BA289" i="4"/>
  <c r="BG286" i="4"/>
  <c r="BF286" i="4"/>
  <c r="BL285" i="4"/>
  <c r="BJ285" i="4"/>
  <c r="BK285" i="4"/>
  <c r="BM286" i="4"/>
  <c r="BN286" i="4"/>
  <c r="BI286" i="4"/>
  <c r="R359" i="16" l="1"/>
  <c r="O360" i="16"/>
  <c r="S358" i="16"/>
  <c r="T358" i="16"/>
  <c r="Y288" i="16"/>
  <c r="X288" i="16"/>
  <c r="W288" i="16"/>
  <c r="AA289" i="16"/>
  <c r="Z289" i="16"/>
  <c r="V289" i="16"/>
  <c r="U290" i="16"/>
  <c r="BE288" i="4"/>
  <c r="BH288" i="4"/>
  <c r="BK286" i="4"/>
  <c r="BJ286" i="4"/>
  <c r="BL286" i="4"/>
  <c r="BF287" i="4"/>
  <c r="BG287" i="4"/>
  <c r="BA290" i="4"/>
  <c r="BB289" i="4"/>
  <c r="BI287" i="4"/>
  <c r="BN287" i="4"/>
  <c r="BM287" i="4"/>
  <c r="R360" i="16" l="1"/>
  <c r="O361" i="16"/>
  <c r="Y289" i="16"/>
  <c r="X289" i="16"/>
  <c r="W289" i="16"/>
  <c r="S359" i="16"/>
  <c r="T359" i="16"/>
  <c r="AA290" i="16"/>
  <c r="Z290" i="16"/>
  <c r="V290" i="16"/>
  <c r="U291" i="16"/>
  <c r="BB290" i="4"/>
  <c r="BA291" i="4"/>
  <c r="BK287" i="4"/>
  <c r="BJ287" i="4"/>
  <c r="BL287" i="4"/>
  <c r="BN288" i="4"/>
  <c r="BM288" i="4"/>
  <c r="BI288" i="4"/>
  <c r="BH289" i="4"/>
  <c r="BE289" i="4"/>
  <c r="BF288" i="4"/>
  <c r="BG288" i="4"/>
  <c r="V291" i="16" l="1"/>
  <c r="Z291" i="16"/>
  <c r="AA291" i="16"/>
  <c r="U292" i="16"/>
  <c r="O362" i="16"/>
  <c r="R361" i="16"/>
  <c r="T360" i="16"/>
  <c r="S360" i="16"/>
  <c r="W290" i="16"/>
  <c r="X290" i="16"/>
  <c r="Y290" i="16"/>
  <c r="BL288" i="4"/>
  <c r="BK288" i="4"/>
  <c r="BJ288" i="4"/>
  <c r="BB291" i="4"/>
  <c r="BA292" i="4"/>
  <c r="BG289" i="4"/>
  <c r="BF289" i="4"/>
  <c r="BI289" i="4"/>
  <c r="BN289" i="4"/>
  <c r="BM289" i="4"/>
  <c r="BH290" i="4"/>
  <c r="BE290" i="4"/>
  <c r="T361" i="16" l="1"/>
  <c r="S361" i="16"/>
  <c r="R362" i="16"/>
  <c r="Z292" i="16"/>
  <c r="AA292" i="16"/>
  <c r="V292" i="16"/>
  <c r="U293" i="16"/>
  <c r="O363" i="16"/>
  <c r="W291" i="16"/>
  <c r="Y291" i="16"/>
  <c r="X291" i="16"/>
  <c r="BA293" i="4"/>
  <c r="BB292" i="4"/>
  <c r="BL289" i="4"/>
  <c r="BK289" i="4"/>
  <c r="BJ289" i="4"/>
  <c r="BE291" i="4"/>
  <c r="BH291" i="4"/>
  <c r="BG290" i="4"/>
  <c r="BF290" i="4"/>
  <c r="BI290" i="4"/>
  <c r="BN290" i="4"/>
  <c r="BM290" i="4"/>
  <c r="AA293" i="16" l="1"/>
  <c r="V293" i="16"/>
  <c r="Z293" i="16"/>
  <c r="U294" i="16"/>
  <c r="S362" i="16"/>
  <c r="T362" i="16"/>
  <c r="Y292" i="16"/>
  <c r="X292" i="16"/>
  <c r="W292" i="16"/>
  <c r="R363" i="16"/>
  <c r="O364" i="16"/>
  <c r="BN291" i="4"/>
  <c r="BM291" i="4"/>
  <c r="BI291" i="4"/>
  <c r="BG291" i="4"/>
  <c r="BF291" i="4"/>
  <c r="BL290" i="4"/>
  <c r="BK290" i="4"/>
  <c r="BJ290" i="4"/>
  <c r="BH292" i="4"/>
  <c r="BE292" i="4"/>
  <c r="BB293" i="4"/>
  <c r="BA294" i="4"/>
  <c r="V294" i="16" l="1"/>
  <c r="Z294" i="16"/>
  <c r="AA294" i="16"/>
  <c r="U295" i="16"/>
  <c r="S363" i="16"/>
  <c r="T363" i="16"/>
  <c r="O365" i="16"/>
  <c r="Y293" i="16"/>
  <c r="X293" i="16"/>
  <c r="W293" i="16"/>
  <c r="R364" i="16"/>
  <c r="BL291" i="4"/>
  <c r="BK291" i="4"/>
  <c r="BJ291" i="4"/>
  <c r="BE293" i="4"/>
  <c r="BH293" i="4"/>
  <c r="BA295" i="4"/>
  <c r="BB294" i="4"/>
  <c r="BG292" i="4"/>
  <c r="BF292" i="4"/>
  <c r="BI292" i="4"/>
  <c r="BN292" i="4"/>
  <c r="BM292" i="4"/>
  <c r="O366" i="16" l="1"/>
  <c r="T364" i="16"/>
  <c r="S364" i="16"/>
  <c r="AA295" i="16"/>
  <c r="Z295" i="16"/>
  <c r="V295" i="16"/>
  <c r="U296" i="16"/>
  <c r="R365" i="16"/>
  <c r="X294" i="16"/>
  <c r="W294" i="16"/>
  <c r="Y294" i="16"/>
  <c r="BH294" i="4"/>
  <c r="BE294" i="4"/>
  <c r="BM293" i="4"/>
  <c r="BI293" i="4"/>
  <c r="BN293" i="4"/>
  <c r="BA296" i="4"/>
  <c r="BB295" i="4"/>
  <c r="BG293" i="4"/>
  <c r="BF293" i="4"/>
  <c r="BJ292" i="4"/>
  <c r="BL292" i="4"/>
  <c r="BK292" i="4"/>
  <c r="G3" i="17" l="1"/>
  <c r="Y295" i="16"/>
  <c r="W295" i="16"/>
  <c r="X295" i="16"/>
  <c r="V296" i="16"/>
  <c r="AA296" i="16"/>
  <c r="Z296" i="16"/>
  <c r="U297" i="16"/>
  <c r="O367" i="16"/>
  <c r="T365" i="16"/>
  <c r="S365" i="16"/>
  <c r="R366" i="16"/>
  <c r="BL293" i="4"/>
  <c r="BK293" i="4"/>
  <c r="BJ293" i="4"/>
  <c r="BB296" i="4"/>
  <c r="BA297" i="4"/>
  <c r="BG294" i="4"/>
  <c r="BF294" i="4"/>
  <c r="BH295" i="4"/>
  <c r="BE295" i="4"/>
  <c r="BN294" i="4"/>
  <c r="BM294" i="4"/>
  <c r="BI294" i="4"/>
  <c r="G4" i="17" l="1"/>
  <c r="O368" i="16"/>
  <c r="S366" i="16"/>
  <c r="T366" i="16"/>
  <c r="Y296" i="16"/>
  <c r="X296" i="16"/>
  <c r="W296" i="16"/>
  <c r="V297" i="16"/>
  <c r="AA297" i="16"/>
  <c r="Z297" i="16"/>
  <c r="U298" i="16"/>
  <c r="R367" i="16"/>
  <c r="BI295" i="4"/>
  <c r="BN295" i="4"/>
  <c r="BM295" i="4"/>
  <c r="BB297" i="4"/>
  <c r="BA298" i="4"/>
  <c r="BL294" i="4"/>
  <c r="BK294" i="4"/>
  <c r="BJ294" i="4"/>
  <c r="BE296" i="4"/>
  <c r="BH296" i="4"/>
  <c r="BG295" i="4"/>
  <c r="BF295" i="4"/>
  <c r="J4" i="17" l="1"/>
  <c r="G5" i="17"/>
  <c r="S367" i="16"/>
  <c r="T367" i="16"/>
  <c r="W297" i="16"/>
  <c r="Y297" i="16"/>
  <c r="X297" i="16"/>
  <c r="V298" i="16"/>
  <c r="AA298" i="16"/>
  <c r="Z298" i="16"/>
  <c r="U299" i="16"/>
  <c r="R368" i="16"/>
  <c r="O369" i="16"/>
  <c r="BB298" i="4"/>
  <c r="BA299" i="4"/>
  <c r="BE297" i="4"/>
  <c r="BH297" i="4"/>
  <c r="BN296" i="4"/>
  <c r="BM296" i="4"/>
  <c r="BI296" i="4"/>
  <c r="BF296" i="4"/>
  <c r="BG296" i="4"/>
  <c r="BK295" i="4"/>
  <c r="BJ295" i="4"/>
  <c r="BL295" i="4"/>
  <c r="J5" i="17" l="1"/>
  <c r="G6" i="17"/>
  <c r="L4" i="17"/>
  <c r="K4" i="17"/>
  <c r="X298" i="16"/>
  <c r="W298" i="16"/>
  <c r="Y298" i="16"/>
  <c r="O370" i="16"/>
  <c r="R369" i="16"/>
  <c r="T368" i="16"/>
  <c r="S368" i="16"/>
  <c r="AA299" i="16"/>
  <c r="Z299" i="16"/>
  <c r="V299" i="16"/>
  <c r="U300" i="16"/>
  <c r="BN297" i="4"/>
  <c r="BM297" i="4"/>
  <c r="BI297" i="4"/>
  <c r="BL296" i="4"/>
  <c r="BK296" i="4"/>
  <c r="BJ296" i="4"/>
  <c r="BG297" i="4"/>
  <c r="BF297" i="4"/>
  <c r="BB299" i="4"/>
  <c r="BA300" i="4"/>
  <c r="BH298" i="4"/>
  <c r="BE298" i="4"/>
  <c r="J6" i="17" l="1"/>
  <c r="G7" i="17"/>
  <c r="L5" i="17"/>
  <c r="K5" i="17"/>
  <c r="R370" i="16"/>
  <c r="O371" i="16"/>
  <c r="AA300" i="16"/>
  <c r="Z300" i="16"/>
  <c r="V300" i="16"/>
  <c r="U301" i="16"/>
  <c r="T369" i="16"/>
  <c r="S369" i="16"/>
  <c r="Y299" i="16"/>
  <c r="X299" i="16"/>
  <c r="W299" i="16"/>
  <c r="BG298" i="4"/>
  <c r="BF298" i="4"/>
  <c r="BL297" i="4"/>
  <c r="BK297" i="4"/>
  <c r="BJ297" i="4"/>
  <c r="BB300" i="4"/>
  <c r="BA301" i="4"/>
  <c r="BN298" i="4"/>
  <c r="BM298" i="4"/>
  <c r="BI298" i="4"/>
  <c r="BH299" i="4"/>
  <c r="BE299" i="4"/>
  <c r="G8" i="17" l="1"/>
  <c r="J7" i="17"/>
  <c r="L6" i="17"/>
  <c r="K6" i="17"/>
  <c r="Y300" i="16"/>
  <c r="X300" i="16"/>
  <c r="W300" i="16"/>
  <c r="V301" i="16"/>
  <c r="AA301" i="16"/>
  <c r="Z301" i="16"/>
  <c r="U302" i="16"/>
  <c r="R371" i="16"/>
  <c r="O372" i="16"/>
  <c r="S370" i="16"/>
  <c r="T370" i="16"/>
  <c r="BB301" i="4"/>
  <c r="BA302" i="4"/>
  <c r="BG299" i="4"/>
  <c r="BF299" i="4"/>
  <c r="BH300" i="4"/>
  <c r="BE300" i="4"/>
  <c r="BI299" i="4"/>
  <c r="BN299" i="4"/>
  <c r="BM299" i="4"/>
  <c r="BL298" i="4"/>
  <c r="BK298" i="4"/>
  <c r="BJ298" i="4"/>
  <c r="L7" i="17" l="1"/>
  <c r="K7" i="17"/>
  <c r="G9" i="17"/>
  <c r="J8" i="17"/>
  <c r="V302" i="16"/>
  <c r="AA302" i="16"/>
  <c r="Z302" i="16"/>
  <c r="U303" i="16"/>
  <c r="Y301" i="16"/>
  <c r="X301" i="16"/>
  <c r="W301" i="16"/>
  <c r="T371" i="16"/>
  <c r="S371" i="16"/>
  <c r="R372" i="16"/>
  <c r="O373" i="16"/>
  <c r="BI300" i="4"/>
  <c r="BN300" i="4"/>
  <c r="BM300" i="4"/>
  <c r="BL299" i="4"/>
  <c r="BK299" i="4"/>
  <c r="BJ299" i="4"/>
  <c r="BB302" i="4"/>
  <c r="BA303" i="4"/>
  <c r="BG300" i="4"/>
  <c r="BF300" i="4"/>
  <c r="BH301" i="4"/>
  <c r="BE301" i="4"/>
  <c r="J9" i="17" l="1"/>
  <c r="G10" i="17"/>
  <c r="K8" i="17"/>
  <c r="L8" i="17"/>
  <c r="Z303" i="16"/>
  <c r="AA303" i="16"/>
  <c r="V303" i="16"/>
  <c r="U304" i="16"/>
  <c r="R373" i="16"/>
  <c r="T372" i="16"/>
  <c r="S372" i="16"/>
  <c r="O374" i="16"/>
  <c r="Y302" i="16"/>
  <c r="X302" i="16"/>
  <c r="W302" i="16"/>
  <c r="BA304" i="4"/>
  <c r="BB303" i="4"/>
  <c r="BH302" i="4"/>
  <c r="BE302" i="4"/>
  <c r="BG301" i="4"/>
  <c r="BF301" i="4"/>
  <c r="BI301" i="4"/>
  <c r="BN301" i="4"/>
  <c r="BM301" i="4"/>
  <c r="BL300" i="4"/>
  <c r="BK300" i="4"/>
  <c r="BJ300" i="4"/>
  <c r="G11" i="17" l="1"/>
  <c r="J10" i="17"/>
  <c r="K9" i="17"/>
  <c r="L9" i="17"/>
  <c r="T373" i="16"/>
  <c r="S373" i="16"/>
  <c r="AA304" i="16"/>
  <c r="Z304" i="16"/>
  <c r="V304" i="16"/>
  <c r="U305" i="16"/>
  <c r="Y303" i="16"/>
  <c r="X303" i="16"/>
  <c r="W303" i="16"/>
  <c r="O375" i="16"/>
  <c r="R374" i="16"/>
  <c r="BG302" i="4"/>
  <c r="BF302" i="4"/>
  <c r="BI302" i="4"/>
  <c r="BN302" i="4"/>
  <c r="BM302" i="4"/>
  <c r="BL301" i="4"/>
  <c r="BK301" i="4"/>
  <c r="BJ301" i="4"/>
  <c r="BH303" i="4"/>
  <c r="BE303" i="4"/>
  <c r="BA305" i="4"/>
  <c r="BB304" i="4"/>
  <c r="L10" i="17" l="1"/>
  <c r="K10" i="17"/>
  <c r="J11" i="17"/>
  <c r="G12" i="17"/>
  <c r="AA305" i="16"/>
  <c r="Z305" i="16"/>
  <c r="V305" i="16"/>
  <c r="U306" i="16"/>
  <c r="S374" i="16"/>
  <c r="T374" i="16"/>
  <c r="Y304" i="16"/>
  <c r="X304" i="16"/>
  <c r="W304" i="16"/>
  <c r="R375" i="16"/>
  <c r="O376" i="16"/>
  <c r="BB305" i="4"/>
  <c r="BA306" i="4"/>
  <c r="BL302" i="4"/>
  <c r="BK302" i="4"/>
  <c r="BJ302" i="4"/>
  <c r="BH304" i="4"/>
  <c r="BE304" i="4"/>
  <c r="BG303" i="4"/>
  <c r="BF303" i="4"/>
  <c r="BI303" i="4"/>
  <c r="BN303" i="4"/>
  <c r="BM303" i="4"/>
  <c r="G13" i="17" l="1"/>
  <c r="J12" i="17"/>
  <c r="K11" i="17"/>
  <c r="L11" i="17"/>
  <c r="AA306" i="16"/>
  <c r="Z306" i="16"/>
  <c r="V306" i="16"/>
  <c r="U307" i="16"/>
  <c r="O377" i="16"/>
  <c r="Y305" i="16"/>
  <c r="X305" i="16"/>
  <c r="W305" i="16"/>
  <c r="R376" i="16"/>
  <c r="T375" i="16"/>
  <c r="S375" i="16"/>
  <c r="BI304" i="4"/>
  <c r="BN304" i="4"/>
  <c r="BM304" i="4"/>
  <c r="BG304" i="4"/>
  <c r="BF304" i="4"/>
  <c r="BB306" i="4"/>
  <c r="BA307" i="4"/>
  <c r="BJ303" i="4"/>
  <c r="BL303" i="4"/>
  <c r="BK303" i="4"/>
  <c r="BH305" i="4"/>
  <c r="BE305" i="4"/>
  <c r="K12" i="17" l="1"/>
  <c r="L12" i="17"/>
  <c r="G14" i="17"/>
  <c r="J13" i="17"/>
  <c r="R377" i="16"/>
  <c r="V307" i="16"/>
  <c r="AA307" i="16"/>
  <c r="Z307" i="16"/>
  <c r="U308" i="16"/>
  <c r="Y306" i="16"/>
  <c r="X306" i="16"/>
  <c r="W306" i="16"/>
  <c r="T376" i="16"/>
  <c r="S376" i="16"/>
  <c r="O378" i="16"/>
  <c r="BB307" i="4"/>
  <c r="BA308" i="4"/>
  <c r="BI305" i="4"/>
  <c r="BN305" i="4"/>
  <c r="BM305" i="4"/>
  <c r="BE306" i="4"/>
  <c r="BH306" i="4"/>
  <c r="BG305" i="4"/>
  <c r="BF305" i="4"/>
  <c r="BK304" i="4"/>
  <c r="BJ304" i="4"/>
  <c r="BL304" i="4"/>
  <c r="L13" i="17" l="1"/>
  <c r="K13" i="17"/>
  <c r="G15" i="17"/>
  <c r="J14" i="17"/>
  <c r="V308" i="16"/>
  <c r="AA308" i="16"/>
  <c r="Z308" i="16"/>
  <c r="U309" i="16"/>
  <c r="O379" i="16"/>
  <c r="R378" i="16"/>
  <c r="X307" i="16"/>
  <c r="Y307" i="16"/>
  <c r="W307" i="16"/>
  <c r="T377" i="16"/>
  <c r="S377" i="16"/>
  <c r="BG306" i="4"/>
  <c r="BF306" i="4"/>
  <c r="BL305" i="4"/>
  <c r="BK305" i="4"/>
  <c r="BJ305" i="4"/>
  <c r="BB308" i="4"/>
  <c r="BA309" i="4"/>
  <c r="BM306" i="4"/>
  <c r="BI306" i="4"/>
  <c r="BN306" i="4"/>
  <c r="BE307" i="4"/>
  <c r="BH307" i="4"/>
  <c r="J15" i="17" l="1"/>
  <c r="K14" i="17"/>
  <c r="L14" i="17"/>
  <c r="G16" i="17"/>
  <c r="S378" i="16"/>
  <c r="T378" i="16"/>
  <c r="R379" i="16"/>
  <c r="Z309" i="16"/>
  <c r="AA309" i="16"/>
  <c r="V309" i="16"/>
  <c r="U310" i="16"/>
  <c r="O380" i="16"/>
  <c r="Y308" i="16"/>
  <c r="W308" i="16"/>
  <c r="X308" i="16"/>
  <c r="BA310" i="4"/>
  <c r="BB309" i="4"/>
  <c r="BN307" i="4"/>
  <c r="BM307" i="4"/>
  <c r="BI307" i="4"/>
  <c r="BH308" i="4"/>
  <c r="BE308" i="4"/>
  <c r="BG307" i="4"/>
  <c r="BF307" i="4"/>
  <c r="BL306" i="4"/>
  <c r="BK306" i="4"/>
  <c r="BJ306" i="4"/>
  <c r="J16" i="17" l="1"/>
  <c r="G17" i="17"/>
  <c r="L15" i="17"/>
  <c r="K15" i="17"/>
  <c r="W309" i="16"/>
  <c r="X309" i="16"/>
  <c r="Y309" i="16"/>
  <c r="AA310" i="16"/>
  <c r="V310" i="16"/>
  <c r="Z310" i="16"/>
  <c r="U311" i="16"/>
  <c r="S379" i="16"/>
  <c r="T379" i="16"/>
  <c r="R380" i="16"/>
  <c r="O381" i="16"/>
  <c r="BL307" i="4"/>
  <c r="BK307" i="4"/>
  <c r="BJ307" i="4"/>
  <c r="BI308" i="4"/>
  <c r="BN308" i="4"/>
  <c r="BM308" i="4"/>
  <c r="BG308" i="4"/>
  <c r="BF308" i="4"/>
  <c r="BH309" i="4"/>
  <c r="BE309" i="4"/>
  <c r="BA311" i="4"/>
  <c r="BB310" i="4"/>
  <c r="L16" i="17" l="1"/>
  <c r="K16" i="17"/>
  <c r="J17" i="17"/>
  <c r="G18" i="17"/>
  <c r="O382" i="16"/>
  <c r="AA311" i="16"/>
  <c r="Z311" i="16"/>
  <c r="V311" i="16"/>
  <c r="U312" i="16"/>
  <c r="X310" i="16"/>
  <c r="W310" i="16"/>
  <c r="Y310" i="16"/>
  <c r="S380" i="16"/>
  <c r="T380" i="16"/>
  <c r="R381" i="16"/>
  <c r="BE310" i="4"/>
  <c r="BH310" i="4"/>
  <c r="BL308" i="4"/>
  <c r="BK308" i="4"/>
  <c r="BJ308" i="4"/>
  <c r="BA312" i="4"/>
  <c r="BB311" i="4"/>
  <c r="BF309" i="4"/>
  <c r="BG309" i="4"/>
  <c r="BI309" i="4"/>
  <c r="BN309" i="4"/>
  <c r="BM309" i="4"/>
  <c r="G19" i="17" l="1"/>
  <c r="L17" i="17"/>
  <c r="K17" i="17"/>
  <c r="J18" i="17"/>
  <c r="S381" i="16"/>
  <c r="T381" i="16"/>
  <c r="Y311" i="16"/>
  <c r="X311" i="16"/>
  <c r="W311" i="16"/>
  <c r="Z312" i="16"/>
  <c r="V312" i="16"/>
  <c r="AA312" i="16"/>
  <c r="U313" i="16"/>
  <c r="O383" i="16"/>
  <c r="R382" i="16"/>
  <c r="BH311" i="4"/>
  <c r="BE311" i="4"/>
  <c r="BL309" i="4"/>
  <c r="BK309" i="4"/>
  <c r="BJ309" i="4"/>
  <c r="BN310" i="4"/>
  <c r="BM310" i="4"/>
  <c r="BI310" i="4"/>
  <c r="BB312" i="4"/>
  <c r="BA313" i="4"/>
  <c r="BG310" i="4"/>
  <c r="BF310" i="4"/>
  <c r="L18" i="17" l="1"/>
  <c r="K18" i="17"/>
  <c r="J19" i="17"/>
  <c r="G20" i="17"/>
  <c r="Y312" i="16"/>
  <c r="X312" i="16"/>
  <c r="W312" i="16"/>
  <c r="R383" i="16"/>
  <c r="O384" i="16"/>
  <c r="T382" i="16"/>
  <c r="S382" i="16"/>
  <c r="AA313" i="16"/>
  <c r="V313" i="16"/>
  <c r="Z313" i="16"/>
  <c r="U314" i="16"/>
  <c r="BJ310" i="4"/>
  <c r="BL310" i="4"/>
  <c r="BK310" i="4"/>
  <c r="BA314" i="4"/>
  <c r="BB313" i="4"/>
  <c r="BG311" i="4"/>
  <c r="BF311" i="4"/>
  <c r="BE312" i="4"/>
  <c r="BH312" i="4"/>
  <c r="BI311" i="4"/>
  <c r="BN311" i="4"/>
  <c r="BM311" i="4"/>
  <c r="K19" i="17" l="1"/>
  <c r="L19" i="17"/>
  <c r="J20" i="17"/>
  <c r="G21" i="17"/>
  <c r="O385" i="16"/>
  <c r="V314" i="16"/>
  <c r="Z314" i="16"/>
  <c r="AA314" i="16"/>
  <c r="U315" i="16"/>
  <c r="T383" i="16"/>
  <c r="S383" i="16"/>
  <c r="X313" i="16"/>
  <c r="W313" i="16"/>
  <c r="Y313" i="16"/>
  <c r="R384" i="16"/>
  <c r="BF312" i="4"/>
  <c r="BG312" i="4"/>
  <c r="BA315" i="4"/>
  <c r="BB314" i="4"/>
  <c r="BK311" i="4"/>
  <c r="BL311" i="4"/>
  <c r="BJ311" i="4"/>
  <c r="BE313" i="4"/>
  <c r="BH313" i="4"/>
  <c r="BI312" i="4"/>
  <c r="BN312" i="4"/>
  <c r="BM312" i="4"/>
  <c r="J21" i="17" l="1"/>
  <c r="G22" i="17"/>
  <c r="L20" i="17"/>
  <c r="K20" i="17"/>
  <c r="AA315" i="16"/>
  <c r="Z315" i="16"/>
  <c r="V315" i="16"/>
  <c r="U316" i="16"/>
  <c r="T384" i="16"/>
  <c r="S384" i="16"/>
  <c r="W314" i="16"/>
  <c r="X314" i="16"/>
  <c r="Y314" i="16"/>
  <c r="O386" i="16"/>
  <c r="R385" i="16"/>
  <c r="BE314" i="4"/>
  <c r="BH314" i="4"/>
  <c r="BB315" i="4"/>
  <c r="BA316" i="4"/>
  <c r="BL312" i="4"/>
  <c r="BK312" i="4"/>
  <c r="BJ312" i="4"/>
  <c r="BG313" i="4"/>
  <c r="BF313" i="4"/>
  <c r="BM313" i="4"/>
  <c r="BI313" i="4"/>
  <c r="BN313" i="4"/>
  <c r="L21" i="17" l="1"/>
  <c r="K21" i="17"/>
  <c r="G23" i="17"/>
  <c r="J22" i="17"/>
  <c r="S385" i="16"/>
  <c r="T385" i="16"/>
  <c r="O387" i="16"/>
  <c r="R386" i="16"/>
  <c r="V316" i="16"/>
  <c r="AA316" i="16"/>
  <c r="Z316" i="16"/>
  <c r="U317" i="16"/>
  <c r="X315" i="16"/>
  <c r="Y315" i="16"/>
  <c r="W315" i="16"/>
  <c r="BH315" i="4"/>
  <c r="BE315" i="4"/>
  <c r="BB316" i="4"/>
  <c r="BA317" i="4"/>
  <c r="BN314" i="4"/>
  <c r="BM314" i="4"/>
  <c r="BI314" i="4"/>
  <c r="BJ313" i="4"/>
  <c r="BK313" i="4"/>
  <c r="BL313" i="4"/>
  <c r="BF314" i="4"/>
  <c r="BG314" i="4"/>
  <c r="G24" i="17" l="1"/>
  <c r="J23" i="17"/>
  <c r="L22" i="17"/>
  <c r="K22" i="17"/>
  <c r="Y316" i="16"/>
  <c r="W316" i="16"/>
  <c r="X316" i="16"/>
  <c r="R387" i="16"/>
  <c r="O388" i="16"/>
  <c r="V317" i="16"/>
  <c r="Z317" i="16"/>
  <c r="AA317" i="16"/>
  <c r="U318" i="16"/>
  <c r="S386" i="16"/>
  <c r="T386" i="16"/>
  <c r="BK314" i="4"/>
  <c r="BL314" i="4"/>
  <c r="BJ314" i="4"/>
  <c r="BH316" i="4"/>
  <c r="BE316" i="4"/>
  <c r="BG315" i="4"/>
  <c r="BF315" i="4"/>
  <c r="BB317" i="4"/>
  <c r="BA318" i="4"/>
  <c r="BN315" i="4"/>
  <c r="BM315" i="4"/>
  <c r="BI315" i="4"/>
  <c r="K23" i="17" l="1"/>
  <c r="L23" i="17"/>
  <c r="G25" i="17"/>
  <c r="J24" i="17"/>
  <c r="R388" i="16"/>
  <c r="V318" i="16"/>
  <c r="Z318" i="16"/>
  <c r="AA318" i="16"/>
  <c r="U319" i="16"/>
  <c r="Y317" i="16"/>
  <c r="X317" i="16"/>
  <c r="W317" i="16"/>
  <c r="O389" i="16"/>
  <c r="T387" i="16"/>
  <c r="S387" i="16"/>
  <c r="BH317" i="4"/>
  <c r="BE317" i="4"/>
  <c r="BM316" i="4"/>
  <c r="BI316" i="4"/>
  <c r="BN316" i="4"/>
  <c r="BG316" i="4"/>
  <c r="BF316" i="4"/>
  <c r="BL315" i="4"/>
  <c r="BK315" i="4"/>
  <c r="BJ315" i="4"/>
  <c r="BB318" i="4"/>
  <c r="BA319" i="4"/>
  <c r="L24" i="17" l="1"/>
  <c r="K24" i="17"/>
  <c r="G26" i="17"/>
  <c r="J25" i="17"/>
  <c r="Y318" i="16"/>
  <c r="W318" i="16"/>
  <c r="X318" i="16"/>
  <c r="V319" i="16"/>
  <c r="Z319" i="16"/>
  <c r="AA319" i="16"/>
  <c r="U320" i="16"/>
  <c r="R389" i="16"/>
  <c r="O390" i="16"/>
  <c r="T388" i="16"/>
  <c r="S388" i="16"/>
  <c r="BB319" i="4"/>
  <c r="BA320" i="4"/>
  <c r="BL316" i="4"/>
  <c r="BK316" i="4"/>
  <c r="BJ316" i="4"/>
  <c r="BG317" i="4"/>
  <c r="BF317" i="4"/>
  <c r="BH318" i="4"/>
  <c r="BE318" i="4"/>
  <c r="BM317" i="4"/>
  <c r="BN317" i="4"/>
  <c r="BI317" i="4"/>
  <c r="J26" i="17" l="1"/>
  <c r="G27" i="17"/>
  <c r="K25" i="17"/>
  <c r="L25" i="17"/>
  <c r="V320" i="16"/>
  <c r="AA320" i="16"/>
  <c r="Z320" i="16"/>
  <c r="U321" i="16"/>
  <c r="S389" i="16"/>
  <c r="T389" i="16"/>
  <c r="O391" i="16"/>
  <c r="Y319" i="16"/>
  <c r="W319" i="16"/>
  <c r="X319" i="16"/>
  <c r="R390" i="16"/>
  <c r="BM318" i="4"/>
  <c r="BN318" i="4"/>
  <c r="BI318" i="4"/>
  <c r="BB320" i="4"/>
  <c r="BA321" i="4"/>
  <c r="BL317" i="4"/>
  <c r="BK317" i="4"/>
  <c r="BJ317" i="4"/>
  <c r="BG318" i="4"/>
  <c r="BF318" i="4"/>
  <c r="BH319" i="4"/>
  <c r="BE319" i="4"/>
  <c r="J27" i="17" l="1"/>
  <c r="G28" i="17"/>
  <c r="K26" i="17"/>
  <c r="L26" i="17"/>
  <c r="R391" i="16"/>
  <c r="O392" i="16"/>
  <c r="S390" i="16"/>
  <c r="T390" i="16"/>
  <c r="V321" i="16"/>
  <c r="AA321" i="16"/>
  <c r="Z321" i="16"/>
  <c r="U322" i="16"/>
  <c r="Y320" i="16"/>
  <c r="W320" i="16"/>
  <c r="X320" i="16"/>
  <c r="BB321" i="4"/>
  <c r="BA322" i="4"/>
  <c r="BH320" i="4"/>
  <c r="BE320" i="4"/>
  <c r="BG319" i="4"/>
  <c r="BF319" i="4"/>
  <c r="BL318" i="4"/>
  <c r="BK318" i="4"/>
  <c r="BJ318" i="4"/>
  <c r="BM319" i="4"/>
  <c r="BI319" i="4"/>
  <c r="BN319" i="4"/>
  <c r="J28" i="17" l="1"/>
  <c r="G29" i="17"/>
  <c r="L27" i="17"/>
  <c r="K27" i="17"/>
  <c r="Y321" i="16"/>
  <c r="W321" i="16"/>
  <c r="X321" i="16"/>
  <c r="O393" i="16"/>
  <c r="R392" i="16"/>
  <c r="V322" i="16"/>
  <c r="Z322" i="16"/>
  <c r="AA322" i="16"/>
  <c r="U323" i="16"/>
  <c r="T391" i="16"/>
  <c r="S391" i="16"/>
  <c r="BF320" i="4"/>
  <c r="BG320" i="4"/>
  <c r="BL319" i="4"/>
  <c r="BJ319" i="4"/>
  <c r="BK319" i="4"/>
  <c r="BM320" i="4"/>
  <c r="BN320" i="4"/>
  <c r="BI320" i="4"/>
  <c r="BB322" i="4"/>
  <c r="BA323" i="4"/>
  <c r="BH321" i="4"/>
  <c r="BE321" i="4"/>
  <c r="L28" i="17" l="1"/>
  <c r="K28" i="17"/>
  <c r="G30" i="17"/>
  <c r="J29" i="17"/>
  <c r="R393" i="16"/>
  <c r="O394" i="16"/>
  <c r="T392" i="16"/>
  <c r="S392" i="16"/>
  <c r="Y322" i="16"/>
  <c r="W322" i="16"/>
  <c r="X322" i="16"/>
  <c r="V323" i="16"/>
  <c r="Z323" i="16"/>
  <c r="AA323" i="16"/>
  <c r="U324" i="16"/>
  <c r="BG321" i="4"/>
  <c r="BF321" i="4"/>
  <c r="BL320" i="4"/>
  <c r="BK320" i="4"/>
  <c r="BJ320" i="4"/>
  <c r="BB323" i="4"/>
  <c r="BA324" i="4"/>
  <c r="BM321" i="4"/>
  <c r="BN321" i="4"/>
  <c r="BI321" i="4"/>
  <c r="BH322" i="4"/>
  <c r="BE322" i="4"/>
  <c r="J30" i="17" l="1"/>
  <c r="G31" i="17"/>
  <c r="K29" i="17"/>
  <c r="L29" i="17"/>
  <c r="R394" i="16"/>
  <c r="O395" i="16"/>
  <c r="V324" i="16"/>
  <c r="AA324" i="16"/>
  <c r="Z324" i="16"/>
  <c r="U325" i="16"/>
  <c r="Y323" i="16"/>
  <c r="W323" i="16"/>
  <c r="X323" i="16"/>
  <c r="T393" i="16"/>
  <c r="S393" i="16"/>
  <c r="BB324" i="4"/>
  <c r="BA325" i="4"/>
  <c r="BM322" i="4"/>
  <c r="BI322" i="4"/>
  <c r="BN322" i="4"/>
  <c r="BH323" i="4"/>
  <c r="BE323" i="4"/>
  <c r="BG322" i="4"/>
  <c r="BF322" i="4"/>
  <c r="BL321" i="4"/>
  <c r="BK321" i="4"/>
  <c r="BJ321" i="4"/>
  <c r="G32" i="17" l="1"/>
  <c r="J31" i="17"/>
  <c r="K30" i="17"/>
  <c r="L30" i="17"/>
  <c r="V325" i="16"/>
  <c r="AA325" i="16"/>
  <c r="Z325" i="16"/>
  <c r="U326" i="16"/>
  <c r="Y324" i="16"/>
  <c r="W324" i="16"/>
  <c r="X324" i="16"/>
  <c r="R395" i="16"/>
  <c r="O396" i="16"/>
  <c r="T394" i="16"/>
  <c r="S394" i="16"/>
  <c r="BM323" i="4"/>
  <c r="BN323" i="4"/>
  <c r="BI323" i="4"/>
  <c r="BL322" i="4"/>
  <c r="BK322" i="4"/>
  <c r="BJ322" i="4"/>
  <c r="BG323" i="4"/>
  <c r="BF323" i="4"/>
  <c r="BB325" i="4"/>
  <c r="BA326" i="4"/>
  <c r="BH324" i="4"/>
  <c r="BE324" i="4"/>
  <c r="L31" i="17" l="1"/>
  <c r="K31" i="17"/>
  <c r="G33" i="17"/>
  <c r="J32" i="17"/>
  <c r="T395" i="16"/>
  <c r="S395" i="16"/>
  <c r="V326" i="16"/>
  <c r="Z326" i="16"/>
  <c r="AA326" i="16"/>
  <c r="U327" i="16"/>
  <c r="R396" i="16"/>
  <c r="O397" i="16"/>
  <c r="Y325" i="16"/>
  <c r="W325" i="16"/>
  <c r="X325" i="16"/>
  <c r="BG324" i="4"/>
  <c r="BF324" i="4"/>
  <c r="BM324" i="4"/>
  <c r="BI324" i="4"/>
  <c r="BN324" i="4"/>
  <c r="BB326" i="4"/>
  <c r="BA327" i="4"/>
  <c r="BL323" i="4"/>
  <c r="BK323" i="4"/>
  <c r="BJ323" i="4"/>
  <c r="BH325" i="4"/>
  <c r="BE325" i="4"/>
  <c r="G34" i="17" l="1"/>
  <c r="J33" i="17"/>
  <c r="K32" i="17"/>
  <c r="L32" i="17"/>
  <c r="T396" i="16"/>
  <c r="S396" i="16"/>
  <c r="V327" i="16"/>
  <c r="Z327" i="16"/>
  <c r="AA327" i="16"/>
  <c r="U328" i="16"/>
  <c r="Y326" i="16"/>
  <c r="X326" i="16"/>
  <c r="W326" i="16"/>
  <c r="O398" i="16"/>
  <c r="R397" i="16"/>
  <c r="BG325" i="4"/>
  <c r="BF325" i="4"/>
  <c r="BH326" i="4"/>
  <c r="BE326" i="4"/>
  <c r="BM325" i="4"/>
  <c r="BN325" i="4"/>
  <c r="BI325" i="4"/>
  <c r="BB327" i="4"/>
  <c r="BA328" i="4"/>
  <c r="BL324" i="4"/>
  <c r="BK324" i="4"/>
  <c r="BJ324" i="4"/>
  <c r="K33" i="17" l="1"/>
  <c r="L33" i="17"/>
  <c r="J34" i="17"/>
  <c r="G35" i="17"/>
  <c r="V328" i="16"/>
  <c r="Z328" i="16"/>
  <c r="AA328" i="16"/>
  <c r="U329" i="16"/>
  <c r="S397" i="16"/>
  <c r="T397" i="16"/>
  <c r="Y327" i="16"/>
  <c r="X327" i="16"/>
  <c r="W327" i="16"/>
  <c r="R398" i="16"/>
  <c r="O399" i="16"/>
  <c r="BG326" i="4"/>
  <c r="BF326" i="4"/>
  <c r="BH327" i="4"/>
  <c r="BE327" i="4"/>
  <c r="BM326" i="4"/>
  <c r="BN326" i="4"/>
  <c r="BI326" i="4"/>
  <c r="BL325" i="4"/>
  <c r="BK325" i="4"/>
  <c r="BJ325" i="4"/>
  <c r="BA329" i="4"/>
  <c r="BB328" i="4"/>
  <c r="J35" i="17" l="1"/>
  <c r="K34" i="17"/>
  <c r="L34" i="17"/>
  <c r="G36" i="17"/>
  <c r="R399" i="16"/>
  <c r="Z329" i="16"/>
  <c r="V329" i="16"/>
  <c r="AA329" i="16"/>
  <c r="U330" i="16"/>
  <c r="O400" i="16"/>
  <c r="T398" i="16"/>
  <c r="S398" i="16"/>
  <c r="Y328" i="16"/>
  <c r="W328" i="16"/>
  <c r="X328" i="16"/>
  <c r="BL326" i="4"/>
  <c r="BK326" i="4"/>
  <c r="BJ326" i="4"/>
  <c r="BG327" i="4"/>
  <c r="BF327" i="4"/>
  <c r="BH328" i="4"/>
  <c r="BE328" i="4"/>
  <c r="BM327" i="4"/>
  <c r="BI327" i="4"/>
  <c r="BN327" i="4"/>
  <c r="BB329" i="4"/>
  <c r="BA330" i="4"/>
  <c r="J36" i="17" l="1"/>
  <c r="L35" i="17"/>
  <c r="K35" i="17"/>
  <c r="G37" i="17"/>
  <c r="AA330" i="16"/>
  <c r="V330" i="16"/>
  <c r="Z330" i="16"/>
  <c r="U331" i="16"/>
  <c r="X329" i="16"/>
  <c r="W329" i="16"/>
  <c r="Y329" i="16"/>
  <c r="O401" i="16"/>
  <c r="R400" i="16"/>
  <c r="T399" i="16"/>
  <c r="S399" i="16"/>
  <c r="BB330" i="4"/>
  <c r="BA331" i="4"/>
  <c r="BM328" i="4"/>
  <c r="BN328" i="4"/>
  <c r="BI328" i="4"/>
  <c r="BF328" i="4"/>
  <c r="BG328" i="4"/>
  <c r="BH329" i="4"/>
  <c r="BE329" i="4"/>
  <c r="BL327" i="4"/>
  <c r="BJ327" i="4"/>
  <c r="BK327" i="4"/>
  <c r="G38" i="17" l="1"/>
  <c r="J37" i="17"/>
  <c r="K36" i="17"/>
  <c r="L36" i="17"/>
  <c r="R401" i="16"/>
  <c r="AA331" i="16"/>
  <c r="Z331" i="16"/>
  <c r="V331" i="16"/>
  <c r="U332" i="16"/>
  <c r="T400" i="16"/>
  <c r="S400" i="16"/>
  <c r="Y330" i="16"/>
  <c r="W330" i="16"/>
  <c r="X330" i="16"/>
  <c r="O402" i="16"/>
  <c r="BN329" i="4"/>
  <c r="BI329" i="4"/>
  <c r="BM329" i="4"/>
  <c r="BL328" i="4"/>
  <c r="BK328" i="4"/>
  <c r="BJ328" i="4"/>
  <c r="BB331" i="4"/>
  <c r="BA332" i="4"/>
  <c r="BF329" i="4"/>
  <c r="BG329" i="4"/>
  <c r="BH330" i="4"/>
  <c r="BE330" i="4"/>
  <c r="L37" i="17" l="1"/>
  <c r="K37" i="17"/>
  <c r="G39" i="17"/>
  <c r="J38" i="17"/>
  <c r="Z332" i="16"/>
  <c r="AA332" i="16"/>
  <c r="V332" i="16"/>
  <c r="U333" i="16"/>
  <c r="O403" i="16"/>
  <c r="Y331" i="16"/>
  <c r="X331" i="16"/>
  <c r="W331" i="16"/>
  <c r="R402" i="16"/>
  <c r="T401" i="16"/>
  <c r="S401" i="16"/>
  <c r="BG330" i="4"/>
  <c r="BF330" i="4"/>
  <c r="BH331" i="4"/>
  <c r="BE331" i="4"/>
  <c r="BA333" i="4"/>
  <c r="BB332" i="4"/>
  <c r="BK329" i="4"/>
  <c r="BJ329" i="4"/>
  <c r="BL329" i="4"/>
  <c r="BI330" i="4"/>
  <c r="BN330" i="4"/>
  <c r="BM330" i="4"/>
  <c r="G40" i="17" l="1"/>
  <c r="L38" i="17"/>
  <c r="K38" i="17"/>
  <c r="J39" i="17"/>
  <c r="O404" i="16"/>
  <c r="AA333" i="16"/>
  <c r="Z333" i="16"/>
  <c r="V333" i="16"/>
  <c r="U334" i="16"/>
  <c r="W332" i="16"/>
  <c r="Y332" i="16"/>
  <c r="X332" i="16"/>
  <c r="R403" i="16"/>
  <c r="S402" i="16"/>
  <c r="T402" i="16"/>
  <c r="BH332" i="4"/>
  <c r="BE332" i="4"/>
  <c r="BN331" i="4"/>
  <c r="BM331" i="4"/>
  <c r="BI331" i="4"/>
  <c r="BA334" i="4"/>
  <c r="BB333" i="4"/>
  <c r="BG331" i="4"/>
  <c r="BF331" i="4"/>
  <c r="BL330" i="4"/>
  <c r="BK330" i="4"/>
  <c r="BJ330" i="4"/>
  <c r="K39" i="17" l="1"/>
  <c r="L39" i="17"/>
  <c r="J40" i="17"/>
  <c r="G41" i="17"/>
  <c r="W333" i="16"/>
  <c r="Y333" i="16"/>
  <c r="X333" i="16"/>
  <c r="AA334" i="16"/>
  <c r="Z334" i="16"/>
  <c r="V334" i="16"/>
  <c r="U335" i="16"/>
  <c r="T403" i="16"/>
  <c r="S403" i="16"/>
  <c r="R404" i="16"/>
  <c r="O405" i="16"/>
  <c r="BJ331" i="4"/>
  <c r="BL331" i="4"/>
  <c r="BK331" i="4"/>
  <c r="BB334" i="4"/>
  <c r="BA335" i="4"/>
  <c r="BG332" i="4"/>
  <c r="BF332" i="4"/>
  <c r="BH333" i="4"/>
  <c r="BE333" i="4"/>
  <c r="BM332" i="4"/>
  <c r="BI332" i="4"/>
  <c r="BN332" i="4"/>
  <c r="G42" i="17" l="1"/>
  <c r="K40" i="17"/>
  <c r="L40" i="17"/>
  <c r="J41" i="17"/>
  <c r="V335" i="16"/>
  <c r="AA335" i="16"/>
  <c r="Z335" i="16"/>
  <c r="U336" i="16"/>
  <c r="X334" i="16"/>
  <c r="W334" i="16"/>
  <c r="Y334" i="16"/>
  <c r="O406" i="16"/>
  <c r="R405" i="16"/>
  <c r="T404" i="16"/>
  <c r="S404" i="16"/>
  <c r="BN333" i="4"/>
  <c r="BM333" i="4"/>
  <c r="BI333" i="4"/>
  <c r="BA336" i="4"/>
  <c r="BB335" i="4"/>
  <c r="BL332" i="4"/>
  <c r="BK332" i="4"/>
  <c r="BJ332" i="4"/>
  <c r="BH334" i="4"/>
  <c r="BE334" i="4"/>
  <c r="BF333" i="4"/>
  <c r="BG333" i="4"/>
  <c r="G43" i="17" l="1"/>
  <c r="L41" i="17"/>
  <c r="K41" i="17"/>
  <c r="J42" i="17"/>
  <c r="O407" i="16"/>
  <c r="V336" i="16"/>
  <c r="Z336" i="16"/>
  <c r="AA336" i="16"/>
  <c r="U337" i="16"/>
  <c r="S405" i="16"/>
  <c r="T405" i="16"/>
  <c r="R406" i="16"/>
  <c r="Y335" i="16"/>
  <c r="X335" i="16"/>
  <c r="W335" i="16"/>
  <c r="BH335" i="4"/>
  <c r="BE335" i="4"/>
  <c r="BF334" i="4"/>
  <c r="BG334" i="4"/>
  <c r="BA337" i="4"/>
  <c r="BB336" i="4"/>
  <c r="BK333" i="4"/>
  <c r="BJ333" i="4"/>
  <c r="BL333" i="4"/>
  <c r="BI334" i="4"/>
  <c r="BN334" i="4"/>
  <c r="BM334" i="4"/>
  <c r="L42" i="17" l="1"/>
  <c r="K42" i="17"/>
  <c r="G44" i="17"/>
  <c r="J43" i="17"/>
  <c r="V337" i="16"/>
  <c r="AA337" i="16"/>
  <c r="Z337" i="16"/>
  <c r="U338" i="16"/>
  <c r="W336" i="16"/>
  <c r="X336" i="16"/>
  <c r="Y336" i="16"/>
  <c r="S406" i="16"/>
  <c r="T406" i="16"/>
  <c r="R407" i="16"/>
  <c r="O408" i="16"/>
  <c r="BA338" i="4"/>
  <c r="BB337" i="4"/>
  <c r="BG335" i="4"/>
  <c r="BF335" i="4"/>
  <c r="BH336" i="4"/>
  <c r="BE336" i="4"/>
  <c r="BL334" i="4"/>
  <c r="BK334" i="4"/>
  <c r="BJ334" i="4"/>
  <c r="BI335" i="4"/>
  <c r="BN335" i="4"/>
  <c r="BM335" i="4"/>
  <c r="K43" i="17" l="1"/>
  <c r="L43" i="17"/>
  <c r="J44" i="17"/>
  <c r="G45" i="17"/>
  <c r="O409" i="16"/>
  <c r="T407" i="16"/>
  <c r="S407" i="16"/>
  <c r="AA338" i="16"/>
  <c r="Z338" i="16"/>
  <c r="V338" i="16"/>
  <c r="U339" i="16"/>
  <c r="R408" i="16"/>
  <c r="X337" i="16"/>
  <c r="W337" i="16"/>
  <c r="Y337" i="16"/>
  <c r="BG336" i="4"/>
  <c r="BF336" i="4"/>
  <c r="BM336" i="4"/>
  <c r="BN336" i="4"/>
  <c r="BI336" i="4"/>
  <c r="BJ335" i="4"/>
  <c r="BL335" i="4"/>
  <c r="BK335" i="4"/>
  <c r="BE337" i="4"/>
  <c r="BH337" i="4"/>
  <c r="BB338" i="4"/>
  <c r="BA339" i="4"/>
  <c r="J45" i="17" l="1"/>
  <c r="G46" i="17"/>
  <c r="L44" i="17"/>
  <c r="K44" i="17"/>
  <c r="V339" i="16"/>
  <c r="Z339" i="16"/>
  <c r="AA339" i="16"/>
  <c r="U340" i="16"/>
  <c r="Y338" i="16"/>
  <c r="W338" i="16"/>
  <c r="X338" i="16"/>
  <c r="O410" i="16"/>
  <c r="T408" i="16"/>
  <c r="S408" i="16"/>
  <c r="R409" i="16"/>
  <c r="BA340" i="4"/>
  <c r="BB339" i="4"/>
  <c r="BH338" i="4"/>
  <c r="BE338" i="4"/>
  <c r="BL336" i="4"/>
  <c r="BK336" i="4"/>
  <c r="BJ336" i="4"/>
  <c r="BN337" i="4"/>
  <c r="BM337" i="4"/>
  <c r="BI337" i="4"/>
  <c r="BF337" i="4"/>
  <c r="BG337" i="4"/>
  <c r="G47" i="17" l="1"/>
  <c r="J46" i="17"/>
  <c r="L45" i="17"/>
  <c r="K45" i="17"/>
  <c r="V340" i="16"/>
  <c r="AA340" i="16"/>
  <c r="Z340" i="16"/>
  <c r="U341" i="16"/>
  <c r="O411" i="16"/>
  <c r="S409" i="16"/>
  <c r="T409" i="16"/>
  <c r="R410" i="16"/>
  <c r="Y339" i="16"/>
  <c r="X339" i="16"/>
  <c r="W339" i="16"/>
  <c r="BF338" i="4"/>
  <c r="BG338" i="4"/>
  <c r="BI338" i="4"/>
  <c r="BN338" i="4"/>
  <c r="BM338" i="4"/>
  <c r="BK337" i="4"/>
  <c r="BJ337" i="4"/>
  <c r="BL337" i="4"/>
  <c r="BH339" i="4"/>
  <c r="BE339" i="4"/>
  <c r="BA341" i="4"/>
  <c r="BB340" i="4"/>
  <c r="G48" i="17" l="1"/>
  <c r="L46" i="17"/>
  <c r="K46" i="17"/>
  <c r="J47" i="17"/>
  <c r="R411" i="16"/>
  <c r="O412" i="16"/>
  <c r="W340" i="16"/>
  <c r="Y340" i="16"/>
  <c r="X340" i="16"/>
  <c r="AA341" i="16"/>
  <c r="Z341" i="16"/>
  <c r="V341" i="16"/>
  <c r="U342" i="16"/>
  <c r="S410" i="16"/>
  <c r="T410" i="16"/>
  <c r="BA342" i="4"/>
  <c r="BB341" i="4"/>
  <c r="BL338" i="4"/>
  <c r="BK338" i="4"/>
  <c r="BJ338" i="4"/>
  <c r="BH340" i="4"/>
  <c r="BE340" i="4"/>
  <c r="BG339" i="4"/>
  <c r="BF339" i="4"/>
  <c r="BI339" i="4"/>
  <c r="BN339" i="4"/>
  <c r="BM339" i="4"/>
  <c r="K47" i="17" l="1"/>
  <c r="L47" i="17"/>
  <c r="J48" i="17"/>
  <c r="G49" i="17"/>
  <c r="O413" i="16"/>
  <c r="R412" i="16"/>
  <c r="AA342" i="16"/>
  <c r="Z342" i="16"/>
  <c r="V342" i="16"/>
  <c r="U343" i="16"/>
  <c r="Y341" i="16"/>
  <c r="W341" i="16"/>
  <c r="X341" i="16"/>
  <c r="T411" i="16"/>
  <c r="S411" i="16"/>
  <c r="BG340" i="4"/>
  <c r="BF340" i="4"/>
  <c r="BM340" i="4"/>
  <c r="BN340" i="4"/>
  <c r="BI340" i="4"/>
  <c r="BJ339" i="4"/>
  <c r="BL339" i="4"/>
  <c r="BK339" i="4"/>
  <c r="BE341" i="4"/>
  <c r="BH341" i="4"/>
  <c r="BB342" i="4"/>
  <c r="BA343" i="4"/>
  <c r="J49" i="17" l="1"/>
  <c r="G50" i="17"/>
  <c r="L48" i="17"/>
  <c r="K48" i="17"/>
  <c r="Z343" i="16"/>
  <c r="V343" i="16"/>
  <c r="AA343" i="16"/>
  <c r="U344" i="16"/>
  <c r="X342" i="16"/>
  <c r="W342" i="16"/>
  <c r="Y342" i="16"/>
  <c r="T412" i="16"/>
  <c r="S412" i="16"/>
  <c r="O414" i="16"/>
  <c r="R413" i="16"/>
  <c r="BA344" i="4"/>
  <c r="BB343" i="4"/>
  <c r="BL340" i="4"/>
  <c r="BK340" i="4"/>
  <c r="BJ340" i="4"/>
  <c r="BH342" i="4"/>
  <c r="BE342" i="4"/>
  <c r="BN341" i="4"/>
  <c r="BM341" i="4"/>
  <c r="BI341" i="4"/>
  <c r="BF341" i="4"/>
  <c r="BG341" i="4"/>
  <c r="G51" i="17" l="1"/>
  <c r="J50" i="17"/>
  <c r="L49" i="17"/>
  <c r="K49" i="17"/>
  <c r="S413" i="16"/>
  <c r="T413" i="16"/>
  <c r="V344" i="16"/>
  <c r="Z344" i="16"/>
  <c r="AA344" i="16"/>
  <c r="U345" i="16"/>
  <c r="O415" i="16"/>
  <c r="Y343" i="16"/>
  <c r="X343" i="16"/>
  <c r="W343" i="16"/>
  <c r="R414" i="16"/>
  <c r="BF342" i="4"/>
  <c r="BG342" i="4"/>
  <c r="BI342" i="4"/>
  <c r="BN342" i="4"/>
  <c r="BM342" i="4"/>
  <c r="BK341" i="4"/>
  <c r="BJ341" i="4"/>
  <c r="BL341" i="4"/>
  <c r="BH343" i="4"/>
  <c r="BE343" i="4"/>
  <c r="BA345" i="4"/>
  <c r="BB344" i="4"/>
  <c r="L50" i="17" l="1"/>
  <c r="K50" i="17"/>
  <c r="G52" i="17"/>
  <c r="J51" i="17"/>
  <c r="O416" i="16"/>
  <c r="S414" i="16"/>
  <c r="T414" i="16"/>
  <c r="Z345" i="16"/>
  <c r="AA345" i="16"/>
  <c r="V345" i="16"/>
  <c r="U346" i="16"/>
  <c r="W344" i="16"/>
  <c r="Y344" i="16"/>
  <c r="X344" i="16"/>
  <c r="R415" i="16"/>
  <c r="BA346" i="4"/>
  <c r="BB345" i="4"/>
  <c r="BL342" i="4"/>
  <c r="BK342" i="4"/>
  <c r="BJ342" i="4"/>
  <c r="BG343" i="4"/>
  <c r="BF343" i="4"/>
  <c r="BH344" i="4"/>
  <c r="BE344" i="4"/>
  <c r="BI343" i="4"/>
  <c r="BN343" i="4"/>
  <c r="BM343" i="4"/>
  <c r="K51" i="17" l="1"/>
  <c r="L51" i="17"/>
  <c r="J52" i="17"/>
  <c r="G53" i="17"/>
  <c r="AA346" i="16"/>
  <c r="Z346" i="16"/>
  <c r="V346" i="16"/>
  <c r="U347" i="16"/>
  <c r="X345" i="16"/>
  <c r="W345" i="16"/>
  <c r="Y345" i="16"/>
  <c r="T415" i="16"/>
  <c r="S415" i="16"/>
  <c r="O417" i="16"/>
  <c r="R416" i="16"/>
  <c r="BG344" i="4"/>
  <c r="BF344" i="4"/>
  <c r="BM344" i="4"/>
  <c r="BN344" i="4"/>
  <c r="BI344" i="4"/>
  <c r="BJ343" i="4"/>
  <c r="BL343" i="4"/>
  <c r="BK343" i="4"/>
  <c r="BE345" i="4"/>
  <c r="BH345" i="4"/>
  <c r="BB346" i="4"/>
  <c r="BA347" i="4"/>
  <c r="G54" i="17" l="1"/>
  <c r="J53" i="17"/>
  <c r="L52" i="17"/>
  <c r="K52" i="17"/>
  <c r="S416" i="16"/>
  <c r="T416" i="16"/>
  <c r="V347" i="16"/>
  <c r="Z347" i="16"/>
  <c r="AA347" i="16"/>
  <c r="U348" i="16"/>
  <c r="X346" i="16"/>
  <c r="Y346" i="16"/>
  <c r="W346" i="16"/>
  <c r="R417" i="16"/>
  <c r="O418" i="16"/>
  <c r="BL344" i="4"/>
  <c r="BK344" i="4"/>
  <c r="BJ344" i="4"/>
  <c r="BA348" i="4"/>
  <c r="BB347" i="4"/>
  <c r="BH346" i="4"/>
  <c r="BE346" i="4"/>
  <c r="BN345" i="4"/>
  <c r="BM345" i="4"/>
  <c r="BI345" i="4"/>
  <c r="BF345" i="4"/>
  <c r="BG345" i="4"/>
  <c r="L53" i="17" l="1"/>
  <c r="K53" i="17"/>
  <c r="G55" i="17"/>
  <c r="J54" i="17"/>
  <c r="V348" i="16"/>
  <c r="AA348" i="16"/>
  <c r="Z348" i="16"/>
  <c r="U349" i="16"/>
  <c r="R418" i="16"/>
  <c r="O419" i="16"/>
  <c r="Y347" i="16"/>
  <c r="X347" i="16"/>
  <c r="W347" i="16"/>
  <c r="S417" i="16"/>
  <c r="T417" i="16"/>
  <c r="BF346" i="4"/>
  <c r="BG346" i="4"/>
  <c r="BI346" i="4"/>
  <c r="BN346" i="4"/>
  <c r="BM346" i="4"/>
  <c r="BA349" i="4"/>
  <c r="BB348" i="4"/>
  <c r="BH347" i="4"/>
  <c r="BE347" i="4"/>
  <c r="BK345" i="4"/>
  <c r="BJ345" i="4"/>
  <c r="BL345" i="4"/>
  <c r="L54" i="17" l="1"/>
  <c r="K54" i="17"/>
  <c r="J55" i="17"/>
  <c r="G56" i="17"/>
  <c r="R419" i="16"/>
  <c r="S418" i="16"/>
  <c r="T418" i="16"/>
  <c r="O420" i="16"/>
  <c r="Z349" i="16"/>
  <c r="V349" i="16"/>
  <c r="AA349" i="16"/>
  <c r="U350" i="16"/>
  <c r="W348" i="16"/>
  <c r="Y348" i="16"/>
  <c r="X348" i="16"/>
  <c r="BI347" i="4"/>
  <c r="BN347" i="4"/>
  <c r="BM347" i="4"/>
  <c r="BL346" i="4"/>
  <c r="BK346" i="4"/>
  <c r="BJ346" i="4"/>
  <c r="BH348" i="4"/>
  <c r="BE348" i="4"/>
  <c r="BA350" i="4"/>
  <c r="BB349" i="4"/>
  <c r="BG347" i="4"/>
  <c r="BF347" i="4"/>
  <c r="J56" i="17" l="1"/>
  <c r="G57" i="17"/>
  <c r="L55" i="17"/>
  <c r="K55" i="17"/>
  <c r="O421" i="16"/>
  <c r="Y349" i="16"/>
  <c r="W349" i="16"/>
  <c r="X349" i="16"/>
  <c r="R420" i="16"/>
  <c r="AA350" i="16"/>
  <c r="Z350" i="16"/>
  <c r="V350" i="16"/>
  <c r="U351" i="16"/>
  <c r="T419" i="16"/>
  <c r="S419" i="16"/>
  <c r="BG348" i="4"/>
  <c r="BF348" i="4"/>
  <c r="BM348" i="4"/>
  <c r="BN348" i="4"/>
  <c r="BI348" i="4"/>
  <c r="BE349" i="4"/>
  <c r="BH349" i="4"/>
  <c r="BA351" i="4"/>
  <c r="BB350" i="4"/>
  <c r="BJ347" i="4"/>
  <c r="BL347" i="4"/>
  <c r="BK347" i="4"/>
  <c r="J57" i="17" l="1"/>
  <c r="G58" i="17"/>
  <c r="K56" i="17"/>
  <c r="L56" i="17"/>
  <c r="T420" i="16"/>
  <c r="S420" i="16"/>
  <c r="V351" i="16"/>
  <c r="AA351" i="16"/>
  <c r="Z351" i="16"/>
  <c r="U352" i="16"/>
  <c r="O422" i="16"/>
  <c r="X350" i="16"/>
  <c r="W350" i="16"/>
  <c r="Y350" i="16"/>
  <c r="R421" i="16"/>
  <c r="BA352" i="4"/>
  <c r="BB351" i="4"/>
  <c r="BN349" i="4"/>
  <c r="BM349" i="4"/>
  <c r="BI349" i="4"/>
  <c r="BL348" i="4"/>
  <c r="BK348" i="4"/>
  <c r="BJ348" i="4"/>
  <c r="BG349" i="4"/>
  <c r="BF349" i="4"/>
  <c r="BE350" i="4"/>
  <c r="BH350" i="4"/>
  <c r="K57" i="17" l="1"/>
  <c r="L57" i="17"/>
  <c r="G59" i="17"/>
  <c r="J58" i="17"/>
  <c r="AA352" i="16"/>
  <c r="Z352" i="16"/>
  <c r="V352" i="16"/>
  <c r="U353" i="16"/>
  <c r="W351" i="16"/>
  <c r="Y351" i="16"/>
  <c r="X351" i="16"/>
  <c r="O423" i="16"/>
  <c r="T421" i="16"/>
  <c r="S421" i="16"/>
  <c r="R422" i="16"/>
  <c r="BM350" i="4"/>
  <c r="BN350" i="4"/>
  <c r="BI350" i="4"/>
  <c r="BF350" i="4"/>
  <c r="BG350" i="4"/>
  <c r="BL349" i="4"/>
  <c r="BK349" i="4"/>
  <c r="BJ349" i="4"/>
  <c r="BE351" i="4"/>
  <c r="BH351" i="4"/>
  <c r="BA353" i="4"/>
  <c r="BB352" i="4"/>
  <c r="J59" i="17" l="1"/>
  <c r="G60" i="17"/>
  <c r="L58" i="17"/>
  <c r="K58" i="17"/>
  <c r="O424" i="16"/>
  <c r="T422" i="16"/>
  <c r="S422" i="16"/>
  <c r="V353" i="16"/>
  <c r="AA353" i="16"/>
  <c r="Z353" i="16"/>
  <c r="U354" i="16"/>
  <c r="X352" i="16"/>
  <c r="Y352" i="16"/>
  <c r="W352" i="16"/>
  <c r="R423" i="16"/>
  <c r="BA354" i="4"/>
  <c r="BB353" i="4"/>
  <c r="BE352" i="4"/>
  <c r="BH352" i="4"/>
  <c r="BI351" i="4"/>
  <c r="BM351" i="4"/>
  <c r="BN351" i="4"/>
  <c r="BK350" i="4"/>
  <c r="BL350" i="4"/>
  <c r="BJ350" i="4"/>
  <c r="BG351" i="4"/>
  <c r="BF351" i="4"/>
  <c r="G61" i="17" l="1"/>
  <c r="J60" i="17"/>
  <c r="L59" i="17"/>
  <c r="K59" i="17"/>
  <c r="AA354" i="16"/>
  <c r="Z354" i="16"/>
  <c r="V354" i="16"/>
  <c r="U355" i="16"/>
  <c r="T423" i="16"/>
  <c r="S423" i="16"/>
  <c r="Y353" i="16"/>
  <c r="W353" i="16"/>
  <c r="X353" i="16"/>
  <c r="R424" i="16"/>
  <c r="O425" i="16"/>
  <c r="BK351" i="4"/>
  <c r="BL351" i="4"/>
  <c r="BJ351" i="4"/>
  <c r="BM352" i="4"/>
  <c r="BI352" i="4"/>
  <c r="BN352" i="4"/>
  <c r="BG352" i="4"/>
  <c r="BF352" i="4"/>
  <c r="BE353" i="4"/>
  <c r="BH353" i="4"/>
  <c r="BA355" i="4"/>
  <c r="BB354" i="4"/>
  <c r="J61" i="17" l="1"/>
  <c r="G62" i="17"/>
  <c r="L60" i="17"/>
  <c r="K60" i="17"/>
  <c r="AA355" i="16"/>
  <c r="Z355" i="16"/>
  <c r="V355" i="16"/>
  <c r="U356" i="16"/>
  <c r="R425" i="16"/>
  <c r="T424" i="16"/>
  <c r="S424" i="16"/>
  <c r="W354" i="16"/>
  <c r="Y354" i="16"/>
  <c r="X354" i="16"/>
  <c r="O426" i="16"/>
  <c r="BK352" i="4"/>
  <c r="BJ352" i="4"/>
  <c r="BL352" i="4"/>
  <c r="BE354" i="4"/>
  <c r="BH354" i="4"/>
  <c r="BM353" i="4"/>
  <c r="BI353" i="4"/>
  <c r="BN353" i="4"/>
  <c r="BA356" i="4"/>
  <c r="BB355" i="4"/>
  <c r="BG353" i="4"/>
  <c r="BF353" i="4"/>
  <c r="G63" i="17" l="1"/>
  <c r="J62" i="17"/>
  <c r="K61" i="17"/>
  <c r="L61" i="17"/>
  <c r="T425" i="16"/>
  <c r="S425" i="16"/>
  <c r="AA356" i="16"/>
  <c r="Z356" i="16"/>
  <c r="V356" i="16"/>
  <c r="U357" i="16"/>
  <c r="O427" i="16"/>
  <c r="X355" i="16"/>
  <c r="W355" i="16"/>
  <c r="Y355" i="16"/>
  <c r="R426" i="16"/>
  <c r="BI354" i="4"/>
  <c r="BM354" i="4"/>
  <c r="BN354" i="4"/>
  <c r="BK353" i="4"/>
  <c r="BL353" i="4"/>
  <c r="BJ353" i="4"/>
  <c r="BG354" i="4"/>
  <c r="BF354" i="4"/>
  <c r="BE355" i="4"/>
  <c r="BH355" i="4"/>
  <c r="BA357" i="4"/>
  <c r="BB356" i="4"/>
  <c r="L62" i="17" l="1"/>
  <c r="K62" i="17"/>
  <c r="J63" i="17"/>
  <c r="G64" i="17"/>
  <c r="V357" i="16"/>
  <c r="AA357" i="16"/>
  <c r="Z357" i="16"/>
  <c r="U358" i="16"/>
  <c r="R427" i="16"/>
  <c r="O428" i="16"/>
  <c r="W356" i="16"/>
  <c r="Y356" i="16"/>
  <c r="X356" i="16"/>
  <c r="T426" i="16"/>
  <c r="S426" i="16"/>
  <c r="BE356" i="4"/>
  <c r="BH356" i="4"/>
  <c r="BA358" i="4"/>
  <c r="BB357" i="4"/>
  <c r="BI355" i="4"/>
  <c r="BM355" i="4"/>
  <c r="BN355" i="4"/>
  <c r="BG355" i="4"/>
  <c r="BF355" i="4"/>
  <c r="BK354" i="4"/>
  <c r="BL354" i="4"/>
  <c r="BJ354" i="4"/>
  <c r="J64" i="17" l="1"/>
  <c r="K63" i="17"/>
  <c r="L63" i="17"/>
  <c r="G65" i="17"/>
  <c r="T427" i="16"/>
  <c r="S427" i="16"/>
  <c r="AA358" i="16"/>
  <c r="V358" i="16"/>
  <c r="Z358" i="16"/>
  <c r="U359" i="16"/>
  <c r="R428" i="16"/>
  <c r="O429" i="16"/>
  <c r="Y357" i="16"/>
  <c r="X357" i="16"/>
  <c r="W357" i="16"/>
  <c r="BK355" i="4"/>
  <c r="BL355" i="4"/>
  <c r="BJ355" i="4"/>
  <c r="BE357" i="4"/>
  <c r="BH357" i="4"/>
  <c r="BA359" i="4"/>
  <c r="BB358" i="4"/>
  <c r="BM356" i="4"/>
  <c r="BI356" i="4"/>
  <c r="BN356" i="4"/>
  <c r="BG356" i="4"/>
  <c r="BF356" i="4"/>
  <c r="J65" i="17" l="1"/>
  <c r="K64" i="17"/>
  <c r="L64" i="17"/>
  <c r="G66" i="17"/>
  <c r="AA359" i="16"/>
  <c r="Z359" i="16"/>
  <c r="V359" i="16"/>
  <c r="U360" i="16"/>
  <c r="Y358" i="16"/>
  <c r="X358" i="16"/>
  <c r="W358" i="16"/>
  <c r="S428" i="16"/>
  <c r="T428" i="16"/>
  <c r="R429" i="16"/>
  <c r="O430" i="16"/>
  <c r="BE358" i="4"/>
  <c r="BH358" i="4"/>
  <c r="BM357" i="4"/>
  <c r="BI357" i="4"/>
  <c r="BN357" i="4"/>
  <c r="BG357" i="4"/>
  <c r="BF357" i="4"/>
  <c r="BA360" i="4"/>
  <c r="BB359" i="4"/>
  <c r="BK356" i="4"/>
  <c r="BJ356" i="4"/>
  <c r="BL356" i="4"/>
  <c r="G67" i="17" l="1"/>
  <c r="J66" i="17"/>
  <c r="K65" i="17"/>
  <c r="L65" i="17"/>
  <c r="AA360" i="16"/>
  <c r="Z360" i="16"/>
  <c r="V360" i="16"/>
  <c r="U361" i="16"/>
  <c r="R430" i="16"/>
  <c r="X359" i="16"/>
  <c r="W359" i="16"/>
  <c r="Y359" i="16"/>
  <c r="O431" i="16"/>
  <c r="T429" i="16"/>
  <c r="S429" i="16"/>
  <c r="BB360" i="4"/>
  <c r="BA361" i="4"/>
  <c r="BK357" i="4"/>
  <c r="BL357" i="4"/>
  <c r="BJ357" i="4"/>
  <c r="BI358" i="4"/>
  <c r="BM358" i="4"/>
  <c r="BN358" i="4"/>
  <c r="BE359" i="4"/>
  <c r="BH359" i="4"/>
  <c r="BG358" i="4"/>
  <c r="BF358" i="4"/>
  <c r="G68" i="17" l="1"/>
  <c r="K66" i="17"/>
  <c r="L66" i="17"/>
  <c r="J67" i="17"/>
  <c r="S430" i="16"/>
  <c r="T430" i="16"/>
  <c r="V361" i="16"/>
  <c r="AA361" i="16"/>
  <c r="Z361" i="16"/>
  <c r="U362" i="16"/>
  <c r="R431" i="16"/>
  <c r="O432" i="16"/>
  <c r="W360" i="16"/>
  <c r="Y360" i="16"/>
  <c r="X360" i="16"/>
  <c r="BK358" i="4"/>
  <c r="BL358" i="4"/>
  <c r="BJ358" i="4"/>
  <c r="BA362" i="4"/>
  <c r="BB361" i="4"/>
  <c r="BI359" i="4"/>
  <c r="BM359" i="4"/>
  <c r="BN359" i="4"/>
  <c r="BG359" i="4"/>
  <c r="BF359" i="4"/>
  <c r="BE360" i="4"/>
  <c r="BH360" i="4"/>
  <c r="J68" i="17" l="1"/>
  <c r="G69" i="17"/>
  <c r="K67" i="17"/>
  <c r="L67" i="17"/>
  <c r="AA362" i="16"/>
  <c r="Z362" i="16"/>
  <c r="V362" i="16"/>
  <c r="U363" i="16"/>
  <c r="T431" i="16"/>
  <c r="S431" i="16"/>
  <c r="Y361" i="16"/>
  <c r="W361" i="16"/>
  <c r="X361" i="16"/>
  <c r="O433" i="16"/>
  <c r="R432" i="16"/>
  <c r="BK359" i="4"/>
  <c r="BJ359" i="4"/>
  <c r="BL359" i="4"/>
  <c r="BA363" i="4"/>
  <c r="BB362" i="4"/>
  <c r="BE361" i="4"/>
  <c r="BH361" i="4"/>
  <c r="BM360" i="4"/>
  <c r="BI360" i="4"/>
  <c r="BN360" i="4"/>
  <c r="BG360" i="4"/>
  <c r="BF360" i="4"/>
  <c r="J69" i="17" l="1"/>
  <c r="G70" i="17"/>
  <c r="K68" i="17"/>
  <c r="L68" i="17"/>
  <c r="AA363" i="16"/>
  <c r="Z363" i="16"/>
  <c r="V363" i="16"/>
  <c r="U364" i="16"/>
  <c r="T432" i="16"/>
  <c r="S432" i="16"/>
  <c r="Y362" i="16"/>
  <c r="X362" i="16"/>
  <c r="W362" i="16"/>
  <c r="O434" i="16"/>
  <c r="R433" i="16"/>
  <c r="BN361" i="4"/>
  <c r="BM361" i="4"/>
  <c r="BI361" i="4"/>
  <c r="BH362" i="4"/>
  <c r="BE362" i="4"/>
  <c r="BA364" i="4"/>
  <c r="BB363" i="4"/>
  <c r="BG361" i="4"/>
  <c r="BF361" i="4"/>
  <c r="BL360" i="4"/>
  <c r="BK360" i="4"/>
  <c r="BJ360" i="4"/>
  <c r="J70" i="17" l="1"/>
  <c r="G71" i="17"/>
  <c r="K69" i="17"/>
  <c r="L69" i="17"/>
  <c r="V364" i="16"/>
  <c r="AA364" i="16"/>
  <c r="Z364" i="16"/>
  <c r="U365" i="16"/>
  <c r="T433" i="16"/>
  <c r="S433" i="16"/>
  <c r="Y363" i="16"/>
  <c r="X363" i="16"/>
  <c r="W363" i="16"/>
  <c r="R434" i="16"/>
  <c r="O435" i="16"/>
  <c r="BE363" i="4"/>
  <c r="BH363" i="4"/>
  <c r="BG362" i="4"/>
  <c r="BF362" i="4"/>
  <c r="BB364" i="4"/>
  <c r="BA365" i="4"/>
  <c r="BI362" i="4"/>
  <c r="BM362" i="4"/>
  <c r="BN362" i="4"/>
  <c r="BK361" i="4"/>
  <c r="BJ361" i="4"/>
  <c r="BL361" i="4"/>
  <c r="G72" i="17" l="1"/>
  <c r="J71" i="17"/>
  <c r="K70" i="17"/>
  <c r="L70" i="17"/>
  <c r="V365" i="16"/>
  <c r="AA365" i="16"/>
  <c r="Z365" i="16"/>
  <c r="U366" i="16"/>
  <c r="R435" i="16"/>
  <c r="S434" i="16"/>
  <c r="T434" i="16"/>
  <c r="O436" i="16"/>
  <c r="W364" i="16"/>
  <c r="X364" i="16"/>
  <c r="Y364" i="16"/>
  <c r="BE364" i="4"/>
  <c r="BH364" i="4"/>
  <c r="BK362" i="4"/>
  <c r="BL362" i="4"/>
  <c r="BJ362" i="4"/>
  <c r="BA366" i="4"/>
  <c r="BB365" i="4"/>
  <c r="BI363" i="4"/>
  <c r="BM363" i="4"/>
  <c r="BN363" i="4"/>
  <c r="BG363" i="4"/>
  <c r="BF363" i="4"/>
  <c r="K71" i="17" l="1"/>
  <c r="L71" i="17"/>
  <c r="G73" i="17"/>
  <c r="J72" i="17"/>
  <c r="AA366" i="16"/>
  <c r="V366" i="16"/>
  <c r="Z366" i="16"/>
  <c r="U367" i="16"/>
  <c r="T435" i="16"/>
  <c r="S435" i="16"/>
  <c r="O437" i="16"/>
  <c r="R436" i="16"/>
  <c r="Y365" i="16"/>
  <c r="W365" i="16"/>
  <c r="X365" i="16"/>
  <c r="BK363" i="4"/>
  <c r="BJ363" i="4"/>
  <c r="BL363" i="4"/>
  <c r="BE365" i="4"/>
  <c r="BH365" i="4"/>
  <c r="BA367" i="4"/>
  <c r="BB366" i="4"/>
  <c r="BM364" i="4"/>
  <c r="BI364" i="4"/>
  <c r="BN364" i="4"/>
  <c r="BG364" i="4"/>
  <c r="BF364" i="4"/>
  <c r="J73" i="17" l="1"/>
  <c r="G74" i="17"/>
  <c r="K72" i="17"/>
  <c r="L72" i="17"/>
  <c r="O438" i="16"/>
  <c r="Y366" i="16"/>
  <c r="X366" i="16"/>
  <c r="W366" i="16"/>
  <c r="R437" i="16"/>
  <c r="AA367" i="16"/>
  <c r="Z367" i="16"/>
  <c r="V367" i="16"/>
  <c r="U368" i="16"/>
  <c r="S436" i="16"/>
  <c r="T436" i="16"/>
  <c r="BA368" i="4"/>
  <c r="BB367" i="4"/>
  <c r="BH366" i="4"/>
  <c r="BE366" i="4"/>
  <c r="BN365" i="4"/>
  <c r="BM365" i="4"/>
  <c r="BI365" i="4"/>
  <c r="BG365" i="4"/>
  <c r="BF365" i="4"/>
  <c r="BL364" i="4"/>
  <c r="BK364" i="4"/>
  <c r="BJ364" i="4"/>
  <c r="J74" i="17" l="1"/>
  <c r="G75" i="17"/>
  <c r="M4" i="17"/>
  <c r="K73" i="17"/>
  <c r="L73" i="17"/>
  <c r="T437" i="16"/>
  <c r="S437" i="16"/>
  <c r="V368" i="16"/>
  <c r="AA368" i="16"/>
  <c r="Z368" i="16"/>
  <c r="U369" i="16"/>
  <c r="O439" i="16"/>
  <c r="Y367" i="16"/>
  <c r="X367" i="16"/>
  <c r="W367" i="16"/>
  <c r="R438" i="16"/>
  <c r="BK365" i="4"/>
  <c r="BL365" i="4"/>
  <c r="BJ365" i="4"/>
  <c r="BG366" i="4"/>
  <c r="BF366" i="4"/>
  <c r="BI366" i="4"/>
  <c r="BM366" i="4"/>
  <c r="BN366" i="4"/>
  <c r="BE367" i="4"/>
  <c r="BH367" i="4"/>
  <c r="BB368" i="4"/>
  <c r="BA369" i="4"/>
  <c r="S4" i="17" l="1"/>
  <c r="R4" i="17"/>
  <c r="N4" i="17"/>
  <c r="M5" i="17"/>
  <c r="J75" i="17"/>
  <c r="G76" i="17"/>
  <c r="K74" i="17"/>
  <c r="L74" i="17"/>
  <c r="O440" i="16"/>
  <c r="Z369" i="16"/>
  <c r="V369" i="16"/>
  <c r="AA369" i="16"/>
  <c r="U370" i="16"/>
  <c r="Y368" i="16"/>
  <c r="X368" i="16"/>
  <c r="W368" i="16"/>
  <c r="R439" i="16"/>
  <c r="S438" i="16"/>
  <c r="T438" i="16"/>
  <c r="BK366" i="4"/>
  <c r="BL366" i="4"/>
  <c r="BJ366" i="4"/>
  <c r="BB369" i="4"/>
  <c r="BA370" i="4"/>
  <c r="BI367" i="4"/>
  <c r="BM367" i="4"/>
  <c r="BN367" i="4"/>
  <c r="BH368" i="4"/>
  <c r="BE368" i="4"/>
  <c r="BG367" i="4"/>
  <c r="BF367" i="4"/>
  <c r="R5" i="17" l="1"/>
  <c r="N5" i="17"/>
  <c r="S5" i="17"/>
  <c r="M6" i="17"/>
  <c r="Q4" i="17"/>
  <c r="P4" i="17"/>
  <c r="O4" i="17"/>
  <c r="G77" i="17"/>
  <c r="K75" i="17"/>
  <c r="L75" i="17"/>
  <c r="J76" i="17"/>
  <c r="X369" i="16"/>
  <c r="W369" i="16"/>
  <c r="Y369" i="16"/>
  <c r="O441" i="16"/>
  <c r="V370" i="16"/>
  <c r="AA370" i="16"/>
  <c r="Z370" i="16"/>
  <c r="U371" i="16"/>
  <c r="T439" i="16"/>
  <c r="S439" i="16"/>
  <c r="R440" i="16"/>
  <c r="BB370" i="4"/>
  <c r="BA371" i="4"/>
  <c r="BE369" i="4"/>
  <c r="BH369" i="4"/>
  <c r="BK367" i="4"/>
  <c r="BJ367" i="4"/>
  <c r="BL367" i="4"/>
  <c r="BF368" i="4"/>
  <c r="BG368" i="4"/>
  <c r="BN368" i="4"/>
  <c r="BM368" i="4"/>
  <c r="BI368" i="4"/>
  <c r="G78" i="17" l="1"/>
  <c r="K76" i="17"/>
  <c r="L76" i="17"/>
  <c r="N6" i="17"/>
  <c r="R6" i="17"/>
  <c r="S6" i="17"/>
  <c r="M7" i="17"/>
  <c r="Q5" i="17"/>
  <c r="P5" i="17"/>
  <c r="O5" i="17"/>
  <c r="J77" i="17"/>
  <c r="X370" i="16"/>
  <c r="Y370" i="16"/>
  <c r="W370" i="16"/>
  <c r="R441" i="16"/>
  <c r="O442" i="16"/>
  <c r="V371" i="16"/>
  <c r="AA371" i="16"/>
  <c r="Z371" i="16"/>
  <c r="U372" i="16"/>
  <c r="S440" i="16"/>
  <c r="T440" i="16"/>
  <c r="BM369" i="4"/>
  <c r="BI369" i="4"/>
  <c r="BN369" i="4"/>
  <c r="BG369" i="4"/>
  <c r="BF369" i="4"/>
  <c r="BB371" i="4"/>
  <c r="BA372" i="4"/>
  <c r="BL368" i="4"/>
  <c r="BK368" i="4"/>
  <c r="BJ368" i="4"/>
  <c r="BE370" i="4"/>
  <c r="BH370" i="4"/>
  <c r="Q6" i="17" l="1"/>
  <c r="P6" i="17"/>
  <c r="O6" i="17"/>
  <c r="K77" i="17"/>
  <c r="L77" i="17"/>
  <c r="N7" i="17"/>
  <c r="S7" i="17"/>
  <c r="R7" i="17"/>
  <c r="M8" i="17"/>
  <c r="G79" i="17"/>
  <c r="J78" i="17"/>
  <c r="R442" i="16"/>
  <c r="S441" i="16"/>
  <c r="T441" i="16"/>
  <c r="O443" i="16"/>
  <c r="Z372" i="16"/>
  <c r="AA372" i="16"/>
  <c r="V372" i="16"/>
  <c r="U373" i="16"/>
  <c r="Y371" i="16"/>
  <c r="X371" i="16"/>
  <c r="W371" i="16"/>
  <c r="BB372" i="4"/>
  <c r="BA373" i="4"/>
  <c r="BN370" i="4"/>
  <c r="BM370" i="4"/>
  <c r="BI370" i="4"/>
  <c r="BF370" i="4"/>
  <c r="BG370" i="4"/>
  <c r="BL369" i="4"/>
  <c r="BK369" i="4"/>
  <c r="BJ369" i="4"/>
  <c r="BE371" i="4"/>
  <c r="BH371" i="4"/>
  <c r="O7" i="17" l="1"/>
  <c r="Q7" i="17"/>
  <c r="P7" i="17"/>
  <c r="L78" i="17"/>
  <c r="K78" i="17"/>
  <c r="J79" i="17"/>
  <c r="G80" i="17"/>
  <c r="S8" i="17"/>
  <c r="R8" i="17"/>
  <c r="N8" i="17"/>
  <c r="M9" i="17"/>
  <c r="O444" i="16"/>
  <c r="R443" i="16"/>
  <c r="AA373" i="16"/>
  <c r="Z373" i="16"/>
  <c r="V373" i="16"/>
  <c r="U374" i="16"/>
  <c r="W372" i="16"/>
  <c r="X372" i="16"/>
  <c r="Y372" i="16"/>
  <c r="S442" i="16"/>
  <c r="T442" i="16"/>
  <c r="BL370" i="4"/>
  <c r="BJ370" i="4"/>
  <c r="BK370" i="4"/>
  <c r="BN371" i="4"/>
  <c r="BM371" i="4"/>
  <c r="BI371" i="4"/>
  <c r="BG371" i="4"/>
  <c r="BF371" i="4"/>
  <c r="BA374" i="4"/>
  <c r="BB373" i="4"/>
  <c r="BH372" i="4"/>
  <c r="BE372" i="4"/>
  <c r="S9" i="17" l="1"/>
  <c r="N9" i="17"/>
  <c r="R9" i="17"/>
  <c r="M10" i="17"/>
  <c r="P8" i="17"/>
  <c r="O8" i="17"/>
  <c r="Q8" i="17"/>
  <c r="J80" i="17"/>
  <c r="L79" i="17"/>
  <c r="K79" i="17"/>
  <c r="G81" i="17"/>
  <c r="X373" i="16"/>
  <c r="Y373" i="16"/>
  <c r="W373" i="16"/>
  <c r="T443" i="16"/>
  <c r="S443" i="16"/>
  <c r="Z374" i="16"/>
  <c r="V374" i="16"/>
  <c r="AA374" i="16"/>
  <c r="U375" i="16"/>
  <c r="R444" i="16"/>
  <c r="O445" i="16"/>
  <c r="BK371" i="4"/>
  <c r="BJ371" i="4"/>
  <c r="BL371" i="4"/>
  <c r="BG372" i="4"/>
  <c r="BF372" i="4"/>
  <c r="BN372" i="4"/>
  <c r="BI372" i="4"/>
  <c r="BM372" i="4"/>
  <c r="BH373" i="4"/>
  <c r="BE373" i="4"/>
  <c r="BA375" i="4"/>
  <c r="BB374" i="4"/>
  <c r="L80" i="17" l="1"/>
  <c r="K80" i="17"/>
  <c r="J81" i="17"/>
  <c r="R10" i="17"/>
  <c r="N10" i="17"/>
  <c r="S10" i="17"/>
  <c r="M11" i="17"/>
  <c r="G82" i="17"/>
  <c r="Q9" i="17"/>
  <c r="P9" i="17"/>
  <c r="O9" i="17"/>
  <c r="R445" i="16"/>
  <c r="Y374" i="16"/>
  <c r="W374" i="16"/>
  <c r="X374" i="16"/>
  <c r="O446" i="16"/>
  <c r="S444" i="16"/>
  <c r="T444" i="16"/>
  <c r="Z375" i="16"/>
  <c r="V375" i="16"/>
  <c r="AA375" i="16"/>
  <c r="U376" i="16"/>
  <c r="BH374" i="4"/>
  <c r="BE374" i="4"/>
  <c r="BL372" i="4"/>
  <c r="BJ372" i="4"/>
  <c r="BK372" i="4"/>
  <c r="BA376" i="4"/>
  <c r="BB375" i="4"/>
  <c r="BG373" i="4"/>
  <c r="BF373" i="4"/>
  <c r="BI373" i="4"/>
  <c r="BM373" i="4"/>
  <c r="BN373" i="4"/>
  <c r="Q10" i="17" l="1"/>
  <c r="P10" i="17"/>
  <c r="O10" i="17"/>
  <c r="S11" i="17"/>
  <c r="R11" i="17"/>
  <c r="N11" i="17"/>
  <c r="M12" i="17"/>
  <c r="K81" i="17"/>
  <c r="L81" i="17"/>
  <c r="G83" i="17"/>
  <c r="J82" i="17"/>
  <c r="O447" i="16"/>
  <c r="Z376" i="16"/>
  <c r="AA376" i="16"/>
  <c r="V376" i="16"/>
  <c r="U377" i="16"/>
  <c r="X375" i="16"/>
  <c r="Y375" i="16"/>
  <c r="W375" i="16"/>
  <c r="S445" i="16"/>
  <c r="T445" i="16"/>
  <c r="R446" i="16"/>
  <c r="BE375" i="4"/>
  <c r="BH375" i="4"/>
  <c r="BA377" i="4"/>
  <c r="BB376" i="4"/>
  <c r="BF374" i="4"/>
  <c r="BG374" i="4"/>
  <c r="BK373" i="4"/>
  <c r="BL373" i="4"/>
  <c r="BJ373" i="4"/>
  <c r="BI374" i="4"/>
  <c r="BN374" i="4"/>
  <c r="BM374" i="4"/>
  <c r="S12" i="17" l="1"/>
  <c r="R12" i="17"/>
  <c r="N12" i="17"/>
  <c r="M13" i="17"/>
  <c r="Q11" i="17"/>
  <c r="P11" i="17"/>
  <c r="O11" i="17"/>
  <c r="L82" i="17"/>
  <c r="K82" i="17"/>
  <c r="G84" i="17"/>
  <c r="J83" i="17"/>
  <c r="Z377" i="16"/>
  <c r="V377" i="16"/>
  <c r="AA377" i="16"/>
  <c r="U378" i="16"/>
  <c r="T446" i="16"/>
  <c r="S446" i="16"/>
  <c r="X376" i="16"/>
  <c r="W376" i="16"/>
  <c r="Y376" i="16"/>
  <c r="R447" i="16"/>
  <c r="O448" i="16"/>
  <c r="BE376" i="4"/>
  <c r="BH376" i="4"/>
  <c r="BB377" i="4"/>
  <c r="BA378" i="4"/>
  <c r="BI375" i="4"/>
  <c r="BM375" i="4"/>
  <c r="BN375" i="4"/>
  <c r="BJ374" i="4"/>
  <c r="BL374" i="4"/>
  <c r="BK374" i="4"/>
  <c r="BG375" i="4"/>
  <c r="BF375" i="4"/>
  <c r="L83" i="17" l="1"/>
  <c r="K83" i="17"/>
  <c r="S13" i="17"/>
  <c r="R13" i="17"/>
  <c r="N13" i="17"/>
  <c r="M14" i="17"/>
  <c r="J84" i="17"/>
  <c r="Q12" i="17"/>
  <c r="P12" i="17"/>
  <c r="O12" i="17"/>
  <c r="G85" i="17"/>
  <c r="Z378" i="16"/>
  <c r="V378" i="16"/>
  <c r="AA378" i="16"/>
  <c r="U379" i="16"/>
  <c r="R448" i="16"/>
  <c r="T447" i="16"/>
  <c r="S447" i="16"/>
  <c r="X377" i="16"/>
  <c r="W377" i="16"/>
  <c r="Y377" i="16"/>
  <c r="O449" i="16"/>
  <c r="BB378" i="4"/>
  <c r="BA379" i="4"/>
  <c r="BK375" i="4"/>
  <c r="BJ375" i="4"/>
  <c r="BL375" i="4"/>
  <c r="BE377" i="4"/>
  <c r="BH377" i="4"/>
  <c r="BI376" i="4"/>
  <c r="BM376" i="4"/>
  <c r="BN376" i="4"/>
  <c r="BG376" i="4"/>
  <c r="BF376" i="4"/>
  <c r="S14" i="17" l="1"/>
  <c r="R14" i="17"/>
  <c r="N14" i="17"/>
  <c r="M15" i="17"/>
  <c r="P13" i="17"/>
  <c r="O13" i="17"/>
  <c r="Q13" i="17"/>
  <c r="G86" i="17"/>
  <c r="J85" i="17"/>
  <c r="K84" i="17"/>
  <c r="L84" i="17"/>
  <c r="Z379" i="16"/>
  <c r="AA379" i="16"/>
  <c r="V379" i="16"/>
  <c r="U380" i="16"/>
  <c r="R449" i="16"/>
  <c r="S448" i="16"/>
  <c r="T448" i="16"/>
  <c r="Y378" i="16"/>
  <c r="W378" i="16"/>
  <c r="X378" i="16"/>
  <c r="O450" i="16"/>
  <c r="BI377" i="4"/>
  <c r="BM377" i="4"/>
  <c r="BN377" i="4"/>
  <c r="BB379" i="4"/>
  <c r="BA380" i="4"/>
  <c r="BK376" i="4"/>
  <c r="BJ376" i="4"/>
  <c r="BL376" i="4"/>
  <c r="BG377" i="4"/>
  <c r="BF377" i="4"/>
  <c r="BH378" i="4"/>
  <c r="BE378" i="4"/>
  <c r="S15" i="17" l="1"/>
  <c r="R15" i="17"/>
  <c r="N15" i="17"/>
  <c r="M16" i="17"/>
  <c r="L85" i="17"/>
  <c r="K85" i="17"/>
  <c r="Q14" i="17"/>
  <c r="P14" i="17"/>
  <c r="O14" i="17"/>
  <c r="G87" i="17"/>
  <c r="J86" i="17"/>
  <c r="T449" i="16"/>
  <c r="S449" i="16"/>
  <c r="O451" i="16"/>
  <c r="R450" i="16"/>
  <c r="W379" i="16"/>
  <c r="Y379" i="16"/>
  <c r="X379" i="16"/>
  <c r="V380" i="16"/>
  <c r="AA380" i="16"/>
  <c r="Z380" i="16"/>
  <c r="U381" i="16"/>
  <c r="BA381" i="4"/>
  <c r="BB380" i="4"/>
  <c r="BH379" i="4"/>
  <c r="BE379" i="4"/>
  <c r="BF378" i="4"/>
  <c r="BG378" i="4"/>
  <c r="BI378" i="4"/>
  <c r="BN378" i="4"/>
  <c r="BM378" i="4"/>
  <c r="BK377" i="4"/>
  <c r="BJ377" i="4"/>
  <c r="BL377" i="4"/>
  <c r="L86" i="17" l="1"/>
  <c r="K86" i="17"/>
  <c r="N16" i="17"/>
  <c r="R16" i="17"/>
  <c r="S16" i="17"/>
  <c r="M17" i="17"/>
  <c r="J87" i="17"/>
  <c r="Q15" i="17"/>
  <c r="P15" i="17"/>
  <c r="O15" i="17"/>
  <c r="G88" i="17"/>
  <c r="T450" i="16"/>
  <c r="S450" i="16"/>
  <c r="O452" i="16"/>
  <c r="R451" i="16"/>
  <c r="AA381" i="16"/>
  <c r="V381" i="16"/>
  <c r="Z381" i="16"/>
  <c r="U382" i="16"/>
  <c r="X380" i="16"/>
  <c r="Y380" i="16"/>
  <c r="W380" i="16"/>
  <c r="BJ378" i="4"/>
  <c r="BL378" i="4"/>
  <c r="BK378" i="4"/>
  <c r="BG379" i="4"/>
  <c r="BF379" i="4"/>
  <c r="BN379" i="4"/>
  <c r="BM379" i="4"/>
  <c r="BI379" i="4"/>
  <c r="BE380" i="4"/>
  <c r="BH380" i="4"/>
  <c r="BB381" i="4"/>
  <c r="BA382" i="4"/>
  <c r="N17" i="17" l="1"/>
  <c r="S17" i="17"/>
  <c r="R17" i="17"/>
  <c r="M18" i="17"/>
  <c r="G89" i="17"/>
  <c r="J88" i="17"/>
  <c r="L87" i="17"/>
  <c r="K87" i="17"/>
  <c r="P16" i="17"/>
  <c r="O16" i="17"/>
  <c r="Q16" i="17"/>
  <c r="S451" i="16"/>
  <c r="T451" i="16"/>
  <c r="O453" i="16"/>
  <c r="R452" i="16"/>
  <c r="X381" i="16"/>
  <c r="Y381" i="16"/>
  <c r="W381" i="16"/>
  <c r="AA382" i="16"/>
  <c r="Z382" i="16"/>
  <c r="V382" i="16"/>
  <c r="U383" i="16"/>
  <c r="BL379" i="4"/>
  <c r="BJ379" i="4"/>
  <c r="BK379" i="4"/>
  <c r="BB382" i="4"/>
  <c r="BA383" i="4"/>
  <c r="BN380" i="4"/>
  <c r="BM380" i="4"/>
  <c r="BI380" i="4"/>
  <c r="BH381" i="4"/>
  <c r="BE381" i="4"/>
  <c r="BF380" i="4"/>
  <c r="BG380" i="4"/>
  <c r="J89" i="17" l="1"/>
  <c r="G90" i="17"/>
  <c r="R18" i="17"/>
  <c r="S18" i="17"/>
  <c r="N18" i="17"/>
  <c r="M19" i="17"/>
  <c r="L88" i="17"/>
  <c r="K88" i="17"/>
  <c r="P17" i="17"/>
  <c r="O17" i="17"/>
  <c r="Q17" i="17"/>
  <c r="T452" i="16"/>
  <c r="S452" i="16"/>
  <c r="O454" i="16"/>
  <c r="R453" i="16"/>
  <c r="Y382" i="16"/>
  <c r="X382" i="16"/>
  <c r="W382" i="16"/>
  <c r="AA383" i="16"/>
  <c r="Z383" i="16"/>
  <c r="V383" i="16"/>
  <c r="U384" i="16"/>
  <c r="BH382" i="4"/>
  <c r="BE382" i="4"/>
  <c r="BL380" i="4"/>
  <c r="BJ380" i="4"/>
  <c r="BK380" i="4"/>
  <c r="BB383" i="4"/>
  <c r="BA384" i="4"/>
  <c r="BF381" i="4"/>
  <c r="BG381" i="4"/>
  <c r="BN381" i="4"/>
  <c r="BM381" i="4"/>
  <c r="BI381" i="4"/>
  <c r="Q18" i="17" l="1"/>
  <c r="P18" i="17"/>
  <c r="O18" i="17"/>
  <c r="G91" i="17"/>
  <c r="J90" i="17"/>
  <c r="R19" i="17"/>
  <c r="N19" i="17"/>
  <c r="S19" i="17"/>
  <c r="M20" i="17"/>
  <c r="K89" i="17"/>
  <c r="L89" i="17"/>
  <c r="T453" i="16"/>
  <c r="S453" i="16"/>
  <c r="V384" i="16"/>
  <c r="AA384" i="16"/>
  <c r="Z384" i="16"/>
  <c r="U385" i="16"/>
  <c r="R454" i="16"/>
  <c r="O455" i="16"/>
  <c r="W383" i="16"/>
  <c r="Y383" i="16"/>
  <c r="X383" i="16"/>
  <c r="BA385" i="4"/>
  <c r="BB384" i="4"/>
  <c r="BL381" i="4"/>
  <c r="BK381" i="4"/>
  <c r="BJ381" i="4"/>
  <c r="BH383" i="4"/>
  <c r="BE383" i="4"/>
  <c r="BF382" i="4"/>
  <c r="BG382" i="4"/>
  <c r="BI382" i="4"/>
  <c r="BN382" i="4"/>
  <c r="BM382" i="4"/>
  <c r="L90" i="17" l="1"/>
  <c r="K90" i="17"/>
  <c r="G92" i="17"/>
  <c r="J91" i="17"/>
  <c r="N20" i="17"/>
  <c r="S20" i="17"/>
  <c r="R20" i="17"/>
  <c r="M21" i="17"/>
  <c r="P19" i="17"/>
  <c r="O19" i="17"/>
  <c r="Q19" i="17"/>
  <c r="AA385" i="16"/>
  <c r="V385" i="16"/>
  <c r="Z385" i="16"/>
  <c r="U386" i="16"/>
  <c r="T454" i="16"/>
  <c r="S454" i="16"/>
  <c r="W384" i="16"/>
  <c r="Y384" i="16"/>
  <c r="X384" i="16"/>
  <c r="R455" i="16"/>
  <c r="O456" i="16"/>
  <c r="BG383" i="4"/>
  <c r="BF383" i="4"/>
  <c r="BN383" i="4"/>
  <c r="BI383" i="4"/>
  <c r="BM383" i="4"/>
  <c r="BJ382" i="4"/>
  <c r="BL382" i="4"/>
  <c r="BK382" i="4"/>
  <c r="BE384" i="4"/>
  <c r="BH384" i="4"/>
  <c r="BB385" i="4"/>
  <c r="BA386" i="4"/>
  <c r="P20" i="17" l="1"/>
  <c r="Q20" i="17"/>
  <c r="O20" i="17"/>
  <c r="K91" i="17"/>
  <c r="L91" i="17"/>
  <c r="J92" i="17"/>
  <c r="G93" i="17"/>
  <c r="N21" i="17"/>
  <c r="S21" i="17"/>
  <c r="R21" i="17"/>
  <c r="M22" i="17"/>
  <c r="Z386" i="16"/>
  <c r="V386" i="16"/>
  <c r="AA386" i="16"/>
  <c r="U387" i="16"/>
  <c r="T455" i="16"/>
  <c r="S455" i="16"/>
  <c r="Y385" i="16"/>
  <c r="W385" i="16"/>
  <c r="X385" i="16"/>
  <c r="O457" i="16"/>
  <c r="R456" i="16"/>
  <c r="BL383" i="4"/>
  <c r="BJ383" i="4"/>
  <c r="BK383" i="4"/>
  <c r="BH385" i="4"/>
  <c r="BE385" i="4"/>
  <c r="BA387" i="4"/>
  <c r="BB386" i="4"/>
  <c r="BN384" i="4"/>
  <c r="BM384" i="4"/>
  <c r="BI384" i="4"/>
  <c r="BF384" i="4"/>
  <c r="BG384" i="4"/>
  <c r="J93" i="17" l="1"/>
  <c r="L92" i="17"/>
  <c r="K92" i="17"/>
  <c r="R22" i="17"/>
  <c r="S22" i="17"/>
  <c r="N22" i="17"/>
  <c r="M23" i="17"/>
  <c r="G94" i="17"/>
  <c r="Q21" i="17"/>
  <c r="P21" i="17"/>
  <c r="O21" i="17"/>
  <c r="AA387" i="16"/>
  <c r="Z387" i="16"/>
  <c r="V387" i="16"/>
  <c r="U388" i="16"/>
  <c r="T456" i="16"/>
  <c r="S456" i="16"/>
  <c r="O458" i="16"/>
  <c r="Y386" i="16"/>
  <c r="X386" i="16"/>
  <c r="W386" i="16"/>
  <c r="R457" i="16"/>
  <c r="BB387" i="4"/>
  <c r="BA388" i="4"/>
  <c r="BN385" i="4"/>
  <c r="BM385" i="4"/>
  <c r="BI385" i="4"/>
  <c r="BH386" i="4"/>
  <c r="BE386" i="4"/>
  <c r="BL384" i="4"/>
  <c r="BJ384" i="4"/>
  <c r="BK384" i="4"/>
  <c r="BF385" i="4"/>
  <c r="BG385" i="4"/>
  <c r="Q22" i="17" l="1"/>
  <c r="P22" i="17"/>
  <c r="O22" i="17"/>
  <c r="S23" i="17"/>
  <c r="R23" i="17"/>
  <c r="N23" i="17"/>
  <c r="M24" i="17"/>
  <c r="J94" i="17"/>
  <c r="L93" i="17"/>
  <c r="K93" i="17"/>
  <c r="G95" i="17"/>
  <c r="O459" i="16"/>
  <c r="S457" i="16"/>
  <c r="T457" i="16"/>
  <c r="V388" i="16"/>
  <c r="Z388" i="16"/>
  <c r="AA388" i="16"/>
  <c r="U389" i="16"/>
  <c r="Y387" i="16"/>
  <c r="X387" i="16"/>
  <c r="W387" i="16"/>
  <c r="R458" i="16"/>
  <c r="BF386" i="4"/>
  <c r="BG386" i="4"/>
  <c r="BL385" i="4"/>
  <c r="BK385" i="4"/>
  <c r="BJ385" i="4"/>
  <c r="BI386" i="4"/>
  <c r="BN386" i="4"/>
  <c r="BM386" i="4"/>
  <c r="BB388" i="4"/>
  <c r="BA389" i="4"/>
  <c r="BE387" i="4"/>
  <c r="BH387" i="4"/>
  <c r="N24" i="17" l="1"/>
  <c r="S24" i="17"/>
  <c r="R24" i="17"/>
  <c r="M25" i="17"/>
  <c r="O23" i="17"/>
  <c r="Q23" i="17"/>
  <c r="P23" i="17"/>
  <c r="J95" i="17"/>
  <c r="G96" i="17"/>
  <c r="L94" i="17"/>
  <c r="K94" i="17"/>
  <c r="AA389" i="16"/>
  <c r="V389" i="16"/>
  <c r="Z389" i="16"/>
  <c r="U390" i="16"/>
  <c r="Y388" i="16"/>
  <c r="X388" i="16"/>
  <c r="W388" i="16"/>
  <c r="T458" i="16"/>
  <c r="S458" i="16"/>
  <c r="O460" i="16"/>
  <c r="R459" i="16"/>
  <c r="BJ386" i="4"/>
  <c r="BL386" i="4"/>
  <c r="BK386" i="4"/>
  <c r="BG387" i="4"/>
  <c r="BF387" i="4"/>
  <c r="BM387" i="4"/>
  <c r="BN387" i="4"/>
  <c r="BI387" i="4"/>
  <c r="BA390" i="4"/>
  <c r="BB389" i="4"/>
  <c r="BE388" i="4"/>
  <c r="BH388" i="4"/>
  <c r="S25" i="17" l="1"/>
  <c r="R25" i="17"/>
  <c r="N25" i="17"/>
  <c r="M26" i="17"/>
  <c r="J96" i="17"/>
  <c r="G97" i="17"/>
  <c r="L95" i="17"/>
  <c r="K95" i="17"/>
  <c r="Q24" i="17"/>
  <c r="O24" i="17"/>
  <c r="P24" i="17"/>
  <c r="AA390" i="16"/>
  <c r="Z390" i="16"/>
  <c r="V390" i="16"/>
  <c r="U391" i="16"/>
  <c r="S459" i="16"/>
  <c r="T459" i="16"/>
  <c r="R460" i="16"/>
  <c r="Y389" i="16"/>
  <c r="X389" i="16"/>
  <c r="W389" i="16"/>
  <c r="O461" i="16"/>
  <c r="BK387" i="4"/>
  <c r="BJ387" i="4"/>
  <c r="BL387" i="4"/>
  <c r="BN388" i="4"/>
  <c r="BM388" i="4"/>
  <c r="BI388" i="4"/>
  <c r="BG388" i="4"/>
  <c r="BF388" i="4"/>
  <c r="BH389" i="4"/>
  <c r="BE389" i="4"/>
  <c r="BA391" i="4"/>
  <c r="BB390" i="4"/>
  <c r="K96" i="17" l="1"/>
  <c r="L96" i="17"/>
  <c r="S26" i="17"/>
  <c r="N26" i="17"/>
  <c r="R26" i="17"/>
  <c r="M27" i="17"/>
  <c r="Q25" i="17"/>
  <c r="P25" i="17"/>
  <c r="O25" i="17"/>
  <c r="J97" i="17"/>
  <c r="G98" i="17"/>
  <c r="V391" i="16"/>
  <c r="Z391" i="16"/>
  <c r="AA391" i="16"/>
  <c r="U392" i="16"/>
  <c r="S460" i="16"/>
  <c r="T460" i="16"/>
  <c r="W390" i="16"/>
  <c r="Y390" i="16"/>
  <c r="X390" i="16"/>
  <c r="R461" i="16"/>
  <c r="O462" i="16"/>
  <c r="BL388" i="4"/>
  <c r="BJ388" i="4"/>
  <c r="BK388" i="4"/>
  <c r="BH390" i="4"/>
  <c r="BE390" i="4"/>
  <c r="BB391" i="4"/>
  <c r="BA392" i="4"/>
  <c r="BG389" i="4"/>
  <c r="BF389" i="4"/>
  <c r="BI389" i="4"/>
  <c r="BN389" i="4"/>
  <c r="BM389" i="4"/>
  <c r="R27" i="17" l="1"/>
  <c r="N27" i="17"/>
  <c r="S27" i="17"/>
  <c r="M28" i="17"/>
  <c r="J98" i="17"/>
  <c r="G99" i="17"/>
  <c r="Q26" i="17"/>
  <c r="P26" i="17"/>
  <c r="O26" i="17"/>
  <c r="L97" i="17"/>
  <c r="K97" i="17"/>
  <c r="O463" i="16"/>
  <c r="Z392" i="16"/>
  <c r="V392" i="16"/>
  <c r="AA392" i="16"/>
  <c r="U393" i="16"/>
  <c r="S461" i="16"/>
  <c r="T461" i="16"/>
  <c r="R462" i="16"/>
  <c r="W391" i="16"/>
  <c r="Y391" i="16"/>
  <c r="X391" i="16"/>
  <c r="BG390" i="4"/>
  <c r="BF390" i="4"/>
  <c r="BI390" i="4"/>
  <c r="BN390" i="4"/>
  <c r="BM390" i="4"/>
  <c r="BB392" i="4"/>
  <c r="BA393" i="4"/>
  <c r="BE391" i="4"/>
  <c r="BH391" i="4"/>
  <c r="BK389" i="4"/>
  <c r="BL389" i="4"/>
  <c r="BJ389" i="4"/>
  <c r="G100" i="17" l="1"/>
  <c r="S28" i="17"/>
  <c r="R28" i="17"/>
  <c r="N28" i="17"/>
  <c r="M29" i="17"/>
  <c r="J99" i="17"/>
  <c r="L98" i="17"/>
  <c r="K98" i="17"/>
  <c r="O27" i="17"/>
  <c r="Q27" i="17"/>
  <c r="P27" i="17"/>
  <c r="V393" i="16"/>
  <c r="AA393" i="16"/>
  <c r="Z393" i="16"/>
  <c r="U394" i="16"/>
  <c r="Y392" i="16"/>
  <c r="X392" i="16"/>
  <c r="W392" i="16"/>
  <c r="T462" i="16"/>
  <c r="S462" i="16"/>
  <c r="R463" i="16"/>
  <c r="O464" i="16"/>
  <c r="BA394" i="4"/>
  <c r="BB393" i="4"/>
  <c r="BF391" i="4"/>
  <c r="BG391" i="4"/>
  <c r="BK390" i="4"/>
  <c r="BJ390" i="4"/>
  <c r="BL390" i="4"/>
  <c r="BE392" i="4"/>
  <c r="BH392" i="4"/>
  <c r="BM391" i="4"/>
  <c r="BN391" i="4"/>
  <c r="BI391" i="4"/>
  <c r="L99" i="17" l="1"/>
  <c r="K99" i="17"/>
  <c r="Q28" i="17"/>
  <c r="O28" i="17"/>
  <c r="P28" i="17"/>
  <c r="S29" i="17"/>
  <c r="N29" i="17"/>
  <c r="R29" i="17"/>
  <c r="M30" i="17"/>
  <c r="G101" i="17"/>
  <c r="J100" i="17"/>
  <c r="R464" i="16"/>
  <c r="V394" i="16"/>
  <c r="AA394" i="16"/>
  <c r="Z394" i="16"/>
  <c r="U395" i="16"/>
  <c r="O465" i="16"/>
  <c r="T463" i="16"/>
  <c r="S463" i="16"/>
  <c r="X393" i="16"/>
  <c r="W393" i="16"/>
  <c r="Y393" i="16"/>
  <c r="BN392" i="4"/>
  <c r="BM392" i="4"/>
  <c r="BI392" i="4"/>
  <c r="BG392" i="4"/>
  <c r="BF392" i="4"/>
  <c r="BL391" i="4"/>
  <c r="BK391" i="4"/>
  <c r="BJ391" i="4"/>
  <c r="BH393" i="4"/>
  <c r="BE393" i="4"/>
  <c r="BA395" i="4"/>
  <c r="BB394" i="4"/>
  <c r="Q29" i="17" l="1"/>
  <c r="P29" i="17"/>
  <c r="O29" i="17"/>
  <c r="K100" i="17"/>
  <c r="L100" i="17"/>
  <c r="G102" i="17"/>
  <c r="J101" i="17"/>
  <c r="S30" i="17"/>
  <c r="R30" i="17"/>
  <c r="N30" i="17"/>
  <c r="M31" i="17"/>
  <c r="O466" i="16"/>
  <c r="X394" i="16"/>
  <c r="W394" i="16"/>
  <c r="Y394" i="16"/>
  <c r="Z395" i="16"/>
  <c r="AA395" i="16"/>
  <c r="V395" i="16"/>
  <c r="U396" i="16"/>
  <c r="R465" i="16"/>
  <c r="T464" i="16"/>
  <c r="S464" i="16"/>
  <c r="BB395" i="4"/>
  <c r="BA396" i="4"/>
  <c r="BL392" i="4"/>
  <c r="BJ392" i="4"/>
  <c r="BK392" i="4"/>
  <c r="BG393" i="4"/>
  <c r="BF393" i="4"/>
  <c r="BH394" i="4"/>
  <c r="BE394" i="4"/>
  <c r="BI393" i="4"/>
  <c r="BN393" i="4"/>
  <c r="BM393" i="4"/>
  <c r="L101" i="17" l="1"/>
  <c r="K101" i="17"/>
  <c r="G103" i="17"/>
  <c r="J102" i="17"/>
  <c r="Q30" i="17"/>
  <c r="O30" i="17"/>
  <c r="P30" i="17"/>
  <c r="S31" i="17"/>
  <c r="R31" i="17"/>
  <c r="N31" i="17"/>
  <c r="M32" i="17"/>
  <c r="AA396" i="16"/>
  <c r="Z396" i="16"/>
  <c r="V396" i="16"/>
  <c r="U397" i="16"/>
  <c r="W395" i="16"/>
  <c r="Y395" i="16"/>
  <c r="X395" i="16"/>
  <c r="S465" i="16"/>
  <c r="T465" i="16"/>
  <c r="R466" i="16"/>
  <c r="O467" i="16"/>
  <c r="BI394" i="4"/>
  <c r="BN394" i="4"/>
  <c r="BM394" i="4"/>
  <c r="BB396" i="4"/>
  <c r="BA397" i="4"/>
  <c r="BK393" i="4"/>
  <c r="BL393" i="4"/>
  <c r="BJ393" i="4"/>
  <c r="BG394" i="4"/>
  <c r="BF394" i="4"/>
  <c r="BE395" i="4"/>
  <c r="BH395" i="4"/>
  <c r="L102" i="17" l="1"/>
  <c r="K102" i="17"/>
  <c r="G104" i="17"/>
  <c r="S32" i="17"/>
  <c r="N32" i="17"/>
  <c r="R32" i="17"/>
  <c r="M33" i="17"/>
  <c r="J103" i="17"/>
  <c r="Q31" i="17"/>
  <c r="O31" i="17"/>
  <c r="P31" i="17"/>
  <c r="R467" i="16"/>
  <c r="Y396" i="16"/>
  <c r="W396" i="16"/>
  <c r="X396" i="16"/>
  <c r="O468" i="16"/>
  <c r="S466" i="16"/>
  <c r="T466" i="16"/>
  <c r="V397" i="16"/>
  <c r="Z397" i="16"/>
  <c r="AA397" i="16"/>
  <c r="U398" i="16"/>
  <c r="BE396" i="4"/>
  <c r="BH396" i="4"/>
  <c r="BM395" i="4"/>
  <c r="BI395" i="4"/>
  <c r="BN395" i="4"/>
  <c r="BF395" i="4"/>
  <c r="BG395" i="4"/>
  <c r="BA398" i="4"/>
  <c r="BB397" i="4"/>
  <c r="BK394" i="4"/>
  <c r="BJ394" i="4"/>
  <c r="BL394" i="4"/>
  <c r="S33" i="17" l="1"/>
  <c r="R33" i="17"/>
  <c r="N33" i="17"/>
  <c r="M34" i="17"/>
  <c r="Q32" i="17"/>
  <c r="O32" i="17"/>
  <c r="P32" i="17"/>
  <c r="G105" i="17"/>
  <c r="J104" i="17"/>
  <c r="L103" i="17"/>
  <c r="K103" i="17"/>
  <c r="R468" i="16"/>
  <c r="Z398" i="16"/>
  <c r="V398" i="16"/>
  <c r="AA398" i="16"/>
  <c r="U399" i="16"/>
  <c r="O469" i="16"/>
  <c r="Y397" i="16"/>
  <c r="X397" i="16"/>
  <c r="W397" i="16"/>
  <c r="T467" i="16"/>
  <c r="S467" i="16"/>
  <c r="BA399" i="4"/>
  <c r="BB398" i="4"/>
  <c r="BL395" i="4"/>
  <c r="BK395" i="4"/>
  <c r="BJ395" i="4"/>
  <c r="BN396" i="4"/>
  <c r="BM396" i="4"/>
  <c r="BI396" i="4"/>
  <c r="BH397" i="4"/>
  <c r="BE397" i="4"/>
  <c r="BG396" i="4"/>
  <c r="BF396" i="4"/>
  <c r="G106" i="17" l="1"/>
  <c r="S34" i="17"/>
  <c r="R34" i="17"/>
  <c r="N34" i="17"/>
  <c r="M35" i="17"/>
  <c r="L104" i="17"/>
  <c r="K104" i="17"/>
  <c r="Q33" i="17"/>
  <c r="P33" i="17"/>
  <c r="O33" i="17"/>
  <c r="J105" i="17"/>
  <c r="Z399" i="16"/>
  <c r="AA399" i="16"/>
  <c r="V399" i="16"/>
  <c r="U400" i="16"/>
  <c r="O470" i="16"/>
  <c r="X398" i="16"/>
  <c r="Y398" i="16"/>
  <c r="W398" i="16"/>
  <c r="R469" i="16"/>
  <c r="T468" i="16"/>
  <c r="S468" i="16"/>
  <c r="BL396" i="4"/>
  <c r="BK396" i="4"/>
  <c r="BJ396" i="4"/>
  <c r="BI397" i="4"/>
  <c r="BN397" i="4"/>
  <c r="BM397" i="4"/>
  <c r="BG397" i="4"/>
  <c r="BF397" i="4"/>
  <c r="BH398" i="4"/>
  <c r="BE398" i="4"/>
  <c r="BB399" i="4"/>
  <c r="BA400" i="4"/>
  <c r="N35" i="17" l="1"/>
  <c r="R35" i="17"/>
  <c r="S35" i="17"/>
  <c r="M36" i="17"/>
  <c r="K105" i="17"/>
  <c r="L105" i="17"/>
  <c r="O34" i="17"/>
  <c r="Q34" i="17"/>
  <c r="P34" i="17"/>
  <c r="J106" i="17"/>
  <c r="G107" i="17"/>
  <c r="O471" i="16"/>
  <c r="R470" i="16"/>
  <c r="V400" i="16"/>
  <c r="AA400" i="16"/>
  <c r="Z400" i="16"/>
  <c r="U401" i="16"/>
  <c r="Y399" i="16"/>
  <c r="W399" i="16"/>
  <c r="X399" i="16"/>
  <c r="S469" i="16"/>
  <c r="T469" i="16"/>
  <c r="BK397" i="4"/>
  <c r="BJ397" i="4"/>
  <c r="BL397" i="4"/>
  <c r="BE399" i="4"/>
  <c r="BH399" i="4"/>
  <c r="BB400" i="4"/>
  <c r="BA401" i="4"/>
  <c r="BG398" i="4"/>
  <c r="BF398" i="4"/>
  <c r="BI398" i="4"/>
  <c r="BM398" i="4"/>
  <c r="BN398" i="4"/>
  <c r="N36" i="17" l="1"/>
  <c r="R36" i="17"/>
  <c r="S36" i="17"/>
  <c r="M37" i="17"/>
  <c r="G108" i="17"/>
  <c r="L106" i="17"/>
  <c r="K106" i="17"/>
  <c r="J107" i="17"/>
  <c r="Q35" i="17"/>
  <c r="O35" i="17"/>
  <c r="P35" i="17"/>
  <c r="W400" i="16"/>
  <c r="X400" i="16"/>
  <c r="Y400" i="16"/>
  <c r="V401" i="16"/>
  <c r="Z401" i="16"/>
  <c r="AA401" i="16"/>
  <c r="U402" i="16"/>
  <c r="S470" i="16"/>
  <c r="T470" i="16"/>
  <c r="R471" i="16"/>
  <c r="O472" i="16"/>
  <c r="BA402" i="4"/>
  <c r="BB401" i="4"/>
  <c r="BE400" i="4"/>
  <c r="BH400" i="4"/>
  <c r="BF399" i="4"/>
  <c r="BG399" i="4"/>
  <c r="BM399" i="4"/>
  <c r="BI399" i="4"/>
  <c r="BN399" i="4"/>
  <c r="BK398" i="4"/>
  <c r="BJ398" i="4"/>
  <c r="BL398" i="4"/>
  <c r="J108" i="17" l="1"/>
  <c r="G109" i="17"/>
  <c r="S37" i="17"/>
  <c r="R37" i="17"/>
  <c r="N37" i="17"/>
  <c r="M38" i="17"/>
  <c r="L107" i="17"/>
  <c r="K107" i="17"/>
  <c r="Q36" i="17"/>
  <c r="P36" i="17"/>
  <c r="O36" i="17"/>
  <c r="AA402" i="16"/>
  <c r="Z402" i="16"/>
  <c r="V402" i="16"/>
  <c r="U403" i="16"/>
  <c r="R472" i="16"/>
  <c r="O473" i="16"/>
  <c r="Y401" i="16"/>
  <c r="X401" i="16"/>
  <c r="W401" i="16"/>
  <c r="S471" i="16"/>
  <c r="T471" i="16"/>
  <c r="BN400" i="4"/>
  <c r="BM400" i="4"/>
  <c r="BI400" i="4"/>
  <c r="BG400" i="4"/>
  <c r="BF400" i="4"/>
  <c r="BL399" i="4"/>
  <c r="BK399" i="4"/>
  <c r="BJ399" i="4"/>
  <c r="BH401" i="4"/>
  <c r="BE401" i="4"/>
  <c r="BA403" i="4"/>
  <c r="BB402" i="4"/>
  <c r="O37" i="17" l="1"/>
  <c r="Q37" i="17"/>
  <c r="P37" i="17"/>
  <c r="N38" i="17"/>
  <c r="S38" i="17"/>
  <c r="R38" i="17"/>
  <c r="M39" i="17"/>
  <c r="G110" i="17"/>
  <c r="J109" i="17"/>
  <c r="L108" i="17"/>
  <c r="K108" i="17"/>
  <c r="O474" i="16"/>
  <c r="R473" i="16"/>
  <c r="T472" i="16"/>
  <c r="S472" i="16"/>
  <c r="X402" i="16"/>
  <c r="W402" i="16"/>
  <c r="Y402" i="16"/>
  <c r="Z403" i="16"/>
  <c r="V403" i="16"/>
  <c r="AA403" i="16"/>
  <c r="U404" i="16"/>
  <c r="BH402" i="4"/>
  <c r="BE402" i="4"/>
  <c r="BB403" i="4"/>
  <c r="BA404" i="4"/>
  <c r="BG401" i="4"/>
  <c r="BF401" i="4"/>
  <c r="BL400" i="4"/>
  <c r="BK400" i="4"/>
  <c r="BJ400" i="4"/>
  <c r="BI401" i="4"/>
  <c r="BN401" i="4"/>
  <c r="BM401" i="4"/>
  <c r="S39" i="17" l="1"/>
  <c r="N39" i="17"/>
  <c r="R39" i="17"/>
  <c r="M40" i="17"/>
  <c r="Q38" i="17"/>
  <c r="O38" i="17"/>
  <c r="P38" i="17"/>
  <c r="J110" i="17"/>
  <c r="L109" i="17"/>
  <c r="K109" i="17"/>
  <c r="G111" i="17"/>
  <c r="G112" i="17"/>
  <c r="V404" i="16"/>
  <c r="AA404" i="16"/>
  <c r="Z404" i="16"/>
  <c r="U405" i="16"/>
  <c r="T473" i="16"/>
  <c r="S473" i="16"/>
  <c r="W403" i="16"/>
  <c r="X403" i="16"/>
  <c r="Y403" i="16"/>
  <c r="R474" i="16"/>
  <c r="O475" i="16"/>
  <c r="O476" i="16"/>
  <c r="BB404" i="4"/>
  <c r="BA405" i="4"/>
  <c r="BE403" i="4"/>
  <c r="BH403" i="4"/>
  <c r="BK401" i="4"/>
  <c r="BL401" i="4"/>
  <c r="BJ401" i="4"/>
  <c r="BG402" i="4"/>
  <c r="BF402" i="4"/>
  <c r="BI402" i="4"/>
  <c r="BM402" i="4"/>
  <c r="BN402" i="4"/>
  <c r="J112" i="17" l="1"/>
  <c r="J113" i="17"/>
  <c r="K110" i="17"/>
  <c r="L110" i="17"/>
  <c r="J111" i="17"/>
  <c r="R40" i="17"/>
  <c r="N40" i="17"/>
  <c r="S40" i="17"/>
  <c r="M41" i="17"/>
  <c r="P39" i="17"/>
  <c r="Q39" i="17"/>
  <c r="O39" i="17"/>
  <c r="AA405" i="16"/>
  <c r="Z405" i="16"/>
  <c r="V405" i="16"/>
  <c r="U406" i="16"/>
  <c r="R475" i="16"/>
  <c r="S474" i="16"/>
  <c r="T474" i="16"/>
  <c r="R476" i="16"/>
  <c r="R477" i="16"/>
  <c r="W404" i="16"/>
  <c r="X404" i="16"/>
  <c r="Y404" i="16"/>
  <c r="BM403" i="4"/>
  <c r="BI403" i="4"/>
  <c r="BN403" i="4"/>
  <c r="BG403" i="4"/>
  <c r="BF403" i="4"/>
  <c r="BA406" i="4"/>
  <c r="BB405" i="4"/>
  <c r="BK402" i="4"/>
  <c r="BJ402" i="4"/>
  <c r="BL402" i="4"/>
  <c r="BE404" i="4"/>
  <c r="BH404" i="4"/>
  <c r="K111" i="17" l="1"/>
  <c r="L111" i="17"/>
  <c r="L112" i="17" s="1"/>
  <c r="L113" i="17" s="1"/>
  <c r="L114" i="17" s="1"/>
  <c r="L115" i="17" s="1"/>
  <c r="L116" i="17" s="1"/>
  <c r="L117" i="17" s="1"/>
  <c r="L118" i="17" s="1"/>
  <c r="L119" i="17" s="1"/>
  <c r="L120" i="17" s="1"/>
  <c r="L121" i="17" s="1"/>
  <c r="L122" i="17" s="1"/>
  <c r="L123" i="17" s="1"/>
  <c r="L124" i="17" s="1"/>
  <c r="L125" i="17" s="1"/>
  <c r="L126" i="17" s="1"/>
  <c r="L127" i="17" s="1"/>
  <c r="L128" i="17" s="1"/>
  <c r="L129" i="17" s="1"/>
  <c r="L130" i="17" s="1"/>
  <c r="L131" i="17" s="1"/>
  <c r="L132" i="17" s="1"/>
  <c r="L133" i="17" s="1"/>
  <c r="L134" i="17" s="1"/>
  <c r="L135" i="17" s="1"/>
  <c r="L136" i="17" s="1"/>
  <c r="L137" i="17" s="1"/>
  <c r="L138" i="17" s="1"/>
  <c r="L139" i="17" s="1"/>
  <c r="L140" i="17" s="1"/>
  <c r="L141" i="17" s="1"/>
  <c r="L142" i="17" s="1"/>
  <c r="L143" i="17" s="1"/>
  <c r="L144" i="17" s="1"/>
  <c r="L145" i="17" s="1"/>
  <c r="L146" i="17" s="1"/>
  <c r="L147" i="17" s="1"/>
  <c r="L148" i="17" s="1"/>
  <c r="L149" i="17" s="1"/>
  <c r="L150" i="17" s="1"/>
  <c r="L151" i="17" s="1"/>
  <c r="L152" i="17" s="1"/>
  <c r="L153" i="17" s="1"/>
  <c r="L154" i="17" s="1"/>
  <c r="L155" i="17" s="1"/>
  <c r="L156" i="17" s="1"/>
  <c r="L157" i="17" s="1"/>
  <c r="L158" i="17" s="1"/>
  <c r="L159" i="17" s="1"/>
  <c r="L160" i="17" s="1"/>
  <c r="L161" i="17" s="1"/>
  <c r="L162" i="17" s="1"/>
  <c r="L163" i="17" s="1"/>
  <c r="L164" i="17" s="1"/>
  <c r="L165" i="17" s="1"/>
  <c r="L166" i="17" s="1"/>
  <c r="N41" i="17"/>
  <c r="R41" i="17"/>
  <c r="S41" i="17"/>
  <c r="M42" i="17"/>
  <c r="Q40" i="17"/>
  <c r="P40" i="17"/>
  <c r="O40" i="17"/>
  <c r="K112" i="17"/>
  <c r="K113" i="17" s="1"/>
  <c r="K114" i="17" s="1"/>
  <c r="K115" i="17" s="1"/>
  <c r="K116" i="17" s="1"/>
  <c r="K117" i="17" s="1"/>
  <c r="K118" i="17" s="1"/>
  <c r="K119" i="17" s="1"/>
  <c r="K120" i="17" s="1"/>
  <c r="K121" i="17" s="1"/>
  <c r="K122" i="17" s="1"/>
  <c r="K123" i="17" s="1"/>
  <c r="S475" i="16"/>
  <c r="T475" i="16"/>
  <c r="T476" i="16" s="1"/>
  <c r="T477" i="16" s="1"/>
  <c r="T478" i="16" s="1"/>
  <c r="T479" i="16" s="1"/>
  <c r="T480" i="16" s="1"/>
  <c r="T481" i="16" s="1"/>
  <c r="T482" i="16" s="1"/>
  <c r="T483" i="16" s="1"/>
  <c r="T484" i="16" s="1"/>
  <c r="T485" i="16" s="1"/>
  <c r="T486" i="16" s="1"/>
  <c r="T487" i="16" s="1"/>
  <c r="T488" i="16" s="1"/>
  <c r="T489" i="16" s="1"/>
  <c r="T490" i="16" s="1"/>
  <c r="T491" i="16" s="1"/>
  <c r="T492" i="16" s="1"/>
  <c r="T493" i="16" s="1"/>
  <c r="T494" i="16" s="1"/>
  <c r="T495" i="16" s="1"/>
  <c r="T496" i="16" s="1"/>
  <c r="T497" i="16" s="1"/>
  <c r="T498" i="16" s="1"/>
  <c r="T499" i="16" s="1"/>
  <c r="T500" i="16" s="1"/>
  <c r="T501" i="16" s="1"/>
  <c r="T502" i="16" s="1"/>
  <c r="T503" i="16" s="1"/>
  <c r="T504" i="16" s="1"/>
  <c r="T505" i="16" s="1"/>
  <c r="T506" i="16" s="1"/>
  <c r="T507" i="16" s="1"/>
  <c r="T508" i="16" s="1"/>
  <c r="T509" i="16" s="1"/>
  <c r="T510" i="16" s="1"/>
  <c r="T511" i="16" s="1"/>
  <c r="T512" i="16" s="1"/>
  <c r="T513" i="16" s="1"/>
  <c r="T514" i="16" s="1"/>
  <c r="T515" i="16" s="1"/>
  <c r="T516" i="16" s="1"/>
  <c r="T517" i="16" s="1"/>
  <c r="T518" i="16" s="1"/>
  <c r="T519" i="16" s="1"/>
  <c r="T520" i="16" s="1"/>
  <c r="T521" i="16" s="1"/>
  <c r="T522" i="16" s="1"/>
  <c r="T523" i="16" s="1"/>
  <c r="T524" i="16" s="1"/>
  <c r="T525" i="16" s="1"/>
  <c r="T526" i="16" s="1"/>
  <c r="T527" i="16" s="1"/>
  <c r="T528" i="16" s="1"/>
  <c r="T529" i="16" s="1"/>
  <c r="T530" i="16" s="1"/>
  <c r="AA406" i="16"/>
  <c r="V406" i="16"/>
  <c r="Z406" i="16"/>
  <c r="U407" i="16"/>
  <c r="Y405" i="16"/>
  <c r="X405" i="16"/>
  <c r="W405" i="16"/>
  <c r="S476" i="16"/>
  <c r="S477" i="16" s="1"/>
  <c r="S478" i="16" s="1"/>
  <c r="S479" i="16" s="1"/>
  <c r="S480" i="16" s="1"/>
  <c r="S481" i="16" s="1"/>
  <c r="S482" i="16" s="1"/>
  <c r="S483" i="16" s="1"/>
  <c r="S484" i="16" s="1"/>
  <c r="S485" i="16" s="1"/>
  <c r="S486" i="16" s="1"/>
  <c r="S487" i="16" s="1"/>
  <c r="BA407" i="4"/>
  <c r="BB406" i="4"/>
  <c r="BH405" i="4"/>
  <c r="BE405" i="4"/>
  <c r="BN404" i="4"/>
  <c r="BM404" i="4"/>
  <c r="BI404" i="4"/>
  <c r="BG404" i="4"/>
  <c r="BF404" i="4"/>
  <c r="BL403" i="4"/>
  <c r="BK403" i="4"/>
  <c r="BJ403" i="4"/>
  <c r="N42" i="17" l="1"/>
  <c r="S42" i="17"/>
  <c r="R42" i="17"/>
  <c r="M43" i="17"/>
  <c r="O41" i="17"/>
  <c r="Q41" i="17"/>
  <c r="P41" i="17"/>
  <c r="Z407" i="16"/>
  <c r="V407" i="16"/>
  <c r="AA407" i="16"/>
  <c r="U408" i="16"/>
  <c r="Y406" i="16"/>
  <c r="X406" i="16"/>
  <c r="W406" i="16"/>
  <c r="BL404" i="4"/>
  <c r="BK404" i="4"/>
  <c r="BJ404" i="4"/>
  <c r="BG405" i="4"/>
  <c r="BF405" i="4"/>
  <c r="BI405" i="4"/>
  <c r="BN405" i="4"/>
  <c r="BM405" i="4"/>
  <c r="BH406" i="4"/>
  <c r="BE406" i="4"/>
  <c r="BB407" i="4"/>
  <c r="BA408" i="4"/>
  <c r="S43" i="17" l="1"/>
  <c r="R43" i="17"/>
  <c r="N43" i="17"/>
  <c r="M44" i="17"/>
  <c r="Q42" i="17"/>
  <c r="P42" i="17"/>
  <c r="O42" i="17"/>
  <c r="W407" i="16"/>
  <c r="Y407" i="16"/>
  <c r="X407" i="16"/>
  <c r="AA408" i="16"/>
  <c r="Z408" i="16"/>
  <c r="V408" i="16"/>
  <c r="U409" i="16"/>
  <c r="BA409" i="4"/>
  <c r="BB408" i="4"/>
  <c r="BK405" i="4"/>
  <c r="BL405" i="4"/>
  <c r="BJ405" i="4"/>
  <c r="BE407" i="4"/>
  <c r="BH407" i="4"/>
  <c r="BG406" i="4"/>
  <c r="BF406" i="4"/>
  <c r="BI406" i="4"/>
  <c r="BM406" i="4"/>
  <c r="BN406" i="4"/>
  <c r="P43" i="17" l="1"/>
  <c r="O43" i="17"/>
  <c r="Q43" i="17"/>
  <c r="R44" i="17"/>
  <c r="N44" i="17"/>
  <c r="S44" i="17"/>
  <c r="M45" i="17"/>
  <c r="AA409" i="16"/>
  <c r="V409" i="16"/>
  <c r="Z409" i="16"/>
  <c r="U410" i="16"/>
  <c r="Y408" i="16"/>
  <c r="W408" i="16"/>
  <c r="X408" i="16"/>
  <c r="BF407" i="4"/>
  <c r="BG407" i="4"/>
  <c r="BN407" i="4"/>
  <c r="BM407" i="4"/>
  <c r="BI407" i="4"/>
  <c r="BK406" i="4"/>
  <c r="BJ406" i="4"/>
  <c r="BL406" i="4"/>
  <c r="BH408" i="4"/>
  <c r="BE408" i="4"/>
  <c r="BA410" i="4"/>
  <c r="BB409" i="4"/>
  <c r="P44" i="17" l="1"/>
  <c r="Q44" i="17"/>
  <c r="O44" i="17"/>
  <c r="N45" i="17"/>
  <c r="R45" i="17"/>
  <c r="S45" i="17"/>
  <c r="M46" i="17"/>
  <c r="Y409" i="16"/>
  <c r="X409" i="16"/>
  <c r="W409" i="16"/>
  <c r="AA410" i="16"/>
  <c r="Z410" i="16"/>
  <c r="V410" i="16"/>
  <c r="U411" i="16"/>
  <c r="BH409" i="4"/>
  <c r="BE409" i="4"/>
  <c r="BB410" i="4"/>
  <c r="BA411" i="4"/>
  <c r="BL407" i="4"/>
  <c r="BK407" i="4"/>
  <c r="BJ407" i="4"/>
  <c r="BG408" i="4"/>
  <c r="BF408" i="4"/>
  <c r="BI408" i="4"/>
  <c r="BN408" i="4"/>
  <c r="BM408" i="4"/>
  <c r="O45" i="17" l="1"/>
  <c r="Q45" i="17"/>
  <c r="P45" i="17"/>
  <c r="N46" i="17"/>
  <c r="S46" i="17"/>
  <c r="R46" i="17"/>
  <c r="M47" i="17"/>
  <c r="Y410" i="16"/>
  <c r="W410" i="16"/>
  <c r="X410" i="16"/>
  <c r="V411" i="16"/>
  <c r="Z411" i="16"/>
  <c r="AA411" i="16"/>
  <c r="U412" i="16"/>
  <c r="BA412" i="4"/>
  <c r="BB411" i="4"/>
  <c r="BE410" i="4"/>
  <c r="BH410" i="4"/>
  <c r="BL408" i="4"/>
  <c r="BK408" i="4"/>
  <c r="BJ408" i="4"/>
  <c r="BG409" i="4"/>
  <c r="BF409" i="4"/>
  <c r="BI409" i="4"/>
  <c r="BN409" i="4"/>
  <c r="BM409" i="4"/>
  <c r="Q46" i="17" l="1"/>
  <c r="P46" i="17"/>
  <c r="O46" i="17"/>
  <c r="S47" i="17"/>
  <c r="R47" i="17"/>
  <c r="N47" i="17"/>
  <c r="M48" i="17"/>
  <c r="AA412" i="16"/>
  <c r="Z412" i="16"/>
  <c r="V412" i="16"/>
  <c r="U413" i="16"/>
  <c r="W411" i="16"/>
  <c r="X411" i="16"/>
  <c r="Y411" i="16"/>
  <c r="BN410" i="4"/>
  <c r="BM410" i="4"/>
  <c r="BI410" i="4"/>
  <c r="BG410" i="4"/>
  <c r="BF410" i="4"/>
  <c r="BJ409" i="4"/>
  <c r="BL409" i="4"/>
  <c r="BK409" i="4"/>
  <c r="BH411" i="4"/>
  <c r="BE411" i="4"/>
  <c r="BB412" i="4"/>
  <c r="BA413" i="4"/>
  <c r="P47" i="17" l="1"/>
  <c r="Q47" i="17"/>
  <c r="O47" i="17"/>
  <c r="R48" i="17"/>
  <c r="S48" i="17"/>
  <c r="N48" i="17"/>
  <c r="M49" i="17"/>
  <c r="AA413" i="16"/>
  <c r="V413" i="16"/>
  <c r="Z413" i="16"/>
  <c r="U414" i="16"/>
  <c r="Y412" i="16"/>
  <c r="W412" i="16"/>
  <c r="X412" i="16"/>
  <c r="BA414" i="4"/>
  <c r="BB413" i="4"/>
  <c r="BL410" i="4"/>
  <c r="BK410" i="4"/>
  <c r="BJ410" i="4"/>
  <c r="BH412" i="4"/>
  <c r="BE412" i="4"/>
  <c r="BF411" i="4"/>
  <c r="BG411" i="4"/>
  <c r="BN411" i="4"/>
  <c r="BI411" i="4"/>
  <c r="BM411" i="4"/>
  <c r="P48" i="17" l="1"/>
  <c r="O48" i="17"/>
  <c r="Q48" i="17"/>
  <c r="N49" i="17"/>
  <c r="R49" i="17"/>
  <c r="S49" i="17"/>
  <c r="M50" i="17"/>
  <c r="Y413" i="16"/>
  <c r="X413" i="16"/>
  <c r="W413" i="16"/>
  <c r="AA414" i="16"/>
  <c r="Z414" i="16"/>
  <c r="V414" i="16"/>
  <c r="U415" i="16"/>
  <c r="BN412" i="4"/>
  <c r="BM412" i="4"/>
  <c r="BI412" i="4"/>
  <c r="BF412" i="4"/>
  <c r="BG412" i="4"/>
  <c r="BK411" i="4"/>
  <c r="BJ411" i="4"/>
  <c r="BL411" i="4"/>
  <c r="BH413" i="4"/>
  <c r="BE413" i="4"/>
  <c r="BB414" i="4"/>
  <c r="BA415" i="4"/>
  <c r="O49" i="17" l="1"/>
  <c r="P49" i="17"/>
  <c r="Q49" i="17"/>
  <c r="N50" i="17"/>
  <c r="S50" i="17"/>
  <c r="R50" i="17"/>
  <c r="M51" i="17"/>
  <c r="AA415" i="16"/>
  <c r="Z415" i="16"/>
  <c r="V415" i="16"/>
  <c r="U416" i="16"/>
  <c r="Y414" i="16"/>
  <c r="X414" i="16"/>
  <c r="W414" i="16"/>
  <c r="BE414" i="4"/>
  <c r="BH414" i="4"/>
  <c r="BL412" i="4"/>
  <c r="BK412" i="4"/>
  <c r="BJ412" i="4"/>
  <c r="BG413" i="4"/>
  <c r="BF413" i="4"/>
  <c r="BA416" i="4"/>
  <c r="BB415" i="4"/>
  <c r="BI413" i="4"/>
  <c r="BN413" i="4"/>
  <c r="BM413" i="4"/>
  <c r="Q50" i="17" l="1"/>
  <c r="P50" i="17"/>
  <c r="O50" i="17"/>
  <c r="S51" i="17"/>
  <c r="R51" i="17"/>
  <c r="N51" i="17"/>
  <c r="M52" i="17"/>
  <c r="Z416" i="16"/>
  <c r="V416" i="16"/>
  <c r="AA416" i="16"/>
  <c r="U417" i="16"/>
  <c r="W415" i="16"/>
  <c r="Y415" i="16"/>
  <c r="X415" i="16"/>
  <c r="BN414" i="4"/>
  <c r="BM414" i="4"/>
  <c r="BI414" i="4"/>
  <c r="BB416" i="4"/>
  <c r="BA417" i="4"/>
  <c r="BJ413" i="4"/>
  <c r="BL413" i="4"/>
  <c r="BK413" i="4"/>
  <c r="BH415" i="4"/>
  <c r="BE415" i="4"/>
  <c r="BF414" i="4"/>
  <c r="BG414" i="4"/>
  <c r="P51" i="17" l="1"/>
  <c r="O51" i="17"/>
  <c r="Q51" i="17"/>
  <c r="R52" i="17"/>
  <c r="N52" i="17"/>
  <c r="S52" i="17"/>
  <c r="M53" i="17"/>
  <c r="Y416" i="16"/>
  <c r="W416" i="16"/>
  <c r="X416" i="16"/>
  <c r="AA417" i="16"/>
  <c r="Z417" i="16"/>
  <c r="V417" i="16"/>
  <c r="U418" i="16"/>
  <c r="BB417" i="4"/>
  <c r="BA418" i="4"/>
  <c r="BH416" i="4"/>
  <c r="BE416" i="4"/>
  <c r="BL414" i="4"/>
  <c r="BK414" i="4"/>
  <c r="BJ414" i="4"/>
  <c r="BF415" i="4"/>
  <c r="BG415" i="4"/>
  <c r="BN415" i="4"/>
  <c r="BI415" i="4"/>
  <c r="BM415" i="4"/>
  <c r="P52" i="17" l="1"/>
  <c r="Q52" i="17"/>
  <c r="O52" i="17"/>
  <c r="N53" i="17"/>
  <c r="R53" i="17"/>
  <c r="S53" i="17"/>
  <c r="M54" i="17"/>
  <c r="AA418" i="16"/>
  <c r="Z418" i="16"/>
  <c r="V418" i="16"/>
  <c r="U419" i="16"/>
  <c r="Y417" i="16"/>
  <c r="W417" i="16"/>
  <c r="X417" i="16"/>
  <c r="BG416" i="4"/>
  <c r="BF416" i="4"/>
  <c r="BJ415" i="4"/>
  <c r="BL415" i="4"/>
  <c r="BK415" i="4"/>
  <c r="BB418" i="4"/>
  <c r="BA419" i="4"/>
  <c r="BM416" i="4"/>
  <c r="BI416" i="4"/>
  <c r="BN416" i="4"/>
  <c r="BE417" i="4"/>
  <c r="BH417" i="4"/>
  <c r="O53" i="17" l="1"/>
  <c r="Q53" i="17"/>
  <c r="P53" i="17"/>
  <c r="N54" i="17"/>
  <c r="R54" i="17"/>
  <c r="S54" i="17"/>
  <c r="M55" i="17"/>
  <c r="AA419" i="16"/>
  <c r="Z419" i="16"/>
  <c r="V419" i="16"/>
  <c r="U420" i="16"/>
  <c r="W418" i="16"/>
  <c r="Y418" i="16"/>
  <c r="X418" i="16"/>
  <c r="BN417" i="4"/>
  <c r="BM417" i="4"/>
  <c r="BI417" i="4"/>
  <c r="BB419" i="4"/>
  <c r="BA420" i="4"/>
  <c r="BG417" i="4"/>
  <c r="BF417" i="4"/>
  <c r="BH418" i="4"/>
  <c r="BE418" i="4"/>
  <c r="BL416" i="4"/>
  <c r="BK416" i="4"/>
  <c r="BJ416" i="4"/>
  <c r="Q54" i="17" l="1"/>
  <c r="P54" i="17"/>
  <c r="O54" i="17"/>
  <c r="R55" i="17"/>
  <c r="N55" i="17"/>
  <c r="S55" i="17"/>
  <c r="M56" i="17"/>
  <c r="Y419" i="16"/>
  <c r="W419" i="16"/>
  <c r="X419" i="16"/>
  <c r="AA420" i="16"/>
  <c r="Z420" i="16"/>
  <c r="V420" i="16"/>
  <c r="U421" i="16"/>
  <c r="BE419" i="4"/>
  <c r="BH419" i="4"/>
  <c r="BB420" i="4"/>
  <c r="BA421" i="4"/>
  <c r="BI418" i="4"/>
  <c r="BN418" i="4"/>
  <c r="BM418" i="4"/>
  <c r="BJ417" i="4"/>
  <c r="BL417" i="4"/>
  <c r="BK417" i="4"/>
  <c r="BG418" i="4"/>
  <c r="BF418" i="4"/>
  <c r="R56" i="17" l="1"/>
  <c r="N56" i="17"/>
  <c r="S56" i="17"/>
  <c r="M57" i="17"/>
  <c r="O55" i="17"/>
  <c r="Q55" i="17"/>
  <c r="P55" i="17"/>
  <c r="Y420" i="16"/>
  <c r="W420" i="16"/>
  <c r="X420" i="16"/>
  <c r="V421" i="16"/>
  <c r="Z421" i="16"/>
  <c r="AA421" i="16"/>
  <c r="U422" i="16"/>
  <c r="BL418" i="4"/>
  <c r="BK418" i="4"/>
  <c r="BJ418" i="4"/>
  <c r="BA422" i="4"/>
  <c r="BB421" i="4"/>
  <c r="BH420" i="4"/>
  <c r="BE420" i="4"/>
  <c r="BN419" i="4"/>
  <c r="BM419" i="4"/>
  <c r="BI419" i="4"/>
  <c r="BF419" i="4"/>
  <c r="BG419" i="4"/>
  <c r="R57" i="17" l="1"/>
  <c r="N57" i="17"/>
  <c r="S57" i="17"/>
  <c r="M58" i="17"/>
  <c r="P56" i="17"/>
  <c r="O56" i="17"/>
  <c r="Q56" i="17"/>
  <c r="AA422" i="16"/>
  <c r="Z422" i="16"/>
  <c r="V422" i="16"/>
  <c r="U423" i="16"/>
  <c r="Y421" i="16"/>
  <c r="W421" i="16"/>
  <c r="X421" i="16"/>
  <c r="BF420" i="4"/>
  <c r="BG420" i="4"/>
  <c r="BB422" i="4"/>
  <c r="BA423" i="4"/>
  <c r="BH421" i="4"/>
  <c r="BE421" i="4"/>
  <c r="BL419" i="4"/>
  <c r="BK419" i="4"/>
  <c r="BJ419" i="4"/>
  <c r="BN420" i="4"/>
  <c r="BI420" i="4"/>
  <c r="BM420" i="4"/>
  <c r="R58" i="17" l="1"/>
  <c r="S58" i="17"/>
  <c r="N58" i="17"/>
  <c r="M59" i="17"/>
  <c r="P57" i="17"/>
  <c r="Q57" i="17"/>
  <c r="O57" i="17"/>
  <c r="Z423" i="16"/>
  <c r="V423" i="16"/>
  <c r="AA423" i="16"/>
  <c r="U424" i="16"/>
  <c r="Y422" i="16"/>
  <c r="W422" i="16"/>
  <c r="X422" i="16"/>
  <c r="BN421" i="4"/>
  <c r="BI421" i="4"/>
  <c r="BM421" i="4"/>
  <c r="BA424" i="4"/>
  <c r="BB423" i="4"/>
  <c r="BE422" i="4"/>
  <c r="BH422" i="4"/>
  <c r="BF421" i="4"/>
  <c r="BG421" i="4"/>
  <c r="BK420" i="4"/>
  <c r="BJ420" i="4"/>
  <c r="BL420" i="4"/>
  <c r="R59" i="17" l="1"/>
  <c r="S59" i="17"/>
  <c r="N59" i="17"/>
  <c r="M60" i="17"/>
  <c r="P58" i="17"/>
  <c r="O58" i="17"/>
  <c r="Q58" i="17"/>
  <c r="X423" i="16"/>
  <c r="Y423" i="16"/>
  <c r="W423" i="16"/>
  <c r="AA424" i="16"/>
  <c r="Z424" i="16"/>
  <c r="V424" i="16"/>
  <c r="U425" i="16"/>
  <c r="BE423" i="4"/>
  <c r="BH423" i="4"/>
  <c r="BA425" i="4"/>
  <c r="BB424" i="4"/>
  <c r="BF422" i="4"/>
  <c r="BG422" i="4"/>
  <c r="BK421" i="4"/>
  <c r="BJ421" i="4"/>
  <c r="BL421" i="4"/>
  <c r="BN422" i="4"/>
  <c r="BM422" i="4"/>
  <c r="BI422" i="4"/>
  <c r="R60" i="17" l="1"/>
  <c r="S60" i="17"/>
  <c r="N60" i="17"/>
  <c r="M61" i="17"/>
  <c r="P59" i="17"/>
  <c r="O59" i="17"/>
  <c r="Q59" i="17"/>
  <c r="W424" i="16"/>
  <c r="X424" i="16"/>
  <c r="Y424" i="16"/>
  <c r="V425" i="16"/>
  <c r="Z425" i="16"/>
  <c r="AA425" i="16"/>
  <c r="U426" i="16"/>
  <c r="BA426" i="4"/>
  <c r="BB426" i="4" s="1"/>
  <c r="BB425" i="4"/>
  <c r="BH424" i="4"/>
  <c r="BE424" i="4"/>
  <c r="BN423" i="4"/>
  <c r="BM423" i="4"/>
  <c r="BI423" i="4"/>
  <c r="BL422" i="4"/>
  <c r="BK422" i="4"/>
  <c r="BJ422" i="4"/>
  <c r="BF423" i="4"/>
  <c r="BG423" i="4"/>
  <c r="P60" i="17" l="1"/>
  <c r="O60" i="17"/>
  <c r="Q60" i="17"/>
  <c r="R61" i="17"/>
  <c r="S61" i="17"/>
  <c r="N61" i="17"/>
  <c r="M62" i="17"/>
  <c r="V426" i="16"/>
  <c r="AA426" i="16"/>
  <c r="Z426" i="16"/>
  <c r="U427" i="16"/>
  <c r="Y425" i="16"/>
  <c r="W425" i="16"/>
  <c r="X425" i="16"/>
  <c r="BL423" i="4"/>
  <c r="BK423" i="4"/>
  <c r="BJ423" i="4"/>
  <c r="BF424" i="4"/>
  <c r="BG424" i="4"/>
  <c r="BN424" i="4"/>
  <c r="BI424" i="4"/>
  <c r="BM424" i="4"/>
  <c r="BE425" i="4"/>
  <c r="BH425" i="4"/>
  <c r="BH426" i="4" s="1"/>
  <c r="BH427" i="4" s="1"/>
  <c r="BE427" i="4"/>
  <c r="BE426" i="4"/>
  <c r="P61" i="17" l="1"/>
  <c r="O61" i="17"/>
  <c r="Q61" i="17"/>
  <c r="R62" i="17"/>
  <c r="S62" i="17"/>
  <c r="N62" i="17"/>
  <c r="M63" i="17"/>
  <c r="Z427" i="16"/>
  <c r="V427" i="16"/>
  <c r="AA427" i="16"/>
  <c r="U428" i="16"/>
  <c r="Y426" i="16"/>
  <c r="X426" i="16"/>
  <c r="W426" i="16"/>
  <c r="BK424" i="4"/>
  <c r="BJ424" i="4"/>
  <c r="BL424" i="4"/>
  <c r="BI427" i="4"/>
  <c r="BN427" i="4"/>
  <c r="BM427" i="4"/>
  <c r="BH428" i="4"/>
  <c r="BN426" i="4"/>
  <c r="BI426" i="4"/>
  <c r="BM426" i="4"/>
  <c r="BN425" i="4"/>
  <c r="BM425" i="4"/>
  <c r="BI425" i="4"/>
  <c r="BF425" i="4"/>
  <c r="BF426" i="4" s="1"/>
  <c r="BF427" i="4" s="1"/>
  <c r="BG425" i="4"/>
  <c r="BG426" i="4" s="1"/>
  <c r="BG427" i="4" s="1"/>
  <c r="BG428" i="4" s="1"/>
  <c r="BG429" i="4" s="1"/>
  <c r="BG430" i="4" s="1"/>
  <c r="BG431" i="4" s="1"/>
  <c r="BG432" i="4" s="1"/>
  <c r="BG433" i="4" s="1"/>
  <c r="BG434" i="4" s="1"/>
  <c r="BG435" i="4" s="1"/>
  <c r="BG436" i="4" s="1"/>
  <c r="BG437" i="4" s="1"/>
  <c r="BG438" i="4" s="1"/>
  <c r="BG439" i="4" s="1"/>
  <c r="BG440" i="4" s="1"/>
  <c r="BG441" i="4" s="1"/>
  <c r="BG442" i="4" s="1"/>
  <c r="BG443" i="4" s="1"/>
  <c r="BG444" i="4" s="1"/>
  <c r="BG445" i="4" s="1"/>
  <c r="BG446" i="4" s="1"/>
  <c r="BG447" i="4" s="1"/>
  <c r="BG448" i="4" s="1"/>
  <c r="BG449" i="4" s="1"/>
  <c r="BG450" i="4" s="1"/>
  <c r="BG451" i="4" s="1"/>
  <c r="BG452" i="4" s="1"/>
  <c r="BG453" i="4" s="1"/>
  <c r="BG454" i="4" s="1"/>
  <c r="BG455" i="4" s="1"/>
  <c r="BG456" i="4" s="1"/>
  <c r="BG457" i="4" s="1"/>
  <c r="BG458" i="4" s="1"/>
  <c r="BG459" i="4" s="1"/>
  <c r="BG460" i="4" s="1"/>
  <c r="BG461" i="4" s="1"/>
  <c r="BG462" i="4" s="1"/>
  <c r="BG463" i="4" s="1"/>
  <c r="BG464" i="4" s="1"/>
  <c r="BG465" i="4" s="1"/>
  <c r="BG466" i="4" s="1"/>
  <c r="BG467" i="4" s="1"/>
  <c r="BG468" i="4" s="1"/>
  <c r="BG469" i="4" s="1"/>
  <c r="BG470" i="4" s="1"/>
  <c r="BG471" i="4" s="1"/>
  <c r="BG472" i="4" s="1"/>
  <c r="BG473" i="4" s="1"/>
  <c r="BG474" i="4" s="1"/>
  <c r="BG475" i="4" s="1"/>
  <c r="BG476" i="4" s="1"/>
  <c r="BG477" i="4" s="1"/>
  <c r="BG478" i="4" s="1"/>
  <c r="BG479" i="4" s="1"/>
  <c r="BG480" i="4" s="1"/>
  <c r="BG481" i="4" s="1"/>
  <c r="BG482" i="4" s="1"/>
  <c r="BG483" i="4" s="1"/>
  <c r="BG484" i="4" s="1"/>
  <c r="BG485" i="4" s="1"/>
  <c r="BG486" i="4" s="1"/>
  <c r="BG487" i="4" s="1"/>
  <c r="BG488" i="4" s="1"/>
  <c r="BG489" i="4" s="1"/>
  <c r="BG490" i="4" s="1"/>
  <c r="BG491" i="4" s="1"/>
  <c r="BG492" i="4" s="1"/>
  <c r="BG493" i="4" s="1"/>
  <c r="BG494" i="4" s="1"/>
  <c r="BG495" i="4" s="1"/>
  <c r="BG496" i="4" s="1"/>
  <c r="BG497" i="4" s="1"/>
  <c r="BG498" i="4" s="1"/>
  <c r="BG499" i="4" s="1"/>
  <c r="BG500" i="4" s="1"/>
  <c r="BG501" i="4" s="1"/>
  <c r="BG502" i="4" s="1"/>
  <c r="BG503" i="4" s="1"/>
  <c r="BG504" i="4" s="1"/>
  <c r="BG505" i="4" s="1"/>
  <c r="BG506" i="4" s="1"/>
  <c r="BG507" i="4" s="1"/>
  <c r="BG508" i="4" s="1"/>
  <c r="BG509" i="4" s="1"/>
  <c r="BG510" i="4" s="1"/>
  <c r="BG511" i="4" s="1"/>
  <c r="BG512" i="4" s="1"/>
  <c r="BG513" i="4" s="1"/>
  <c r="BG514" i="4" s="1"/>
  <c r="BG515" i="4" s="1"/>
  <c r="BG516" i="4" s="1"/>
  <c r="BG517" i="4" s="1"/>
  <c r="BG518" i="4" s="1"/>
  <c r="BG519" i="4" s="1"/>
  <c r="BG520" i="4" s="1"/>
  <c r="BG521" i="4" s="1"/>
  <c r="BG522" i="4" s="1"/>
  <c r="BG523" i="4" s="1"/>
  <c r="BG524" i="4" s="1"/>
  <c r="BG525" i="4" s="1"/>
  <c r="BG526" i="4" s="1"/>
  <c r="BG527" i="4" s="1"/>
  <c r="BG528" i="4" s="1"/>
  <c r="BG529" i="4" s="1"/>
  <c r="BG530" i="4" s="1"/>
  <c r="BG531" i="4" s="1"/>
  <c r="BG532" i="4" s="1"/>
  <c r="BG533" i="4" s="1"/>
  <c r="BG534" i="4" s="1"/>
  <c r="BG535" i="4" s="1"/>
  <c r="BG536" i="4" s="1"/>
  <c r="BG537" i="4" s="1"/>
  <c r="BG538" i="4" s="1"/>
  <c r="BG539" i="4" s="1"/>
  <c r="BG540" i="4" s="1"/>
  <c r="BG541" i="4" s="1"/>
  <c r="BG542" i="4" s="1"/>
  <c r="BG543" i="4" s="1"/>
  <c r="BG544" i="4" s="1"/>
  <c r="BG545" i="4" s="1"/>
  <c r="BG546" i="4" s="1"/>
  <c r="BG547" i="4" s="1"/>
  <c r="BG548" i="4" s="1"/>
  <c r="BG549" i="4" s="1"/>
  <c r="BG550" i="4" s="1"/>
  <c r="BG551" i="4" s="1"/>
  <c r="P62" i="17" l="1"/>
  <c r="O62" i="17"/>
  <c r="Q62" i="17"/>
  <c r="S63" i="17"/>
  <c r="N63" i="17"/>
  <c r="R63" i="17"/>
  <c r="M64" i="17"/>
  <c r="W427" i="16"/>
  <c r="X427" i="16"/>
  <c r="Y427" i="16"/>
  <c r="Z428" i="16"/>
  <c r="V428" i="16"/>
  <c r="AA428" i="16"/>
  <c r="U429" i="16"/>
  <c r="BK425" i="4"/>
  <c r="BK426" i="4" s="1"/>
  <c r="BK427" i="4" s="1"/>
  <c r="BL425" i="4"/>
  <c r="BL426" i="4" s="1"/>
  <c r="BL427" i="4" s="1"/>
  <c r="BJ425" i="4"/>
  <c r="BJ426" i="4" s="1"/>
  <c r="BJ427" i="4" s="1"/>
  <c r="BI428" i="4"/>
  <c r="BM428" i="4"/>
  <c r="BN428" i="4"/>
  <c r="BH429" i="4"/>
  <c r="S64" i="17" l="1"/>
  <c r="R64" i="17"/>
  <c r="N64" i="17"/>
  <c r="M65" i="17"/>
  <c r="Q63" i="17"/>
  <c r="P63" i="17"/>
  <c r="O63" i="17"/>
  <c r="Z429" i="16"/>
  <c r="V429" i="16"/>
  <c r="AA429" i="16"/>
  <c r="U430" i="16"/>
  <c r="W428" i="16"/>
  <c r="Y428" i="16"/>
  <c r="X428" i="16"/>
  <c r="BI429" i="4"/>
  <c r="BN429" i="4"/>
  <c r="BM429" i="4"/>
  <c r="BH430" i="4"/>
  <c r="BL428" i="4"/>
  <c r="BK428" i="4"/>
  <c r="BJ428" i="4"/>
  <c r="S65" i="17" l="1"/>
  <c r="N65" i="17"/>
  <c r="R65" i="17"/>
  <c r="M66" i="17"/>
  <c r="Q64" i="17"/>
  <c r="P64" i="17"/>
  <c r="O64" i="17"/>
  <c r="W429" i="16"/>
  <c r="Y429" i="16"/>
  <c r="X429" i="16"/>
  <c r="Z430" i="16"/>
  <c r="V430" i="16"/>
  <c r="AA430" i="16"/>
  <c r="U431" i="16"/>
  <c r="BI430" i="4"/>
  <c r="BM430" i="4"/>
  <c r="BN430" i="4"/>
  <c r="BH431" i="4"/>
  <c r="BL429" i="4"/>
  <c r="BK429" i="4"/>
  <c r="BJ429" i="4"/>
  <c r="Q65" i="17" l="1"/>
  <c r="P65" i="17"/>
  <c r="O65" i="17"/>
  <c r="S66" i="17"/>
  <c r="R66" i="17"/>
  <c r="N66" i="17"/>
  <c r="M67" i="17"/>
  <c r="W430" i="16"/>
  <c r="Y430" i="16"/>
  <c r="X430" i="16"/>
  <c r="Z431" i="16"/>
  <c r="V431" i="16"/>
  <c r="AA431" i="16"/>
  <c r="U432" i="16"/>
  <c r="BI431" i="4"/>
  <c r="BN431" i="4"/>
  <c r="BM431" i="4"/>
  <c r="BH432" i="4"/>
  <c r="BL430" i="4"/>
  <c r="BK430" i="4"/>
  <c r="BJ430" i="4"/>
  <c r="S67" i="17" l="1"/>
  <c r="N67" i="17"/>
  <c r="R67" i="17"/>
  <c r="M68" i="17"/>
  <c r="Q66" i="17"/>
  <c r="P66" i="17"/>
  <c r="O66" i="17"/>
  <c r="Z432" i="16"/>
  <c r="V432" i="16"/>
  <c r="AA432" i="16"/>
  <c r="U433" i="16"/>
  <c r="W431" i="16"/>
  <c r="Y431" i="16"/>
  <c r="X431" i="16"/>
  <c r="BI432" i="4"/>
  <c r="BM432" i="4"/>
  <c r="BN432" i="4"/>
  <c r="BH433" i="4"/>
  <c r="BL431" i="4"/>
  <c r="BK431" i="4"/>
  <c r="BJ431" i="4"/>
  <c r="S68" i="17" l="1"/>
  <c r="R68" i="17"/>
  <c r="N68" i="17"/>
  <c r="M69" i="17"/>
  <c r="Q67" i="17"/>
  <c r="P67" i="17"/>
  <c r="O67" i="17"/>
  <c r="W432" i="16"/>
  <c r="Y432" i="16"/>
  <c r="X432" i="16"/>
  <c r="Z433" i="16"/>
  <c r="V433" i="16"/>
  <c r="AA433" i="16"/>
  <c r="U434" i="16"/>
  <c r="BI433" i="4"/>
  <c r="BN433" i="4"/>
  <c r="BM433" i="4"/>
  <c r="BH434" i="4"/>
  <c r="BL432" i="4"/>
  <c r="BK432" i="4"/>
  <c r="BJ432" i="4"/>
  <c r="S69" i="17" l="1"/>
  <c r="N69" i="17"/>
  <c r="R69" i="17"/>
  <c r="M70" i="17"/>
  <c r="Q68" i="17"/>
  <c r="P68" i="17"/>
  <c r="O68" i="17"/>
  <c r="Z434" i="16"/>
  <c r="V434" i="16"/>
  <c r="AA434" i="16"/>
  <c r="U435" i="16"/>
  <c r="W433" i="16"/>
  <c r="X433" i="16"/>
  <c r="Y433" i="16"/>
  <c r="BI434" i="4"/>
  <c r="BM434" i="4"/>
  <c r="BN434" i="4"/>
  <c r="BH435" i="4"/>
  <c r="BL433" i="4"/>
  <c r="BK433" i="4"/>
  <c r="BJ433" i="4"/>
  <c r="S70" i="17" l="1"/>
  <c r="R70" i="17"/>
  <c r="N70" i="17"/>
  <c r="M71" i="17"/>
  <c r="Q69" i="17"/>
  <c r="P69" i="17"/>
  <c r="O69" i="17"/>
  <c r="Z435" i="16"/>
  <c r="V435" i="16"/>
  <c r="AA435" i="16"/>
  <c r="U436" i="16"/>
  <c r="X434" i="16"/>
  <c r="W434" i="16"/>
  <c r="Y434" i="16"/>
  <c r="BN435" i="4"/>
  <c r="BI435" i="4"/>
  <c r="BM435" i="4"/>
  <c r="BH436" i="4"/>
  <c r="BL434" i="4"/>
  <c r="BK434" i="4"/>
  <c r="BJ434" i="4"/>
  <c r="S71" i="17" l="1"/>
  <c r="N71" i="17"/>
  <c r="R71" i="17"/>
  <c r="M72" i="17"/>
  <c r="Q70" i="17"/>
  <c r="P70" i="17"/>
  <c r="O70" i="17"/>
  <c r="Z436" i="16"/>
  <c r="V436" i="16"/>
  <c r="AA436" i="16"/>
  <c r="U437" i="16"/>
  <c r="X435" i="16"/>
  <c r="W435" i="16"/>
  <c r="Y435" i="16"/>
  <c r="BN436" i="4"/>
  <c r="BI436" i="4"/>
  <c r="BM436" i="4"/>
  <c r="BH437" i="4"/>
  <c r="BL435" i="4"/>
  <c r="BJ435" i="4"/>
  <c r="BK435" i="4"/>
  <c r="S72" i="17" l="1"/>
  <c r="R72" i="17"/>
  <c r="N72" i="17"/>
  <c r="M73" i="17"/>
  <c r="Q71" i="17"/>
  <c r="P71" i="17"/>
  <c r="O71" i="17"/>
  <c r="X436" i="16"/>
  <c r="W436" i="16"/>
  <c r="Y436" i="16"/>
  <c r="Z437" i="16"/>
  <c r="V437" i="16"/>
  <c r="AA437" i="16"/>
  <c r="U438" i="16"/>
  <c r="BN437" i="4"/>
  <c r="BI437" i="4"/>
  <c r="BM437" i="4"/>
  <c r="BH438" i="4"/>
  <c r="BL436" i="4"/>
  <c r="BK436" i="4"/>
  <c r="BJ436" i="4"/>
  <c r="S73" i="17" l="1"/>
  <c r="R73" i="17"/>
  <c r="N73" i="17"/>
  <c r="M74" i="17"/>
  <c r="Q72" i="17"/>
  <c r="P72" i="17"/>
  <c r="O72" i="17"/>
  <c r="Z438" i="16"/>
  <c r="V438" i="16"/>
  <c r="AA438" i="16"/>
  <c r="U439" i="16"/>
  <c r="X437" i="16"/>
  <c r="W437" i="16"/>
  <c r="Y437" i="16"/>
  <c r="BL437" i="4"/>
  <c r="BK437" i="4"/>
  <c r="BJ437" i="4"/>
  <c r="BN438" i="4"/>
  <c r="BI438" i="4"/>
  <c r="BM438" i="4"/>
  <c r="BH439" i="4"/>
  <c r="S74" i="17" l="1"/>
  <c r="R74" i="17"/>
  <c r="N74" i="17"/>
  <c r="M75" i="17"/>
  <c r="Q73" i="17"/>
  <c r="P73" i="17"/>
  <c r="O73" i="17"/>
  <c r="Z439" i="16"/>
  <c r="V439" i="16"/>
  <c r="AA439" i="16"/>
  <c r="U440" i="16"/>
  <c r="X438" i="16"/>
  <c r="W438" i="16"/>
  <c r="Y438" i="16"/>
  <c r="BN439" i="4"/>
  <c r="BI439" i="4"/>
  <c r="BM439" i="4"/>
  <c r="BH440" i="4"/>
  <c r="BL438" i="4"/>
  <c r="BK438" i="4"/>
  <c r="BJ438" i="4"/>
  <c r="S75" i="17" l="1"/>
  <c r="R75" i="17"/>
  <c r="N75" i="17"/>
  <c r="M76" i="17"/>
  <c r="Q74" i="17"/>
  <c r="P74" i="17"/>
  <c r="O74" i="17"/>
  <c r="X439" i="16"/>
  <c r="W439" i="16"/>
  <c r="Y439" i="16"/>
  <c r="Z440" i="16"/>
  <c r="V440" i="16"/>
  <c r="AA440" i="16"/>
  <c r="U441" i="16"/>
  <c r="BN440" i="4"/>
  <c r="BI440" i="4"/>
  <c r="BM440" i="4"/>
  <c r="BH441" i="4"/>
  <c r="BL439" i="4"/>
  <c r="BK439" i="4"/>
  <c r="BJ439" i="4"/>
  <c r="S76" i="17" l="1"/>
  <c r="R76" i="17"/>
  <c r="N76" i="17"/>
  <c r="M77" i="17"/>
  <c r="P75" i="17"/>
  <c r="O75" i="17"/>
  <c r="Q75" i="17"/>
  <c r="AA441" i="16"/>
  <c r="Z441" i="16"/>
  <c r="V441" i="16"/>
  <c r="U442" i="16"/>
  <c r="X440" i="16"/>
  <c r="W440" i="16"/>
  <c r="Y440" i="16"/>
  <c r="BN441" i="4"/>
  <c r="BI441" i="4"/>
  <c r="BM441" i="4"/>
  <c r="BH442" i="4"/>
  <c r="BL440" i="4"/>
  <c r="BK440" i="4"/>
  <c r="BJ440" i="4"/>
  <c r="S77" i="17" l="1"/>
  <c r="R77" i="17"/>
  <c r="N77" i="17"/>
  <c r="M78" i="17"/>
  <c r="Q76" i="17"/>
  <c r="P76" i="17"/>
  <c r="O76" i="17"/>
  <c r="AA442" i="16"/>
  <c r="Z442" i="16"/>
  <c r="V442" i="16"/>
  <c r="U443" i="16"/>
  <c r="X441" i="16"/>
  <c r="W441" i="16"/>
  <c r="Y441" i="16"/>
  <c r="BN442" i="4"/>
  <c r="BI442" i="4"/>
  <c r="BM442" i="4"/>
  <c r="BH443" i="4"/>
  <c r="BL441" i="4"/>
  <c r="BK441" i="4"/>
  <c r="BJ441" i="4"/>
  <c r="Q77" i="17" l="1"/>
  <c r="O77" i="17"/>
  <c r="P77" i="17"/>
  <c r="S78" i="17"/>
  <c r="R78" i="17"/>
  <c r="N78" i="17"/>
  <c r="M79" i="17"/>
  <c r="AA443" i="16"/>
  <c r="Z443" i="16"/>
  <c r="V443" i="16"/>
  <c r="U444" i="16"/>
  <c r="X442" i="16"/>
  <c r="W442" i="16"/>
  <c r="Y442" i="16"/>
  <c r="BM443" i="4"/>
  <c r="BI443" i="4"/>
  <c r="BN443" i="4"/>
  <c r="BH444" i="4"/>
  <c r="BL442" i="4"/>
  <c r="BK442" i="4"/>
  <c r="BJ442" i="4"/>
  <c r="S79" i="17" l="1"/>
  <c r="N79" i="17"/>
  <c r="R79" i="17"/>
  <c r="M80" i="17"/>
  <c r="Q78" i="17"/>
  <c r="P78" i="17"/>
  <c r="O78" i="17"/>
  <c r="AA444" i="16"/>
  <c r="V444" i="16"/>
  <c r="Z444" i="16"/>
  <c r="U445" i="16"/>
  <c r="Y443" i="16"/>
  <c r="X443" i="16"/>
  <c r="W443" i="16"/>
  <c r="BN444" i="4"/>
  <c r="BI444" i="4"/>
  <c r="BM444" i="4"/>
  <c r="BH445" i="4"/>
  <c r="BJ443" i="4"/>
  <c r="BL443" i="4"/>
  <c r="BK443" i="4"/>
  <c r="S80" i="17" l="1"/>
  <c r="R80" i="17"/>
  <c r="N80" i="17"/>
  <c r="M81" i="17"/>
  <c r="Q79" i="17"/>
  <c r="P79" i="17"/>
  <c r="O79" i="17"/>
  <c r="V445" i="16"/>
  <c r="Z445" i="16"/>
  <c r="AA445" i="16"/>
  <c r="U446" i="16"/>
  <c r="W444" i="16"/>
  <c r="Y444" i="16"/>
  <c r="X444" i="16"/>
  <c r="BN445" i="4"/>
  <c r="BM445" i="4"/>
  <c r="BI445" i="4"/>
  <c r="BH446" i="4"/>
  <c r="BL444" i="4"/>
  <c r="BK444" i="4"/>
  <c r="BJ444" i="4"/>
  <c r="S81" i="17" l="1"/>
  <c r="R81" i="17"/>
  <c r="N81" i="17"/>
  <c r="M82" i="17"/>
  <c r="Q80" i="17"/>
  <c r="P80" i="17"/>
  <c r="O80" i="17"/>
  <c r="AA446" i="16"/>
  <c r="Z446" i="16"/>
  <c r="V446" i="16"/>
  <c r="U447" i="16"/>
  <c r="Y445" i="16"/>
  <c r="X445" i="16"/>
  <c r="W445" i="16"/>
  <c r="BM446" i="4"/>
  <c r="BI446" i="4"/>
  <c r="BN446" i="4"/>
  <c r="BH447" i="4"/>
  <c r="BK445" i="4"/>
  <c r="BJ445" i="4"/>
  <c r="BL445" i="4"/>
  <c r="R82" i="17" l="1"/>
  <c r="S82" i="17"/>
  <c r="N82" i="17"/>
  <c r="M83" i="17"/>
  <c r="Q81" i="17"/>
  <c r="P81" i="17"/>
  <c r="O81" i="17"/>
  <c r="AA447" i="16"/>
  <c r="V447" i="16"/>
  <c r="Z447" i="16"/>
  <c r="U448" i="16"/>
  <c r="X446" i="16"/>
  <c r="W446" i="16"/>
  <c r="Y446" i="16"/>
  <c r="BI447" i="4"/>
  <c r="BN447" i="4"/>
  <c r="BM447" i="4"/>
  <c r="BH448" i="4"/>
  <c r="BL446" i="4"/>
  <c r="BJ446" i="4"/>
  <c r="BK446" i="4"/>
  <c r="N83" i="17" l="1"/>
  <c r="S83" i="17"/>
  <c r="R83" i="17"/>
  <c r="M84" i="17"/>
  <c r="Q82" i="17"/>
  <c r="P82" i="17"/>
  <c r="O82" i="17"/>
  <c r="W447" i="16"/>
  <c r="X447" i="16"/>
  <c r="Y447" i="16"/>
  <c r="V448" i="16"/>
  <c r="AA448" i="16"/>
  <c r="Z448" i="16"/>
  <c r="U449" i="16"/>
  <c r="BM448" i="4"/>
  <c r="BI448" i="4"/>
  <c r="BN448" i="4"/>
  <c r="BH449" i="4"/>
  <c r="BL447" i="4"/>
  <c r="BK447" i="4"/>
  <c r="BJ447" i="4"/>
  <c r="N84" i="17" l="1"/>
  <c r="S84" i="17"/>
  <c r="R84" i="17"/>
  <c r="M85" i="17"/>
  <c r="Q83" i="17"/>
  <c r="P83" i="17"/>
  <c r="O83" i="17"/>
  <c r="Z449" i="16"/>
  <c r="V449" i="16"/>
  <c r="AA449" i="16"/>
  <c r="U450" i="16"/>
  <c r="Y448" i="16"/>
  <c r="X448" i="16"/>
  <c r="W448" i="16"/>
  <c r="BK448" i="4"/>
  <c r="BJ448" i="4"/>
  <c r="BL448" i="4"/>
  <c r="BI449" i="4"/>
  <c r="BN449" i="4"/>
  <c r="BM449" i="4"/>
  <c r="BH450" i="4"/>
  <c r="N85" i="17" l="1"/>
  <c r="R85" i="17"/>
  <c r="S85" i="17"/>
  <c r="M86" i="17"/>
  <c r="P84" i="17"/>
  <c r="O84" i="17"/>
  <c r="Q84" i="17"/>
  <c r="AA450" i="16"/>
  <c r="Z450" i="16"/>
  <c r="V450" i="16"/>
  <c r="U451" i="16"/>
  <c r="Y449" i="16"/>
  <c r="X449" i="16"/>
  <c r="W449" i="16"/>
  <c r="BJ449" i="4"/>
  <c r="BL449" i="4"/>
  <c r="BK449" i="4"/>
  <c r="BI450" i="4"/>
  <c r="BN450" i="4"/>
  <c r="BM450" i="4"/>
  <c r="BH451" i="4"/>
  <c r="N86" i="17" l="1"/>
  <c r="S86" i="17"/>
  <c r="R86" i="17"/>
  <c r="M87" i="17"/>
  <c r="O85" i="17"/>
  <c r="Q85" i="17"/>
  <c r="P85" i="17"/>
  <c r="AA451" i="16"/>
  <c r="Z451" i="16"/>
  <c r="V451" i="16"/>
  <c r="U452" i="16"/>
  <c r="Y450" i="16"/>
  <c r="X450" i="16"/>
  <c r="W450" i="16"/>
  <c r="BK450" i="4"/>
  <c r="BL450" i="4"/>
  <c r="BJ450" i="4"/>
  <c r="BM451" i="4"/>
  <c r="BN451" i="4"/>
  <c r="BI451" i="4"/>
  <c r="BH452" i="4"/>
  <c r="S87" i="17" l="1"/>
  <c r="R87" i="17"/>
  <c r="N87" i="17"/>
  <c r="M88" i="17"/>
  <c r="Q86" i="17"/>
  <c r="P86" i="17"/>
  <c r="O86" i="17"/>
  <c r="Z452" i="16"/>
  <c r="V452" i="16"/>
  <c r="AA452" i="16"/>
  <c r="U453" i="16"/>
  <c r="Y451" i="16"/>
  <c r="X451" i="16"/>
  <c r="W451" i="16"/>
  <c r="BN452" i="4"/>
  <c r="BI452" i="4"/>
  <c r="BM452" i="4"/>
  <c r="BH453" i="4"/>
  <c r="BL451" i="4"/>
  <c r="BJ451" i="4"/>
  <c r="BK451" i="4"/>
  <c r="P87" i="17" l="1"/>
  <c r="Q87" i="17"/>
  <c r="O87" i="17"/>
  <c r="S88" i="17"/>
  <c r="R88" i="17"/>
  <c r="N88" i="17"/>
  <c r="M89" i="17"/>
  <c r="X452" i="16"/>
  <c r="W452" i="16"/>
  <c r="Y452" i="16"/>
  <c r="V453" i="16"/>
  <c r="AA453" i="16"/>
  <c r="Z453" i="16"/>
  <c r="U454" i="16"/>
  <c r="BL452" i="4"/>
  <c r="BK452" i="4"/>
  <c r="BJ452" i="4"/>
  <c r="BN453" i="4"/>
  <c r="BM453" i="4"/>
  <c r="BI453" i="4"/>
  <c r="BH454" i="4"/>
  <c r="S89" i="17" l="1"/>
  <c r="R89" i="17"/>
  <c r="N89" i="17"/>
  <c r="M90" i="17"/>
  <c r="Q88" i="17"/>
  <c r="P88" i="17"/>
  <c r="O88" i="17"/>
  <c r="V454" i="16"/>
  <c r="AA454" i="16"/>
  <c r="Z454" i="16"/>
  <c r="U455" i="16"/>
  <c r="Y453" i="16"/>
  <c r="W453" i="16"/>
  <c r="X453" i="16"/>
  <c r="BK453" i="4"/>
  <c r="BJ453" i="4"/>
  <c r="BL453" i="4"/>
  <c r="BM454" i="4"/>
  <c r="BI454" i="4"/>
  <c r="BN454" i="4"/>
  <c r="BH455" i="4"/>
  <c r="R90" i="17" l="1"/>
  <c r="S90" i="17"/>
  <c r="N90" i="17"/>
  <c r="M91" i="17"/>
  <c r="Q89" i="17"/>
  <c r="P89" i="17"/>
  <c r="O89" i="17"/>
  <c r="AA455" i="16"/>
  <c r="Z455" i="16"/>
  <c r="V455" i="16"/>
  <c r="U456" i="16"/>
  <c r="X454" i="16"/>
  <c r="Y454" i="16"/>
  <c r="W454" i="16"/>
  <c r="BI455" i="4"/>
  <c r="BN455" i="4"/>
  <c r="BM455" i="4"/>
  <c r="BH456" i="4"/>
  <c r="BL454" i="4"/>
  <c r="BJ454" i="4"/>
  <c r="BK454" i="4"/>
  <c r="S91" i="17" l="1"/>
  <c r="N91" i="17"/>
  <c r="R91" i="17"/>
  <c r="M92" i="17"/>
  <c r="Q90" i="17"/>
  <c r="P90" i="17"/>
  <c r="O90" i="17"/>
  <c r="V456" i="16"/>
  <c r="AA456" i="16"/>
  <c r="Z456" i="16"/>
  <c r="U457" i="16"/>
  <c r="W455" i="16"/>
  <c r="Y455" i="16"/>
  <c r="X455" i="16"/>
  <c r="BM456" i="4"/>
  <c r="BN456" i="4"/>
  <c r="BI456" i="4"/>
  <c r="BH457" i="4"/>
  <c r="BL455" i="4"/>
  <c r="BK455" i="4"/>
  <c r="BJ455" i="4"/>
  <c r="Q91" i="17" l="1"/>
  <c r="P91" i="17"/>
  <c r="O91" i="17"/>
  <c r="R92" i="17"/>
  <c r="N92" i="17"/>
  <c r="S92" i="17"/>
  <c r="M93" i="17"/>
  <c r="AA457" i="16"/>
  <c r="Z457" i="16"/>
  <c r="V457" i="16"/>
  <c r="U458" i="16"/>
  <c r="X456" i="16"/>
  <c r="W456" i="16"/>
  <c r="Y456" i="16"/>
  <c r="BI457" i="4"/>
  <c r="BN457" i="4"/>
  <c r="BM457" i="4"/>
  <c r="BH458" i="4"/>
  <c r="BK456" i="4"/>
  <c r="BJ456" i="4"/>
  <c r="BL456" i="4"/>
  <c r="N93" i="17" l="1"/>
  <c r="S93" i="17"/>
  <c r="R93" i="17"/>
  <c r="M94" i="17"/>
  <c r="P92" i="17"/>
  <c r="O92" i="17"/>
  <c r="Q92" i="17"/>
  <c r="Z458" i="16"/>
  <c r="AA458" i="16"/>
  <c r="V458" i="16"/>
  <c r="U459" i="16"/>
  <c r="Y457" i="16"/>
  <c r="W457" i="16"/>
  <c r="X457" i="16"/>
  <c r="BI458" i="4"/>
  <c r="BN458" i="4"/>
  <c r="BM458" i="4"/>
  <c r="BH459" i="4"/>
  <c r="BJ457" i="4"/>
  <c r="BL457" i="4"/>
  <c r="BK457" i="4"/>
  <c r="N94" i="17" l="1"/>
  <c r="S94" i="17"/>
  <c r="R94" i="17"/>
  <c r="M95" i="17"/>
  <c r="Q93" i="17"/>
  <c r="O93" i="17"/>
  <c r="P93" i="17"/>
  <c r="Y458" i="16"/>
  <c r="X458" i="16"/>
  <c r="W458" i="16"/>
  <c r="AA459" i="16"/>
  <c r="Z459" i="16"/>
  <c r="V459" i="16"/>
  <c r="U460" i="16"/>
  <c r="BM459" i="4"/>
  <c r="BN459" i="4"/>
  <c r="BI459" i="4"/>
  <c r="BH460" i="4"/>
  <c r="BL458" i="4"/>
  <c r="BK458" i="4"/>
  <c r="BJ458" i="4"/>
  <c r="N95" i="17" l="1"/>
  <c r="R95" i="17"/>
  <c r="S95" i="17"/>
  <c r="M96" i="17"/>
  <c r="O94" i="17"/>
  <c r="Q94" i="17"/>
  <c r="P94" i="17"/>
  <c r="Y459" i="16"/>
  <c r="X459" i="16"/>
  <c r="W459" i="16"/>
  <c r="AA460" i="16"/>
  <c r="Z460" i="16"/>
  <c r="V460" i="16"/>
  <c r="U461" i="16"/>
  <c r="BN460" i="4"/>
  <c r="BI460" i="4"/>
  <c r="BM460" i="4"/>
  <c r="BH461" i="4"/>
  <c r="BL459" i="4"/>
  <c r="BK459" i="4"/>
  <c r="BJ459" i="4"/>
  <c r="S96" i="17" l="1"/>
  <c r="N96" i="17"/>
  <c r="R96" i="17"/>
  <c r="M97" i="17"/>
  <c r="P95" i="17"/>
  <c r="O95" i="17"/>
  <c r="Q95" i="17"/>
  <c r="Z461" i="16"/>
  <c r="V461" i="16"/>
  <c r="AA461" i="16"/>
  <c r="U462" i="16"/>
  <c r="X460" i="16"/>
  <c r="W460" i="16"/>
  <c r="Y460" i="16"/>
  <c r="BL460" i="4"/>
  <c r="BK460" i="4"/>
  <c r="BJ460" i="4"/>
  <c r="BN461" i="4"/>
  <c r="BM461" i="4"/>
  <c r="BI461" i="4"/>
  <c r="BH462" i="4"/>
  <c r="N97" i="17" l="1"/>
  <c r="R97" i="17"/>
  <c r="S97" i="17"/>
  <c r="M98" i="17"/>
  <c r="O96" i="17"/>
  <c r="Q96" i="17"/>
  <c r="P96" i="17"/>
  <c r="Y461" i="16"/>
  <c r="W461" i="16"/>
  <c r="X461" i="16"/>
  <c r="V462" i="16"/>
  <c r="AA462" i="16"/>
  <c r="Z462" i="16"/>
  <c r="U463" i="16"/>
  <c r="BK461" i="4"/>
  <c r="BJ461" i="4"/>
  <c r="BL461" i="4"/>
  <c r="BM462" i="4"/>
  <c r="BI462" i="4"/>
  <c r="BN462" i="4"/>
  <c r="BH463" i="4"/>
  <c r="S98" i="17" l="1"/>
  <c r="R98" i="17"/>
  <c r="N98" i="17"/>
  <c r="M99" i="17"/>
  <c r="Q97" i="17"/>
  <c r="P97" i="17"/>
  <c r="O97" i="17"/>
  <c r="AA463" i="16"/>
  <c r="Z463" i="16"/>
  <c r="V463" i="16"/>
  <c r="U464" i="16"/>
  <c r="Y462" i="16"/>
  <c r="X462" i="16"/>
  <c r="W462" i="16"/>
  <c r="BL462" i="4"/>
  <c r="BJ462" i="4"/>
  <c r="BK462" i="4"/>
  <c r="BI463" i="4"/>
  <c r="BN463" i="4"/>
  <c r="BM463" i="4"/>
  <c r="BH464" i="4"/>
  <c r="S99" i="17" l="1"/>
  <c r="R99" i="17"/>
  <c r="N99" i="17"/>
  <c r="M100" i="17"/>
  <c r="Q98" i="17"/>
  <c r="P98" i="17"/>
  <c r="O98" i="17"/>
  <c r="V464" i="16"/>
  <c r="AA464" i="16"/>
  <c r="Z464" i="16"/>
  <c r="U465" i="16"/>
  <c r="X463" i="16"/>
  <c r="W463" i="16"/>
  <c r="Y463" i="16"/>
  <c r="BL463" i="4"/>
  <c r="BK463" i="4"/>
  <c r="BJ463" i="4"/>
  <c r="BN464" i="4"/>
  <c r="BM464" i="4"/>
  <c r="BI464" i="4"/>
  <c r="BH465" i="4"/>
  <c r="S100" i="17" l="1"/>
  <c r="R100" i="17"/>
  <c r="N100" i="17"/>
  <c r="M101" i="17"/>
  <c r="P99" i="17"/>
  <c r="O99" i="17"/>
  <c r="Q99" i="17"/>
  <c r="V465" i="16"/>
  <c r="AA465" i="16"/>
  <c r="Z465" i="16"/>
  <c r="U466" i="16"/>
  <c r="W464" i="16"/>
  <c r="Y464" i="16"/>
  <c r="X464" i="16"/>
  <c r="BK464" i="4"/>
  <c r="BJ464" i="4"/>
  <c r="BL464" i="4"/>
  <c r="BI465" i="4"/>
  <c r="BN465" i="4"/>
  <c r="BM465" i="4"/>
  <c r="BH466" i="4"/>
  <c r="BH467" i="4" s="1"/>
  <c r="R101" i="17" l="1"/>
  <c r="N101" i="17"/>
  <c r="S101" i="17"/>
  <c r="M102" i="17"/>
  <c r="Q100" i="17"/>
  <c r="O100" i="17"/>
  <c r="P100" i="17"/>
  <c r="V466" i="16"/>
  <c r="AA466" i="16"/>
  <c r="Z466" i="16"/>
  <c r="U467" i="16"/>
  <c r="Y465" i="16"/>
  <c r="X465" i="16"/>
  <c r="W465" i="16"/>
  <c r="BI467" i="4"/>
  <c r="BN467" i="4"/>
  <c r="BM467" i="4"/>
  <c r="BH468" i="4"/>
  <c r="BJ465" i="4"/>
  <c r="BL465" i="4"/>
  <c r="BK465" i="4"/>
  <c r="BI466" i="4"/>
  <c r="BN466" i="4"/>
  <c r="BM466" i="4"/>
  <c r="Q101" i="17" l="1"/>
  <c r="P101" i="17"/>
  <c r="O101" i="17"/>
  <c r="R102" i="17"/>
  <c r="N102" i="17"/>
  <c r="S102" i="17"/>
  <c r="M103" i="17"/>
  <c r="Z467" i="16"/>
  <c r="AA467" i="16"/>
  <c r="V467" i="16"/>
  <c r="U468" i="16"/>
  <c r="Y466" i="16"/>
  <c r="X466" i="16"/>
  <c r="W466" i="16"/>
  <c r="BH469" i="4"/>
  <c r="BN468" i="4"/>
  <c r="BI468" i="4"/>
  <c r="BM468" i="4"/>
  <c r="BJ467" i="4"/>
  <c r="BL466" i="4"/>
  <c r="BL467" i="4" s="1"/>
  <c r="BK466" i="4"/>
  <c r="BK467" i="4" s="1"/>
  <c r="BJ466" i="4"/>
  <c r="Q102" i="17" l="1"/>
  <c r="P102" i="17"/>
  <c r="O102" i="17"/>
  <c r="S103" i="17"/>
  <c r="R103" i="17"/>
  <c r="N103" i="17"/>
  <c r="M104" i="17"/>
  <c r="AA468" i="16"/>
  <c r="Z468" i="16"/>
  <c r="V468" i="16"/>
  <c r="U469" i="16"/>
  <c r="Y467" i="16"/>
  <c r="X467" i="16"/>
  <c r="W467" i="16"/>
  <c r="BJ468" i="4"/>
  <c r="BK468" i="4"/>
  <c r="BL468" i="4"/>
  <c r="BM469" i="4"/>
  <c r="BN469" i="4"/>
  <c r="BI469" i="4"/>
  <c r="BH470" i="4"/>
  <c r="BK469" i="4" l="1"/>
  <c r="Q103" i="17"/>
  <c r="P103" i="17"/>
  <c r="O103" i="17"/>
  <c r="N104" i="17"/>
  <c r="S104" i="17"/>
  <c r="R104" i="17"/>
  <c r="M105" i="17"/>
  <c r="AA469" i="16"/>
  <c r="Z469" i="16"/>
  <c r="V469" i="16"/>
  <c r="U470" i="16"/>
  <c r="Y468" i="16"/>
  <c r="X468" i="16"/>
  <c r="W468" i="16"/>
  <c r="BM470" i="4"/>
  <c r="BN470" i="4"/>
  <c r="BI470" i="4"/>
  <c r="BH471" i="4"/>
  <c r="BL469" i="4"/>
  <c r="BJ469" i="4"/>
  <c r="N105" i="17" l="1"/>
  <c r="S105" i="17"/>
  <c r="R105" i="17"/>
  <c r="M106" i="17"/>
  <c r="Q104" i="17"/>
  <c r="P104" i="17"/>
  <c r="O104" i="17"/>
  <c r="Z470" i="16"/>
  <c r="V470" i="16"/>
  <c r="AA470" i="16"/>
  <c r="U471" i="16"/>
  <c r="X469" i="16"/>
  <c r="W469" i="16"/>
  <c r="Y469" i="16"/>
  <c r="BI471" i="4"/>
  <c r="BM471" i="4"/>
  <c r="BN471" i="4"/>
  <c r="BH472" i="4"/>
  <c r="BL470" i="4"/>
  <c r="BK470" i="4"/>
  <c r="BJ470" i="4"/>
  <c r="N106" i="17" l="1"/>
  <c r="R106" i="17"/>
  <c r="S106" i="17"/>
  <c r="M107" i="17"/>
  <c r="P105" i="17"/>
  <c r="O105" i="17"/>
  <c r="Q105" i="17"/>
  <c r="Y470" i="16"/>
  <c r="W470" i="16"/>
  <c r="X470" i="16"/>
  <c r="V471" i="16"/>
  <c r="AA471" i="16"/>
  <c r="Z471" i="16"/>
  <c r="U472" i="16"/>
  <c r="BN472" i="4"/>
  <c r="BI472" i="4"/>
  <c r="BM472" i="4"/>
  <c r="BH473" i="4"/>
  <c r="BK471" i="4"/>
  <c r="BJ471" i="4"/>
  <c r="BL471" i="4"/>
  <c r="N107" i="17" l="1"/>
  <c r="S107" i="17"/>
  <c r="R107" i="17"/>
  <c r="M108" i="17"/>
  <c r="O106" i="17"/>
  <c r="Q106" i="17"/>
  <c r="P106" i="17"/>
  <c r="Z472" i="16"/>
  <c r="AA472" i="16"/>
  <c r="V472" i="16"/>
  <c r="U473" i="16"/>
  <c r="X471" i="16"/>
  <c r="W471" i="16"/>
  <c r="Y471" i="16"/>
  <c r="BN473" i="4"/>
  <c r="BI473" i="4"/>
  <c r="BM473" i="4"/>
  <c r="BH474" i="4"/>
  <c r="BJ472" i="4"/>
  <c r="BK472" i="4"/>
  <c r="BL472" i="4"/>
  <c r="S108" i="17" l="1"/>
  <c r="R108" i="17"/>
  <c r="N108" i="17"/>
  <c r="M109" i="17"/>
  <c r="Q107" i="17"/>
  <c r="P107" i="17"/>
  <c r="O107" i="17"/>
  <c r="Y472" i="16"/>
  <c r="X472" i="16"/>
  <c r="W472" i="16"/>
  <c r="AA473" i="16"/>
  <c r="Z473" i="16"/>
  <c r="V473" i="16"/>
  <c r="U474" i="16"/>
  <c r="BI474" i="4"/>
  <c r="BN474" i="4"/>
  <c r="BM474" i="4"/>
  <c r="BH475" i="4"/>
  <c r="BH476" i="4" s="1"/>
  <c r="BJ473" i="4"/>
  <c r="BK473" i="4"/>
  <c r="BL473" i="4"/>
  <c r="S109" i="17" l="1"/>
  <c r="R109" i="17"/>
  <c r="N109" i="17"/>
  <c r="M110" i="17"/>
  <c r="P108" i="17"/>
  <c r="Q108" i="17"/>
  <c r="O108" i="17"/>
  <c r="AA474" i="16"/>
  <c r="Z474" i="16"/>
  <c r="V474" i="16"/>
  <c r="U475" i="16"/>
  <c r="Y473" i="16"/>
  <c r="X473" i="16"/>
  <c r="W473" i="16"/>
  <c r="BM476" i="4"/>
  <c r="BI476" i="4"/>
  <c r="BN476" i="4"/>
  <c r="BH477" i="4"/>
  <c r="BM475" i="4"/>
  <c r="BI475" i="4"/>
  <c r="BN475" i="4"/>
  <c r="BJ474" i="4"/>
  <c r="BK474" i="4"/>
  <c r="BL474" i="4"/>
  <c r="S110" i="17" l="1"/>
  <c r="R110" i="17"/>
  <c r="N110" i="17"/>
  <c r="M111" i="17"/>
  <c r="Q109" i="17"/>
  <c r="O109" i="17"/>
  <c r="P109" i="17"/>
  <c r="X474" i="16"/>
  <c r="W474" i="16"/>
  <c r="Y474" i="16"/>
  <c r="AA475" i="16"/>
  <c r="Z475" i="16"/>
  <c r="V475" i="16"/>
  <c r="U476" i="16"/>
  <c r="BI477" i="4"/>
  <c r="BN477" i="4"/>
  <c r="BM477" i="4"/>
  <c r="BH478" i="4"/>
  <c r="BH479" i="4" s="1"/>
  <c r="BL475" i="4"/>
  <c r="BL476" i="4" s="1"/>
  <c r="BK475" i="4"/>
  <c r="BK476" i="4" s="1"/>
  <c r="BJ475" i="4"/>
  <c r="BJ476" i="4" s="1"/>
  <c r="S111" i="17" l="1"/>
  <c r="R111" i="17"/>
  <c r="N111" i="17"/>
  <c r="M112" i="17"/>
  <c r="Q110" i="17"/>
  <c r="P110" i="17"/>
  <c r="O110" i="17"/>
  <c r="X475" i="16"/>
  <c r="W475" i="16"/>
  <c r="Y475" i="16"/>
  <c r="Z476" i="16"/>
  <c r="V476" i="16"/>
  <c r="AA476" i="16"/>
  <c r="U477" i="16"/>
  <c r="BN479" i="4"/>
  <c r="BM479" i="4"/>
  <c r="BI479" i="4"/>
  <c r="BH480" i="4"/>
  <c r="BI478" i="4"/>
  <c r="BN478" i="4"/>
  <c r="BM478" i="4"/>
  <c r="BJ477" i="4"/>
  <c r="BK477" i="4"/>
  <c r="BL477" i="4"/>
  <c r="N112" i="17" l="1"/>
  <c r="R112" i="17"/>
  <c r="S112" i="17"/>
  <c r="M113" i="17"/>
  <c r="Q111" i="17"/>
  <c r="P111" i="17"/>
  <c r="O111" i="17"/>
  <c r="V477" i="16"/>
  <c r="AA477" i="16"/>
  <c r="Z477" i="16"/>
  <c r="U478" i="16"/>
  <c r="Y476" i="16"/>
  <c r="X476" i="16"/>
  <c r="W476" i="16"/>
  <c r="BM480" i="4"/>
  <c r="BN480" i="4"/>
  <c r="BI480" i="4"/>
  <c r="BH481" i="4"/>
  <c r="BL478" i="4"/>
  <c r="BL479" i="4" s="1"/>
  <c r="BJ478" i="4"/>
  <c r="BJ479" i="4" s="1"/>
  <c r="BJ480" i="4" s="1"/>
  <c r="BK478" i="4"/>
  <c r="BK479" i="4" s="1"/>
  <c r="S113" i="17" l="1"/>
  <c r="R113" i="17"/>
  <c r="N113" i="17"/>
  <c r="M114" i="17"/>
  <c r="O112" i="17"/>
  <c r="Q112" i="17"/>
  <c r="P112" i="17"/>
  <c r="Z478" i="16"/>
  <c r="V478" i="16"/>
  <c r="AA478" i="16"/>
  <c r="U479" i="16"/>
  <c r="W477" i="16"/>
  <c r="Y477" i="16"/>
  <c r="X477" i="16"/>
  <c r="BK480" i="4"/>
  <c r="BL480" i="4"/>
  <c r="BM481" i="4"/>
  <c r="BN481" i="4"/>
  <c r="BI481" i="4"/>
  <c r="BH482" i="4"/>
  <c r="P113" i="17" l="1"/>
  <c r="Q113" i="17"/>
  <c r="O113" i="17"/>
  <c r="N114" i="17"/>
  <c r="S114" i="17"/>
  <c r="R114" i="17"/>
  <c r="M115" i="17"/>
  <c r="AA479" i="16"/>
  <c r="Z479" i="16"/>
  <c r="V479" i="16"/>
  <c r="U480" i="16"/>
  <c r="Y478" i="16"/>
  <c r="X478" i="16"/>
  <c r="W478" i="16"/>
  <c r="BN482" i="4"/>
  <c r="BI482" i="4"/>
  <c r="BM482" i="4"/>
  <c r="BH483" i="4"/>
  <c r="BK481" i="4"/>
  <c r="BJ481" i="4"/>
  <c r="BL481" i="4"/>
  <c r="S115" i="17" l="1"/>
  <c r="R115" i="17"/>
  <c r="N115" i="17"/>
  <c r="M116" i="17"/>
  <c r="O114" i="17"/>
  <c r="Q114" i="17"/>
  <c r="P114" i="17"/>
  <c r="V480" i="16"/>
  <c r="AA480" i="16"/>
  <c r="Z480" i="16"/>
  <c r="U481" i="16"/>
  <c r="Y479" i="16"/>
  <c r="X479" i="16"/>
  <c r="W479" i="16"/>
  <c r="BJ482" i="4"/>
  <c r="BK482" i="4"/>
  <c r="BL482" i="4"/>
  <c r="BI483" i="4"/>
  <c r="BN483" i="4"/>
  <c r="BM483" i="4"/>
  <c r="BH484" i="4"/>
  <c r="S116" i="17" l="1"/>
  <c r="R116" i="17"/>
  <c r="N116" i="17"/>
  <c r="M117" i="17"/>
  <c r="Q115" i="17"/>
  <c r="P115" i="17"/>
  <c r="O115" i="17"/>
  <c r="V481" i="16"/>
  <c r="AA481" i="16"/>
  <c r="Z481" i="16"/>
  <c r="U482" i="16"/>
  <c r="Y480" i="16"/>
  <c r="W480" i="16"/>
  <c r="X480" i="16"/>
  <c r="BJ483" i="4"/>
  <c r="BL483" i="4"/>
  <c r="BK483" i="4"/>
  <c r="BM484" i="4"/>
  <c r="BN484" i="4"/>
  <c r="BI484" i="4"/>
  <c r="BH485" i="4"/>
  <c r="O116" i="17" l="1"/>
  <c r="Q116" i="17"/>
  <c r="P116" i="17"/>
  <c r="S117" i="17"/>
  <c r="R117" i="17"/>
  <c r="N117" i="17"/>
  <c r="M118" i="17"/>
  <c r="AA482" i="16"/>
  <c r="Z482" i="16"/>
  <c r="V482" i="16"/>
  <c r="U483" i="16"/>
  <c r="X481" i="16"/>
  <c r="W481" i="16"/>
  <c r="Y481" i="16"/>
  <c r="BJ484" i="4"/>
  <c r="BL484" i="4"/>
  <c r="BK484" i="4"/>
  <c r="BN485" i="4"/>
  <c r="BM485" i="4"/>
  <c r="BI485" i="4"/>
  <c r="BH486" i="4"/>
  <c r="Q117" i="17" l="1"/>
  <c r="P117" i="17"/>
  <c r="O117" i="17"/>
  <c r="N118" i="17"/>
  <c r="R118" i="17"/>
  <c r="S118" i="17"/>
  <c r="M119" i="17"/>
  <c r="Y482" i="16"/>
  <c r="X482" i="16"/>
  <c r="W482" i="16"/>
  <c r="AA483" i="16"/>
  <c r="Z483" i="16"/>
  <c r="V483" i="16"/>
  <c r="U484" i="16"/>
  <c r="BI486" i="4"/>
  <c r="BN486" i="4"/>
  <c r="BM486" i="4"/>
  <c r="BH487" i="4"/>
  <c r="BH488" i="4" s="1"/>
  <c r="BJ485" i="4"/>
  <c r="BL485" i="4"/>
  <c r="BK485" i="4"/>
  <c r="R119" i="17" l="1"/>
  <c r="N119" i="17"/>
  <c r="S119" i="17"/>
  <c r="M120" i="17"/>
  <c r="P118" i="17"/>
  <c r="O118" i="17"/>
  <c r="Q118" i="17"/>
  <c r="Y483" i="16"/>
  <c r="X483" i="16"/>
  <c r="W483" i="16"/>
  <c r="V484" i="16"/>
  <c r="AA484" i="16"/>
  <c r="Z484" i="16"/>
  <c r="U485" i="16"/>
  <c r="BH489" i="4"/>
  <c r="BM488" i="4"/>
  <c r="BN488" i="4"/>
  <c r="BI488" i="4"/>
  <c r="BI487" i="4"/>
  <c r="BN487" i="4"/>
  <c r="BM487" i="4"/>
  <c r="BL486" i="4"/>
  <c r="BJ486" i="4"/>
  <c r="BK486" i="4"/>
  <c r="Q119" i="17" l="1"/>
  <c r="P119" i="17"/>
  <c r="O119" i="17"/>
  <c r="S120" i="17"/>
  <c r="R120" i="17"/>
  <c r="N120" i="17"/>
  <c r="M121" i="17"/>
  <c r="V485" i="16"/>
  <c r="AA485" i="16"/>
  <c r="Z485" i="16"/>
  <c r="U486" i="16"/>
  <c r="W484" i="16"/>
  <c r="Y484" i="16"/>
  <c r="X484" i="16"/>
  <c r="BJ488" i="4"/>
  <c r="BN489" i="4"/>
  <c r="BM489" i="4"/>
  <c r="BI489" i="4"/>
  <c r="BH490" i="4"/>
  <c r="BK487" i="4"/>
  <c r="BK488" i="4" s="1"/>
  <c r="BK489" i="4" s="1"/>
  <c r="BL487" i="4"/>
  <c r="BL488" i="4" s="1"/>
  <c r="BJ487" i="4"/>
  <c r="P120" i="17" l="1"/>
  <c r="Q120" i="17"/>
  <c r="O120" i="17"/>
  <c r="N121" i="17"/>
  <c r="R121" i="17"/>
  <c r="S121" i="17"/>
  <c r="M122" i="17"/>
  <c r="AA486" i="16"/>
  <c r="Z486" i="16"/>
  <c r="V486" i="16"/>
  <c r="U487" i="16"/>
  <c r="Y485" i="16"/>
  <c r="X485" i="16"/>
  <c r="W485" i="16"/>
  <c r="BL489" i="4"/>
  <c r="BJ489" i="4"/>
  <c r="BM490" i="4"/>
  <c r="BN490" i="4"/>
  <c r="BI490" i="4"/>
  <c r="BH491" i="4"/>
  <c r="N122" i="17" l="1"/>
  <c r="R122" i="17"/>
  <c r="S122" i="17"/>
  <c r="M123" i="17"/>
  <c r="Q121" i="17"/>
  <c r="O121" i="17"/>
  <c r="P121" i="17"/>
  <c r="AA487" i="16"/>
  <c r="Z487" i="16"/>
  <c r="V487" i="16"/>
  <c r="U488" i="16"/>
  <c r="Y486" i="16"/>
  <c r="X486" i="16"/>
  <c r="W486" i="16"/>
  <c r="BH492" i="4"/>
  <c r="BN491" i="4"/>
  <c r="BI491" i="4"/>
  <c r="BM491" i="4"/>
  <c r="BJ490" i="4"/>
  <c r="BK490" i="4"/>
  <c r="BL490" i="4"/>
  <c r="S123" i="17" l="1"/>
  <c r="N123" i="17"/>
  <c r="R123" i="17"/>
  <c r="M124" i="17"/>
  <c r="P122" i="17"/>
  <c r="O122" i="17"/>
  <c r="Q122" i="17"/>
  <c r="V488" i="16"/>
  <c r="AA488" i="16"/>
  <c r="Z488" i="16"/>
  <c r="U489" i="16"/>
  <c r="Y487" i="16"/>
  <c r="X487" i="16"/>
  <c r="W487" i="16"/>
  <c r="BL491" i="4"/>
  <c r="BJ491" i="4"/>
  <c r="BK491" i="4"/>
  <c r="BN492" i="4"/>
  <c r="BI492" i="4"/>
  <c r="BM492" i="4"/>
  <c r="BH493" i="4"/>
  <c r="S124" i="17" l="1"/>
  <c r="N124" i="17"/>
  <c r="R124" i="17"/>
  <c r="M125" i="17"/>
  <c r="Q123" i="17"/>
  <c r="O123" i="17"/>
  <c r="P123" i="17"/>
  <c r="AA489" i="16"/>
  <c r="Z489" i="16"/>
  <c r="V489" i="16"/>
  <c r="U490" i="16"/>
  <c r="W488" i="16"/>
  <c r="X488" i="16"/>
  <c r="Y488" i="16"/>
  <c r="BK492" i="4"/>
  <c r="BN493" i="4"/>
  <c r="BI493" i="4"/>
  <c r="BM493" i="4"/>
  <c r="BH494" i="4"/>
  <c r="BJ492" i="4"/>
  <c r="BL492" i="4"/>
  <c r="Q124" i="17" l="1"/>
  <c r="O124" i="17"/>
  <c r="P124" i="17"/>
  <c r="N125" i="17"/>
  <c r="S125" i="17"/>
  <c r="R125" i="17"/>
  <c r="M126" i="17"/>
  <c r="W489" i="16"/>
  <c r="Y489" i="16"/>
  <c r="X489" i="16"/>
  <c r="Z490" i="16"/>
  <c r="AA490" i="16"/>
  <c r="V490" i="16"/>
  <c r="U491" i="16"/>
  <c r="BM494" i="4"/>
  <c r="BN494" i="4"/>
  <c r="BI494" i="4"/>
  <c r="BH495" i="4"/>
  <c r="BL493" i="4"/>
  <c r="BJ493" i="4"/>
  <c r="BK493" i="4"/>
  <c r="O125" i="17" l="1"/>
  <c r="Q125" i="17"/>
  <c r="P125" i="17"/>
  <c r="N126" i="17"/>
  <c r="S126" i="17"/>
  <c r="R126" i="17"/>
  <c r="M127" i="17"/>
  <c r="Y490" i="16"/>
  <c r="X490" i="16"/>
  <c r="W490" i="16"/>
  <c r="AA491" i="16"/>
  <c r="Z491" i="16"/>
  <c r="V491" i="16"/>
  <c r="U492" i="16"/>
  <c r="BI495" i="4"/>
  <c r="BM495" i="4"/>
  <c r="BN495" i="4"/>
  <c r="BH496" i="4"/>
  <c r="BL494" i="4"/>
  <c r="BK494" i="4"/>
  <c r="BJ494" i="4"/>
  <c r="S127" i="17" l="1"/>
  <c r="R127" i="17"/>
  <c r="N127" i="17"/>
  <c r="M128" i="17"/>
  <c r="Q126" i="17"/>
  <c r="P126" i="17"/>
  <c r="O126" i="17"/>
  <c r="X491" i="16"/>
  <c r="W491" i="16"/>
  <c r="Y491" i="16"/>
  <c r="Z492" i="16"/>
  <c r="V492" i="16"/>
  <c r="AA492" i="16"/>
  <c r="U493" i="16"/>
  <c r="BI496" i="4"/>
  <c r="BM496" i="4"/>
  <c r="BN496" i="4"/>
  <c r="BH497" i="4"/>
  <c r="BJ495" i="4"/>
  <c r="BK495" i="4"/>
  <c r="BL495" i="4"/>
  <c r="S128" i="17" l="1"/>
  <c r="R128" i="17"/>
  <c r="N128" i="17"/>
  <c r="M129" i="17"/>
  <c r="Q127" i="17"/>
  <c r="O127" i="17"/>
  <c r="P127" i="17"/>
  <c r="V493" i="16"/>
  <c r="AA493" i="16"/>
  <c r="Z493" i="16"/>
  <c r="U494" i="16"/>
  <c r="Y492" i="16"/>
  <c r="W492" i="16"/>
  <c r="X492" i="16"/>
  <c r="BN497" i="4"/>
  <c r="BI497" i="4"/>
  <c r="BM497" i="4"/>
  <c r="BH498" i="4"/>
  <c r="BL496" i="4"/>
  <c r="BJ496" i="4"/>
  <c r="BK496" i="4"/>
  <c r="N129" i="17" l="1"/>
  <c r="S129" i="17"/>
  <c r="R129" i="17"/>
  <c r="M130" i="17"/>
  <c r="Q128" i="17"/>
  <c r="P128" i="17"/>
  <c r="O128" i="17"/>
  <c r="V494" i="16"/>
  <c r="AA494" i="16"/>
  <c r="Z494" i="16"/>
  <c r="U495" i="16"/>
  <c r="W493" i="16"/>
  <c r="Y493" i="16"/>
  <c r="X493" i="16"/>
  <c r="BN498" i="4"/>
  <c r="BI498" i="4"/>
  <c r="BM498" i="4"/>
  <c r="BH499" i="4"/>
  <c r="BJ497" i="4"/>
  <c r="BK497" i="4"/>
  <c r="BL497" i="4"/>
  <c r="S130" i="17" l="1"/>
  <c r="R130" i="17"/>
  <c r="N130" i="17"/>
  <c r="M131" i="17"/>
  <c r="O129" i="17"/>
  <c r="Q129" i="17"/>
  <c r="P129" i="17"/>
  <c r="V495" i="16"/>
  <c r="Z495" i="16"/>
  <c r="AA495" i="16"/>
  <c r="U496" i="16"/>
  <c r="Y494" i="16"/>
  <c r="W494" i="16"/>
  <c r="X494" i="16"/>
  <c r="BI499" i="4"/>
  <c r="BM499" i="4"/>
  <c r="BN499" i="4"/>
  <c r="BH500" i="4"/>
  <c r="BK498" i="4"/>
  <c r="BL498" i="4"/>
  <c r="BJ498" i="4"/>
  <c r="Q130" i="17" l="1"/>
  <c r="P130" i="17"/>
  <c r="O130" i="17"/>
  <c r="S131" i="17"/>
  <c r="R131" i="17"/>
  <c r="N131" i="17"/>
  <c r="M132" i="17"/>
  <c r="AA496" i="16"/>
  <c r="Z496" i="16"/>
  <c r="V496" i="16"/>
  <c r="U497" i="16"/>
  <c r="W495" i="16"/>
  <c r="Y495" i="16"/>
  <c r="X495" i="16"/>
  <c r="BI500" i="4"/>
  <c r="BN500" i="4"/>
  <c r="BM500" i="4"/>
  <c r="BH501" i="4"/>
  <c r="BJ499" i="4"/>
  <c r="BK499" i="4"/>
  <c r="BL499" i="4"/>
  <c r="N132" i="17" l="1"/>
  <c r="R132" i="17"/>
  <c r="S132" i="17"/>
  <c r="M133" i="17"/>
  <c r="Q131" i="17"/>
  <c r="O131" i="17"/>
  <c r="P131" i="17"/>
  <c r="AA497" i="16"/>
  <c r="Z497" i="16"/>
  <c r="V497" i="16"/>
  <c r="U498" i="16"/>
  <c r="Y496" i="16"/>
  <c r="X496" i="16"/>
  <c r="W496" i="16"/>
  <c r="BM501" i="4"/>
  <c r="BI501" i="4"/>
  <c r="BN501" i="4"/>
  <c r="BH502" i="4"/>
  <c r="BJ500" i="4"/>
  <c r="BL500" i="4"/>
  <c r="BK500" i="4"/>
  <c r="N133" i="17" l="1"/>
  <c r="S133" i="17"/>
  <c r="R133" i="17"/>
  <c r="M134" i="17"/>
  <c r="Q132" i="17"/>
  <c r="P132" i="17"/>
  <c r="O132" i="17"/>
  <c r="W497" i="16"/>
  <c r="Y497" i="16"/>
  <c r="X497" i="16"/>
  <c r="AA498" i="16"/>
  <c r="Z498" i="16"/>
  <c r="V498" i="16"/>
  <c r="U499" i="16"/>
  <c r="BN502" i="4"/>
  <c r="BI502" i="4"/>
  <c r="BM502" i="4"/>
  <c r="BH503" i="4"/>
  <c r="BJ501" i="4"/>
  <c r="BK501" i="4"/>
  <c r="BL501" i="4"/>
  <c r="S134" i="17" l="1"/>
  <c r="R134" i="17"/>
  <c r="N134" i="17"/>
  <c r="M135" i="17"/>
  <c r="O133" i="17"/>
  <c r="Q133" i="17"/>
  <c r="P133" i="17"/>
  <c r="W498" i="16"/>
  <c r="X498" i="16"/>
  <c r="Y498" i="16"/>
  <c r="V499" i="16"/>
  <c r="AA499" i="16"/>
  <c r="Z499" i="16"/>
  <c r="U500" i="16"/>
  <c r="BI503" i="4"/>
  <c r="BM503" i="4"/>
  <c r="BN503" i="4"/>
  <c r="BH504" i="4"/>
  <c r="BJ502" i="4"/>
  <c r="BK502" i="4"/>
  <c r="BL502" i="4"/>
  <c r="P134" i="17" l="1"/>
  <c r="Q134" i="17"/>
  <c r="O134" i="17"/>
  <c r="R135" i="17"/>
  <c r="N135" i="17"/>
  <c r="S135" i="17"/>
  <c r="M136" i="17"/>
  <c r="AA500" i="16"/>
  <c r="V500" i="16"/>
  <c r="Z500" i="16"/>
  <c r="U501" i="16"/>
  <c r="Y499" i="16"/>
  <c r="W499" i="16"/>
  <c r="X499" i="16"/>
  <c r="BI504" i="4"/>
  <c r="BM504" i="4"/>
  <c r="BN504" i="4"/>
  <c r="BH505" i="4"/>
  <c r="BK503" i="4"/>
  <c r="BL503" i="4"/>
  <c r="BJ503" i="4"/>
  <c r="O135" i="17" l="1"/>
  <c r="Q135" i="17"/>
  <c r="P135" i="17"/>
  <c r="S136" i="17"/>
  <c r="R136" i="17"/>
  <c r="N136" i="17"/>
  <c r="M137" i="17"/>
  <c r="Y500" i="16"/>
  <c r="X500" i="16"/>
  <c r="W500" i="16"/>
  <c r="V501" i="16"/>
  <c r="AA501" i="16"/>
  <c r="Z501" i="16"/>
  <c r="U502" i="16"/>
  <c r="BI505" i="4"/>
  <c r="BM505" i="4"/>
  <c r="BN505" i="4"/>
  <c r="BH506" i="4"/>
  <c r="BL504" i="4"/>
  <c r="BK504" i="4"/>
  <c r="BJ504" i="4"/>
  <c r="Q136" i="17" l="1"/>
  <c r="P136" i="17"/>
  <c r="O136" i="17"/>
  <c r="N137" i="17"/>
  <c r="S137" i="17"/>
  <c r="R137" i="17"/>
  <c r="M138" i="17"/>
  <c r="Y501" i="16"/>
  <c r="X501" i="16"/>
  <c r="W501" i="16"/>
  <c r="V502" i="16"/>
  <c r="AA502" i="16"/>
  <c r="Z502" i="16"/>
  <c r="U503" i="16"/>
  <c r="BI506" i="4"/>
  <c r="BM506" i="4"/>
  <c r="BN506" i="4"/>
  <c r="BH507" i="4"/>
  <c r="BK505" i="4"/>
  <c r="BJ505" i="4"/>
  <c r="BL505" i="4"/>
  <c r="N138" i="17" l="1"/>
  <c r="S138" i="17"/>
  <c r="R138" i="17"/>
  <c r="M139" i="17"/>
  <c r="O137" i="17"/>
  <c r="P137" i="17"/>
  <c r="Q137" i="17"/>
  <c r="X502" i="16"/>
  <c r="Y502" i="16"/>
  <c r="W502" i="16"/>
  <c r="Z503" i="16"/>
  <c r="V503" i="16"/>
  <c r="AA503" i="16"/>
  <c r="U504" i="16"/>
  <c r="BO507" i="4"/>
  <c r="BH508" i="4"/>
  <c r="BM507" i="4"/>
  <c r="BN507" i="4"/>
  <c r="BI507" i="4"/>
  <c r="BK506" i="4"/>
  <c r="BL506" i="4"/>
  <c r="BJ506" i="4"/>
  <c r="S139" i="17" l="1"/>
  <c r="R139" i="17"/>
  <c r="N139" i="17"/>
  <c r="M140" i="17"/>
  <c r="Q138" i="17"/>
  <c r="P138" i="17"/>
  <c r="O138" i="17"/>
  <c r="X503" i="16"/>
  <c r="W503" i="16"/>
  <c r="Y503" i="16"/>
  <c r="Z504" i="16"/>
  <c r="V504" i="16"/>
  <c r="AA504" i="16"/>
  <c r="U505" i="16"/>
  <c r="BN508" i="4"/>
  <c r="BM508" i="4"/>
  <c r="BI508" i="4"/>
  <c r="BO508" i="4"/>
  <c r="BH509" i="4"/>
  <c r="BJ507" i="4"/>
  <c r="BL507" i="4"/>
  <c r="BK507" i="4"/>
  <c r="P139" i="17" l="1"/>
  <c r="O139" i="17"/>
  <c r="Q139" i="17"/>
  <c r="R140" i="17"/>
  <c r="S140" i="17"/>
  <c r="N140" i="17"/>
  <c r="M141" i="17"/>
  <c r="Y504" i="16"/>
  <c r="X504" i="16"/>
  <c r="W504" i="16"/>
  <c r="Z505" i="16"/>
  <c r="AA505" i="16"/>
  <c r="V505" i="16"/>
  <c r="U506" i="16"/>
  <c r="BK508" i="4"/>
  <c r="BJ508" i="4"/>
  <c r="BL508" i="4"/>
  <c r="BO509" i="4"/>
  <c r="BI509" i="4"/>
  <c r="BM509" i="4"/>
  <c r="BN509" i="4"/>
  <c r="BH510" i="4"/>
  <c r="Q140" i="17" l="1"/>
  <c r="P140" i="17"/>
  <c r="O140" i="17"/>
  <c r="N141" i="17"/>
  <c r="S141" i="17"/>
  <c r="R141" i="17"/>
  <c r="M142" i="17"/>
  <c r="V506" i="16"/>
  <c r="AA506" i="16"/>
  <c r="Z506" i="16"/>
  <c r="U507" i="16"/>
  <c r="X505" i="16"/>
  <c r="W505" i="16"/>
  <c r="Y505" i="16"/>
  <c r="BM510" i="4"/>
  <c r="BN510" i="4"/>
  <c r="BO510" i="4"/>
  <c r="BI510" i="4"/>
  <c r="BH511" i="4"/>
  <c r="BJ509" i="4"/>
  <c r="BK509" i="4"/>
  <c r="BL509" i="4"/>
  <c r="N142" i="17" l="1"/>
  <c r="R142" i="17"/>
  <c r="S142" i="17"/>
  <c r="M143" i="17"/>
  <c r="O141" i="17"/>
  <c r="Q141" i="17"/>
  <c r="P141" i="17"/>
  <c r="V507" i="16"/>
  <c r="AA507" i="16"/>
  <c r="AB507" i="16"/>
  <c r="Z507" i="16"/>
  <c r="U508" i="16"/>
  <c r="Y506" i="16"/>
  <c r="W506" i="16"/>
  <c r="X506" i="16"/>
  <c r="BJ510" i="4"/>
  <c r="BK510" i="4"/>
  <c r="BL510" i="4"/>
  <c r="BI511" i="4"/>
  <c r="BO511" i="4"/>
  <c r="BM511" i="4"/>
  <c r="BN511" i="4"/>
  <c r="BH512" i="4"/>
  <c r="N143" i="17" l="1"/>
  <c r="T143" i="17"/>
  <c r="S143" i="17"/>
  <c r="R143" i="17"/>
  <c r="M144" i="17"/>
  <c r="Q142" i="17"/>
  <c r="P142" i="17"/>
  <c r="O142" i="17"/>
  <c r="Z508" i="16"/>
  <c r="AB508" i="16"/>
  <c r="AA508" i="16"/>
  <c r="V508" i="16"/>
  <c r="U509" i="16"/>
  <c r="X507" i="16"/>
  <c r="Y507" i="16"/>
  <c r="W507" i="16"/>
  <c r="BO512" i="4"/>
  <c r="BM512" i="4"/>
  <c r="BI512" i="4"/>
  <c r="BN512" i="4"/>
  <c r="BH513" i="4"/>
  <c r="BL511" i="4"/>
  <c r="BJ511" i="4"/>
  <c r="BK511" i="4"/>
  <c r="S144" i="17" l="1"/>
  <c r="N144" i="17"/>
  <c r="T144" i="17"/>
  <c r="R144" i="17"/>
  <c r="M145" i="17"/>
  <c r="O143" i="17"/>
  <c r="P143" i="17"/>
  <c r="Q143" i="17"/>
  <c r="AB509" i="16"/>
  <c r="Z509" i="16"/>
  <c r="V509" i="16"/>
  <c r="AA509" i="16"/>
  <c r="U510" i="16"/>
  <c r="X508" i="16"/>
  <c r="Y508" i="16"/>
  <c r="W508" i="16"/>
  <c r="BM513" i="4"/>
  <c r="BI513" i="4"/>
  <c r="BN513" i="4"/>
  <c r="BO513" i="4"/>
  <c r="BH514" i="4"/>
  <c r="BK512" i="4"/>
  <c r="BJ512" i="4"/>
  <c r="BL512" i="4"/>
  <c r="Q144" i="17" l="1"/>
  <c r="O144" i="17"/>
  <c r="P144" i="17"/>
  <c r="S145" i="17"/>
  <c r="R145" i="17"/>
  <c r="T145" i="17"/>
  <c r="N145" i="17"/>
  <c r="M146" i="17"/>
  <c r="AB510" i="16"/>
  <c r="AA510" i="16"/>
  <c r="V510" i="16"/>
  <c r="Z510" i="16"/>
  <c r="U511" i="16"/>
  <c r="Y509" i="16"/>
  <c r="W509" i="16"/>
  <c r="X509" i="16"/>
  <c r="BN514" i="4"/>
  <c r="BO514" i="4"/>
  <c r="BI514" i="4"/>
  <c r="BM514" i="4"/>
  <c r="BH515" i="4"/>
  <c r="BK513" i="4"/>
  <c r="BL513" i="4"/>
  <c r="BJ513" i="4"/>
  <c r="Q145" i="17" l="1"/>
  <c r="P145" i="17"/>
  <c r="O145" i="17"/>
  <c r="T146" i="17"/>
  <c r="R146" i="17"/>
  <c r="S146" i="17"/>
  <c r="N146" i="17"/>
  <c r="M147" i="17"/>
  <c r="V511" i="16"/>
  <c r="AB511" i="16"/>
  <c r="AA511" i="16"/>
  <c r="Z511" i="16"/>
  <c r="U512" i="16"/>
  <c r="Y510" i="16"/>
  <c r="X510" i="16"/>
  <c r="W510" i="16"/>
  <c r="BI515" i="4"/>
  <c r="BO515" i="4"/>
  <c r="BM515" i="4"/>
  <c r="BN515" i="4"/>
  <c r="BH516" i="4"/>
  <c r="BJ514" i="4"/>
  <c r="BL514" i="4"/>
  <c r="BK514" i="4"/>
  <c r="Q146" i="17" l="1"/>
  <c r="P146" i="17"/>
  <c r="O146" i="17"/>
  <c r="N147" i="17"/>
  <c r="T147" i="17"/>
  <c r="S147" i="17"/>
  <c r="R147" i="17"/>
  <c r="M148" i="17"/>
  <c r="V512" i="16"/>
  <c r="AB512" i="16"/>
  <c r="Z512" i="16"/>
  <c r="AA512" i="16"/>
  <c r="U513" i="16"/>
  <c r="Y511" i="16"/>
  <c r="X511" i="16"/>
  <c r="W511" i="16"/>
  <c r="BO516" i="4"/>
  <c r="BI516" i="4"/>
  <c r="BM516" i="4"/>
  <c r="BN516" i="4"/>
  <c r="BH517" i="4"/>
  <c r="BL515" i="4"/>
  <c r="BJ515" i="4"/>
  <c r="BK515" i="4"/>
  <c r="N148" i="17" l="1"/>
  <c r="T148" i="17"/>
  <c r="R148" i="17"/>
  <c r="S148" i="17"/>
  <c r="M149" i="17"/>
  <c r="Q147" i="17"/>
  <c r="P147" i="17"/>
  <c r="O147" i="17"/>
  <c r="AB513" i="16"/>
  <c r="AA513" i="16"/>
  <c r="Z513" i="16"/>
  <c r="V513" i="16"/>
  <c r="U514" i="16"/>
  <c r="W512" i="16"/>
  <c r="X512" i="16"/>
  <c r="Y512" i="16"/>
  <c r="BN517" i="4"/>
  <c r="BO517" i="4"/>
  <c r="BI517" i="4"/>
  <c r="BM517" i="4"/>
  <c r="BH518" i="4"/>
  <c r="BL516" i="4"/>
  <c r="BJ516" i="4"/>
  <c r="BK516" i="4"/>
  <c r="T149" i="17" l="1"/>
  <c r="S149" i="17"/>
  <c r="R149" i="17"/>
  <c r="N149" i="17"/>
  <c r="M150" i="17"/>
  <c r="O148" i="17"/>
  <c r="Q148" i="17"/>
  <c r="P148" i="17"/>
  <c r="Y513" i="16"/>
  <c r="X513" i="16"/>
  <c r="W513" i="16"/>
  <c r="V514" i="16"/>
  <c r="AA514" i="16"/>
  <c r="Z514" i="16"/>
  <c r="AB514" i="16"/>
  <c r="U515" i="16"/>
  <c r="BL517" i="4"/>
  <c r="BJ517" i="4"/>
  <c r="BK517" i="4"/>
  <c r="BN518" i="4"/>
  <c r="BI518" i="4"/>
  <c r="BO518" i="4"/>
  <c r="BM518" i="4"/>
  <c r="BH519" i="4"/>
  <c r="Q149" i="17" l="1"/>
  <c r="P149" i="17"/>
  <c r="O149" i="17"/>
  <c r="N150" i="17"/>
  <c r="T150" i="17"/>
  <c r="R150" i="17"/>
  <c r="S150" i="17"/>
  <c r="M151" i="17"/>
  <c r="AB515" i="16"/>
  <c r="Z515" i="16"/>
  <c r="V515" i="16"/>
  <c r="AA515" i="16"/>
  <c r="U516" i="16"/>
  <c r="Y514" i="16"/>
  <c r="X514" i="16"/>
  <c r="W514" i="16"/>
  <c r="BM519" i="4"/>
  <c r="BN519" i="4"/>
  <c r="BO519" i="4"/>
  <c r="BI519" i="4"/>
  <c r="BH520" i="4"/>
  <c r="BJ518" i="4"/>
  <c r="BK518" i="4"/>
  <c r="BL518" i="4"/>
  <c r="Q150" i="17" l="1"/>
  <c r="P150" i="17"/>
  <c r="O150" i="17"/>
  <c r="S151" i="17"/>
  <c r="R151" i="17"/>
  <c r="N151" i="17"/>
  <c r="T151" i="17"/>
  <c r="M152" i="17"/>
  <c r="AB516" i="16"/>
  <c r="V516" i="16"/>
  <c r="AA516" i="16"/>
  <c r="Z516" i="16"/>
  <c r="U517" i="16"/>
  <c r="Y515" i="16"/>
  <c r="X515" i="16"/>
  <c r="W515" i="16"/>
  <c r="BO520" i="4"/>
  <c r="BN520" i="4"/>
  <c r="BM520" i="4"/>
  <c r="BI520" i="4"/>
  <c r="BH521" i="4"/>
  <c r="BL519" i="4"/>
  <c r="BJ519" i="4"/>
  <c r="BK519" i="4"/>
  <c r="N152" i="17" l="1"/>
  <c r="S152" i="17"/>
  <c r="R152" i="17"/>
  <c r="T152" i="17"/>
  <c r="M153" i="17"/>
  <c r="Q151" i="17"/>
  <c r="P151" i="17"/>
  <c r="O151" i="17"/>
  <c r="Y516" i="16"/>
  <c r="X516" i="16"/>
  <c r="W516" i="16"/>
  <c r="V517" i="16"/>
  <c r="Z517" i="16"/>
  <c r="AA517" i="16"/>
  <c r="AB517" i="16"/>
  <c r="U518" i="16"/>
  <c r="BJ520" i="4"/>
  <c r="BK520" i="4"/>
  <c r="BL520" i="4"/>
  <c r="BM521" i="4"/>
  <c r="BO521" i="4"/>
  <c r="BI521" i="4"/>
  <c r="BN521" i="4"/>
  <c r="BH522" i="4"/>
  <c r="T153" i="17" l="1"/>
  <c r="R153" i="17"/>
  <c r="S153" i="17"/>
  <c r="N153" i="17"/>
  <c r="M154" i="17"/>
  <c r="Q152" i="17"/>
  <c r="P152" i="17"/>
  <c r="O152" i="17"/>
  <c r="W517" i="16"/>
  <c r="Y517" i="16"/>
  <c r="X517" i="16"/>
  <c r="AB518" i="16"/>
  <c r="AA518" i="16"/>
  <c r="V518" i="16"/>
  <c r="Z518" i="16"/>
  <c r="U519" i="16"/>
  <c r="BJ521" i="4"/>
  <c r="BL521" i="4"/>
  <c r="BK521" i="4"/>
  <c r="BN522" i="4"/>
  <c r="BO522" i="4"/>
  <c r="BM522" i="4"/>
  <c r="BI522" i="4"/>
  <c r="BH523" i="4"/>
  <c r="T154" i="17" l="1"/>
  <c r="R154" i="17"/>
  <c r="N154" i="17"/>
  <c r="S154" i="17"/>
  <c r="M155" i="17"/>
  <c r="O153" i="17"/>
  <c r="Q153" i="17"/>
  <c r="P153" i="17"/>
  <c r="X518" i="16"/>
  <c r="W518" i="16"/>
  <c r="Y518" i="16"/>
  <c r="AB519" i="16"/>
  <c r="AA519" i="16"/>
  <c r="Z519" i="16"/>
  <c r="V519" i="16"/>
  <c r="U520" i="16"/>
  <c r="BK522" i="4"/>
  <c r="BJ522" i="4"/>
  <c r="BL522" i="4"/>
  <c r="BO523" i="4"/>
  <c r="BM523" i="4"/>
  <c r="BI523" i="4"/>
  <c r="BN523" i="4"/>
  <c r="BH524" i="4"/>
  <c r="Q154" i="17" l="1"/>
  <c r="O154" i="17"/>
  <c r="P154" i="17"/>
  <c r="N155" i="17"/>
  <c r="T155" i="17"/>
  <c r="S155" i="17"/>
  <c r="R155" i="17"/>
  <c r="M156" i="17"/>
  <c r="V520" i="16"/>
  <c r="Z520" i="16"/>
  <c r="AB520" i="16"/>
  <c r="AA520" i="16"/>
  <c r="U521" i="16"/>
  <c r="Y519" i="16"/>
  <c r="X519" i="16"/>
  <c r="W519" i="16"/>
  <c r="BJ523" i="4"/>
  <c r="BK523" i="4"/>
  <c r="BL523" i="4"/>
  <c r="BO524" i="4"/>
  <c r="BM524" i="4"/>
  <c r="BI524" i="4"/>
  <c r="BN524" i="4"/>
  <c r="BH525" i="4"/>
  <c r="Q155" i="17" l="1"/>
  <c r="P155" i="17"/>
  <c r="O155" i="17"/>
  <c r="N156" i="17"/>
  <c r="S156" i="17"/>
  <c r="T156" i="17"/>
  <c r="R156" i="17"/>
  <c r="M157" i="17"/>
  <c r="AA521" i="16"/>
  <c r="Z521" i="16"/>
  <c r="V521" i="16"/>
  <c r="AB521" i="16"/>
  <c r="U522" i="16"/>
  <c r="Y520" i="16"/>
  <c r="X520" i="16"/>
  <c r="W520" i="16"/>
  <c r="BJ524" i="4"/>
  <c r="BK524" i="4"/>
  <c r="BL524" i="4"/>
  <c r="BI525" i="4"/>
  <c r="BN525" i="4"/>
  <c r="BM525" i="4"/>
  <c r="BO525" i="4"/>
  <c r="BH526" i="4"/>
  <c r="S157" i="17" l="1"/>
  <c r="R157" i="17"/>
  <c r="N157" i="17"/>
  <c r="T157" i="17"/>
  <c r="M158" i="17"/>
  <c r="Q156" i="17"/>
  <c r="P156" i="17"/>
  <c r="O156" i="17"/>
  <c r="AB522" i="16"/>
  <c r="AA522" i="16"/>
  <c r="Z522" i="16"/>
  <c r="V522" i="16"/>
  <c r="U523" i="16"/>
  <c r="W521" i="16"/>
  <c r="Y521" i="16"/>
  <c r="X521" i="16"/>
  <c r="BJ525" i="4"/>
  <c r="BL525" i="4"/>
  <c r="BK525" i="4"/>
  <c r="BO526" i="4"/>
  <c r="BI526" i="4"/>
  <c r="BN526" i="4"/>
  <c r="BM526" i="4"/>
  <c r="BH527" i="4"/>
  <c r="P157" i="17" l="1"/>
  <c r="Q157" i="17"/>
  <c r="O157" i="17"/>
  <c r="S158" i="17"/>
  <c r="N158" i="17"/>
  <c r="T158" i="17"/>
  <c r="R158" i="17"/>
  <c r="M159" i="17"/>
  <c r="AB523" i="16"/>
  <c r="Z523" i="16"/>
  <c r="V523" i="16"/>
  <c r="AA523" i="16"/>
  <c r="U524" i="16"/>
  <c r="X522" i="16"/>
  <c r="W522" i="16"/>
  <c r="Y522" i="16"/>
  <c r="BI527" i="4"/>
  <c r="BN527" i="4"/>
  <c r="BO527" i="4"/>
  <c r="BM527" i="4"/>
  <c r="BH528" i="4"/>
  <c r="BJ526" i="4"/>
  <c r="BK526" i="4"/>
  <c r="BL526" i="4"/>
  <c r="T159" i="17" l="1"/>
  <c r="R159" i="17"/>
  <c r="N159" i="17"/>
  <c r="S159" i="17"/>
  <c r="M160" i="17"/>
  <c r="P158" i="17"/>
  <c r="O158" i="17"/>
  <c r="Q158" i="17"/>
  <c r="Z524" i="16"/>
  <c r="V524" i="16"/>
  <c r="AB524" i="16"/>
  <c r="AA524" i="16"/>
  <c r="U525" i="16"/>
  <c r="Y523" i="16"/>
  <c r="X523" i="16"/>
  <c r="W523" i="16"/>
  <c r="BO528" i="4"/>
  <c r="BI528" i="4"/>
  <c r="BM528" i="4"/>
  <c r="BN528" i="4"/>
  <c r="BH529" i="4"/>
  <c r="BJ527" i="4"/>
  <c r="BL527" i="4"/>
  <c r="BK527" i="4"/>
  <c r="R160" i="17" l="1"/>
  <c r="T160" i="17"/>
  <c r="S160" i="17"/>
  <c r="N160" i="17"/>
  <c r="M161" i="17"/>
  <c r="P159" i="17"/>
  <c r="Q159" i="17"/>
  <c r="O159" i="17"/>
  <c r="Y524" i="16"/>
  <c r="W524" i="16"/>
  <c r="X524" i="16"/>
  <c r="V525" i="16"/>
  <c r="AA525" i="16"/>
  <c r="Z525" i="16"/>
  <c r="AB525" i="16"/>
  <c r="U526" i="16"/>
  <c r="BH530" i="4"/>
  <c r="BH531" i="4" s="1"/>
  <c r="BI529" i="4"/>
  <c r="BN529" i="4"/>
  <c r="BO529" i="4"/>
  <c r="BM529" i="4"/>
  <c r="BK528" i="4"/>
  <c r="BJ528" i="4"/>
  <c r="BL528" i="4"/>
  <c r="BH532" i="4" l="1"/>
  <c r="BO531" i="4"/>
  <c r="BI531" i="4"/>
  <c r="BM531" i="4"/>
  <c r="BN531" i="4"/>
  <c r="Q160" i="17"/>
  <c r="O160" i="17"/>
  <c r="P160" i="17"/>
  <c r="N161" i="17"/>
  <c r="S161" i="17"/>
  <c r="T161" i="17"/>
  <c r="R161" i="17"/>
  <c r="M162" i="17"/>
  <c r="Y525" i="16"/>
  <c r="X525" i="16"/>
  <c r="W525" i="16"/>
  <c r="Z526" i="16"/>
  <c r="V526" i="16"/>
  <c r="AB526" i="16"/>
  <c r="AA526" i="16"/>
  <c r="U527" i="16"/>
  <c r="BJ529" i="4"/>
  <c r="BK529" i="4"/>
  <c r="BL529" i="4"/>
  <c r="BM530" i="4"/>
  <c r="BI530" i="4"/>
  <c r="BN530" i="4"/>
  <c r="BO530" i="4"/>
  <c r="BJ531" i="4" l="1"/>
  <c r="BO532" i="4"/>
  <c r="BM532" i="4"/>
  <c r="BN532" i="4"/>
  <c r="BI532" i="4"/>
  <c r="BH533" i="4"/>
  <c r="BH534" i="4" s="1"/>
  <c r="R162" i="17"/>
  <c r="T162" i="17"/>
  <c r="S162" i="17"/>
  <c r="N162" i="17"/>
  <c r="M163" i="17"/>
  <c r="Q161" i="17"/>
  <c r="P161" i="17"/>
  <c r="O161" i="17"/>
  <c r="V527" i="16"/>
  <c r="AA527" i="16"/>
  <c r="Z527" i="16"/>
  <c r="AB527" i="16"/>
  <c r="U528" i="16"/>
  <c r="Y526" i="16"/>
  <c r="W526" i="16"/>
  <c r="X526" i="16"/>
  <c r="BL530" i="4"/>
  <c r="BL531" i="4" s="1"/>
  <c r="BK530" i="4"/>
  <c r="BK531" i="4" s="1"/>
  <c r="BK532" i="4" s="1"/>
  <c r="BJ530" i="4"/>
  <c r="BH535" i="4" l="1"/>
  <c r="BO534" i="4"/>
  <c r="BI534" i="4"/>
  <c r="BN534" i="4"/>
  <c r="BM534" i="4"/>
  <c r="BJ532" i="4"/>
  <c r="BL532" i="4"/>
  <c r="BI533" i="4"/>
  <c r="BM533" i="4"/>
  <c r="BN533" i="4"/>
  <c r="BO533" i="4"/>
  <c r="N163" i="17"/>
  <c r="S163" i="17"/>
  <c r="T163" i="17"/>
  <c r="R163" i="17"/>
  <c r="M164" i="17"/>
  <c r="Q162" i="17"/>
  <c r="O162" i="17"/>
  <c r="P162" i="17"/>
  <c r="AA528" i="16"/>
  <c r="Z528" i="16"/>
  <c r="V528" i="16"/>
  <c r="AB528" i="16"/>
  <c r="U529" i="16"/>
  <c r="Y527" i="16"/>
  <c r="X527" i="16"/>
  <c r="W527" i="16"/>
  <c r="BM535" i="4" l="1"/>
  <c r="BO535" i="4"/>
  <c r="BN535" i="4"/>
  <c r="BI535" i="4"/>
  <c r="BH536" i="4"/>
  <c r="BJ533" i="4"/>
  <c r="BJ534" i="4" s="1"/>
  <c r="BJ535" i="4" s="1"/>
  <c r="BK533" i="4"/>
  <c r="BK534" i="4" s="1"/>
  <c r="BL533" i="4"/>
  <c r="BL534" i="4" s="1"/>
  <c r="S164" i="17"/>
  <c r="R164" i="17"/>
  <c r="N164" i="17"/>
  <c r="T164" i="17"/>
  <c r="M165" i="17"/>
  <c r="Q163" i="17"/>
  <c r="P163" i="17"/>
  <c r="O163" i="17"/>
  <c r="V529" i="16"/>
  <c r="AB529" i="16"/>
  <c r="AA529" i="16"/>
  <c r="Z529" i="16"/>
  <c r="U530" i="16"/>
  <c r="X528" i="16"/>
  <c r="W528" i="16"/>
  <c r="Y528" i="16"/>
  <c r="BH537" i="4" l="1"/>
  <c r="BN536" i="4"/>
  <c r="BO536" i="4"/>
  <c r="BM536" i="4"/>
  <c r="BI536" i="4"/>
  <c r="BK535" i="4"/>
  <c r="BL535" i="4"/>
  <c r="N165" i="17"/>
  <c r="T165" i="17"/>
  <c r="R165" i="17"/>
  <c r="S165" i="17"/>
  <c r="M166" i="17"/>
  <c r="Q164" i="17"/>
  <c r="P164" i="17"/>
  <c r="O164" i="17"/>
  <c r="AB530" i="16"/>
  <c r="AA530" i="16"/>
  <c r="Z530" i="16"/>
  <c r="V530" i="16"/>
  <c r="X529" i="16"/>
  <c r="W529" i="16"/>
  <c r="Y529" i="16"/>
  <c r="BK536" i="4" l="1"/>
  <c r="BJ536" i="4"/>
  <c r="BL536" i="4"/>
  <c r="BI537" i="4"/>
  <c r="BM537" i="4"/>
  <c r="BN537" i="4"/>
  <c r="BO537" i="4"/>
  <c r="BH538" i="4"/>
  <c r="BH539" i="4" s="1"/>
  <c r="S166" i="17"/>
  <c r="R166" i="17"/>
  <c r="N166" i="17"/>
  <c r="T166" i="17"/>
  <c r="O165" i="17"/>
  <c r="Q165" i="17"/>
  <c r="P165" i="17"/>
  <c r="Y530" i="16"/>
  <c r="X530" i="16"/>
  <c r="W530" i="16"/>
  <c r="BH540" i="4" l="1"/>
  <c r="BM539" i="4"/>
  <c r="BN539" i="4"/>
  <c r="BO539" i="4"/>
  <c r="BI539" i="4"/>
  <c r="BI538" i="4"/>
  <c r="BN538" i="4"/>
  <c r="BO538" i="4"/>
  <c r="BM538" i="4"/>
  <c r="BJ537" i="4"/>
  <c r="BL537" i="4"/>
  <c r="BK537" i="4"/>
  <c r="Q166" i="17"/>
  <c r="P166" i="17"/>
  <c r="O166" i="17"/>
  <c r="BH541" i="4" l="1"/>
  <c r="BO540" i="4"/>
  <c r="BI540" i="4"/>
  <c r="BM540" i="4"/>
  <c r="BN540" i="4"/>
  <c r="BJ538" i="4"/>
  <c r="BJ539" i="4" s="1"/>
  <c r="BK538" i="4"/>
  <c r="BK539" i="4" s="1"/>
  <c r="BL538" i="4"/>
  <c r="BL539" i="4" s="1"/>
  <c r="BL540" i="4" s="1"/>
  <c r="BJ540" i="4" l="1"/>
  <c r="BK540" i="4"/>
  <c r="BM541" i="4"/>
  <c r="BN541" i="4"/>
  <c r="BH542" i="4"/>
  <c r="BO541" i="4"/>
  <c r="BI541" i="4"/>
  <c r="BL541" i="4" s="1"/>
  <c r="BN542" i="4" l="1"/>
  <c r="BM542" i="4"/>
  <c r="BH543" i="4"/>
  <c r="BI542" i="4"/>
  <c r="BO542" i="4"/>
  <c r="BK541" i="4"/>
  <c r="BJ541" i="4"/>
  <c r="BH544" i="4" l="1"/>
  <c r="BI543" i="4"/>
  <c r="BN543" i="4"/>
  <c r="BM543" i="4"/>
  <c r="BO543" i="4"/>
  <c r="BJ542" i="4"/>
  <c r="BK542" i="4"/>
  <c r="BL542" i="4"/>
  <c r="BJ543" i="4" l="1"/>
  <c r="BL543" i="4"/>
  <c r="BK543" i="4"/>
  <c r="BN544" i="4"/>
  <c r="BO544" i="4"/>
  <c r="BM544" i="4"/>
  <c r="BI544" i="4"/>
  <c r="BH545" i="4"/>
  <c r="BK544" i="4" l="1"/>
  <c r="BJ544" i="4"/>
  <c r="BL544" i="4"/>
  <c r="BN545" i="4"/>
  <c r="BI545" i="4"/>
  <c r="BO545" i="4"/>
  <c r="BH546" i="4"/>
  <c r="BM545" i="4"/>
  <c r="BM546" i="4" l="1"/>
  <c r="BI546" i="4"/>
  <c r="BO546" i="4"/>
  <c r="BN546" i="4"/>
  <c r="BH547" i="4"/>
  <c r="BK545" i="4"/>
  <c r="BL545" i="4"/>
  <c r="BJ545" i="4"/>
  <c r="BJ546" i="4" l="1"/>
  <c r="BK546" i="4"/>
  <c r="BL546" i="4"/>
  <c r="BM547" i="4"/>
  <c r="BH548" i="4"/>
  <c r="BN547" i="4"/>
  <c r="BO547" i="4"/>
  <c r="BI547" i="4"/>
  <c r="BJ547" i="4" l="1"/>
  <c r="BK547" i="4"/>
  <c r="BL547" i="4"/>
  <c r="BH549" i="4"/>
  <c r="BO548" i="4"/>
  <c r="BN548" i="4"/>
  <c r="BM548" i="4"/>
  <c r="BI548" i="4"/>
  <c r="BO549" i="4" l="1"/>
  <c r="BI549" i="4"/>
  <c r="BN549" i="4"/>
  <c r="BM549" i="4"/>
  <c r="BH550" i="4"/>
  <c r="BL548" i="4"/>
  <c r="BJ548" i="4"/>
  <c r="BK548" i="4"/>
  <c r="BN550" i="4" l="1"/>
  <c r="BI550" i="4"/>
  <c r="BO550" i="4"/>
  <c r="BH551" i="4"/>
  <c r="BM550" i="4"/>
  <c r="BK549" i="4"/>
  <c r="BL549" i="4"/>
  <c r="BJ549" i="4"/>
  <c r="BI551" i="4" l="1"/>
  <c r="BN551" i="4"/>
  <c r="BO551" i="4"/>
  <c r="BM551" i="4"/>
  <c r="BJ550" i="4"/>
  <c r="BK550" i="4"/>
  <c r="BL550" i="4"/>
  <c r="BJ551" i="4" l="1"/>
  <c r="BK551" i="4"/>
  <c r="BL551" i="4"/>
</calcChain>
</file>

<file path=xl/sharedStrings.xml><?xml version="1.0" encoding="utf-8"?>
<sst xmlns="http://schemas.openxmlformats.org/spreadsheetml/2006/main" count="3981" uniqueCount="81">
  <si>
    <t>Trade Date</t>
  </si>
  <si>
    <t>Product</t>
  </si>
  <si>
    <t>Expiry Date</t>
  </si>
  <si>
    <t>Amount</t>
  </si>
  <si>
    <t>Price</t>
  </si>
  <si>
    <t>Financial Price</t>
  </si>
  <si>
    <t>NTN-B 15/08/2028</t>
  </si>
  <si>
    <t>NTN-B 15/08/2026</t>
  </si>
  <si>
    <t>DAPQ26</t>
  </si>
  <si>
    <t>NTN-F 01/01/2033</t>
  </si>
  <si>
    <t>NTN-F 01/01/2031</t>
  </si>
  <si>
    <t>NTN-F 01/01/2035</t>
  </si>
  <si>
    <t>DI1F31</t>
  </si>
  <si>
    <t>NTN-B 15/05/2029</t>
  </si>
  <si>
    <t>data</t>
  </si>
  <si>
    <t>anomes</t>
  </si>
  <si>
    <t>anomes_txt</t>
  </si>
  <si>
    <t>Var. IPCA</t>
  </si>
  <si>
    <t>SELIC</t>
  </si>
  <si>
    <t>CDI</t>
  </si>
  <si>
    <t>NTN-B 15/08/2024</t>
  </si>
  <si>
    <t>NTN-B 15/05/2025</t>
  </si>
  <si>
    <t>NTN-B 15/08/2032</t>
  </si>
  <si>
    <t>B24</t>
  </si>
  <si>
    <t>Financial Volume</t>
  </si>
  <si>
    <t>B25</t>
  </si>
  <si>
    <t>B26</t>
  </si>
  <si>
    <t>intraday</t>
  </si>
  <si>
    <t>B28</t>
  </si>
  <si>
    <t>B32</t>
  </si>
  <si>
    <t>F31</t>
  </si>
  <si>
    <t>F33</t>
  </si>
  <si>
    <t>F35</t>
  </si>
  <si>
    <t>AJUSTES NAV</t>
  </si>
  <si>
    <t>CAIXA</t>
  </si>
  <si>
    <t>NAV</t>
  </si>
  <si>
    <t>APORTES</t>
  </si>
  <si>
    <t>RESGATES</t>
  </si>
  <si>
    <t>COTA</t>
  </si>
  <si>
    <t>B29</t>
  </si>
  <si>
    <t>CVRDA6</t>
  </si>
  <si>
    <t>Date</t>
  </si>
  <si>
    <t>PU DI1F31</t>
  </si>
  <si>
    <t>PU DAPQ26</t>
  </si>
  <si>
    <t>Ajuste DAPQ26</t>
  </si>
  <si>
    <t>Ajuste DI1F31</t>
  </si>
  <si>
    <t>daily ret.</t>
  </si>
  <si>
    <t>MTD</t>
  </si>
  <si>
    <t>YTD</t>
  </si>
  <si>
    <t>Since Inception</t>
  </si>
  <si>
    <t>6 meses</t>
  </si>
  <si>
    <t>12 meses</t>
  </si>
  <si>
    <t>24 meses</t>
  </si>
  <si>
    <t>-</t>
  </si>
  <si>
    <t>NTN-C 01/01/2031</t>
  </si>
  <si>
    <t>Var. IGPM</t>
  </si>
  <si>
    <t>C31</t>
  </si>
  <si>
    <t>P&amp;L dia</t>
  </si>
  <si>
    <t>P&amp;L MTD</t>
  </si>
  <si>
    <t>P&amp;L YTD</t>
  </si>
  <si>
    <t>NTN-B 15/08/2030</t>
  </si>
  <si>
    <t>B30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</si>
  <si>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</si>
  <si>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</si>
  <si>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</si>
  <si>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</si>
  <si>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</si>
  <si>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</si>
  <si>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</si>
  <si>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</si>
  <si>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</si>
  <si>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</si>
  <si>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</si>
  <si>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</si>
  <si>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t/>
  </si>
  <si>
    <t>Finados</t>
  </si>
  <si>
    <t>Proclamação da República</t>
  </si>
  <si>
    <t>Natal</t>
  </si>
  <si>
    <t>domingo</t>
  </si>
  <si>
    <t>quarta-feira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</si>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</sst>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00000_);_(* \(#,##0.000000\);_(* &quot;-&quot;??_);_(@_)"/>
    <numFmt numFmtId="167" formatCode="0.0%"/>
    <numFmt numFmtId="168" formatCode="0.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55"/>
      </right>
      <top/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55"/>
      </right>
      <top style="medium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 vertical="center"/>
    </xf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0" fillId="0" borderId="0" xfId="1" applyNumberFormat="1" applyFont="1"/>
    <xf numFmtId="10" fontId="0" fillId="0" borderId="0" xfId="2" applyNumberFormat="1" applyFont="1" applyAlignment="1">
      <alignment horizontal="center"/>
    </xf>
    <xf numFmtId="14" fontId="0" fillId="5" borderId="0" xfId="0" applyNumberFormat="1" applyFill="1"/>
    <xf numFmtId="43" fontId="0" fillId="5" borderId="0" xfId="1" applyFont="1" applyFill="1"/>
    <xf numFmtId="166" fontId="0" fillId="5" borderId="0" xfId="1" applyNumberFormat="1" applyFont="1" applyFill="1"/>
    <xf numFmtId="10" fontId="0" fillId="5" borderId="0" xfId="2" applyNumberFormat="1" applyFont="1" applyFill="1" applyAlignment="1">
      <alignment horizontal="center"/>
    </xf>
    <xf numFmtId="0" fontId="0" fillId="5" borderId="0" xfId="0" applyFill="1"/>
    <xf numFmtId="167" fontId="0" fillId="0" borderId="0" xfId="2" applyNumberFormat="1" applyFont="1"/>
    <xf numFmtId="10" fontId="0" fillId="0" borderId="0" xfId="2" quotePrefix="1" applyNumberFormat="1" applyFont="1"/>
    <xf numFmtId="10" fontId="0" fillId="5" borderId="0" xfId="2" applyNumberFormat="1" applyFont="1" applyFill="1"/>
    <xf numFmtId="10" fontId="0" fillId="5" borderId="0" xfId="2" quotePrefix="1" applyNumberFormat="1" applyFont="1" applyFill="1"/>
    <xf numFmtId="43" fontId="0" fillId="3" borderId="0" xfId="1" applyFont="1" applyFill="1"/>
    <xf numFmtId="0" fontId="0" fillId="3" borderId="0" xfId="0" applyFill="1"/>
    <xf numFmtId="43" fontId="0" fillId="0" borderId="0" xfId="1" applyFont="1" applyFill="1"/>
    <xf numFmtId="14" fontId="4" fillId="7" borderId="1" xfId="0" applyNumberFormat="1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14" fontId="4" fillId="8" borderId="4" xfId="0" applyNumberFormat="1" applyFont="1" applyFill="1" applyBorder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14" fontId="4" fillId="8" borderId="1" xfId="0" applyNumberFormat="1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4" fontId="4" fillId="7" borderId="4" xfId="0" applyNumberFormat="1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left"/>
    </xf>
    <xf numFmtId="14" fontId="0" fillId="3" borderId="0" xfId="0" applyNumberFormat="1" applyFill="1"/>
    <xf numFmtId="166" fontId="0" fillId="3" borderId="0" xfId="1" applyNumberFormat="1" applyFont="1" applyFill="1"/>
    <xf numFmtId="10" fontId="0" fillId="3" borderId="0" xfId="2" applyNumberFormat="1" applyFont="1" applyFill="1" applyAlignment="1">
      <alignment horizontal="center"/>
    </xf>
    <xf numFmtId="10" fontId="0" fillId="3" borderId="0" xfId="2" applyNumberFormat="1" applyFont="1" applyFill="1"/>
    <xf numFmtId="10" fontId="0" fillId="3" borderId="0" xfId="2" quotePrefix="1" applyNumberFormat="1" applyFont="1" applyFill="1"/>
    <xf numFmtId="164" fontId="0" fillId="0" borderId="0" xfId="1" quotePrefix="1" applyNumberFormat="1" applyFont="1" applyAlignment="1">
      <alignment horizontal="center"/>
    </xf>
    <xf numFmtId="168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1" applyNumberFormat="1" applyFont="1" applyAlignment="1"/>
    <xf numFmtId="166" fontId="0" fillId="0" borderId="0" xfId="1" applyNumberFormat="1" applyFont="1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/>
    <xf numFmtId="10" fontId="0" fillId="0" borderId="0" xfId="2" quotePrefix="1" applyNumberFormat="1" applyFont="1" applyFill="1"/>
    <xf numFmtId="164" fontId="0" fillId="0" borderId="0" xfId="1" applyNumberFormat="1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FA2A-95B6-47C5-916A-7F48FB955E1E}">
  <dimension ref="A1:BO551"/>
  <sheetViews>
    <sheetView tabSelected="1" topLeftCell="X1" workbookViewId="0">
      <pane ySplit="2" topLeftCell="A523" activePane="bottomLeft" state="frozen"/>
      <selection pane="bottomLeft" activeCell="AE532" sqref="AE532"/>
    </sheetView>
  </sheetViews>
  <sheetFormatPr defaultRowHeight="15" outlineLevelCol="1" x14ac:dyDescent="0.25"/>
  <cols>
    <col min="1" max="1" width="14.140625" customWidth="1"/>
    <col min="2" max="2" width="14.140625" hidden="1" customWidth="1" outlineLevel="1"/>
    <col min="3" max="3" width="13.85546875" style="2" bestFit="1" customWidth="1" collapsed="1"/>
    <col min="4" max="7" width="14.42578125" style="2" customWidth="1"/>
    <col min="8" max="8" width="11.85546875" customWidth="1"/>
    <col min="9" max="10" width="14.85546875" bestFit="1" customWidth="1"/>
    <col min="11" max="11" width="16.85546875" bestFit="1" customWidth="1"/>
    <col min="12" max="12" width="14.85546875" bestFit="1" customWidth="1"/>
    <col min="13" max="13" width="13.85546875" customWidth="1"/>
    <col min="14" max="14" width="14.85546875" bestFit="1" customWidth="1"/>
    <col min="15" max="16" width="13.85546875" bestFit="1" customWidth="1"/>
    <col min="17" max="18" width="14.85546875" bestFit="1" customWidth="1"/>
    <col min="19" max="19" width="13.85546875" bestFit="1" customWidth="1"/>
    <col min="20" max="20" width="14.85546875" bestFit="1" customWidth="1"/>
    <col min="21" max="21" width="13.85546875" bestFit="1" customWidth="1"/>
    <col min="22" max="23" width="14.85546875" bestFit="1" customWidth="1"/>
    <col min="24" max="25" width="14.85546875" customWidth="1"/>
    <col min="26" max="29" width="13.85546875" customWidth="1"/>
    <col min="30" max="30" width="14.85546875" bestFit="1" customWidth="1"/>
    <col min="31" max="31" width="13.85546875" bestFit="1" customWidth="1"/>
    <col min="32" max="33" width="13.85546875" customWidth="1"/>
    <col min="34" max="34" width="15.42578125" bestFit="1" customWidth="1"/>
    <col min="35" max="35" width="15.42578125" customWidth="1"/>
    <col min="36" max="36" width="14.85546875" bestFit="1" customWidth="1"/>
    <col min="37" max="37" width="15.5703125" bestFit="1" customWidth="1"/>
    <col min="38" max="38" width="14.5703125" bestFit="1" customWidth="1"/>
    <col min="39" max="39" width="15.5703125" bestFit="1" customWidth="1"/>
    <col min="40" max="41" width="14.5703125" bestFit="1" customWidth="1"/>
    <col min="42" max="44" width="14.5703125" customWidth="1"/>
    <col min="45" max="45" width="15.5703125" bestFit="1" customWidth="1"/>
    <col min="46" max="46" width="13.140625" bestFit="1" customWidth="1"/>
    <col min="47" max="47" width="13.140625" customWidth="1"/>
    <col min="48" max="48" width="14.85546875" bestFit="1" customWidth="1"/>
    <col min="49" max="49" width="13.140625" bestFit="1" customWidth="1"/>
    <col min="50" max="50" width="13.140625" customWidth="1"/>
    <col min="51" max="51" width="13.85546875" bestFit="1" customWidth="1"/>
    <col min="52" max="52" width="15.42578125" bestFit="1" customWidth="1"/>
    <col min="53" max="53" width="14.85546875" style="2" bestFit="1" customWidth="1"/>
    <col min="54" max="54" width="17.140625" bestFit="1" customWidth="1"/>
    <col min="55" max="56" width="14.85546875" style="2" bestFit="1" customWidth="1"/>
    <col min="57" max="59" width="15.42578125" style="2" bestFit="1" customWidth="1"/>
    <col min="60" max="60" width="10" bestFit="1" customWidth="1"/>
    <col min="61" max="61" width="8.85546875" bestFit="1" customWidth="1"/>
    <col min="62" max="63" width="7.5703125" bestFit="1" customWidth="1"/>
    <col min="64" max="64" width="9.5703125" style="18" bestFit="1" customWidth="1"/>
    <col min="65" max="65" width="8.42578125" bestFit="1" customWidth="1"/>
    <col min="66" max="66" width="7.140625" bestFit="1" customWidth="1"/>
    <col min="67" max="67" width="8.5703125" bestFit="1" customWidth="1"/>
  </cols>
  <sheetData>
    <row r="1" spans="1:67" ht="14.45" customHeight="1" x14ac:dyDescent="0.25">
      <c r="A1" s="53" t="s">
        <v>14</v>
      </c>
      <c r="B1" s="9"/>
      <c r="C1" s="4" t="s">
        <v>23</v>
      </c>
      <c r="D1" s="4" t="s">
        <v>23</v>
      </c>
      <c r="E1" s="4" t="s">
        <v>25</v>
      </c>
      <c r="F1" s="4" t="s">
        <v>25</v>
      </c>
      <c r="G1" s="4" t="s">
        <v>25</v>
      </c>
      <c r="H1" s="4" t="s">
        <v>26</v>
      </c>
      <c r="I1" s="4" t="s">
        <v>26</v>
      </c>
      <c r="J1" s="4" t="s">
        <v>26</v>
      </c>
      <c r="K1" s="4" t="s">
        <v>26</v>
      </c>
      <c r="L1" s="4" t="s">
        <v>26</v>
      </c>
      <c r="M1" s="4" t="s">
        <v>26</v>
      </c>
      <c r="N1" s="4" t="s">
        <v>28</v>
      </c>
      <c r="O1" s="4" t="s">
        <v>28</v>
      </c>
      <c r="P1" s="4" t="s">
        <v>28</v>
      </c>
      <c r="Q1" s="4" t="s">
        <v>28</v>
      </c>
      <c r="R1" s="4" t="s">
        <v>28</v>
      </c>
      <c r="S1" s="4" t="s">
        <v>28</v>
      </c>
      <c r="T1" s="4" t="s">
        <v>28</v>
      </c>
      <c r="U1" s="4" t="s">
        <v>28</v>
      </c>
      <c r="V1" s="4" t="s">
        <v>28</v>
      </c>
      <c r="W1" s="4" t="s">
        <v>28</v>
      </c>
      <c r="X1" s="4" t="s">
        <v>28</v>
      </c>
      <c r="Y1" s="4" t="s">
        <v>28</v>
      </c>
      <c r="Z1" s="4" t="s">
        <v>39</v>
      </c>
      <c r="AA1" s="4" t="s">
        <v>39</v>
      </c>
      <c r="AB1" s="4" t="s">
        <v>39</v>
      </c>
      <c r="AC1" s="4" t="s">
        <v>39</v>
      </c>
      <c r="AD1" s="4" t="s">
        <v>61</v>
      </c>
      <c r="AE1" s="4" t="s">
        <v>29</v>
      </c>
      <c r="AF1" s="4" t="s">
        <v>56</v>
      </c>
      <c r="AG1" s="53" t="s">
        <v>40</v>
      </c>
      <c r="AH1" s="53" t="s">
        <v>12</v>
      </c>
      <c r="AI1" s="53" t="s">
        <v>8</v>
      </c>
      <c r="AJ1" s="4" t="s">
        <v>30</v>
      </c>
      <c r="AK1" s="4" t="s">
        <v>30</v>
      </c>
      <c r="AL1" s="4" t="s">
        <v>30</v>
      </c>
      <c r="AM1" s="4" t="s">
        <v>30</v>
      </c>
      <c r="AN1" s="4" t="s">
        <v>30</v>
      </c>
      <c r="AO1" s="4" t="s">
        <v>30</v>
      </c>
      <c r="AP1" s="4" t="s">
        <v>30</v>
      </c>
      <c r="AQ1" s="4" t="s">
        <v>30</v>
      </c>
      <c r="AR1" s="4" t="s">
        <v>30</v>
      </c>
      <c r="AS1" s="4" t="s">
        <v>31</v>
      </c>
      <c r="AT1" s="4" t="s">
        <v>31</v>
      </c>
      <c r="AU1" s="4" t="s">
        <v>31</v>
      </c>
      <c r="AV1" s="4" t="s">
        <v>32</v>
      </c>
      <c r="AW1" s="4" t="s">
        <v>32</v>
      </c>
      <c r="AX1" s="4" t="s">
        <v>32</v>
      </c>
      <c r="AY1" s="4" t="s">
        <v>32</v>
      </c>
      <c r="AZ1" s="53" t="s">
        <v>33</v>
      </c>
      <c r="BA1" s="53" t="s">
        <v>34</v>
      </c>
      <c r="BB1" s="56" t="s">
        <v>35</v>
      </c>
      <c r="BC1" s="54" t="s">
        <v>36</v>
      </c>
      <c r="BD1" s="54" t="s">
        <v>37</v>
      </c>
      <c r="BE1" s="58" t="s">
        <v>57</v>
      </c>
      <c r="BF1" s="58" t="s">
        <v>58</v>
      </c>
      <c r="BG1" s="58" t="s">
        <v>59</v>
      </c>
      <c r="BH1" s="55" t="s">
        <v>38</v>
      </c>
      <c r="BI1" s="52" t="s">
        <v>46</v>
      </c>
      <c r="BJ1" s="52" t="s">
        <v>47</v>
      </c>
      <c r="BK1" s="52" t="s">
        <v>48</v>
      </c>
      <c r="BL1" s="51" t="s">
        <v>49</v>
      </c>
      <c r="BM1" s="51" t="s">
        <v>50</v>
      </c>
      <c r="BN1" s="51" t="s">
        <v>51</v>
      </c>
      <c r="BO1" s="51" t="s">
        <v>52</v>
      </c>
    </row>
    <row r="2" spans="1:67" x14ac:dyDescent="0.25">
      <c r="A2" s="53"/>
      <c r="B2" s="4" t="s">
        <v>15</v>
      </c>
      <c r="C2" s="10">
        <v>7.4690000000000006E-2</v>
      </c>
      <c r="D2" s="10">
        <v>6.8690000000000001E-2</v>
      </c>
      <c r="E2" s="10">
        <v>6.6189999999999999E-2</v>
      </c>
      <c r="F2" s="10">
        <v>6.1589999999999999E-2</v>
      </c>
      <c r="G2" s="10">
        <v>6.1690000000000002E-2</v>
      </c>
      <c r="H2" s="10" t="s">
        <v>27</v>
      </c>
      <c r="I2" s="10">
        <v>5.679E-2</v>
      </c>
      <c r="J2" s="10">
        <v>5.1889999999999999E-2</v>
      </c>
      <c r="K2" s="10">
        <v>6.6589999999999996E-2</v>
      </c>
      <c r="L2" s="10">
        <v>6.7699999999999996E-2</v>
      </c>
      <c r="M2" s="10">
        <v>7.6289999999999997E-2</v>
      </c>
      <c r="N2" s="10">
        <v>5.3289999999999997E-2</v>
      </c>
      <c r="O2" s="10">
        <v>5.3190000000000001E-2</v>
      </c>
      <c r="P2" s="10">
        <v>5.1589999999999997E-2</v>
      </c>
      <c r="Q2" s="10">
        <v>5.169E-2</v>
      </c>
      <c r="R2" s="10">
        <v>5.1790000000000003E-2</v>
      </c>
      <c r="S2" s="10">
        <v>5.0590000000000003E-2</v>
      </c>
      <c r="T2" s="10">
        <v>5.049E-2</v>
      </c>
      <c r="U2" s="10">
        <v>6.3990000000000005E-2</v>
      </c>
      <c r="V2" s="10">
        <v>7.8689999999999996E-2</v>
      </c>
      <c r="W2" s="10">
        <v>7.9600000000000004E-2</v>
      </c>
      <c r="X2" s="10">
        <v>7.4289999999999995E-2</v>
      </c>
      <c r="Y2" s="10">
        <v>8.0199999999999994E-2</v>
      </c>
      <c r="Z2" s="10">
        <v>7.1999999999999995E-2</v>
      </c>
      <c r="AA2" s="10">
        <v>8.4199999999999997E-2</v>
      </c>
      <c r="AB2" s="10">
        <v>8.4099999999999994E-2</v>
      </c>
      <c r="AC2" s="10">
        <v>7.4690000000000006E-2</v>
      </c>
      <c r="AD2" s="10">
        <v>7.4583999999999998E-2</v>
      </c>
      <c r="AE2" s="10">
        <v>5.1290000000000002E-2</v>
      </c>
      <c r="AF2" s="10">
        <v>6.2489999999999997E-2</v>
      </c>
      <c r="AG2" s="53"/>
      <c r="AH2" s="53"/>
      <c r="AI2" s="53"/>
      <c r="AJ2" s="10">
        <v>0.12299</v>
      </c>
      <c r="AK2" s="10">
        <v>0.12944</v>
      </c>
      <c r="AL2" s="10">
        <v>0.12948999999999999</v>
      </c>
      <c r="AM2" s="10">
        <v>0.129415</v>
      </c>
      <c r="AN2" s="10">
        <v>0.12951499999999999</v>
      </c>
      <c r="AO2" s="10">
        <v>0.1554614</v>
      </c>
      <c r="AP2" s="10">
        <v>0.13414000000000001</v>
      </c>
      <c r="AQ2" s="10">
        <v>0.13466500000000001</v>
      </c>
      <c r="AR2" s="10">
        <v>0.13508999999999999</v>
      </c>
      <c r="AS2" s="10">
        <v>0.11879000000000001</v>
      </c>
      <c r="AT2" s="10">
        <v>0.15318999999999999</v>
      </c>
      <c r="AU2" s="10">
        <v>0.13364000000000001</v>
      </c>
      <c r="AV2" s="10">
        <v>0.12149</v>
      </c>
      <c r="AW2" s="10">
        <v>0.15109</v>
      </c>
      <c r="AX2" s="10">
        <v>0.13466500000000001</v>
      </c>
      <c r="AY2" s="10">
        <v>0.14004</v>
      </c>
      <c r="AZ2" s="53"/>
      <c r="BA2" s="53"/>
      <c r="BB2" s="57"/>
      <c r="BC2" s="54"/>
      <c r="BD2" s="54"/>
      <c r="BE2" s="58"/>
      <c r="BF2" s="58"/>
      <c r="BG2" s="58"/>
      <c r="BH2" s="55"/>
      <c r="BI2" s="52"/>
      <c r="BJ2" s="52"/>
      <c r="BK2" s="52"/>
      <c r="BL2" s="51"/>
      <c r="BM2" s="51"/>
      <c r="BN2" s="51"/>
      <c r="BO2" s="51"/>
    </row>
    <row r="3" spans="1:67" s="2" customFormat="1" x14ac:dyDescent="0.25">
      <c r="A3" s="1">
        <v>45103</v>
      </c>
      <c r="B3" s="1" t="str">
        <f>_xlfn.CONCAT(TEXT(YEAR(A3),"0000"),TEXT(MONTH(A3),"00"))</f>
        <v>202306</v>
      </c>
      <c r="C3" s="2">
        <v>41542317.890000001</v>
      </c>
      <c r="D3" s="2">
        <v>0</v>
      </c>
      <c r="E3" s="2">
        <v>12437999.399999999</v>
      </c>
      <c r="F3" s="2">
        <v>41467016.240000002</v>
      </c>
      <c r="G3" s="2">
        <v>82919995.999999985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43383245.049999997</v>
      </c>
      <c r="O3" s="2">
        <v>43401451.200000003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34847974.220000029</v>
      </c>
      <c r="BB3" s="2">
        <f t="shared" ref="BB3:BB66" si="0">SUM(C3:BA3)</f>
        <v>300000000</v>
      </c>
      <c r="BC3" s="2">
        <v>300000000</v>
      </c>
      <c r="BD3" s="2">
        <v>0</v>
      </c>
      <c r="BE3" s="2">
        <v>0</v>
      </c>
      <c r="BF3" s="2">
        <v>0</v>
      </c>
      <c r="BG3" s="2">
        <v>0</v>
      </c>
      <c r="BH3" s="11">
        <v>1</v>
      </c>
      <c r="BI3" s="12">
        <v>0</v>
      </c>
      <c r="BJ3" s="12">
        <f>BI3</f>
        <v>0</v>
      </c>
      <c r="BK3" s="12">
        <f>BI3</f>
        <v>0</v>
      </c>
      <c r="BL3" s="5">
        <f>BI3</f>
        <v>0</v>
      </c>
      <c r="BM3" s="19" t="s">
        <v>53</v>
      </c>
      <c r="BN3" s="19" t="s">
        <v>53</v>
      </c>
      <c r="BO3" s="19" t="s">
        <v>53</v>
      </c>
    </row>
    <row r="4" spans="1:67" s="2" customFormat="1" x14ac:dyDescent="0.25">
      <c r="A4" s="1">
        <v>45104</v>
      </c>
      <c r="B4" s="1" t="str">
        <f t="shared" ref="B4:B67" si="1">_xlfn.CONCAT(TEXT(YEAR(A4),"0000"),TEXT(MONTH(A4),"00"))</f>
        <v>202306</v>
      </c>
      <c r="C4" s="2">
        <f>C3*(1+((1+VLOOKUP($B4,'IPCA Hist'!$B:$C,2,0))^12 - 1)+$C$2)^(1/252)</f>
        <v>41552721.068133257</v>
      </c>
      <c r="D4" s="2">
        <v>0</v>
      </c>
      <c r="E4" s="2">
        <f>E3*(1+((1+VLOOKUP($B4,'IPCA Hist'!$B:$C,2,0))^12 - 1)+$E$2)^(1/252)</f>
        <v>12440718.614835</v>
      </c>
      <c r="F4" s="2">
        <f>F3*(1+((1+VLOOKUP($B4,'IPCA Hist'!$B:$C,2,0))^12 - 1)+$F$2)^(1/252)</f>
        <v>41475363.741024964</v>
      </c>
      <c r="G4" s="2">
        <f>G3*(1+((1+VLOOKUP($B4,'IPCA Hist'!$B:$C,2,0))^12 - 1)+$G$2)^(1/252)</f>
        <v>82936719.458591476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f>N3*(1+((1+VLOOKUP($B4,'IPCA Hist'!$B:$C,2,0))^12 - 1)+$N$2)^(1/252)</f>
        <v>43390614.435997687</v>
      </c>
      <c r="O4" s="2">
        <f>O3*(1+((1+VLOOKUP($B4,'IPCA Hist'!$B:$C,2,0))^12 - 1)+$O$2)^(1/252)</f>
        <v>43408807.173866078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f>BA3*(1+VLOOKUP(A4,'SELIC Hist'!$A:$C,3,0))^(1/252)</f>
        <v>34865672.822154306</v>
      </c>
      <c r="BB4" s="2">
        <f t="shared" si="0"/>
        <v>300070617.31460273</v>
      </c>
      <c r="BC4" s="2">
        <v>0</v>
      </c>
      <c r="BD4" s="2">
        <v>0</v>
      </c>
      <c r="BE4" s="2">
        <f>BB4-BB3-BC4+BD4</f>
        <v>70617.314602732658</v>
      </c>
      <c r="BF4" s="2">
        <f>IF(MONTH(A4)=MONTH(A3),BE4+BF3,BE4)</f>
        <v>70617.314602732658</v>
      </c>
      <c r="BG4" s="2">
        <f>IF(YEAR(A4)=YEAR(A3),BE4+BG3,BE4)</f>
        <v>70617.314602732658</v>
      </c>
      <c r="BH4" s="11">
        <f>(1+(BB4-BB3-BC4+BD4)/BB3)*BH3</f>
        <v>1.0002353910486759</v>
      </c>
      <c r="BI4" s="12">
        <f>BH4/BH3 - 1</f>
        <v>2.3539104867587035E-4</v>
      </c>
      <c r="BJ4" s="12">
        <f>IF(MONTH(A4)=MONTH(A3),(1+BI4)*(1+BJ3) - 1,BI4)</f>
        <v>2.3539104867587035E-4</v>
      </c>
      <c r="BK4" s="12">
        <f>IF(YEAR(A4)=YEAR(A3),(1+BI4)*(1+BK3) - 1,BI4)</f>
        <v>2.3539104867587035E-4</v>
      </c>
      <c r="BL4" s="5">
        <f>(1+BI4)*(1+BL3) - 1</f>
        <v>2.3539104867587035E-4</v>
      </c>
      <c r="BM4" s="19" t="s">
        <v>53</v>
      </c>
      <c r="BN4" s="19" t="s">
        <v>53</v>
      </c>
      <c r="BO4" s="19" t="s">
        <v>53</v>
      </c>
    </row>
    <row r="5" spans="1:67" s="2" customFormat="1" x14ac:dyDescent="0.25">
      <c r="A5" s="1">
        <v>45105</v>
      </c>
      <c r="B5" s="1" t="str">
        <f t="shared" si="1"/>
        <v>202306</v>
      </c>
      <c r="C5" s="2">
        <f>C4*(1+((1+VLOOKUP($B5,'IPCA Hist'!$B:$C,2,0))^12 - 1)+$C$2)^(1/252)</f>
        <v>41563126.851468168</v>
      </c>
      <c r="D5" s="2">
        <v>0</v>
      </c>
      <c r="E5" s="2">
        <f>E4*(1+((1+VLOOKUP($B5,'IPCA Hist'!$B:$C,2,0))^12 - 1)+$E$2)^(1/252)</f>
        <v>12443438.42414899</v>
      </c>
      <c r="F5" s="2">
        <f>F4*(1+((1+VLOOKUP($B5,'IPCA Hist'!$B:$C,2,0))^12 - 1)+$F$2)^(1/252)</f>
        <v>41483712.922440261</v>
      </c>
      <c r="G5" s="2">
        <f>G4*(1+((1+VLOOKUP($B5,'IPCA Hist'!$B:$C,2,0))^12 - 1)+$G$2)^(1/252)</f>
        <v>82953446.290001109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>N4*(1+((1+VLOOKUP($B5,'IPCA Hist'!$B:$C,2,0))^12 - 1)+$N$2)^(1/252)</f>
        <v>43397985.073811598</v>
      </c>
      <c r="O5" s="2">
        <f>O4*(1+((1+VLOOKUP($B5,'IPCA Hist'!$B:$C,2,0))^12 - 1)+$O$2)^(1/252)</f>
        <v>43416164.394472763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f>BA4*(1+VLOOKUP(A5,'SELIC Hist'!$A:$C,3,0))^(1/252)</f>
        <v>34883380.413081251</v>
      </c>
      <c r="BB5" s="2">
        <f t="shared" si="0"/>
        <v>300141254.3694241</v>
      </c>
      <c r="BC5" s="2">
        <v>0</v>
      </c>
      <c r="BD5" s="2">
        <v>0</v>
      </c>
      <c r="BE5" s="2">
        <f>BB5-BB4-BC5+BD5</f>
        <v>70637.054821372032</v>
      </c>
      <c r="BF5" s="2">
        <f t="shared" ref="BF5:BF68" si="2">IF(MONTH(A5)=MONTH(A4),BE5+BF4,BE5)</f>
        <v>141254.36942410469</v>
      </c>
      <c r="BG5" s="2">
        <f t="shared" ref="BG5:BG68" si="3">IF(YEAR(A5)=YEAR(A4),BE5+BG4,BE5)</f>
        <v>141254.36942410469</v>
      </c>
      <c r="BH5" s="11">
        <f t="shared" ref="BH5:BH68" si="4">(1+(BB5-BB4-BC5+BD5)/BB4)*BH4</f>
        <v>1.0004708478980804</v>
      </c>
      <c r="BI5" s="12">
        <f t="shared" ref="BI5:BI68" si="5">BH5/BH4 - 1</f>
        <v>2.3540143801326074E-4</v>
      </c>
      <c r="BJ5" s="12">
        <f t="shared" ref="BJ5:BJ68" si="6">IF(MONTH(A5)=MONTH(A4),(1+BI5)*(1+BJ4) - 1,BI5)</f>
        <v>4.708478980803843E-4</v>
      </c>
      <c r="BK5" s="12">
        <f t="shared" ref="BK5:BK68" si="7">IF(YEAR(A5)=YEAR(A4),(1+BI5)*(1+BK4) - 1,BI5)</f>
        <v>4.708478980803843E-4</v>
      </c>
      <c r="BL5" s="5">
        <f t="shared" ref="BL5:BL68" si="8">(1+BI5)*(1+BL4) - 1</f>
        <v>4.708478980803843E-4</v>
      </c>
      <c r="BM5" s="19" t="s">
        <v>53</v>
      </c>
      <c r="BN5" s="19" t="s">
        <v>53</v>
      </c>
      <c r="BO5" s="19" t="s">
        <v>53</v>
      </c>
    </row>
    <row r="6" spans="1:67" s="2" customFormat="1" x14ac:dyDescent="0.25">
      <c r="A6" s="1">
        <v>45106</v>
      </c>
      <c r="B6" s="1" t="str">
        <f t="shared" si="1"/>
        <v>202306</v>
      </c>
      <c r="C6" s="2">
        <f>C5*(1+((1+VLOOKUP($B6,'IPCA Hist'!$B:$C,2,0))^12 - 1)+$C$2)^(1/252)</f>
        <v>41573535.240657136</v>
      </c>
      <c r="D6" s="2">
        <v>0</v>
      </c>
      <c r="E6" s="2">
        <f>E5*(1+((1+VLOOKUP($B6,'IPCA Hist'!$B:$C,2,0))^12 - 1)+$E$2)^(1/252)</f>
        <v>12446158.828071937</v>
      </c>
      <c r="F6" s="2">
        <f>F5*(1+((1+VLOOKUP($B6,'IPCA Hist'!$B:$C,2,0))^12 - 1)+$F$2)^(1/252)</f>
        <v>41492063.784584165</v>
      </c>
      <c r="G6" s="2">
        <f>G5*(1+((1+VLOOKUP($B6,'IPCA Hist'!$B:$C,2,0))^12 - 1)+$G$2)^(1/252)</f>
        <v>82970176.494909123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>N5*(1+((1+VLOOKUP($B6,'IPCA Hist'!$B:$C,2,0))^12 - 1)+$N$2)^(1/252)</f>
        <v>43405356.963654377</v>
      </c>
      <c r="O6" s="2">
        <f>O5*(1+((1+VLOOKUP($B6,'IPCA Hist'!$B:$C,2,0))^12 - 1)+$O$2)^(1/252)</f>
        <v>43423522.862031356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f>BA5*(1+VLOOKUP(A6,'SELIC Hist'!$A:$C,3,0))^(1/252)</f>
        <v>34901096.997346081</v>
      </c>
      <c r="BB6" s="2">
        <f t="shared" si="0"/>
        <v>300211911.17125422</v>
      </c>
      <c r="BC6" s="2">
        <v>0</v>
      </c>
      <c r="BD6" s="2">
        <v>0</v>
      </c>
      <c r="BE6" s="2">
        <f>BB6-BB5-BC6+BD6</f>
        <v>70656.801830112934</v>
      </c>
      <c r="BF6" s="2">
        <f t="shared" si="2"/>
        <v>211911.17125421762</v>
      </c>
      <c r="BG6" s="2">
        <f t="shared" si="3"/>
        <v>211911.17125421762</v>
      </c>
      <c r="BH6" s="11">
        <f t="shared" si="4"/>
        <v>1.0007063705708474</v>
      </c>
      <c r="BI6" s="12">
        <f t="shared" si="5"/>
        <v>2.3541182960196139E-4</v>
      </c>
      <c r="BJ6" s="12">
        <f t="shared" si="6"/>
        <v>7.063705708474366E-4</v>
      </c>
      <c r="BK6" s="12">
        <f t="shared" si="7"/>
        <v>7.063705708474366E-4</v>
      </c>
      <c r="BL6" s="5">
        <f t="shared" si="8"/>
        <v>7.063705708474366E-4</v>
      </c>
      <c r="BM6" s="19" t="s">
        <v>53</v>
      </c>
      <c r="BN6" s="19" t="s">
        <v>53</v>
      </c>
      <c r="BO6" s="19" t="s">
        <v>53</v>
      </c>
    </row>
    <row r="7" spans="1:67" s="2" customFormat="1" x14ac:dyDescent="0.25">
      <c r="A7" s="1">
        <v>45107</v>
      </c>
      <c r="B7" s="1" t="str">
        <f t="shared" si="1"/>
        <v>202306</v>
      </c>
      <c r="C7" s="2">
        <f>C6*(1+((1+VLOOKUP($B7,'IPCA Hist'!$B:$C,2,0))^12 - 1)+$C$2)^(1/252)</f>
        <v>41583946.236352727</v>
      </c>
      <c r="D7" s="2">
        <v>0</v>
      </c>
      <c r="E7" s="2">
        <f>E6*(1+((1+VLOOKUP($B7,'IPCA Hist'!$B:$C,2,0))^12 - 1)+$E$2)^(1/252)</f>
        <v>12448879.826733833</v>
      </c>
      <c r="F7" s="2">
        <f>F6*(1+((1+VLOOKUP($B7,'IPCA Hist'!$B:$C,2,0))^12 - 1)+$F$2)^(1/252)</f>
        <v>41500416.327795014</v>
      </c>
      <c r="G7" s="2">
        <f>G6*(1+((1+VLOOKUP($B7,'IPCA Hist'!$B:$C,2,0))^12 - 1)+$G$2)^(1/252)</f>
        <v>82986910.073995903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>N6*(1+((1+VLOOKUP($B7,'IPCA Hist'!$B:$C,2,0))^12 - 1)+$N$2)^(1/252)</f>
        <v>43412730.105738699</v>
      </c>
      <c r="O7" s="2">
        <f>O6*(1+((1+VLOOKUP($B7,'IPCA Hist'!$B:$C,2,0))^12 - 1)+$O$2)^(1/252)</f>
        <v>43430882.576753207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f>BA6*(1+VLOOKUP(A7,'SELIC Hist'!$A:$C,3,0))^(1/252)</f>
        <v>34918822.579516344</v>
      </c>
      <c r="BB7" s="2">
        <f t="shared" si="0"/>
        <v>300282587.72688574</v>
      </c>
      <c r="BC7" s="2">
        <v>0</v>
      </c>
      <c r="BD7" s="2">
        <v>0</v>
      </c>
      <c r="BE7" s="2">
        <f>BB7-BB6-BC7+BD7</f>
        <v>70676.555631518364</v>
      </c>
      <c r="BF7" s="2">
        <f t="shared" si="2"/>
        <v>282587.72688573599</v>
      </c>
      <c r="BG7" s="2">
        <f t="shared" si="3"/>
        <v>282587.72688573599</v>
      </c>
      <c r="BH7" s="11">
        <f t="shared" si="4"/>
        <v>1.0009419590896191</v>
      </c>
      <c r="BI7" s="12">
        <f t="shared" si="5"/>
        <v>2.3542222344130614E-4</v>
      </c>
      <c r="BJ7" s="12">
        <f t="shared" si="6"/>
        <v>9.4195908961913766E-4</v>
      </c>
      <c r="BK7" s="12">
        <f t="shared" si="7"/>
        <v>9.4195908961913766E-4</v>
      </c>
      <c r="BL7" s="5">
        <f t="shared" si="8"/>
        <v>9.4195908961913766E-4</v>
      </c>
      <c r="BM7" s="19" t="s">
        <v>53</v>
      </c>
      <c r="BN7" s="19" t="s">
        <v>53</v>
      </c>
      <c r="BO7" s="19" t="s">
        <v>53</v>
      </c>
    </row>
    <row r="8" spans="1:67" s="2" customFormat="1" x14ac:dyDescent="0.25">
      <c r="A8" s="1">
        <v>45110</v>
      </c>
      <c r="B8" s="1" t="str">
        <f t="shared" si="1"/>
        <v>202307</v>
      </c>
      <c r="C8" s="2">
        <f>C7*(1+((1+VLOOKUP($B8,'IPCA Hist'!$B:$C,2,0))^12 - 1)+$C$2)^(1/252)</f>
        <v>41598045.929961234</v>
      </c>
      <c r="D8" s="2">
        <v>0</v>
      </c>
      <c r="E8" s="2">
        <f>E7*(1+((1+VLOOKUP($B8,'IPCA Hist'!$B:$C,2,0))^12 - 1)+$E$2)^(1/252)</f>
        <v>12452713.65869833</v>
      </c>
      <c r="F8" s="2">
        <f>F7*(1+((1+VLOOKUP($B8,'IPCA Hist'!$B:$C,2,0))^12 - 1)+$F$2)^(1/252)</f>
        <v>41512494.35148333</v>
      </c>
      <c r="G8" s="2">
        <f>G7*(1+((1+VLOOKUP($B8,'IPCA Hist'!$B:$C,2,0))^12 - 1)+$G$2)^(1/252)</f>
        <v>83011092.679801077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f>N7*(1+((1+VLOOKUP($B8,'IPCA Hist'!$B:$C,2,0))^12 - 1)+$N$2)^(1/252)</f>
        <v>43424030.394521907</v>
      </c>
      <c r="O8" s="2">
        <f>O7*(1+((1+VLOOKUP($B8,'IPCA Hist'!$B:$C,2,0))^12 - 1)+$O$2)^(1/252)</f>
        <v>43442171.445257679</v>
      </c>
      <c r="P8" s="2">
        <v>43711222.890000001</v>
      </c>
      <c r="Q8" s="2">
        <v>43692945.229999997</v>
      </c>
      <c r="R8" s="2">
        <v>43674667.559999995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44749790.380000003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f>BA7*(1+VLOOKUP(A8,'SELIC Hist'!$A:$C,3,0))^(1/252) + BC8 - SUM(AE8,R8,Q8,P8) - BD8</f>
        <v>59107931.104161888</v>
      </c>
      <c r="BB8" s="2">
        <f t="shared" si="0"/>
        <v>500377105.62388539</v>
      </c>
      <c r="BC8" s="2">
        <v>200000000</v>
      </c>
      <c r="BD8" s="2">
        <v>0</v>
      </c>
      <c r="BE8" s="2">
        <f>BB8-BB7-BC8+BD8</f>
        <v>94517.896999657154</v>
      </c>
      <c r="BF8" s="2">
        <f t="shared" si="2"/>
        <v>94517.896999657154</v>
      </c>
      <c r="BG8" s="2">
        <f t="shared" si="3"/>
        <v>377105.62388539314</v>
      </c>
      <c r="BH8" s="11">
        <f t="shared" si="4"/>
        <v>1.0012570187462848</v>
      </c>
      <c r="BI8" s="12">
        <f t="shared" si="5"/>
        <v>3.1476316264344995E-4</v>
      </c>
      <c r="BJ8" s="12">
        <f t="shared" si="6"/>
        <v>3.1476316264344995E-4</v>
      </c>
      <c r="BK8" s="12">
        <f t="shared" si="7"/>
        <v>1.2570187462848104E-3</v>
      </c>
      <c r="BL8" s="5">
        <f t="shared" si="8"/>
        <v>1.2570187462848104E-3</v>
      </c>
      <c r="BM8" s="19" t="s">
        <v>53</v>
      </c>
      <c r="BN8" s="19" t="s">
        <v>53</v>
      </c>
      <c r="BO8" s="19" t="s">
        <v>53</v>
      </c>
    </row>
    <row r="9" spans="1:67" s="2" customFormat="1" x14ac:dyDescent="0.25">
      <c r="A9" s="1">
        <v>45111</v>
      </c>
      <c r="B9" s="1" t="str">
        <f t="shared" si="1"/>
        <v>202307</v>
      </c>
      <c r="C9" s="2">
        <v>41660438.840000004</v>
      </c>
      <c r="D9" s="2">
        <v>0</v>
      </c>
      <c r="E9" s="2">
        <f>E8*(1+((1+VLOOKUP($B9,'IPCA Hist'!$B:$C,2,0))^12 - 1)+$E$2)^(1/252)</f>
        <v>12456548.671352794</v>
      </c>
      <c r="F9" s="2">
        <f>F8*(1+((1+VLOOKUP($B9,'IPCA Hist'!$B:$C,2,0))^12 - 1)+$F$2)^(1/252)</f>
        <v>41524575.890284732</v>
      </c>
      <c r="G9" s="2">
        <f>G8*(1+((1+VLOOKUP($B9,'IPCA Hist'!$B:$C,2,0))^12 - 1)+$G$2)^(1/252)</f>
        <v>83035282.332481757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>N8*(1+((1+VLOOKUP($B9,'IPCA Hist'!$B:$C,2,0))^12 - 1)+$N$2)^(1/252)</f>
        <v>43435333.624758601</v>
      </c>
      <c r="O9" s="2">
        <f>O8*(1+((1+VLOOKUP($B9,'IPCA Hist'!$B:$C,2,0))^12 - 1)+$O$2)^(1/252)</f>
        <v>43453463.248046339</v>
      </c>
      <c r="P9" s="2">
        <f>P8*(1+((1+VLOOKUP($B9,'IPCA Hist'!$B:$C,2,0))^12 - 1)+$P$2)^(1/252)</f>
        <v>43722324.427190334</v>
      </c>
      <c r="Q9" s="2">
        <f>Q8*(1+((1+VLOOKUP($B9,'IPCA Hist'!$B:$C,2,0))^12 - 1)+$Q$2)^(1/252)</f>
        <v>43704058.392179221</v>
      </c>
      <c r="R9" s="2">
        <f>R8*(1+((1+VLOOKUP($B9,'IPCA Hist'!$B:$C,2,0))^12 - 1)+$R$2)^(1/252)</f>
        <v>43685792.332036927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f>AE8*(1+((1+VLOOKUP($B9,'IPCA Hist'!$B:$C,2,0))^12 - 1)+$AE$2)^(1/252)</f>
        <v>44761105.695987843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f>-C9</f>
        <v>-41660438.840000004</v>
      </c>
      <c r="BA9" s="2">
        <f>BA8*(1+VLOOKUP(A9,'SELIC Hist'!$A:$C,3,0))^(1/252) + C9</f>
        <v>100798389.70227382</v>
      </c>
      <c r="BB9" s="2">
        <f t="shared" si="0"/>
        <v>500576874.31659245</v>
      </c>
      <c r="BC9" s="2">
        <v>0</v>
      </c>
      <c r="BD9" s="2">
        <v>0</v>
      </c>
      <c r="BE9" s="2">
        <f t="shared" ref="BE9:BE72" si="9">BB9-BB8-BC9+BD9</f>
        <v>199768.69270706177</v>
      </c>
      <c r="BF9" s="2">
        <f t="shared" si="2"/>
        <v>294286.58970671892</v>
      </c>
      <c r="BG9" s="2">
        <f t="shared" si="3"/>
        <v>576874.31659245491</v>
      </c>
      <c r="BH9" s="11">
        <f t="shared" si="4"/>
        <v>1.0016567568706927</v>
      </c>
      <c r="BI9" s="12">
        <f t="shared" si="5"/>
        <v>3.9923627692362018E-4</v>
      </c>
      <c r="BJ9" s="12">
        <f t="shared" si="6"/>
        <v>7.1412510444024413E-4</v>
      </c>
      <c r="BK9" s="12">
        <f t="shared" si="7"/>
        <v>1.6567568706926661E-3</v>
      </c>
      <c r="BL9" s="5">
        <f t="shared" si="8"/>
        <v>1.6567568706926661E-3</v>
      </c>
      <c r="BM9" s="19" t="s">
        <v>53</v>
      </c>
      <c r="BN9" s="19" t="s">
        <v>53</v>
      </c>
      <c r="BO9" s="19" t="s">
        <v>53</v>
      </c>
    </row>
    <row r="10" spans="1:67" s="2" customFormat="1" x14ac:dyDescent="0.25">
      <c r="A10" s="1">
        <v>45112</v>
      </c>
      <c r="B10" s="1" t="str">
        <f t="shared" si="1"/>
        <v>202307</v>
      </c>
      <c r="C10" s="2">
        <v>0</v>
      </c>
      <c r="D10" s="2">
        <v>0</v>
      </c>
      <c r="E10" s="2">
        <f>E9*(1+((1+VLOOKUP($B10,'IPCA Hist'!$B:$C,2,0))^12 - 1)+$E$2)^(1/252)</f>
        <v>12460384.86506084</v>
      </c>
      <c r="F10" s="2">
        <f>F9*(1+((1+VLOOKUP($B10,'IPCA Hist'!$B:$C,2,0))^12 - 1)+$F$2)^(1/252)</f>
        <v>41536660.945222229</v>
      </c>
      <c r="G10" s="2">
        <f>G9*(1+((1+VLOOKUP($B10,'IPCA Hist'!$B:$C,2,0))^12 - 1)+$G$2)^(1/252)</f>
        <v>83059479.034091413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f>N9*(1+((1+VLOOKUP($B10,'IPCA Hist'!$B:$C,2,0))^12 - 1)+$N$2)^(1/252)</f>
        <v>43446639.797214448</v>
      </c>
      <c r="O10" s="2">
        <f>O9*(1+((1+VLOOKUP($B10,'IPCA Hist'!$B:$C,2,0))^12 - 1)+$O$2)^(1/252)</f>
        <v>43464757.985881887</v>
      </c>
      <c r="P10" s="2">
        <f>P9*(1+((1+VLOOKUP($B10,'IPCA Hist'!$B:$C,2,0))^12 - 1)+$P$2)^(1/252)</f>
        <v>43733428.783888333</v>
      </c>
      <c r="Q10" s="2">
        <f>Q9*(1+((1+VLOOKUP($B10,'IPCA Hist'!$B:$C,2,0))^12 - 1)+$Q$2)^(1/252)</f>
        <v>43715174.380956039</v>
      </c>
      <c r="R10" s="2">
        <f>R9*(1+((1+VLOOKUP($B10,'IPCA Hist'!$B:$C,2,0))^12 - 1)+$R$2)^(1/252)</f>
        <v>43696919.937765792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f>AE9*(1+((1+VLOOKUP($B10,'IPCA Hist'!$B:$C,2,0))^12 - 1)+$AE$2)^(1/252)</f>
        <v>44772423.873137146</v>
      </c>
      <c r="AF10" s="2">
        <v>1603174.4166000001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f>BA9*(1+VLOOKUP(A10,'SELIC Hist'!$A:$C,3,0))^(1/252) - 1603174.4166</f>
        <v>99246408.809459999</v>
      </c>
      <c r="BB10" s="2">
        <f t="shared" si="0"/>
        <v>500735452.82927805</v>
      </c>
      <c r="BC10" s="2">
        <v>0</v>
      </c>
      <c r="BD10" s="2">
        <v>0</v>
      </c>
      <c r="BE10" s="2">
        <f t="shared" si="9"/>
        <v>158578.51268559694</v>
      </c>
      <c r="BF10" s="2">
        <f t="shared" si="2"/>
        <v>452865.10239231586</v>
      </c>
      <c r="BG10" s="2">
        <f t="shared" si="3"/>
        <v>735452.82927805185</v>
      </c>
      <c r="BH10" s="11">
        <f t="shared" si="4"/>
        <v>1.0019740732448117</v>
      </c>
      <c r="BI10" s="12">
        <f t="shared" si="5"/>
        <v>3.1679152757924101E-4</v>
      </c>
      <c r="BJ10" s="12">
        <f t="shared" si="6"/>
        <v>1.0311428608023032E-3</v>
      </c>
      <c r="BK10" s="12">
        <f t="shared" si="7"/>
        <v>1.9740732448116916E-3</v>
      </c>
      <c r="BL10" s="5">
        <f t="shared" si="8"/>
        <v>1.9740732448116916E-3</v>
      </c>
      <c r="BM10" s="19" t="s">
        <v>53</v>
      </c>
      <c r="BN10" s="19" t="s">
        <v>53</v>
      </c>
      <c r="BO10" s="19" t="s">
        <v>53</v>
      </c>
    </row>
    <row r="11" spans="1:67" s="2" customFormat="1" x14ac:dyDescent="0.25">
      <c r="A11" s="1">
        <v>45113</v>
      </c>
      <c r="B11" s="1" t="str">
        <f t="shared" si="1"/>
        <v>202307</v>
      </c>
      <c r="C11" s="2">
        <v>0</v>
      </c>
      <c r="D11" s="2">
        <v>0</v>
      </c>
      <c r="E11" s="2">
        <f>E10*(1+((1+VLOOKUP($B11,'IPCA Hist'!$B:$C,2,0))^12 - 1)+$E$2)^(1/252)</f>
        <v>12464222.24018619</v>
      </c>
      <c r="F11" s="2">
        <f>F10*(1+((1+VLOOKUP($B11,'IPCA Hist'!$B:$C,2,0))^12 - 1)+$F$2)^(1/252)</f>
        <v>41548749.517319135</v>
      </c>
      <c r="G11" s="2">
        <f>G10*(1+((1+VLOOKUP($B11,'IPCA Hist'!$B:$C,2,0))^12 - 1)+$G$2)^(1/252)</f>
        <v>83083682.786684126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f>N10*(1+((1+VLOOKUP($B11,'IPCA Hist'!$B:$C,2,0))^12 - 1)+$N$2)^(1/252)</f>
        <v>43457948.912655301</v>
      </c>
      <c r="O11" s="2">
        <f>O10*(1+((1+VLOOKUP($B11,'IPCA Hist'!$B:$C,2,0))^12 - 1)+$O$2)^(1/252)</f>
        <v>43476055.659527227</v>
      </c>
      <c r="P11" s="2">
        <f>P10*(1+((1+VLOOKUP($B11,'IPCA Hist'!$B:$C,2,0))^12 - 1)+$P$2)^(1/252)</f>
        <v>43744535.96081008</v>
      </c>
      <c r="Q11" s="2">
        <f>Q10*(1+((1+VLOOKUP($B11,'IPCA Hist'!$B:$C,2,0))^12 - 1)+$Q$2)^(1/252)</f>
        <v>43726293.197049379</v>
      </c>
      <c r="R11" s="2">
        <f>R10*(1+((1+VLOOKUP($B11,'IPCA Hist'!$B:$C,2,0))^12 - 1)+$R$2)^(1/252)</f>
        <v>43708050.377908379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f>AE10*(1+((1+VLOOKUP($B11,'IPCA Hist'!$B:$C,2,0))^12 - 1)+$AE$2)^(1/252)</f>
        <v>44783744.912171386</v>
      </c>
      <c r="AF11" s="2">
        <f>AF10*(1+((1+VLOOKUP($B11,'IGPM Hist'!$B:$C,2,0))^12 - 1)+$AF$2)^(1/252)</f>
        <v>1603039.6330466024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f>BA10*(1+VLOOKUP(A11,'SELIC Hist'!$A:$C,3,0))^(1/252)</f>
        <v>99296814.112611055</v>
      </c>
      <c r="BB11" s="2">
        <f t="shared" si="0"/>
        <v>500893137.30996883</v>
      </c>
      <c r="BC11" s="2">
        <v>0</v>
      </c>
      <c r="BD11" s="2">
        <v>0</v>
      </c>
      <c r="BE11" s="2">
        <f t="shared" si="9"/>
        <v>157684.4806907773</v>
      </c>
      <c r="BF11" s="2">
        <f t="shared" si="2"/>
        <v>610549.58308309317</v>
      </c>
      <c r="BG11" s="2">
        <f t="shared" si="3"/>
        <v>893137.30996882915</v>
      </c>
      <c r="BH11" s="11">
        <f t="shared" si="4"/>
        <v>1.0022896006565667</v>
      </c>
      <c r="BI11" s="12">
        <f t="shared" si="5"/>
        <v>3.1490576471027154E-4</v>
      </c>
      <c r="BJ11" s="12">
        <f t="shared" si="6"/>
        <v>1.3463733383436427E-3</v>
      </c>
      <c r="BK11" s="12">
        <f t="shared" si="7"/>
        <v>2.2896006565666926E-3</v>
      </c>
      <c r="BL11" s="5">
        <f t="shared" si="8"/>
        <v>2.2896006565666926E-3</v>
      </c>
      <c r="BM11" s="19" t="s">
        <v>53</v>
      </c>
      <c r="BN11" s="19" t="s">
        <v>53</v>
      </c>
      <c r="BO11" s="19" t="s">
        <v>53</v>
      </c>
    </row>
    <row r="12" spans="1:67" s="2" customFormat="1" x14ac:dyDescent="0.25">
      <c r="A12" s="1">
        <v>45114</v>
      </c>
      <c r="B12" s="1" t="str">
        <f t="shared" si="1"/>
        <v>202307</v>
      </c>
      <c r="C12" s="2">
        <v>0</v>
      </c>
      <c r="D12" s="2">
        <v>0</v>
      </c>
      <c r="E12" s="2">
        <f>E11*(1+((1+VLOOKUP($B12,'IPCA Hist'!$B:$C,2,0))^12 - 1)+$E$2)^(1/252)</f>
        <v>12468060.797092684</v>
      </c>
      <c r="F12" s="2">
        <f>F11*(1+((1+VLOOKUP($B12,'IPCA Hist'!$B:$C,2,0))^12 - 1)+$F$2)^(1/252)</f>
        <v>41560841.607599065</v>
      </c>
      <c r="G12" s="2">
        <f>G11*(1+((1+VLOOKUP($B12,'IPCA Hist'!$B:$C,2,0))^12 - 1)+$G$2)^(1/252)</f>
        <v>83107893.592314571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>N11*(1+((1+VLOOKUP($B12,'IPCA Hist'!$B:$C,2,0))^12 - 1)+$N$2)^(1/252)</f>
        <v>43469260.971847214</v>
      </c>
      <c r="O12" s="2">
        <f>O11*(1+((1+VLOOKUP($B12,'IPCA Hist'!$B:$C,2,0))^12 - 1)+$O$2)^(1/252)</f>
        <v>43487356.269745454</v>
      </c>
      <c r="P12" s="2">
        <f>P11*(1+((1+VLOOKUP($B12,'IPCA Hist'!$B:$C,2,0))^12 - 1)+$P$2)^(1/252)</f>
        <v>43755645.958671838</v>
      </c>
      <c r="Q12" s="2">
        <f>Q11*(1+((1+VLOOKUP($B12,'IPCA Hist'!$B:$C,2,0))^12 - 1)+$Q$2)^(1/252)</f>
        <v>43737414.841178365</v>
      </c>
      <c r="R12" s="2">
        <f>R11*(1+((1+VLOOKUP($B12,'IPCA Hist'!$B:$C,2,0))^12 - 1)+$R$2)^(1/252)</f>
        <v>43719183.653186664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f>AE11*(1+((1+VLOOKUP($B12,'IPCA Hist'!$B:$C,2,0))^12 - 1)+$AE$2)^(1/252)</f>
        <v>44795068.813814208</v>
      </c>
      <c r="AF12" s="2">
        <f>AF11*(1+((1+VLOOKUP($B12,'IGPM Hist'!$B:$C,2,0))^12 - 1)+$AF$2)^(1/252)</f>
        <v>1602904.8608248513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f>BA11*(1+VLOOKUP(A12,'SELIC Hist'!$A:$C,3,0))^(1/252)</f>
        <v>99347245.015626281</v>
      </c>
      <c r="BB12" s="2">
        <f t="shared" si="0"/>
        <v>501050876.38190126</v>
      </c>
      <c r="BC12" s="2">
        <v>0</v>
      </c>
      <c r="BD12" s="2">
        <v>0</v>
      </c>
      <c r="BE12" s="2">
        <f t="shared" si="9"/>
        <v>157739.07193243504</v>
      </c>
      <c r="BF12" s="2">
        <f t="shared" si="2"/>
        <v>768288.6550155282</v>
      </c>
      <c r="BG12" s="2">
        <f t="shared" si="3"/>
        <v>1050876.3819012642</v>
      </c>
      <c r="BH12" s="11">
        <f t="shared" si="4"/>
        <v>1.0026052373056615</v>
      </c>
      <c r="BI12" s="12">
        <f t="shared" si="5"/>
        <v>3.1491561808882906E-4</v>
      </c>
      <c r="BJ12" s="12">
        <f t="shared" si="6"/>
        <v>1.6617129504243877E-3</v>
      </c>
      <c r="BK12" s="12">
        <f t="shared" si="7"/>
        <v>2.6052373056615341E-3</v>
      </c>
      <c r="BL12" s="5">
        <f t="shared" si="8"/>
        <v>2.6052373056615341E-3</v>
      </c>
      <c r="BM12" s="19" t="s">
        <v>53</v>
      </c>
      <c r="BN12" s="19" t="s">
        <v>53</v>
      </c>
      <c r="BO12" s="19" t="s">
        <v>53</v>
      </c>
    </row>
    <row r="13" spans="1:67" s="2" customFormat="1" x14ac:dyDescent="0.25">
      <c r="A13" s="1">
        <v>45117</v>
      </c>
      <c r="B13" s="1" t="str">
        <f t="shared" si="1"/>
        <v>202307</v>
      </c>
      <c r="C13" s="2">
        <v>0</v>
      </c>
      <c r="D13" s="2">
        <v>0</v>
      </c>
      <c r="E13" s="2">
        <f>E12*(1+((1+VLOOKUP($B13,'IPCA Hist'!$B:$C,2,0))^12 - 1)+$E$2)^(1/252)</f>
        <v>12471900.536144266</v>
      </c>
      <c r="F13" s="2">
        <f>F12*(1+((1+VLOOKUP($B13,'IPCA Hist'!$B:$C,2,0))^12 - 1)+$F$2)^(1/252)</f>
        <v>41572937.21708592</v>
      </c>
      <c r="G13" s="2">
        <f>G12*(1+((1+VLOOKUP($B13,'IPCA Hist'!$B:$C,2,0))^12 - 1)+$G$2)^(1/252)</f>
        <v>83132111.453038022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>N12*(1+((1+VLOOKUP($B13,'IPCA Hist'!$B:$C,2,0))^12 - 1)+$N$2)^(1/252)</f>
        <v>43480575.975556448</v>
      </c>
      <c r="O13" s="2">
        <f>O12*(1+((1+VLOOKUP($B13,'IPCA Hist'!$B:$C,2,0))^12 - 1)+$O$2)^(1/252)</f>
        <v>43498659.817299865</v>
      </c>
      <c r="P13" s="2">
        <f>P12*(1+((1+VLOOKUP($B13,'IPCA Hist'!$B:$C,2,0))^12 - 1)+$P$2)^(1/252)</f>
        <v>43766758.778190061</v>
      </c>
      <c r="Q13" s="2">
        <f>Q12*(1+((1+VLOOKUP($B13,'IPCA Hist'!$B:$C,2,0))^12 - 1)+$Q$2)^(1/252)</f>
        <v>43748539.314062297</v>
      </c>
      <c r="R13" s="2">
        <f>R12*(1+((1+VLOOKUP($B13,'IPCA Hist'!$B:$C,2,0))^12 - 1)+$R$2)^(1/252)</f>
        <v>43730319.764322817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f>AE12*(1+((1+VLOOKUP($B13,'IPCA Hist'!$B:$C,2,0))^12 - 1)+$AE$2)^(1/252)</f>
        <v>44806395.578789443</v>
      </c>
      <c r="AF13" s="2">
        <f>AF12*(1+((1+VLOOKUP($B13,'IGPM Hist'!$B:$C,2,0))^12 - 1)+$AF$2)^(1/252)</f>
        <v>1602770.0999337945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f>BA12*(1+VLOOKUP(A13,'SELIC Hist'!$A:$C,3,0))^(1/252)</f>
        <v>99397701.531507358</v>
      </c>
      <c r="BB13" s="2">
        <f t="shared" si="0"/>
        <v>501208670.06593031</v>
      </c>
      <c r="BC13" s="2">
        <v>0</v>
      </c>
      <c r="BD13" s="2">
        <v>0</v>
      </c>
      <c r="BE13" s="2">
        <f t="shared" si="9"/>
        <v>157793.68402904272</v>
      </c>
      <c r="BF13" s="2">
        <f t="shared" si="2"/>
        <v>926082.33904457092</v>
      </c>
      <c r="BG13" s="2">
        <f t="shared" si="3"/>
        <v>1208670.0659303069</v>
      </c>
      <c r="BH13" s="11">
        <f t="shared" si="4"/>
        <v>1.0029209832338268</v>
      </c>
      <c r="BI13" s="12">
        <f t="shared" si="5"/>
        <v>3.1492547257561121E-4</v>
      </c>
      <c r="BJ13" s="12">
        <f t="shared" si="6"/>
        <v>1.9771617387362994E-3</v>
      </c>
      <c r="BK13" s="12">
        <f t="shared" si="7"/>
        <v>2.9209832338268349E-3</v>
      </c>
      <c r="BL13" s="5">
        <f t="shared" si="8"/>
        <v>2.9209832338268349E-3</v>
      </c>
      <c r="BM13" s="19" t="s">
        <v>53</v>
      </c>
      <c r="BN13" s="19" t="s">
        <v>53</v>
      </c>
      <c r="BO13" s="19" t="s">
        <v>53</v>
      </c>
    </row>
    <row r="14" spans="1:67" s="2" customFormat="1" x14ac:dyDescent="0.25">
      <c r="A14" s="1">
        <v>45118</v>
      </c>
      <c r="B14" s="1" t="str">
        <f t="shared" si="1"/>
        <v>202307</v>
      </c>
      <c r="C14" s="2">
        <v>0</v>
      </c>
      <c r="D14" s="2">
        <v>0</v>
      </c>
      <c r="E14" s="2">
        <f>E13*(1+((1+VLOOKUP($B14,'IPCA Hist'!$B:$C,2,0))^12 - 1)+$E$2)^(1/252)</f>
        <v>12475741.457705</v>
      </c>
      <c r="F14" s="2">
        <f>F13*(1+((1+VLOOKUP($B14,'IPCA Hist'!$B:$C,2,0))^12 - 1)+$F$2)^(1/252)</f>
        <v>41585036.346803918</v>
      </c>
      <c r="G14" s="2">
        <f>G13*(1+((1+VLOOKUP($B14,'IPCA Hist'!$B:$C,2,0))^12 - 1)+$G$2)^(1/252)</f>
        <v>83156336.370910347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>N13*(1+((1+VLOOKUP($B14,'IPCA Hist'!$B:$C,2,0))^12 - 1)+$N$2)^(1/252)</f>
        <v>43491893.924549453</v>
      </c>
      <c r="O14" s="2">
        <f>O13*(1+((1+VLOOKUP($B14,'IPCA Hist'!$B:$C,2,0))^12 - 1)+$O$2)^(1/252)</f>
        <v>43509966.302953951</v>
      </c>
      <c r="P14" s="2">
        <f>P13*(1+((1+VLOOKUP($B14,'IPCA Hist'!$B:$C,2,0))^12 - 1)+$P$2)^(1/252)</f>
        <v>43777874.42008137</v>
      </c>
      <c r="Q14" s="2">
        <f>Q13*(1+((1+VLOOKUP($B14,'IPCA Hist'!$B:$C,2,0))^12 - 1)+$Q$2)^(1/252)</f>
        <v>43759666.616420656</v>
      </c>
      <c r="R14" s="2">
        <f>R13*(1+((1+VLOOKUP($B14,'IPCA Hist'!$B:$C,2,0))^12 - 1)+$R$2)^(1/252)</f>
        <v>43741458.71203918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f>AE13*(1+((1+VLOOKUP($B14,'IPCA Hist'!$B:$C,2,0))^12 - 1)+$AE$2)^(1/252)</f>
        <v>44817725.207821101</v>
      </c>
      <c r="AF14" s="2">
        <f>AF13*(1+((1+VLOOKUP($B14,'IGPM Hist'!$B:$C,2,0))^12 - 1)+$AF$2)^(1/252)</f>
        <v>1602635.3503724791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f>BA13*(1+VLOOKUP(A14,'SELIC Hist'!$A:$C,3,0))^(1/252)</f>
        <v>99448183.673262551</v>
      </c>
      <c r="BB14" s="2">
        <f t="shared" si="0"/>
        <v>501366518.38292003</v>
      </c>
      <c r="BC14" s="2">
        <v>0</v>
      </c>
      <c r="BD14" s="2">
        <v>0</v>
      </c>
      <c r="BE14" s="2">
        <f t="shared" si="9"/>
        <v>157848.31698971987</v>
      </c>
      <c r="BF14" s="2">
        <f t="shared" si="2"/>
        <v>1083930.6560342908</v>
      </c>
      <c r="BG14" s="2">
        <f t="shared" si="3"/>
        <v>1366518.3829200268</v>
      </c>
      <c r="BH14" s="11">
        <f t="shared" si="4"/>
        <v>1.0032368384828119</v>
      </c>
      <c r="BI14" s="12">
        <f t="shared" si="5"/>
        <v>3.149353281717282E-4</v>
      </c>
      <c r="BJ14" s="12">
        <f t="shared" si="6"/>
        <v>2.2927197449891246E-3</v>
      </c>
      <c r="BK14" s="12">
        <f t="shared" si="7"/>
        <v>3.2368384828118657E-3</v>
      </c>
      <c r="BL14" s="5">
        <f t="shared" si="8"/>
        <v>3.2368384828118657E-3</v>
      </c>
      <c r="BM14" s="19" t="s">
        <v>53</v>
      </c>
      <c r="BN14" s="19" t="s">
        <v>53</v>
      </c>
      <c r="BO14" s="19" t="s">
        <v>53</v>
      </c>
    </row>
    <row r="15" spans="1:67" s="2" customFormat="1" x14ac:dyDescent="0.25">
      <c r="A15" s="1">
        <v>45119</v>
      </c>
      <c r="B15" s="1" t="str">
        <f t="shared" si="1"/>
        <v>202307</v>
      </c>
      <c r="C15" s="2">
        <v>0</v>
      </c>
      <c r="D15" s="2">
        <v>0</v>
      </c>
      <c r="E15" s="2">
        <f>E14*(1+((1+VLOOKUP($B15,'IPCA Hist'!$B:$C,2,0))^12 - 1)+$E$2)^(1/252)</f>
        <v>12479583.562139057</v>
      </c>
      <c r="F15" s="2">
        <f>F14*(1+((1+VLOOKUP($B15,'IPCA Hist'!$B:$C,2,0))^12 - 1)+$F$2)^(1/252)</f>
        <v>41597138.997777566</v>
      </c>
      <c r="G15" s="2">
        <f>G14*(1+((1+VLOOKUP($B15,'IPCA Hist'!$B:$C,2,0))^12 - 1)+$G$2)^(1/252)</f>
        <v>83180568.347988024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f>N14*(1+((1+VLOOKUP($B15,'IPCA Hist'!$B:$C,2,0))^12 - 1)+$N$2)^(1/252)</f>
        <v>43503214.819592886</v>
      </c>
      <c r="O15" s="2">
        <f>O14*(1+((1+VLOOKUP($B15,'IPCA Hist'!$B:$C,2,0))^12 - 1)+$O$2)^(1/252)</f>
        <v>43521275.727471404</v>
      </c>
      <c r="P15" s="2">
        <f>P14*(1+((1+VLOOKUP($B15,'IPCA Hist'!$B:$C,2,0))^12 - 1)+$P$2)^(1/252)</f>
        <v>43788992.885062575</v>
      </c>
      <c r="Q15" s="2">
        <f>Q14*(1+((1+VLOOKUP($B15,'IPCA Hist'!$B:$C,2,0))^12 - 1)+$Q$2)^(1/252)</f>
        <v>43770796.748973116</v>
      </c>
      <c r="R15" s="2">
        <f>R14*(1+((1+VLOOKUP($B15,'IPCA Hist'!$B:$C,2,0))^12 - 1)+$R$2)^(1/252)</f>
        <v>43752600.497058287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f>AE14*(1+((1+VLOOKUP($B15,'IPCA Hist'!$B:$C,2,0))^12 - 1)+$AE$2)^(1/252)</f>
        <v>44829057.701633386</v>
      </c>
      <c r="AF15" s="2">
        <f>AF14*(1+((1+VLOOKUP($B15,'IGPM Hist'!$B:$C,2,0))^12 - 1)+$AF$2)^(1/252)</f>
        <v>1602500.6121399526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f>BA14*(1+VLOOKUP(A15,'SELIC Hist'!$A:$C,3,0))^(1/252)</f>
        <v>99498691.453906745</v>
      </c>
      <c r="BB15" s="2">
        <f t="shared" si="0"/>
        <v>501524421.35374296</v>
      </c>
      <c r="BC15" s="2">
        <v>0</v>
      </c>
      <c r="BD15" s="2">
        <v>0</v>
      </c>
      <c r="BE15" s="2">
        <f t="shared" si="9"/>
        <v>157902.97082293034</v>
      </c>
      <c r="BF15" s="2">
        <f t="shared" si="2"/>
        <v>1241833.6268572211</v>
      </c>
      <c r="BG15" s="2">
        <f t="shared" si="3"/>
        <v>1524421.3537429571</v>
      </c>
      <c r="BH15" s="11">
        <f t="shared" si="4"/>
        <v>1.0035528030943826</v>
      </c>
      <c r="BI15" s="12">
        <f t="shared" si="5"/>
        <v>3.1494518487629186E-4</v>
      </c>
      <c r="BJ15" s="12">
        <f t="shared" si="6"/>
        <v>2.6083870109092633E-3</v>
      </c>
      <c r="BK15" s="12">
        <f t="shared" si="7"/>
        <v>3.5528030943825506E-3</v>
      </c>
      <c r="BL15" s="5">
        <f t="shared" si="8"/>
        <v>3.5528030943825506E-3</v>
      </c>
      <c r="BM15" s="19" t="s">
        <v>53</v>
      </c>
      <c r="BN15" s="19" t="s">
        <v>53</v>
      </c>
      <c r="BO15" s="19" t="s">
        <v>53</v>
      </c>
    </row>
    <row r="16" spans="1:67" s="2" customFormat="1" x14ac:dyDescent="0.25">
      <c r="A16" s="1">
        <v>45120</v>
      </c>
      <c r="B16" s="1" t="str">
        <f t="shared" si="1"/>
        <v>202307</v>
      </c>
      <c r="C16" s="2">
        <v>0</v>
      </c>
      <c r="D16" s="2">
        <v>0</v>
      </c>
      <c r="E16" s="2">
        <f>E15*(1+((1+VLOOKUP($B16,'IPCA Hist'!$B:$C,2,0))^12 - 1)+$E$2)^(1/252)</f>
        <v>12483426.849810721</v>
      </c>
      <c r="F16" s="2">
        <f>F15*(1+((1+VLOOKUP($B16,'IPCA Hist'!$B:$C,2,0))^12 - 1)+$F$2)^(1/252)</f>
        <v>41609245.171031661</v>
      </c>
      <c r="G16" s="2">
        <f>G15*(1+((1+VLOOKUP($B16,'IPCA Hist'!$B:$C,2,0))^12 - 1)+$G$2)^(1/252)</f>
        <v>83204807.386328116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f>N15*(1+((1+VLOOKUP($B16,'IPCA Hist'!$B:$C,2,0))^12 - 1)+$N$2)^(1/252)</f>
        <v>43514538.661453597</v>
      </c>
      <c r="O16" s="2">
        <f>O15*(1+((1+VLOOKUP($B16,'IPCA Hist'!$B:$C,2,0))^12 - 1)+$O$2)^(1/252)</f>
        <v>43532588.091616109</v>
      </c>
      <c r="P16" s="2">
        <f>P15*(1+((1+VLOOKUP($B16,'IPCA Hist'!$B:$C,2,0))^12 - 1)+$P$2)^(1/252)</f>
        <v>43800114.173850678</v>
      </c>
      <c r="Q16" s="2">
        <f>Q15*(1+((1+VLOOKUP($B16,'IPCA Hist'!$B:$C,2,0))^12 - 1)+$Q$2)^(1/252)</f>
        <v>43781929.712439522</v>
      </c>
      <c r="R16" s="2">
        <f>R15*(1+((1+VLOOKUP($B16,'IPCA Hist'!$B:$C,2,0))^12 - 1)+$R$2)^(1/252)</f>
        <v>43763745.120102853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f>AE15*(1+((1+VLOOKUP($B16,'IPCA Hist'!$B:$C,2,0))^12 - 1)+$AE$2)^(1/252)</f>
        <v>44840393.060950682</v>
      </c>
      <c r="AF16" s="2">
        <f>AF15*(1+((1+VLOOKUP($B16,'IGPM Hist'!$B:$C,2,0))^12 - 1)+$AF$2)^(1/252)</f>
        <v>1602365.8852352628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f>BA15*(1+VLOOKUP(A16,'SELIC Hist'!$A:$C,3,0))^(1/252)</f>
        <v>99549224.886461422</v>
      </c>
      <c r="BB16" s="2">
        <f t="shared" si="0"/>
        <v>501682378.99928063</v>
      </c>
      <c r="BC16" s="2">
        <v>0</v>
      </c>
      <c r="BD16" s="2">
        <v>0</v>
      </c>
      <c r="BE16" s="2">
        <f t="shared" si="9"/>
        <v>157957.64553767443</v>
      </c>
      <c r="BF16" s="2">
        <f t="shared" si="2"/>
        <v>1399791.2723948956</v>
      </c>
      <c r="BG16" s="2">
        <f t="shared" si="3"/>
        <v>1682378.9992806315</v>
      </c>
      <c r="BH16" s="11">
        <f t="shared" si="4"/>
        <v>1.003868877110323</v>
      </c>
      <c r="BI16" s="12">
        <f t="shared" si="5"/>
        <v>3.1495504269019037E-4</v>
      </c>
      <c r="BJ16" s="12">
        <f t="shared" si="6"/>
        <v>2.9241635782417674E-3</v>
      </c>
      <c r="BK16" s="12">
        <f t="shared" si="7"/>
        <v>3.8688771103230213E-3</v>
      </c>
      <c r="BL16" s="5">
        <f t="shared" si="8"/>
        <v>3.8688771103230213E-3</v>
      </c>
      <c r="BM16" s="19" t="s">
        <v>53</v>
      </c>
      <c r="BN16" s="19" t="s">
        <v>53</v>
      </c>
      <c r="BO16" s="19" t="s">
        <v>53</v>
      </c>
    </row>
    <row r="17" spans="1:67" s="2" customFormat="1" x14ac:dyDescent="0.25">
      <c r="A17" s="1">
        <v>45121</v>
      </c>
      <c r="B17" s="1" t="str">
        <f t="shared" si="1"/>
        <v>202307</v>
      </c>
      <c r="C17" s="2">
        <v>0</v>
      </c>
      <c r="D17" s="2">
        <v>0</v>
      </c>
      <c r="E17" s="2">
        <f>E16*(1+((1+VLOOKUP($B17,'IPCA Hist'!$B:$C,2,0))^12 - 1)+$E$2)^(1/252)</f>
        <v>12487271.321084391</v>
      </c>
      <c r="F17" s="2">
        <f>F16*(1+((1+VLOOKUP($B17,'IPCA Hist'!$B:$C,2,0))^12 - 1)+$F$2)^(1/252)</f>
        <v>41621354.867591314</v>
      </c>
      <c r="G17" s="2">
        <f>G16*(1+((1+VLOOKUP($B17,'IPCA Hist'!$B:$C,2,0))^12 - 1)+$G$2)^(1/252)</f>
        <v>83229053.487988308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f>N16*(1+((1+VLOOKUP($B17,'IPCA Hist'!$B:$C,2,0))^12 - 1)+$N$2)^(1/252)</f>
        <v>43525865.450898647</v>
      </c>
      <c r="O17" s="2">
        <f>O16*(1+((1+VLOOKUP($B17,'IPCA Hist'!$B:$C,2,0))^12 - 1)+$O$2)^(1/252)</f>
        <v>43543903.396152161</v>
      </c>
      <c r="P17" s="2">
        <f>P16*(1+((1+VLOOKUP($B17,'IPCA Hist'!$B:$C,2,0))^12 - 1)+$P$2)^(1/252)</f>
        <v>43811238.287162848</v>
      </c>
      <c r="Q17" s="2">
        <f>Q16*(1+((1+VLOOKUP($B17,'IPCA Hist'!$B:$C,2,0))^12 - 1)+$Q$2)^(1/252)</f>
        <v>43793065.507539913</v>
      </c>
      <c r="R17" s="2">
        <f>R16*(1+((1+VLOOKUP($B17,'IPCA Hist'!$B:$C,2,0))^12 - 1)+$R$2)^(1/252)</f>
        <v>43774892.581895776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f>AE16*(1+((1+VLOOKUP($B17,'IPCA Hist'!$B:$C,2,0))^12 - 1)+$AE$2)^(1/252)</f>
        <v>44851731.286497548</v>
      </c>
      <c r="AF17" s="2">
        <f>AF16*(1+((1+VLOOKUP($B17,'IGPM Hist'!$B:$C,2,0))^12 - 1)+$AF$2)^(1/252)</f>
        <v>1602231.1696574572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f>BA16*(1+VLOOKUP(A17,'SELIC Hist'!$A:$C,3,0))^(1/252)</f>
        <v>99599783.983954683</v>
      </c>
      <c r="BB17" s="2">
        <f t="shared" si="0"/>
        <v>501840391.34042299</v>
      </c>
      <c r="BC17" s="2">
        <v>0</v>
      </c>
      <c r="BD17" s="2">
        <v>0</v>
      </c>
      <c r="BE17" s="2">
        <f t="shared" si="9"/>
        <v>158012.3411423564</v>
      </c>
      <c r="BF17" s="2">
        <f t="shared" si="2"/>
        <v>1557803.6135372519</v>
      </c>
      <c r="BG17" s="2">
        <f t="shared" si="3"/>
        <v>1840391.3404229879</v>
      </c>
      <c r="BH17" s="11">
        <f t="shared" si="4"/>
        <v>1.0041850605724343</v>
      </c>
      <c r="BI17" s="12">
        <f t="shared" si="5"/>
        <v>3.1496490161275759E-4</v>
      </c>
      <c r="BJ17" s="12">
        <f t="shared" si="6"/>
        <v>3.2400494887483422E-3</v>
      </c>
      <c r="BK17" s="12">
        <f t="shared" si="7"/>
        <v>4.1850605724342849E-3</v>
      </c>
      <c r="BL17" s="5">
        <f t="shared" si="8"/>
        <v>4.1850605724342849E-3</v>
      </c>
      <c r="BM17" s="19" t="s">
        <v>53</v>
      </c>
      <c r="BN17" s="19" t="s">
        <v>53</v>
      </c>
      <c r="BO17" s="19" t="s">
        <v>53</v>
      </c>
    </row>
    <row r="18" spans="1:67" s="2" customFormat="1" x14ac:dyDescent="0.25">
      <c r="A18" s="1">
        <v>45124</v>
      </c>
      <c r="B18" s="1" t="str">
        <f t="shared" si="1"/>
        <v>202307</v>
      </c>
      <c r="C18" s="2">
        <v>0</v>
      </c>
      <c r="D18" s="2">
        <v>0</v>
      </c>
      <c r="E18" s="2">
        <f>E17*(1+((1+VLOOKUP($B18,'IPCA Hist'!$B:$C,2,0))^12 - 1)+$E$2)^(1/252)</f>
        <v>12491116.976324577</v>
      </c>
      <c r="F18" s="2">
        <f>F17*(1+((1+VLOOKUP($B18,'IPCA Hist'!$B:$C,2,0))^12 - 1)+$F$2)^(1/252)</f>
        <v>41633468.088481918</v>
      </c>
      <c r="G18" s="2">
        <f>G17*(1+((1+VLOOKUP($B18,'IPCA Hist'!$B:$C,2,0))^12 - 1)+$G$2)^(1/252)</f>
        <v>83253306.655026853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f>N17*(1+((1+VLOOKUP($B18,'IPCA Hist'!$B:$C,2,0))^12 - 1)+$N$2)^(1/252)</f>
        <v>43537195.188695282</v>
      </c>
      <c r="O18" s="2">
        <f>O17*(1+((1+VLOOKUP($B18,'IPCA Hist'!$B:$C,2,0))^12 - 1)+$O$2)^(1/252)</f>
        <v>43555221.641843848</v>
      </c>
      <c r="P18" s="2">
        <f>P17*(1+((1+VLOOKUP($B18,'IPCA Hist'!$B:$C,2,0))^12 - 1)+$P$2)^(1/252)</f>
        <v>43822365.225716442</v>
      </c>
      <c r="Q18" s="2">
        <f>Q17*(1+((1+VLOOKUP($B18,'IPCA Hist'!$B:$C,2,0))^12 - 1)+$Q$2)^(1/252)</f>
        <v>43804204.134994507</v>
      </c>
      <c r="R18" s="2">
        <f>R17*(1+((1+VLOOKUP($B18,'IPCA Hist'!$B:$C,2,0))^12 - 1)+$R$2)^(1/252)</f>
        <v>43786042.883160137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f>AE17*(1+((1+VLOOKUP($B18,'IPCA Hist'!$B:$C,2,0))^12 - 1)+$AE$2)^(1/252)</f>
        <v>44863072.378998734</v>
      </c>
      <c r="AF18" s="2">
        <f>AF17*(1+((1+VLOOKUP($B18,'IGPM Hist'!$B:$C,2,0))^12 - 1)+$AF$2)^(1/252)</f>
        <v>1602096.4654055834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f>BA17*(1+VLOOKUP(A18,'SELIC Hist'!$A:$C,3,0))^(1/252)</f>
        <v>99650368.759421259</v>
      </c>
      <c r="BB18" s="2">
        <f t="shared" si="0"/>
        <v>501998458.39806914</v>
      </c>
      <c r="BC18" s="2">
        <v>0</v>
      </c>
      <c r="BD18" s="2">
        <v>0</v>
      </c>
      <c r="BE18" s="2">
        <f t="shared" si="9"/>
        <v>158067.05764615536</v>
      </c>
      <c r="BF18" s="2">
        <f t="shared" si="2"/>
        <v>1715870.6711834073</v>
      </c>
      <c r="BG18" s="2">
        <f t="shared" si="3"/>
        <v>1998458.3980691433</v>
      </c>
      <c r="BH18" s="11">
        <f t="shared" si="4"/>
        <v>1.0045013535225351</v>
      </c>
      <c r="BI18" s="12">
        <f t="shared" si="5"/>
        <v>3.1497476164465965E-4</v>
      </c>
      <c r="BJ18" s="12">
        <f t="shared" si="6"/>
        <v>3.5560447842084564E-3</v>
      </c>
      <c r="BK18" s="12">
        <f t="shared" si="7"/>
        <v>4.501353522535112E-3</v>
      </c>
      <c r="BL18" s="5">
        <f t="shared" si="8"/>
        <v>4.501353522535112E-3</v>
      </c>
      <c r="BM18" s="19" t="s">
        <v>53</v>
      </c>
      <c r="BN18" s="19" t="s">
        <v>53</v>
      </c>
      <c r="BO18" s="19" t="s">
        <v>53</v>
      </c>
    </row>
    <row r="19" spans="1:67" s="2" customFormat="1" x14ac:dyDescent="0.25">
      <c r="A19" s="1">
        <v>45125</v>
      </c>
      <c r="B19" s="1" t="str">
        <f t="shared" si="1"/>
        <v>202307</v>
      </c>
      <c r="C19" s="2">
        <v>0</v>
      </c>
      <c r="D19" s="2">
        <v>0</v>
      </c>
      <c r="E19" s="2">
        <f>E18*(1+((1+VLOOKUP($B19,'IPCA Hist'!$B:$C,2,0))^12 - 1)+$E$2)^(1/252)</f>
        <v>12494963.815895898</v>
      </c>
      <c r="F19" s="2">
        <f>F18*(1+((1+VLOOKUP($B19,'IPCA Hist'!$B:$C,2,0))^12 - 1)+$F$2)^(1/252)</f>
        <v>41645584.83472918</v>
      </c>
      <c r="G19" s="2">
        <f>G18*(1+((1+VLOOKUP($B19,'IPCA Hist'!$B:$C,2,0))^12 - 1)+$G$2)^(1/252)</f>
        <v>83277566.88950263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>N18*(1+((1+VLOOKUP($B19,'IPCA Hist'!$B:$C,2,0))^12 - 1)+$N$2)^(1/252)</f>
        <v>43548527.875610955</v>
      </c>
      <c r="O19" s="2">
        <f>O18*(1+((1+VLOOKUP($B19,'IPCA Hist'!$B:$C,2,0))^12 - 1)+$O$2)^(1/252)</f>
        <v>43566542.829455659</v>
      </c>
      <c r="P19" s="2">
        <f>P18*(1+((1+VLOOKUP($B19,'IPCA Hist'!$B:$C,2,0))^12 - 1)+$P$2)^(1/252)</f>
        <v>43833494.990229003</v>
      </c>
      <c r="Q19" s="2">
        <f>Q18*(1+((1+VLOOKUP($B19,'IPCA Hist'!$B:$C,2,0))^12 - 1)+$Q$2)^(1/252)</f>
        <v>43815345.5955237</v>
      </c>
      <c r="R19" s="2">
        <f>R18*(1+((1+VLOOKUP($B19,'IPCA Hist'!$B:$C,2,0))^12 - 1)+$R$2)^(1/252)</f>
        <v>43797196.024619207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f>AE18*(1+((1+VLOOKUP($B19,'IPCA Hist'!$B:$C,2,0))^12 - 1)+$AE$2)^(1/252)</f>
        <v>44874416.339179173</v>
      </c>
      <c r="AF19" s="2">
        <f>AF18*(1+((1+VLOOKUP($B19,'IGPM Hist'!$B:$C,2,0))^12 - 1)+$AF$2)^(1/252)</f>
        <v>1601961.7724786894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f>BA18*(1+VLOOKUP(A19,'SELIC Hist'!$A:$C,3,0))^(1/252)</f>
        <v>99700979.225902483</v>
      </c>
      <c r="BB19" s="2">
        <f t="shared" si="0"/>
        <v>502156580.19312662</v>
      </c>
      <c r="BC19" s="2">
        <v>0</v>
      </c>
      <c r="BD19" s="2">
        <v>0</v>
      </c>
      <c r="BE19" s="2">
        <f t="shared" si="9"/>
        <v>158121.79505747557</v>
      </c>
      <c r="BF19" s="2">
        <f t="shared" si="2"/>
        <v>1873992.4662408829</v>
      </c>
      <c r="BG19" s="2">
        <f t="shared" si="3"/>
        <v>2156580.1931266189</v>
      </c>
      <c r="BH19" s="11">
        <f t="shared" si="4"/>
        <v>1.004817756002462</v>
      </c>
      <c r="BI19" s="12">
        <f t="shared" si="5"/>
        <v>3.1498462278567452E-4</v>
      </c>
      <c r="BJ19" s="12">
        <f t="shared" si="6"/>
        <v>3.8721495064191203E-3</v>
      </c>
      <c r="BK19" s="12">
        <f t="shared" si="7"/>
        <v>4.8177560024620369E-3</v>
      </c>
      <c r="BL19" s="5">
        <f t="shared" si="8"/>
        <v>4.8177560024620369E-3</v>
      </c>
      <c r="BM19" s="19" t="s">
        <v>53</v>
      </c>
      <c r="BN19" s="19" t="s">
        <v>53</v>
      </c>
      <c r="BO19" s="19" t="s">
        <v>53</v>
      </c>
    </row>
    <row r="20" spans="1:67" s="2" customFormat="1" x14ac:dyDescent="0.25">
      <c r="A20" s="1">
        <v>45126</v>
      </c>
      <c r="B20" s="1" t="str">
        <f t="shared" si="1"/>
        <v>202307</v>
      </c>
      <c r="C20" s="2">
        <v>0</v>
      </c>
      <c r="D20" s="2">
        <v>0</v>
      </c>
      <c r="E20" s="2">
        <f>E19*(1+((1+VLOOKUP($B20,'IPCA Hist'!$B:$C,2,0))^12 - 1)+$E$2)^(1/252)</f>
        <v>12498811.840163087</v>
      </c>
      <c r="F20" s="2">
        <f>F19*(1+((1+VLOOKUP($B20,'IPCA Hist'!$B:$C,2,0))^12 - 1)+$F$2)^(1/252)</f>
        <v>41657705.107359096</v>
      </c>
      <c r="G20" s="2">
        <f>G19*(1+((1+VLOOKUP($B20,'IPCA Hist'!$B:$C,2,0))^12 - 1)+$G$2)^(1/252)</f>
        <v>83301834.193475112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>N19*(1+((1+VLOOKUP($B20,'IPCA Hist'!$B:$C,2,0))^12 - 1)+$N$2)^(1/252)</f>
        <v>43559863.512413323</v>
      </c>
      <c r="O20" s="2">
        <f>O19*(1+((1+VLOOKUP($B20,'IPCA Hist'!$B:$C,2,0))^12 - 1)+$O$2)^(1/252)</f>
        <v>43577866.959752277</v>
      </c>
      <c r="P20" s="2">
        <f>P19*(1+((1+VLOOKUP($B20,'IPCA Hist'!$B:$C,2,0))^12 - 1)+$P$2)^(1/252)</f>
        <v>43844627.581418246</v>
      </c>
      <c r="Q20" s="2">
        <f>Q19*(1+((1+VLOOKUP($B20,'IPCA Hist'!$B:$C,2,0))^12 - 1)+$Q$2)^(1/252)</f>
        <v>43826489.889848076</v>
      </c>
      <c r="R20" s="2">
        <f>R19*(1+((1+VLOOKUP($B20,'IPCA Hist'!$B:$C,2,0))^12 - 1)+$R$2)^(1/252)</f>
        <v>43808352.006996438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f>AE19*(1+((1+VLOOKUP($B20,'IPCA Hist'!$B:$C,2,0))^12 - 1)+$AE$2)^(1/252)</f>
        <v>44885763.167763971</v>
      </c>
      <c r="AF20" s="2">
        <f>AF19*(1+((1+VLOOKUP($B20,'IGPM Hist'!$B:$C,2,0))^12 - 1)+$AF$2)^(1/252)</f>
        <v>1601827.0908758231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f>BA19*(1+VLOOKUP(A20,'SELIC Hist'!$A:$C,3,0))^(1/252)</f>
        <v>99751615.396446303</v>
      </c>
      <c r="BB20" s="2">
        <f t="shared" si="0"/>
        <v>502314756.7465117</v>
      </c>
      <c r="BC20" s="2">
        <v>0</v>
      </c>
      <c r="BD20" s="2">
        <v>0</v>
      </c>
      <c r="BE20" s="2">
        <f t="shared" si="9"/>
        <v>158176.55338507891</v>
      </c>
      <c r="BF20" s="2">
        <f t="shared" si="2"/>
        <v>2032169.0196259618</v>
      </c>
      <c r="BG20" s="2">
        <f t="shared" si="3"/>
        <v>2314756.7465116978</v>
      </c>
      <c r="BH20" s="11">
        <f t="shared" si="4"/>
        <v>1.0051342680540685</v>
      </c>
      <c r="BI20" s="12">
        <f t="shared" si="5"/>
        <v>3.149944850353581E-4</v>
      </c>
      <c r="BJ20" s="12">
        <f t="shared" si="6"/>
        <v>4.1883636971942195E-3</v>
      </c>
      <c r="BK20" s="12">
        <f t="shared" si="7"/>
        <v>5.1342680540684693E-3</v>
      </c>
      <c r="BL20" s="5">
        <f t="shared" si="8"/>
        <v>5.1342680540684693E-3</v>
      </c>
      <c r="BM20" s="19" t="s">
        <v>53</v>
      </c>
      <c r="BN20" s="19" t="s">
        <v>53</v>
      </c>
      <c r="BO20" s="19" t="s">
        <v>53</v>
      </c>
    </row>
    <row r="21" spans="1:67" s="2" customFormat="1" x14ac:dyDescent="0.25">
      <c r="A21" s="1">
        <v>45127</v>
      </c>
      <c r="B21" s="1" t="str">
        <f t="shared" si="1"/>
        <v>202307</v>
      </c>
      <c r="C21" s="2">
        <v>0</v>
      </c>
      <c r="D21" s="2">
        <v>0</v>
      </c>
      <c r="E21" s="2">
        <f>E20*(1+((1+VLOOKUP($B21,'IPCA Hist'!$B:$C,2,0))^12 - 1)+$E$2)^(1/252)</f>
        <v>12502661.049490994</v>
      </c>
      <c r="F21" s="2">
        <f>F20*(1+((1+VLOOKUP($B21,'IPCA Hist'!$B:$C,2,0))^12 - 1)+$F$2)^(1/252)</f>
        <v>41669828.907397956</v>
      </c>
      <c r="G21" s="2">
        <f>G20*(1+((1+VLOOKUP($B21,'IPCA Hist'!$B:$C,2,0))^12 - 1)+$G$2)^(1/252)</f>
        <v>83326108.569004372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>N20*(1+((1+VLOOKUP($B21,'IPCA Hist'!$B:$C,2,0))^12 - 1)+$N$2)^(1/252)</f>
        <v>43571202.099870235</v>
      </c>
      <c r="O21" s="2">
        <f>O20*(1+((1+VLOOKUP($B21,'IPCA Hist'!$B:$C,2,0))^12 - 1)+$O$2)^(1/252)</f>
        <v>43589194.033498578</v>
      </c>
      <c r="P21" s="2">
        <f>P20*(1+((1+VLOOKUP($B21,'IPCA Hist'!$B:$C,2,0))^12 - 1)+$P$2)^(1/252)</f>
        <v>43855763.000002079</v>
      </c>
      <c r="Q21" s="2">
        <f>Q20*(1+((1+VLOOKUP($B21,'IPCA Hist'!$B:$C,2,0))^12 - 1)+$Q$2)^(1/252)</f>
        <v>43837637.018688403</v>
      </c>
      <c r="R21" s="2">
        <f>R20*(1+((1+VLOOKUP($B21,'IPCA Hist'!$B:$C,2,0))^12 - 1)+$R$2)^(1/252)</f>
        <v>43819510.831015468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f>AE20*(1+((1+VLOOKUP($B21,'IPCA Hist'!$B:$C,2,0))^12 - 1)+$AE$2)^(1/252)</f>
        <v>44897112.865478434</v>
      </c>
      <c r="AF21" s="2">
        <f>AF20*(1+((1+VLOOKUP($B21,'IGPM Hist'!$B:$C,2,0))^12 - 1)+$AF$2)^(1/252)</f>
        <v>1601692.4205960322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f>BA20*(1+VLOOKUP(A21,'SELIC Hist'!$A:$C,3,0))^(1/252)</f>
        <v>99802277.284107327</v>
      </c>
      <c r="BB21" s="2">
        <f t="shared" si="0"/>
        <v>502472988.07914984</v>
      </c>
      <c r="BC21" s="2">
        <v>0</v>
      </c>
      <c r="BD21" s="2">
        <v>0</v>
      </c>
      <c r="BE21" s="2">
        <f t="shared" si="9"/>
        <v>158231.33263814449</v>
      </c>
      <c r="BF21" s="2">
        <f t="shared" si="2"/>
        <v>2190400.3522641063</v>
      </c>
      <c r="BG21" s="2">
        <f t="shared" si="3"/>
        <v>2472988.0791498423</v>
      </c>
      <c r="BH21" s="11">
        <f t="shared" si="4"/>
        <v>1.0054508897192265</v>
      </c>
      <c r="BI21" s="12">
        <f t="shared" si="5"/>
        <v>3.1500434839504265E-4</v>
      </c>
      <c r="BJ21" s="12">
        <f t="shared" si="6"/>
        <v>4.5046873983665137E-3</v>
      </c>
      <c r="BK21" s="12">
        <f t="shared" si="7"/>
        <v>5.4508897192264705E-3</v>
      </c>
      <c r="BL21" s="5">
        <f t="shared" si="8"/>
        <v>5.4508897192264705E-3</v>
      </c>
      <c r="BM21" s="19" t="s">
        <v>53</v>
      </c>
      <c r="BN21" s="19" t="s">
        <v>53</v>
      </c>
      <c r="BO21" s="19" t="s">
        <v>53</v>
      </c>
    </row>
    <row r="22" spans="1:67" s="2" customFormat="1" x14ac:dyDescent="0.25">
      <c r="A22" s="1">
        <v>45128</v>
      </c>
      <c r="B22" s="1" t="str">
        <f t="shared" si="1"/>
        <v>202307</v>
      </c>
      <c r="C22" s="2">
        <v>0</v>
      </c>
      <c r="D22" s="2">
        <v>0</v>
      </c>
      <c r="E22" s="2">
        <f>E21*(1+((1+VLOOKUP($B22,'IPCA Hist'!$B:$C,2,0))^12 - 1)+$E$2)^(1/252)</f>
        <v>12506511.444244573</v>
      </c>
      <c r="F22" s="2">
        <f>F21*(1+((1+VLOOKUP($B22,'IPCA Hist'!$B:$C,2,0))^12 - 1)+$F$2)^(1/252)</f>
        <v>41681956.235872358</v>
      </c>
      <c r="G22" s="2">
        <f>G21*(1+((1+VLOOKUP($B22,'IPCA Hist'!$B:$C,2,0))^12 - 1)+$G$2)^(1/252)</f>
        <v>83350390.018151075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f>N21*(1+((1+VLOOKUP($B22,'IPCA Hist'!$B:$C,2,0))^12 - 1)+$N$2)^(1/252)</f>
        <v>43582543.638749741</v>
      </c>
      <c r="O22" s="2">
        <f>O21*(1+((1+VLOOKUP($B22,'IPCA Hist'!$B:$C,2,0))^12 - 1)+$O$2)^(1/252)</f>
        <v>43600524.051459655</v>
      </c>
      <c r="P22" s="2">
        <f>P21*(1+((1+VLOOKUP($B22,'IPCA Hist'!$B:$C,2,0))^12 - 1)+$P$2)^(1/252)</f>
        <v>43866901.246698588</v>
      </c>
      <c r="Q22" s="2">
        <f>Q21*(1+((1+VLOOKUP($B22,'IPCA Hist'!$B:$C,2,0))^12 - 1)+$Q$2)^(1/252)</f>
        <v>43848786.98276563</v>
      </c>
      <c r="R22" s="2">
        <f>R21*(1+((1+VLOOKUP($B22,'IPCA Hist'!$B:$C,2,0))^12 - 1)+$R$2)^(1/252)</f>
        <v>43830672.497400112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f>AE21*(1+((1+VLOOKUP($B22,'IPCA Hist'!$B:$C,2,0))^12 - 1)+$AE$2)^(1/252)</f>
        <v>44908465.433048032</v>
      </c>
      <c r="AF22" s="2">
        <f>AF21*(1+((1+VLOOKUP($B22,'IGPM Hist'!$B:$C,2,0))^12 - 1)+$AF$2)^(1/252)</f>
        <v>1601557.7616383648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f>BA21*(1+VLOOKUP(A22,'SELIC Hist'!$A:$C,3,0))^(1/252)</f>
        <v>99852964.901946768</v>
      </c>
      <c r="BB22" s="2">
        <f t="shared" si="0"/>
        <v>502631274.2119748</v>
      </c>
      <c r="BC22" s="2">
        <v>0</v>
      </c>
      <c r="BD22" s="2">
        <v>0</v>
      </c>
      <c r="BE22" s="2">
        <f t="shared" si="9"/>
        <v>158286.13282495737</v>
      </c>
      <c r="BF22" s="2">
        <f t="shared" si="2"/>
        <v>2348686.4850890636</v>
      </c>
      <c r="BG22" s="2">
        <f t="shared" si="3"/>
        <v>2631274.2119747996</v>
      </c>
      <c r="BH22" s="11">
        <f t="shared" si="4"/>
        <v>1.0057676210398243</v>
      </c>
      <c r="BI22" s="12">
        <f t="shared" si="5"/>
        <v>3.1501421286361797E-4</v>
      </c>
      <c r="BJ22" s="12">
        <f t="shared" si="6"/>
        <v>4.8211206517851934E-3</v>
      </c>
      <c r="BK22" s="12">
        <f t="shared" si="7"/>
        <v>5.7676210398243111E-3</v>
      </c>
      <c r="BL22" s="5">
        <f t="shared" si="8"/>
        <v>5.7676210398243111E-3</v>
      </c>
      <c r="BM22" s="19" t="s">
        <v>53</v>
      </c>
      <c r="BN22" s="19" t="s">
        <v>53</v>
      </c>
      <c r="BO22" s="19" t="s">
        <v>53</v>
      </c>
    </row>
    <row r="23" spans="1:67" s="2" customFormat="1" x14ac:dyDescent="0.25">
      <c r="A23" s="1">
        <v>45131</v>
      </c>
      <c r="B23" s="1" t="str">
        <f t="shared" si="1"/>
        <v>202307</v>
      </c>
      <c r="C23" s="2">
        <v>0</v>
      </c>
      <c r="D23" s="2">
        <v>0</v>
      </c>
      <c r="E23" s="2">
        <f>E22*(1+((1+VLOOKUP($B23,'IPCA Hist'!$B:$C,2,0))^12 - 1)+$E$2)^(1/252)</f>
        <v>12510363.024788897</v>
      </c>
      <c r="F23" s="2">
        <f>F22*(1+((1+VLOOKUP($B23,'IPCA Hist'!$B:$C,2,0))^12 - 1)+$F$2)^(1/252)</f>
        <v>41694087.093809202</v>
      </c>
      <c r="G23" s="2">
        <f>G22*(1+((1+VLOOKUP($B23,'IPCA Hist'!$B:$C,2,0))^12 - 1)+$G$2)^(1/252)</f>
        <v>83374678.542976484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f>N22*(1+((1+VLOOKUP($B23,'IPCA Hist'!$B:$C,2,0))^12 - 1)+$N$2)^(1/252)</f>
        <v>43593888.129820101</v>
      </c>
      <c r="O23" s="2">
        <f>O22*(1+((1+VLOOKUP($B23,'IPCA Hist'!$B:$C,2,0))^12 - 1)+$O$2)^(1/252)</f>
        <v>43611857.014400788</v>
      </c>
      <c r="P23" s="2">
        <f>P22*(1+((1+VLOOKUP($B23,'IPCA Hist'!$B:$C,2,0))^12 - 1)+$P$2)^(1/252)</f>
        <v>43878042.32222604</v>
      </c>
      <c r="Q23" s="2">
        <f>Q22*(1+((1+VLOOKUP($B23,'IPCA Hist'!$B:$C,2,0))^12 - 1)+$Q$2)^(1/252)</f>
        <v>43859939.782800891</v>
      </c>
      <c r="R23" s="2">
        <f>R22*(1+((1+VLOOKUP($B23,'IPCA Hist'!$B:$C,2,0))^12 - 1)+$R$2)^(1/252)</f>
        <v>43841837.006874382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f>AE22*(1+((1+VLOOKUP($B23,'IPCA Hist'!$B:$C,2,0))^12 - 1)+$AE$2)^(1/252)</f>
        <v>44919820.871198438</v>
      </c>
      <c r="AF23" s="2">
        <f>AF22*(1+((1+VLOOKUP($B23,'IGPM Hist'!$B:$C,2,0))^12 - 1)+$AF$2)^(1/252)</f>
        <v>1601423.114001869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f>BA22*(1+VLOOKUP(A23,'SELIC Hist'!$A:$C,3,0))^(1/252)</f>
        <v>99903678.263032481</v>
      </c>
      <c r="BB23" s="2">
        <f t="shared" si="0"/>
        <v>502789615.16592962</v>
      </c>
      <c r="BC23" s="2">
        <v>0</v>
      </c>
      <c r="BD23" s="2">
        <v>0</v>
      </c>
      <c r="BE23" s="2">
        <f t="shared" si="9"/>
        <v>158340.95395481586</v>
      </c>
      <c r="BF23" s="2">
        <f t="shared" si="2"/>
        <v>2507027.4390438795</v>
      </c>
      <c r="BG23" s="2">
        <f t="shared" si="3"/>
        <v>2789615.1659296155</v>
      </c>
      <c r="BH23" s="11">
        <f t="shared" si="4"/>
        <v>1.0060844620577694</v>
      </c>
      <c r="BI23" s="12">
        <f t="shared" si="5"/>
        <v>3.1502407844219427E-4</v>
      </c>
      <c r="BJ23" s="12">
        <f t="shared" si="6"/>
        <v>5.1376634993178794E-3</v>
      </c>
      <c r="BK23" s="12">
        <f t="shared" si="7"/>
        <v>6.0844620577693576E-3</v>
      </c>
      <c r="BL23" s="5">
        <f t="shared" si="8"/>
        <v>6.0844620577693576E-3</v>
      </c>
      <c r="BM23" s="19" t="s">
        <v>53</v>
      </c>
      <c r="BN23" s="19" t="s">
        <v>53</v>
      </c>
      <c r="BO23" s="19" t="s">
        <v>53</v>
      </c>
    </row>
    <row r="24" spans="1:67" s="2" customFormat="1" x14ac:dyDescent="0.25">
      <c r="A24" s="1">
        <v>45132</v>
      </c>
      <c r="B24" s="1" t="str">
        <f t="shared" si="1"/>
        <v>202307</v>
      </c>
      <c r="C24" s="2">
        <v>0</v>
      </c>
      <c r="D24" s="2">
        <v>0</v>
      </c>
      <c r="E24" s="2">
        <f>E23*(1+((1+VLOOKUP($B24,'IPCA Hist'!$B:$C,2,0))^12 - 1)+$E$2)^(1/252)</f>
        <v>12514215.79148915</v>
      </c>
      <c r="F24" s="2">
        <f>F23*(1+((1+VLOOKUP($B24,'IPCA Hist'!$B:$C,2,0))^12 - 1)+$F$2)^(1/252)</f>
        <v>41706221.482235678</v>
      </c>
      <c r="G24" s="2">
        <f>G23*(1+((1+VLOOKUP($B24,'IPCA Hist'!$B:$C,2,0))^12 - 1)+$G$2)^(1/252)</f>
        <v>83398974.145542473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f>N23*(1+((1+VLOOKUP($B24,'IPCA Hist'!$B:$C,2,0))^12 - 1)+$N$2)^(1/252)</f>
        <v>43605235.57384976</v>
      </c>
      <c r="O24" s="2">
        <f>O23*(1+((1+VLOOKUP($B24,'IPCA Hist'!$B:$C,2,0))^12 - 1)+$O$2)^(1/252)</f>
        <v>43623192.923087455</v>
      </c>
      <c r="P24" s="2">
        <f>P23*(1+((1+VLOOKUP($B24,'IPCA Hist'!$B:$C,2,0))^12 - 1)+$P$2)^(1/252)</f>
        <v>43889186.227302894</v>
      </c>
      <c r="Q24" s="2">
        <f>Q23*(1+((1+VLOOKUP($B24,'IPCA Hist'!$B:$C,2,0))^12 - 1)+$Q$2)^(1/252)</f>
        <v>43871095.419515505</v>
      </c>
      <c r="R24" s="2">
        <f>R23*(1+((1+VLOOKUP($B24,'IPCA Hist'!$B:$C,2,0))^12 - 1)+$R$2)^(1/252)</f>
        <v>43853004.360162459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f>AE23*(1+((1+VLOOKUP($B24,'IPCA Hist'!$B:$C,2,0))^12 - 1)+$AE$2)^(1/252)</f>
        <v>44931179.180655502</v>
      </c>
      <c r="AF24" s="2">
        <f>AF23*(1+((1+VLOOKUP($B24,'IGPM Hist'!$B:$C,2,0))^12 - 1)+$AF$2)^(1/252)</f>
        <v>1601288.4776855933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f>BA23*(1+VLOOKUP(A24,'SELIC Hist'!$A:$C,3,0))^(1/252)</f>
        <v>99954417.380438939</v>
      </c>
      <c r="BB24" s="2">
        <f t="shared" si="0"/>
        <v>502948010.96196532</v>
      </c>
      <c r="BC24" s="2">
        <v>0</v>
      </c>
      <c r="BD24" s="2">
        <v>0</v>
      </c>
      <c r="BE24" s="2">
        <f t="shared" si="9"/>
        <v>158395.796035707</v>
      </c>
      <c r="BF24" s="2">
        <f t="shared" si="2"/>
        <v>2665423.2350795865</v>
      </c>
      <c r="BG24" s="2">
        <f t="shared" si="3"/>
        <v>2948010.9619653225</v>
      </c>
      <c r="BH24" s="11">
        <f t="shared" si="4"/>
        <v>1.0064014128149845</v>
      </c>
      <c r="BI24" s="12">
        <f t="shared" si="5"/>
        <v>3.1503394512921723E-4</v>
      </c>
      <c r="BJ24" s="12">
        <f t="shared" si="6"/>
        <v>5.454315982847957E-3</v>
      </c>
      <c r="BK24" s="12">
        <f t="shared" si="7"/>
        <v>6.4014128149845195E-3</v>
      </c>
      <c r="BL24" s="5">
        <f t="shared" si="8"/>
        <v>6.4014128149845195E-3</v>
      </c>
      <c r="BM24" s="19" t="s">
        <v>53</v>
      </c>
      <c r="BN24" s="19" t="s">
        <v>53</v>
      </c>
      <c r="BO24" s="19" t="s">
        <v>53</v>
      </c>
    </row>
    <row r="25" spans="1:67" s="2" customFormat="1" x14ac:dyDescent="0.25">
      <c r="A25" s="1">
        <v>45133</v>
      </c>
      <c r="B25" s="1" t="str">
        <f t="shared" si="1"/>
        <v>202307</v>
      </c>
      <c r="C25" s="2">
        <v>0</v>
      </c>
      <c r="D25" s="2">
        <v>0</v>
      </c>
      <c r="E25" s="2">
        <f>E24*(1+((1+VLOOKUP($B25,'IPCA Hist'!$B:$C,2,0))^12 - 1)+$E$2)^(1/252)</f>
        <v>12518069.744710626</v>
      </c>
      <c r="F25" s="2">
        <f>F24*(1+((1+VLOOKUP($B25,'IPCA Hist'!$B:$C,2,0))^12 - 1)+$F$2)^(1/252)</f>
        <v>41718359.402179278</v>
      </c>
      <c r="G25" s="2">
        <f>G24*(1+((1+VLOOKUP($B25,'IPCA Hist'!$B:$C,2,0))^12 - 1)+$G$2)^(1/252)</f>
        <v>83423276.827911526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f>N24*(1+((1+VLOOKUP($B25,'IPCA Hist'!$B:$C,2,0))^12 - 1)+$N$2)^(1/252)</f>
        <v>43616585.971607372</v>
      </c>
      <c r="O25" s="2">
        <f>O24*(1+((1+VLOOKUP($B25,'IPCA Hist'!$B:$C,2,0))^12 - 1)+$O$2)^(1/252)</f>
        <v>43634531.778285332</v>
      </c>
      <c r="P25" s="2">
        <f>P24*(1+((1+VLOOKUP($B25,'IPCA Hist'!$B:$C,2,0))^12 - 1)+$P$2)^(1/252)</f>
        <v>43900332.962647773</v>
      </c>
      <c r="Q25" s="2">
        <f>Q24*(1+((1+VLOOKUP($B25,'IPCA Hist'!$B:$C,2,0))^12 - 1)+$Q$2)^(1/252)</f>
        <v>43882253.893630974</v>
      </c>
      <c r="R25" s="2">
        <f>R24*(1+((1+VLOOKUP($B25,'IPCA Hist'!$B:$C,2,0))^12 - 1)+$R$2)^(1/252)</f>
        <v>43864174.557988726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f>AE24*(1+((1+VLOOKUP($B25,'IPCA Hist'!$B:$C,2,0))^12 - 1)+$AE$2)^(1/252)</f>
        <v>44942540.362145245</v>
      </c>
      <c r="AF25" s="2">
        <f>AF24*(1+((1+VLOOKUP($B25,'IGPM Hist'!$B:$C,2,0))^12 - 1)+$AF$2)^(1/252)</f>
        <v>1601153.8526885856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f>BA24*(1+VLOOKUP(A25,'SELIC Hist'!$A:$C,3,0))^(1/252)</f>
        <v>100005182.26724729</v>
      </c>
      <c r="BB25" s="2">
        <f t="shared" si="0"/>
        <v>503106461.62104273</v>
      </c>
      <c r="BC25" s="2">
        <v>0</v>
      </c>
      <c r="BD25" s="2">
        <v>0</v>
      </c>
      <c r="BE25" s="2">
        <f t="shared" si="9"/>
        <v>158450.65907740593</v>
      </c>
      <c r="BF25" s="2">
        <f t="shared" si="2"/>
        <v>2823873.8941569924</v>
      </c>
      <c r="BG25" s="2">
        <f t="shared" si="3"/>
        <v>3106461.6210427284</v>
      </c>
      <c r="BH25" s="11">
        <f t="shared" si="4"/>
        <v>1.0067184733534127</v>
      </c>
      <c r="BI25" s="12">
        <f t="shared" si="5"/>
        <v>3.1504381292690731E-4</v>
      </c>
      <c r="BJ25" s="12">
        <f t="shared" si="6"/>
        <v>5.7710781442790182E-3</v>
      </c>
      <c r="BK25" s="12">
        <f t="shared" si="7"/>
        <v>6.7184733534126906E-3</v>
      </c>
      <c r="BL25" s="5">
        <f t="shared" si="8"/>
        <v>6.7184733534126906E-3</v>
      </c>
      <c r="BM25" s="19" t="s">
        <v>53</v>
      </c>
      <c r="BN25" s="19" t="s">
        <v>53</v>
      </c>
      <c r="BO25" s="19" t="s">
        <v>53</v>
      </c>
    </row>
    <row r="26" spans="1:67" s="2" customFormat="1" x14ac:dyDescent="0.25">
      <c r="A26" s="1">
        <v>45134</v>
      </c>
      <c r="B26" s="1" t="str">
        <f t="shared" si="1"/>
        <v>202307</v>
      </c>
      <c r="C26" s="2">
        <v>0</v>
      </c>
      <c r="D26" s="2">
        <v>0</v>
      </c>
      <c r="E26" s="2">
        <f>E25*(1+((1+VLOOKUP($B26,'IPCA Hist'!$B:$C,2,0))^12 - 1)+$E$2)^(1/252)</f>
        <v>12521924.884818735</v>
      </c>
      <c r="F26" s="2">
        <f>F25*(1+((1+VLOOKUP($B26,'IPCA Hist'!$B:$C,2,0))^12 - 1)+$F$2)^(1/252)</f>
        <v>41730500.85466779</v>
      </c>
      <c r="G26" s="2">
        <f>G25*(1+((1+VLOOKUP($B26,'IPCA Hist'!$B:$C,2,0))^12 - 1)+$G$2)^(1/252)</f>
        <v>83447586.59214671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f>N25*(1+((1+VLOOKUP($B26,'IPCA Hist'!$B:$C,2,0))^12 - 1)+$N$2)^(1/252)</f>
        <v>43627939.323861793</v>
      </c>
      <c r="O26" s="2">
        <f>O25*(1+((1+VLOOKUP($B26,'IPCA Hist'!$B:$C,2,0))^12 - 1)+$O$2)^(1/252)</f>
        <v>43645873.5807603</v>
      </c>
      <c r="P26" s="2">
        <f>P25*(1+((1+VLOOKUP($B26,'IPCA Hist'!$B:$C,2,0))^12 - 1)+$P$2)^(1/252)</f>
        <v>43911482.528979495</v>
      </c>
      <c r="Q26" s="2">
        <f>Q25*(1+((1+VLOOKUP($B26,'IPCA Hist'!$B:$C,2,0))^12 - 1)+$Q$2)^(1/252)</f>
        <v>43893415.205868974</v>
      </c>
      <c r="R26" s="2">
        <f>R25*(1+((1+VLOOKUP($B26,'IPCA Hist'!$B:$C,2,0))^12 - 1)+$R$2)^(1/252)</f>
        <v>43875347.601077735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f>AE25*(1+((1+VLOOKUP($B26,'IPCA Hist'!$B:$C,2,0))^12 - 1)+$AE$2)^(1/252)</f>
        <v>44953904.416393891</v>
      </c>
      <c r="AF26" s="2">
        <f>AF25*(1+((1+VLOOKUP($B26,'IGPM Hist'!$B:$C,2,0))^12 - 1)+$AF$2)^(1/252)</f>
        <v>1601019.2390098944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f>BA25*(1+VLOOKUP(A26,'SELIC Hist'!$A:$C,3,0))^(1/252)</f>
        <v>100055972.9365453</v>
      </c>
      <c r="BB26" s="2">
        <f t="shared" si="0"/>
        <v>503264967.16413063</v>
      </c>
      <c r="BC26" s="2">
        <v>0</v>
      </c>
      <c r="BD26" s="2">
        <v>0</v>
      </c>
      <c r="BE26" s="2">
        <f t="shared" si="9"/>
        <v>158505.54308789968</v>
      </c>
      <c r="BF26" s="2">
        <f t="shared" si="2"/>
        <v>2982379.4372448921</v>
      </c>
      <c r="BG26" s="2">
        <f t="shared" si="3"/>
        <v>3264967.1641306281</v>
      </c>
      <c r="BH26" s="11">
        <f t="shared" si="4"/>
        <v>1.0070356437150125</v>
      </c>
      <c r="BI26" s="12">
        <f t="shared" si="5"/>
        <v>3.1505368183348814E-4</v>
      </c>
      <c r="BJ26" s="12">
        <f t="shared" si="6"/>
        <v>6.0879500255299757E-3</v>
      </c>
      <c r="BK26" s="12">
        <f t="shared" si="7"/>
        <v>7.0356437150125295E-3</v>
      </c>
      <c r="BL26" s="5">
        <f t="shared" si="8"/>
        <v>7.0356437150125295E-3</v>
      </c>
      <c r="BM26" s="19" t="s">
        <v>53</v>
      </c>
      <c r="BN26" s="19" t="s">
        <v>53</v>
      </c>
      <c r="BO26" s="19" t="s">
        <v>53</v>
      </c>
    </row>
    <row r="27" spans="1:67" s="2" customFormat="1" x14ac:dyDescent="0.25">
      <c r="A27" s="1">
        <v>45135</v>
      </c>
      <c r="B27" s="1" t="str">
        <f t="shared" si="1"/>
        <v>202307</v>
      </c>
      <c r="C27" s="2">
        <v>0</v>
      </c>
      <c r="D27" s="2">
        <v>0</v>
      </c>
      <c r="E27" s="2">
        <f>E26*(1+((1+VLOOKUP($B27,'IPCA Hist'!$B:$C,2,0))^12 - 1)+$E$2)^(1/252)</f>
        <v>12525781.212178996</v>
      </c>
      <c r="F27" s="2">
        <f>F26*(1+((1+VLOOKUP($B27,'IPCA Hist'!$B:$C,2,0))^12 - 1)+$F$2)^(1/252)</f>
        <v>41742645.840729304</v>
      </c>
      <c r="G27" s="2">
        <f>G26*(1+((1+VLOOKUP($B27,'IPCA Hist'!$B:$C,2,0))^12 - 1)+$G$2)^(1/252)</f>
        <v>83471903.4403117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f>N26*(1+((1+VLOOKUP($B27,'IPCA Hist'!$B:$C,2,0))^12 - 1)+$N$2)^(1/252)</f>
        <v>43639295.63138207</v>
      </c>
      <c r="O27" s="2">
        <f>O26*(1+((1+VLOOKUP($B27,'IPCA Hist'!$B:$C,2,0))^12 - 1)+$O$2)^(1/252)</f>
        <v>43657218.331278443</v>
      </c>
      <c r="P27" s="2">
        <f>P26*(1+((1+VLOOKUP($B27,'IPCA Hist'!$B:$C,2,0))^12 - 1)+$P$2)^(1/252)</f>
        <v>43922634.927017063</v>
      </c>
      <c r="Q27" s="2">
        <f>Q26*(1+((1+VLOOKUP($B27,'IPCA Hist'!$B:$C,2,0))^12 - 1)+$Q$2)^(1/252)</f>
        <v>43904579.356951378</v>
      </c>
      <c r="R27" s="2">
        <f>R26*(1+((1+VLOOKUP($B27,'IPCA Hist'!$B:$C,2,0))^12 - 1)+$R$2)^(1/252)</f>
        <v>43886523.490154229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f>AE26*(1+((1+VLOOKUP($B27,'IPCA Hist'!$B:$C,2,0))^12 - 1)+$AE$2)^(1/252)</f>
        <v>44965271.344127834</v>
      </c>
      <c r="AF27" s="2">
        <f>AF26*(1+((1+VLOOKUP($B27,'IGPM Hist'!$B:$C,2,0))^12 - 1)+$AF$2)^(1/252)</f>
        <v>1600884.6366485683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f>BA26*(1+VLOOKUP(A27,'SELIC Hist'!$A:$C,3,0))^(1/252)</f>
        <v>100106789.40142739</v>
      </c>
      <c r="BB27" s="2">
        <f t="shared" si="0"/>
        <v>503423527.612207</v>
      </c>
      <c r="BC27" s="2">
        <v>0</v>
      </c>
      <c r="BD27" s="2">
        <v>0</v>
      </c>
      <c r="BE27" s="2">
        <f t="shared" si="9"/>
        <v>158560.44807636738</v>
      </c>
      <c r="BF27" s="2">
        <f t="shared" si="2"/>
        <v>3140939.8853212595</v>
      </c>
      <c r="BG27" s="2">
        <f t="shared" si="3"/>
        <v>3423527.6122069955</v>
      </c>
      <c r="BH27" s="11">
        <f t="shared" si="4"/>
        <v>1.0073529239417607</v>
      </c>
      <c r="BI27" s="12">
        <f t="shared" si="5"/>
        <v>3.1506355184984791E-4</v>
      </c>
      <c r="BJ27" s="12">
        <f t="shared" si="6"/>
        <v>6.4049316685383939E-3</v>
      </c>
      <c r="BK27" s="12">
        <f t="shared" si="7"/>
        <v>7.3529239417606806E-3</v>
      </c>
      <c r="BL27" s="5">
        <f t="shared" si="8"/>
        <v>7.3529239417606806E-3</v>
      </c>
      <c r="BM27" s="19" t="s">
        <v>53</v>
      </c>
      <c r="BN27" s="19" t="s">
        <v>53</v>
      </c>
      <c r="BO27" s="19" t="s">
        <v>53</v>
      </c>
    </row>
    <row r="28" spans="1:67" s="2" customFormat="1" x14ac:dyDescent="0.25">
      <c r="A28" s="1">
        <v>45138</v>
      </c>
      <c r="B28" s="1" t="str">
        <f t="shared" si="1"/>
        <v>202307</v>
      </c>
      <c r="C28" s="2">
        <v>0</v>
      </c>
      <c r="D28" s="2">
        <v>84108606.020000011</v>
      </c>
      <c r="E28" s="2">
        <f>E27*(1+((1+VLOOKUP($B28,'IPCA Hist'!$B:$C,2,0))^12 - 1)+$E$2)^(1/252)</f>
        <v>12529638.727157043</v>
      </c>
      <c r="F28" s="2">
        <f>F27*(1+((1+VLOOKUP($B28,'IPCA Hist'!$B:$C,2,0))^12 - 1)+$F$2)^(1/252)</f>
        <v>41754794.361392207</v>
      </c>
      <c r="G28" s="2">
        <f>G27*(1+((1+VLOOKUP($B28,'IPCA Hist'!$B:$C,2,0))^12 - 1)+$G$2)^(1/252)</f>
        <v>83496227.37447077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f>N27*(1+((1+VLOOKUP($B28,'IPCA Hist'!$B:$C,2,0))^12 - 1)+$N$2)^(1/252)</f>
        <v>43650654.894937463</v>
      </c>
      <c r="O28" s="2">
        <f>O27*(1+((1+VLOOKUP($B28,'IPCA Hist'!$B:$C,2,0))^12 - 1)+$O$2)^(1/252)</f>
        <v>43668566.030606031</v>
      </c>
      <c r="P28" s="2">
        <f>P27*(1+((1+VLOOKUP($B28,'IPCA Hist'!$B:$C,2,0))^12 - 1)+$P$2)^(1/252)</f>
        <v>43933790.157479659</v>
      </c>
      <c r="Q28" s="2">
        <f>Q27*(1+((1+VLOOKUP($B28,'IPCA Hist'!$B:$C,2,0))^12 - 1)+$Q$2)^(1/252)</f>
        <v>43915746.347600237</v>
      </c>
      <c r="R28" s="2">
        <f>R27*(1+((1+VLOOKUP($B28,'IPCA Hist'!$B:$C,2,0))^12 - 1)+$R$2)^(1/252)</f>
        <v>43897702.225943133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f>AE27*(1+((1+VLOOKUP($B28,'IPCA Hist'!$B:$C,2,0))^12 - 1)+$AE$2)^(1/252)</f>
        <v>44976641.146073654</v>
      </c>
      <c r="AF28" s="2">
        <f>AF27*(1+((1+VLOOKUP($B28,'IGPM Hist'!$B:$C,2,0))^12 - 1)+$AF$2)^(1/252)</f>
        <v>1600750.0456036557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f>BA27*(1+VLOOKUP(A28,'SELIC Hist'!$A:$C,3,0))^(1/252) - 84108606.02</f>
        <v>16049025.654994637</v>
      </c>
      <c r="BB28" s="2">
        <f>SUM(C28:BA28)</f>
        <v>503582142.98625839</v>
      </c>
      <c r="BC28" s="2">
        <v>0</v>
      </c>
      <c r="BD28" s="2">
        <v>0</v>
      </c>
      <c r="BE28" s="2">
        <f t="shared" si="9"/>
        <v>158615.37405139208</v>
      </c>
      <c r="BF28" s="2">
        <f t="shared" si="2"/>
        <v>3299555.2593726516</v>
      </c>
      <c r="BG28" s="2">
        <f t="shared" si="3"/>
        <v>3582142.9862583876</v>
      </c>
      <c r="BH28" s="11">
        <f t="shared" si="4"/>
        <v>1.0076703140756518</v>
      </c>
      <c r="BI28" s="12">
        <f t="shared" si="5"/>
        <v>3.1507342297598662E-4</v>
      </c>
      <c r="BJ28" s="12">
        <f t="shared" si="6"/>
        <v>6.722023115259157E-3</v>
      </c>
      <c r="BK28" s="12">
        <f t="shared" si="7"/>
        <v>7.670314075651774E-3</v>
      </c>
      <c r="BL28" s="5">
        <f t="shared" si="8"/>
        <v>7.670314075651774E-3</v>
      </c>
      <c r="BM28" s="19" t="s">
        <v>53</v>
      </c>
      <c r="BN28" s="19" t="s">
        <v>53</v>
      </c>
      <c r="BO28" s="19" t="s">
        <v>53</v>
      </c>
    </row>
    <row r="29" spans="1:67" s="2" customFormat="1" x14ac:dyDescent="0.25">
      <c r="A29" s="1">
        <v>45139</v>
      </c>
      <c r="B29" s="1" t="str">
        <f t="shared" si="1"/>
        <v>202308</v>
      </c>
      <c r="C29" s="2">
        <v>0</v>
      </c>
      <c r="D29" s="2">
        <f>D28*(1+((1+VLOOKUP($B29,'IPCA Hist'!$B:$C,2,0))^12 - 1)+$D$2)^(1/252)</f>
        <v>84139402.29166919</v>
      </c>
      <c r="E29" s="2">
        <f>E28*(1+((1+VLOOKUP($B29,'IPCA Hist'!$B:$C,2,0))^12 - 1)+$E$2)^(1/252)</f>
        <v>12534112.922049804</v>
      </c>
      <c r="F29" s="2">
        <f>F28*(1+((1+VLOOKUP($B29,'IPCA Hist'!$B:$C,2,0))^12 - 1)+$F$2)^(1/252)</f>
        <v>41769006.212514833</v>
      </c>
      <c r="G29" s="2">
        <f>G28*(1+((1+VLOOKUP($B29,'IPCA Hist'!$B:$C,2,0))^12 - 1)+$G$2)^(1/252)</f>
        <v>83524676.94836612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>N28*(1+((1+VLOOKUP($B29,'IPCA Hist'!$B:$C,2,0))^12 - 1)+$N$2)^(1/252)</f>
        <v>43664187.001650937</v>
      </c>
      <c r="O29" s="2">
        <f>O28*(1+((1+VLOOKUP($B29,'IPCA Hist'!$B:$C,2,0))^12 - 1)+$O$2)^(1/252)</f>
        <v>43682087.657477036</v>
      </c>
      <c r="P29" s="2">
        <f>P28*(1+((1+VLOOKUP($B29,'IPCA Hist'!$B:$C,2,0))^12 - 1)+$P$2)^(1/252)</f>
        <v>43947135.629264519</v>
      </c>
      <c r="Q29" s="2">
        <f>Q28*(1+((1+VLOOKUP($B29,'IPCA Hist'!$B:$C,2,0))^12 - 1)+$Q$2)^(1/252)</f>
        <v>43929102.48534862</v>
      </c>
      <c r="R29" s="2">
        <f>R28*(1+((1+VLOOKUP($B29,'IPCA Hist'!$B:$C,2,0))^12 - 1)+$R$2)^(1/252)</f>
        <v>43911069.014802389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f>AE28*(1+((1+VLOOKUP($B29,'IPCA Hist'!$B:$C,2,0))^12 - 1)+$AE$2)^(1/252)</f>
        <v>44990253.777284175</v>
      </c>
      <c r="AF29" s="2">
        <f>AF28*(1+((1+VLOOKUP($B29,'IGPM Hist'!$B:$C,2,0))^12 - 1)+$AF$2)^(1/252)</f>
        <v>1601037.7576804047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f>BA28*(1+VLOOKUP(A29,'SELIC Hist'!$A:$C,3,0))^(1/252)</f>
        <v>16057176.640134785</v>
      </c>
      <c r="BB29" s="2">
        <f t="shared" si="0"/>
        <v>503749248.33824289</v>
      </c>
      <c r="BC29" s="2">
        <v>0</v>
      </c>
      <c r="BD29" s="2">
        <v>0</v>
      </c>
      <c r="BE29" s="2">
        <f t="shared" si="9"/>
        <v>167105.35198450089</v>
      </c>
      <c r="BF29" s="2">
        <f t="shared" si="2"/>
        <v>167105.35198450089</v>
      </c>
      <c r="BG29" s="2">
        <f t="shared" si="3"/>
        <v>3749248.3382428885</v>
      </c>
      <c r="BH29" s="11">
        <f t="shared" si="4"/>
        <v>1.008004692696624</v>
      </c>
      <c r="BI29" s="12">
        <f t="shared" si="5"/>
        <v>3.3183335491915322E-4</v>
      </c>
      <c r="BJ29" s="12">
        <f t="shared" si="6"/>
        <v>3.3183335491915322E-4</v>
      </c>
      <c r="BK29" s="12">
        <f t="shared" si="7"/>
        <v>8.0046926966239607E-3</v>
      </c>
      <c r="BL29" s="5">
        <f t="shared" si="8"/>
        <v>8.0046926966239607E-3</v>
      </c>
      <c r="BM29" s="19" t="s">
        <v>53</v>
      </c>
      <c r="BN29" s="19" t="s">
        <v>53</v>
      </c>
      <c r="BO29" s="19" t="s">
        <v>53</v>
      </c>
    </row>
    <row r="30" spans="1:67" s="2" customFormat="1" x14ac:dyDescent="0.25">
      <c r="A30" s="1">
        <v>45140</v>
      </c>
      <c r="B30" s="1" t="str">
        <f t="shared" si="1"/>
        <v>202308</v>
      </c>
      <c r="C30" s="2">
        <v>0</v>
      </c>
      <c r="D30" s="2">
        <f>D29*(1+((1+VLOOKUP($B30,'IPCA Hist'!$B:$C,2,0))^12 - 1)+$D$2)^(1/252)</f>
        <v>84170209.839358672</v>
      </c>
      <c r="E30" s="2">
        <f>E29*(1+((1+VLOOKUP($B30,'IPCA Hist'!$B:$C,2,0))^12 - 1)+$E$2)^(1/252)</f>
        <v>12538588.71462789</v>
      </c>
      <c r="F30" s="2">
        <f>F29*(1+((1+VLOOKUP($B30,'IPCA Hist'!$B:$C,2,0))^12 - 1)+$F$2)^(1/252)</f>
        <v>41783222.900847547</v>
      </c>
      <c r="G30" s="2">
        <f>G29*(1+((1+VLOOKUP($B30,'IPCA Hist'!$B:$C,2,0))^12 - 1)+$G$2)^(1/252)</f>
        <v>83553136.215852186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f>N29*(1+((1+VLOOKUP($B30,'IPCA Hist'!$B:$C,2,0))^12 - 1)+$N$2)^(1/252)</f>
        <v>43677723.303442642</v>
      </c>
      <c r="O30" s="2">
        <f>O29*(1+((1+VLOOKUP($B30,'IPCA Hist'!$B:$C,2,0))^12 - 1)+$O$2)^(1/252)</f>
        <v>43695613.471213095</v>
      </c>
      <c r="P30" s="2">
        <f>P29*(1+((1+VLOOKUP($B30,'IPCA Hist'!$B:$C,2,0))^12 - 1)+$P$2)^(1/252)</f>
        <v>43960485.154913537</v>
      </c>
      <c r="Q30" s="2">
        <f>Q29*(1+((1+VLOOKUP($B30,'IPCA Hist'!$B:$C,2,0))^12 - 1)+$Q$2)^(1/252)</f>
        <v>43942462.685111895</v>
      </c>
      <c r="R30" s="2">
        <f>R29*(1+((1+VLOOKUP($B30,'IPCA Hist'!$B:$C,2,0))^12 - 1)+$R$2)^(1/252)</f>
        <v>43924439.873830132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f>AE29*(1+((1+VLOOKUP($B30,'IPCA Hist'!$B:$C,2,0))^12 - 1)+$AE$2)^(1/252)</f>
        <v>45003870.528493963</v>
      </c>
      <c r="AF30" s="2">
        <f>AF29*(1+((1+VLOOKUP($B30,'IGPM Hist'!$B:$C,2,0))^12 - 1)+$AF$2)^(1/252)</f>
        <v>1601325.5214693116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f>BA29*(1+VLOOKUP(A30,'SELIC Hist'!$A:$C,3,0))^(1/252)</f>
        <v>16065050.676543113</v>
      </c>
      <c r="BB30" s="2">
        <f t="shared" si="0"/>
        <v>503916128.88570398</v>
      </c>
      <c r="BC30" s="2">
        <v>0</v>
      </c>
      <c r="BD30" s="2">
        <v>0</v>
      </c>
      <c r="BE30" s="2">
        <f t="shared" si="9"/>
        <v>166880.54746109247</v>
      </c>
      <c r="BF30" s="2">
        <f t="shared" si="2"/>
        <v>333985.89944559336</v>
      </c>
      <c r="BG30" s="2">
        <f t="shared" si="3"/>
        <v>3916128.8857039809</v>
      </c>
      <c r="BH30" s="11">
        <f t="shared" si="4"/>
        <v>1.0083386214826529</v>
      </c>
      <c r="BI30" s="12">
        <f t="shared" si="5"/>
        <v>3.3127701532387199E-4</v>
      </c>
      <c r="BJ30" s="12">
        <f t="shared" si="6"/>
        <v>6.6322029900645063E-4</v>
      </c>
      <c r="BK30" s="12">
        <f t="shared" si="7"/>
        <v>8.3386214826528526E-3</v>
      </c>
      <c r="BL30" s="5">
        <f t="shared" si="8"/>
        <v>8.3386214826528526E-3</v>
      </c>
      <c r="BM30" s="19" t="s">
        <v>53</v>
      </c>
      <c r="BN30" s="19" t="s">
        <v>53</v>
      </c>
      <c r="BO30" s="19" t="s">
        <v>53</v>
      </c>
    </row>
    <row r="31" spans="1:67" s="2" customFormat="1" x14ac:dyDescent="0.25">
      <c r="A31" s="1">
        <v>45141</v>
      </c>
      <c r="B31" s="1" t="str">
        <f t="shared" si="1"/>
        <v>202308</v>
      </c>
      <c r="C31" s="2">
        <v>0</v>
      </c>
      <c r="D31" s="2">
        <f>D30*(1+((1+VLOOKUP($B31,'IPCA Hist'!$B:$C,2,0))^12 - 1)+$D$2)^(1/252)</f>
        <v>84201028.667197153</v>
      </c>
      <c r="E31" s="2">
        <f>E30*(1+((1+VLOOKUP($B31,'IPCA Hist'!$B:$C,2,0))^12 - 1)+$E$2)^(1/252)</f>
        <v>12543066.105461819</v>
      </c>
      <c r="F31" s="2">
        <f>F30*(1+((1+VLOOKUP($B31,'IPCA Hist'!$B:$C,2,0))^12 - 1)+$F$2)^(1/252)</f>
        <v>41797444.428036757</v>
      </c>
      <c r="G31" s="2">
        <f>G30*(1+((1+VLOOKUP($B31,'IPCA Hist'!$B:$C,2,0))^12 - 1)+$G$2)^(1/252)</f>
        <v>83581605.180231854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f>N30*(1+((1+VLOOKUP($B31,'IPCA Hist'!$B:$C,2,0))^12 - 1)+$N$2)^(1/252)</f>
        <v>43691263.801613092</v>
      </c>
      <c r="O31" s="2">
        <f>O30*(1+((1+VLOOKUP($B31,'IPCA Hist'!$B:$C,2,0))^12 - 1)+$O$2)^(1/252)</f>
        <v>43709143.473110646</v>
      </c>
      <c r="P31" s="2">
        <f>P30*(1+((1+VLOOKUP($B31,'IPCA Hist'!$B:$C,2,0))^12 - 1)+$P$2)^(1/252)</f>
        <v>43973838.735658124</v>
      </c>
      <c r="Q31" s="2">
        <f>Q30*(1+((1+VLOOKUP($B31,'IPCA Hist'!$B:$C,2,0))^12 - 1)+$Q$2)^(1/252)</f>
        <v>43955826.948125444</v>
      </c>
      <c r="R31" s="2">
        <f>R30*(1+((1+VLOOKUP($B31,'IPCA Hist'!$B:$C,2,0))^12 - 1)+$R$2)^(1/252)</f>
        <v>43937814.80426573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f>AE30*(1+((1+VLOOKUP($B31,'IPCA Hist'!$B:$C,2,0))^12 - 1)+$AE$2)^(1/252)</f>
        <v>45017491.40094997</v>
      </c>
      <c r="AF31" s="2">
        <f>AF30*(1+((1+VLOOKUP($B31,'IGPM Hist'!$B:$C,2,0))^12 - 1)+$AF$2)^(1/252)</f>
        <v>1601613.3369796707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f>BA30*(1+VLOOKUP(A31,'SELIC Hist'!$A:$C,3,0))^(1/252)</f>
        <v>16072928.574181266</v>
      </c>
      <c r="BB31" s="2">
        <f t="shared" si="0"/>
        <v>504083065.4558115</v>
      </c>
      <c r="BC31" s="2">
        <v>0</v>
      </c>
      <c r="BD31" s="2">
        <v>0</v>
      </c>
      <c r="BE31" s="2">
        <f t="shared" si="9"/>
        <v>166936.57010751963</v>
      </c>
      <c r="BF31" s="2">
        <f t="shared" si="2"/>
        <v>500922.46955311298</v>
      </c>
      <c r="BG31" s="2">
        <f t="shared" si="3"/>
        <v>4083065.4558115005</v>
      </c>
      <c r="BH31" s="11">
        <f t="shared" si="4"/>
        <v>1.0086726623702693</v>
      </c>
      <c r="BI31" s="12">
        <f t="shared" si="5"/>
        <v>3.3127848175174002E-4</v>
      </c>
      <c r="BJ31" s="12">
        <f t="shared" si="6"/>
        <v>9.9471849137189317E-4</v>
      </c>
      <c r="BK31" s="12">
        <f t="shared" si="7"/>
        <v>8.6726623702693129E-3</v>
      </c>
      <c r="BL31" s="5">
        <f t="shared" si="8"/>
        <v>8.6726623702693129E-3</v>
      </c>
      <c r="BM31" s="19" t="s">
        <v>53</v>
      </c>
      <c r="BN31" s="19" t="s">
        <v>53</v>
      </c>
      <c r="BO31" s="19" t="s">
        <v>53</v>
      </c>
    </row>
    <row r="32" spans="1:67" s="2" customFormat="1" x14ac:dyDescent="0.25">
      <c r="A32" s="1">
        <v>45142</v>
      </c>
      <c r="B32" s="1" t="str">
        <f t="shared" si="1"/>
        <v>202308</v>
      </c>
      <c r="C32" s="2">
        <v>0</v>
      </c>
      <c r="D32" s="2">
        <f>D31*(1+((1+VLOOKUP($B32,'IPCA Hist'!$B:$C,2,0))^12 - 1)+$D$2)^(1/252)</f>
        <v>84231858.779314846</v>
      </c>
      <c r="E32" s="2">
        <f>E31*(1+((1+VLOOKUP($B32,'IPCA Hist'!$B:$C,2,0))^12 - 1)+$E$2)^(1/252)</f>
        <v>12547545.095122309</v>
      </c>
      <c r="F32" s="2">
        <f>F31*(1+((1+VLOOKUP($B32,'IPCA Hist'!$B:$C,2,0))^12 - 1)+$F$2)^(1/252)</f>
        <v>41811670.795729443</v>
      </c>
      <c r="G32" s="2">
        <f>G31*(1+((1+VLOOKUP($B32,'IPCA Hist'!$B:$C,2,0))^12 - 1)+$G$2)^(1/252)</f>
        <v>83610083.844809145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f>N31*(1+((1+VLOOKUP($B32,'IPCA Hist'!$B:$C,2,0))^12 - 1)+$N$2)^(1/252)</f>
        <v>43704808.497463204</v>
      </c>
      <c r="O32" s="2">
        <f>O31*(1+((1+VLOOKUP($B32,'IPCA Hist'!$B:$C,2,0))^12 - 1)+$O$2)^(1/252)</f>
        <v>43722677.664466515</v>
      </c>
      <c r="P32" s="2">
        <f>P31*(1+((1+VLOOKUP($B32,'IPCA Hist'!$B:$C,2,0))^12 - 1)+$P$2)^(1/252)</f>
        <v>43987196.372730076</v>
      </c>
      <c r="Q32" s="2">
        <f>Q31*(1+((1+VLOOKUP($B32,'IPCA Hist'!$B:$C,2,0))^12 - 1)+$Q$2)^(1/252)</f>
        <v>43969195.275625028</v>
      </c>
      <c r="R32" s="2">
        <f>R31*(1+((1+VLOOKUP($B32,'IPCA Hist'!$B:$C,2,0))^12 - 1)+$R$2)^(1/252)</f>
        <v>43951193.807348914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f>AE31*(1+((1+VLOOKUP($B32,'IPCA Hist'!$B:$C,2,0))^12 - 1)+$AE$2)^(1/252)</f>
        <v>45031116.395899542</v>
      </c>
      <c r="AF32" s="2">
        <f>AF31*(1+((1+VLOOKUP($B32,'IGPM Hist'!$B:$C,2,0))^12 - 1)+$AF$2)^(1/252)</f>
        <v>1601901.2042207785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f>BA31*(1+VLOOKUP(A32,'SELIC Hist'!$A:$C,3,0))^(1/252)</f>
        <v>16080810.334942697</v>
      </c>
      <c r="BB32" s="2">
        <f t="shared" si="0"/>
        <v>504250058.06767249</v>
      </c>
      <c r="BC32" s="2">
        <v>0</v>
      </c>
      <c r="BD32" s="2">
        <v>0</v>
      </c>
      <c r="BE32" s="2">
        <f t="shared" si="9"/>
        <v>166992.61186099052</v>
      </c>
      <c r="BF32" s="2">
        <f t="shared" si="2"/>
        <v>667915.08141410351</v>
      </c>
      <c r="BG32" s="2">
        <f t="shared" si="3"/>
        <v>4250058.0676724911</v>
      </c>
      <c r="BH32" s="11">
        <f t="shared" si="4"/>
        <v>1.0090068153977068</v>
      </c>
      <c r="BI32" s="12">
        <f t="shared" si="5"/>
        <v>3.3127994829573737E-4</v>
      </c>
      <c r="BJ32" s="12">
        <f t="shared" si="6"/>
        <v>1.3263279699580188E-3</v>
      </c>
      <c r="BK32" s="12">
        <f t="shared" si="7"/>
        <v>9.0068153977067578E-3</v>
      </c>
      <c r="BL32" s="5">
        <f t="shared" si="8"/>
        <v>9.0068153977067578E-3</v>
      </c>
      <c r="BM32" s="19" t="s">
        <v>53</v>
      </c>
      <c r="BN32" s="19" t="s">
        <v>53</v>
      </c>
      <c r="BO32" s="19" t="s">
        <v>53</v>
      </c>
    </row>
    <row r="33" spans="1:67" s="2" customFormat="1" x14ac:dyDescent="0.25">
      <c r="A33" s="1">
        <v>45145</v>
      </c>
      <c r="B33" s="1" t="str">
        <f t="shared" si="1"/>
        <v>202308</v>
      </c>
      <c r="C33" s="2">
        <v>0</v>
      </c>
      <c r="D33" s="2">
        <f>D32*(1+((1+VLOOKUP($B33,'IPCA Hist'!$B:$C,2,0))^12 - 1)+$D$2)^(1/252)</f>
        <v>84262700.179843485</v>
      </c>
      <c r="E33" s="2">
        <f>E32*(1+((1+VLOOKUP($B33,'IPCA Hist'!$B:$C,2,0))^12 - 1)+$E$2)^(1/252)</f>
        <v>12552025.684180284</v>
      </c>
      <c r="F33" s="2">
        <f>F32*(1+((1+VLOOKUP($B33,'IPCA Hist'!$B:$C,2,0))^12 - 1)+$F$2)^(1/252)</f>
        <v>41825902.005573139</v>
      </c>
      <c r="G33" s="2">
        <f>G32*(1+((1+VLOOKUP($B33,'IPCA Hist'!$B:$C,2,0))^12 - 1)+$G$2)^(1/252)</f>
        <v>83638572.212889194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>N32*(1+((1+VLOOKUP($B33,'IPCA Hist'!$B:$C,2,0))^12 - 1)+$N$2)^(1/252)</f>
        <v>43718357.392294295</v>
      </c>
      <c r="O33" s="2">
        <f>O32*(1+((1+VLOOKUP($B33,'IPCA Hist'!$B:$C,2,0))^12 - 1)+$O$2)^(1/252)</f>
        <v>43736216.04657793</v>
      </c>
      <c r="P33" s="2">
        <f>P32*(1+((1+VLOOKUP($B33,'IPCA Hist'!$B:$C,2,0))^12 - 1)+$P$2)^(1/252)</f>
        <v>44000558.067361549</v>
      </c>
      <c r="Q33" s="2">
        <f>Q32*(1+((1+VLOOKUP($B33,'IPCA Hist'!$B:$C,2,0))^12 - 1)+$Q$2)^(1/252)</f>
        <v>43982567.668846786</v>
      </c>
      <c r="R33" s="2">
        <f>R32*(1+((1+VLOOKUP($B33,'IPCA Hist'!$B:$C,2,0))^12 - 1)+$R$2)^(1/252)</f>
        <v>43964576.884319805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f>AE32*(1+((1+VLOOKUP($B33,'IPCA Hist'!$B:$C,2,0))^12 - 1)+$AE$2)^(1/252)</f>
        <v>45044745.51459039</v>
      </c>
      <c r="AF33" s="2">
        <f>AF32*(1+((1+VLOOKUP($B33,'IGPM Hist'!$B:$C,2,0))^12 - 1)+$AF$2)^(1/252)</f>
        <v>1602189.1232019328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f>BA32*(1+VLOOKUP(A33,'SELIC Hist'!$A:$C,3,0))^(1/252)</f>
        <v>16088695.960721781</v>
      </c>
      <c r="BB33" s="2">
        <f t="shared" si="0"/>
        <v>504417106.74040049</v>
      </c>
      <c r="BC33" s="2">
        <v>0</v>
      </c>
      <c r="BD33" s="2">
        <v>0</v>
      </c>
      <c r="BE33" s="2">
        <f t="shared" si="9"/>
        <v>167048.67272800207</v>
      </c>
      <c r="BF33" s="2">
        <f t="shared" si="2"/>
        <v>834963.75414210558</v>
      </c>
      <c r="BG33" s="2">
        <f t="shared" si="3"/>
        <v>4417106.7404004931</v>
      </c>
      <c r="BH33" s="11">
        <f t="shared" si="4"/>
        <v>1.0093410806032115</v>
      </c>
      <c r="BI33" s="12">
        <f t="shared" si="5"/>
        <v>3.3128141495541996E-4</v>
      </c>
      <c r="BJ33" s="12">
        <f t="shared" si="6"/>
        <v>1.6580487727200222E-3</v>
      </c>
      <c r="BK33" s="12">
        <f t="shared" si="7"/>
        <v>9.3410806032114824E-3</v>
      </c>
      <c r="BL33" s="5">
        <f t="shared" si="8"/>
        <v>9.3410806032114824E-3</v>
      </c>
      <c r="BM33" s="19" t="s">
        <v>53</v>
      </c>
      <c r="BN33" s="19" t="s">
        <v>53</v>
      </c>
      <c r="BO33" s="19" t="s">
        <v>53</v>
      </c>
    </row>
    <row r="34" spans="1:67" s="2" customFormat="1" x14ac:dyDescent="0.25">
      <c r="A34" s="1">
        <v>45146</v>
      </c>
      <c r="B34" s="1" t="str">
        <f t="shared" si="1"/>
        <v>202308</v>
      </c>
      <c r="C34" s="2">
        <v>0</v>
      </c>
      <c r="D34" s="2">
        <f>D33*(1+((1+VLOOKUP($B34,'IPCA Hist'!$B:$C,2,0))^12 - 1)+$D$2)^(1/252)</f>
        <v>84293552.872916296</v>
      </c>
      <c r="E34" s="2">
        <f>E33*(1+((1+VLOOKUP($B34,'IPCA Hist'!$B:$C,2,0))^12 - 1)+$E$2)^(1/252)</f>
        <v>12556507.873206871</v>
      </c>
      <c r="F34" s="2">
        <f>F33*(1+((1+VLOOKUP($B34,'IPCA Hist'!$B:$C,2,0))^12 - 1)+$F$2)^(1/252)</f>
        <v>41840138.059215941</v>
      </c>
      <c r="G34" s="2">
        <f>G33*(1+((1+VLOOKUP($B34,'IPCA Hist'!$B:$C,2,0))^12 - 1)+$G$2)^(1/252)</f>
        <v>83667070.287778258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>N33*(1+((1+VLOOKUP($B34,'IPCA Hist'!$B:$C,2,0))^12 - 1)+$N$2)^(1/252)</f>
        <v>43731910.487408087</v>
      </c>
      <c r="O34" s="2">
        <f>O33*(1+((1+VLOOKUP($B34,'IPCA Hist'!$B:$C,2,0))^12 - 1)+$O$2)^(1/252)</f>
        <v>43749758.620742537</v>
      </c>
      <c r="P34" s="2">
        <f>P33*(1+((1+VLOOKUP($B34,'IPCA Hist'!$B:$C,2,0))^12 - 1)+$P$2)^(1/252)</f>
        <v>44013923.820785083</v>
      </c>
      <c r="Q34" s="2">
        <f>Q33*(1+((1+VLOOKUP($B34,'IPCA Hist'!$B:$C,2,0))^12 - 1)+$Q$2)^(1/252)</f>
        <v>43995944.129027225</v>
      </c>
      <c r="R34" s="2">
        <f>R33*(1+((1+VLOOKUP($B34,'IPCA Hist'!$B:$C,2,0))^12 - 1)+$R$2)^(1/252)</f>
        <v>43977964.036418892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f>AE33*(1+((1+VLOOKUP($B34,'IPCA Hist'!$B:$C,2,0))^12 - 1)+$AE$2)^(1/252)</f>
        <v>45058378.758270599</v>
      </c>
      <c r="AF34" s="2">
        <f>AF33*(1+((1+VLOOKUP($B34,'IGPM Hist'!$B:$C,2,0))^12 - 1)+$AF$2)^(1/252)</f>
        <v>1602477.0939324331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f>BA33*(1+VLOOKUP(A34,'SELIC Hist'!$A:$C,3,0))^(1/252)</f>
        <v>16096585.453413827</v>
      </c>
      <c r="BB34" s="2">
        <f t="shared" si="0"/>
        <v>504584211.4931162</v>
      </c>
      <c r="BC34" s="2">
        <v>0</v>
      </c>
      <c r="BD34" s="2">
        <v>0</v>
      </c>
      <c r="BE34" s="2">
        <f t="shared" si="9"/>
        <v>167104.75271570683</v>
      </c>
      <c r="BF34" s="2">
        <f t="shared" si="2"/>
        <v>1002068.5068578124</v>
      </c>
      <c r="BG34" s="2">
        <f t="shared" si="3"/>
        <v>4584211.4931162</v>
      </c>
      <c r="BH34" s="11">
        <f t="shared" si="4"/>
        <v>1.0096754580250438</v>
      </c>
      <c r="BI34" s="12">
        <f t="shared" si="5"/>
        <v>3.3128288173167597E-4</v>
      </c>
      <c r="BJ34" s="12">
        <f t="shared" si="6"/>
        <v>1.9898809376270865E-3</v>
      </c>
      <c r="BK34" s="12">
        <f t="shared" si="7"/>
        <v>9.6754580250437705E-3</v>
      </c>
      <c r="BL34" s="5">
        <f t="shared" si="8"/>
        <v>9.6754580250437705E-3</v>
      </c>
      <c r="BM34" s="19" t="s">
        <v>53</v>
      </c>
      <c r="BN34" s="19" t="s">
        <v>53</v>
      </c>
      <c r="BO34" s="19" t="s">
        <v>53</v>
      </c>
    </row>
    <row r="35" spans="1:67" s="2" customFormat="1" x14ac:dyDescent="0.25">
      <c r="A35" s="1">
        <v>45147</v>
      </c>
      <c r="B35" s="1" t="str">
        <f t="shared" si="1"/>
        <v>202308</v>
      </c>
      <c r="C35" s="2">
        <v>0</v>
      </c>
      <c r="D35" s="2">
        <f>D34*(1+((1+VLOOKUP($B35,'IPCA Hist'!$B:$C,2,0))^12 - 1)+$D$2)^(1/252)</f>
        <v>84324416.862668037</v>
      </c>
      <c r="E35" s="2">
        <f>E34*(1+((1+VLOOKUP($B35,'IPCA Hist'!$B:$C,2,0))^12 - 1)+$E$2)^(1/252)</f>
        <v>12560991.662773401</v>
      </c>
      <c r="F35" s="2">
        <f>F34*(1+((1+VLOOKUP($B35,'IPCA Hist'!$B:$C,2,0))^12 - 1)+$F$2)^(1/252)</f>
        <v>41854378.958306506</v>
      </c>
      <c r="G35" s="2">
        <f>G34*(1+((1+VLOOKUP($B35,'IPCA Hist'!$B:$C,2,0))^12 - 1)+$G$2)^(1/252)</f>
        <v>83695578.072783738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>N34*(1+((1+VLOOKUP($B35,'IPCA Hist'!$B:$C,2,0))^12 - 1)+$N$2)^(1/252)</f>
        <v>43745467.784106709</v>
      </c>
      <c r="O35" s="2">
        <f>O34*(1+((1+VLOOKUP($B35,'IPCA Hist'!$B:$C,2,0))^12 - 1)+$O$2)^(1/252)</f>
        <v>43763305.38825836</v>
      </c>
      <c r="P35" s="2">
        <f>P34*(1+((1+VLOOKUP($B35,'IPCA Hist'!$B:$C,2,0))^12 - 1)+$P$2)^(1/252)</f>
        <v>44027293.634233586</v>
      </c>
      <c r="Q35" s="2">
        <f>Q34*(1+((1+VLOOKUP($B35,'IPCA Hist'!$B:$C,2,0))^12 - 1)+$Q$2)^(1/252)</f>
        <v>44009324.657403231</v>
      </c>
      <c r="R35" s="2">
        <f>R34*(1+((1+VLOOKUP($B35,'IPCA Hist'!$B:$C,2,0))^12 - 1)+$R$2)^(1/252)</f>
        <v>43991355.26488705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f>AE34*(1+((1+VLOOKUP($B35,'IPCA Hist'!$B:$C,2,0))^12 - 1)+$AE$2)^(1/252)</f>
        <v>45072016.128188647</v>
      </c>
      <c r="AF35" s="2">
        <f>AF34*(1+((1+VLOOKUP($B35,'IGPM Hist'!$B:$C,2,0))^12 - 1)+$AF$2)^(1/252)</f>
        <v>1602765.1164215805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f>BA34*(1+VLOOKUP(A35,'SELIC Hist'!$A:$C,3,0))^(1/252)</f>
        <v>16104478.814915074</v>
      </c>
      <c r="BB35" s="2">
        <f t="shared" si="0"/>
        <v>504751372.34494591</v>
      </c>
      <c r="BC35" s="2">
        <v>0</v>
      </c>
      <c r="BD35" s="2">
        <v>0</v>
      </c>
      <c r="BE35" s="2">
        <f t="shared" si="9"/>
        <v>167160.85182970762</v>
      </c>
      <c r="BF35" s="2">
        <f t="shared" si="2"/>
        <v>1169229.35868752</v>
      </c>
      <c r="BG35" s="2">
        <f t="shared" si="3"/>
        <v>4751372.3449459076</v>
      </c>
      <c r="BH35" s="11">
        <f t="shared" si="4"/>
        <v>1.0100099477014757</v>
      </c>
      <c r="BI35" s="12">
        <f t="shared" si="5"/>
        <v>3.31284348622507E-4</v>
      </c>
      <c r="BJ35" s="12">
        <f t="shared" si="6"/>
        <v>2.3218245026599416E-3</v>
      </c>
      <c r="BK35" s="12">
        <f t="shared" si="7"/>
        <v>1.0009947701475674E-2</v>
      </c>
      <c r="BL35" s="5">
        <f t="shared" si="8"/>
        <v>1.0009947701475674E-2</v>
      </c>
      <c r="BM35" s="19" t="s">
        <v>53</v>
      </c>
      <c r="BN35" s="19" t="s">
        <v>53</v>
      </c>
      <c r="BO35" s="19" t="s">
        <v>53</v>
      </c>
    </row>
    <row r="36" spans="1:67" s="2" customFormat="1" x14ac:dyDescent="0.25">
      <c r="A36" s="1">
        <v>45148</v>
      </c>
      <c r="B36" s="1" t="str">
        <f t="shared" si="1"/>
        <v>202308</v>
      </c>
      <c r="C36" s="2">
        <v>0</v>
      </c>
      <c r="D36" s="2">
        <f>D35*(1+((1+VLOOKUP($B36,'IPCA Hist'!$B:$C,2,0))^12 - 1)+$D$2)^(1/252)</f>
        <v>84355292.153234974</v>
      </c>
      <c r="E36" s="2">
        <f>E35*(1+((1+VLOOKUP($B36,'IPCA Hist'!$B:$C,2,0))^12 - 1)+$E$2)^(1/252)</f>
        <v>12565477.053451408</v>
      </c>
      <c r="F36" s="2">
        <f>F35*(1+((1+VLOOKUP($B36,'IPCA Hist'!$B:$C,2,0))^12 - 1)+$F$2)^(1/252)</f>
        <v>41868624.704494052</v>
      </c>
      <c r="G36" s="2">
        <f>G35*(1+((1+VLOOKUP($B36,'IPCA Hist'!$B:$C,2,0))^12 - 1)+$G$2)^(1/252)</f>
        <v>83724095.571214139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>N35*(1+((1+VLOOKUP($B36,'IPCA Hist'!$B:$C,2,0))^12 - 1)+$N$2)^(1/252)</f>
        <v>43759029.283692688</v>
      </c>
      <c r="O36" s="2">
        <f>O35*(1+((1+VLOOKUP($B36,'IPCA Hist'!$B:$C,2,0))^12 - 1)+$O$2)^(1/252)</f>
        <v>43776856.35042385</v>
      </c>
      <c r="P36" s="2">
        <f>P35*(1+((1+VLOOKUP($B36,'IPCA Hist'!$B:$C,2,0))^12 - 1)+$P$2)^(1/252)</f>
        <v>44040667.508940354</v>
      </c>
      <c r="Q36" s="2">
        <f>Q35*(1+((1+VLOOKUP($B36,'IPCA Hist'!$B:$C,2,0))^12 - 1)+$Q$2)^(1/252)</f>
        <v>44022709.255212069</v>
      </c>
      <c r="R36" s="2">
        <f>R35*(1+((1+VLOOKUP($B36,'IPCA Hist'!$B:$C,2,0))^12 - 1)+$R$2)^(1/252)</f>
        <v>44004750.570965521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f>AE35*(1+((1+VLOOKUP($B36,'IPCA Hist'!$B:$C,2,0))^12 - 1)+$AE$2)^(1/252)</f>
        <v>45085657.625593379</v>
      </c>
      <c r="AF36" s="2">
        <f>AF35*(1+((1+VLOOKUP($B36,'IGPM Hist'!$B:$C,2,0))^12 - 1)+$AF$2)^(1/252)</f>
        <v>1603053.1906786782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f>BA35*(1+VLOOKUP(A36,'SELIC Hist'!$A:$C,3,0))^(1/252)</f>
        <v>16112376.047122687</v>
      </c>
      <c r="BB36" s="2">
        <f t="shared" si="0"/>
        <v>504918589.31502378</v>
      </c>
      <c r="BC36" s="2">
        <v>0</v>
      </c>
      <c r="BD36" s="2">
        <v>0</v>
      </c>
      <c r="BE36" s="2">
        <f t="shared" si="9"/>
        <v>167216.97007787228</v>
      </c>
      <c r="BF36" s="2">
        <f t="shared" si="2"/>
        <v>1336446.3287653923</v>
      </c>
      <c r="BG36" s="2">
        <f t="shared" si="3"/>
        <v>4918589.3150237799</v>
      </c>
      <c r="BH36" s="11">
        <f t="shared" si="4"/>
        <v>1.0103445496707948</v>
      </c>
      <c r="BI36" s="12">
        <f t="shared" si="5"/>
        <v>3.3128581563035553E-4</v>
      </c>
      <c r="BJ36" s="12">
        <f t="shared" si="6"/>
        <v>2.653879505814416E-3</v>
      </c>
      <c r="BK36" s="12">
        <f t="shared" si="7"/>
        <v>1.0344549670794789E-2</v>
      </c>
      <c r="BL36" s="5">
        <f t="shared" si="8"/>
        <v>1.0344549670794789E-2</v>
      </c>
      <c r="BM36" s="19" t="s">
        <v>53</v>
      </c>
      <c r="BN36" s="19" t="s">
        <v>53</v>
      </c>
      <c r="BO36" s="19" t="s">
        <v>53</v>
      </c>
    </row>
    <row r="37" spans="1:67" s="2" customFormat="1" x14ac:dyDescent="0.25">
      <c r="A37" s="1">
        <v>45149</v>
      </c>
      <c r="B37" s="1" t="str">
        <f t="shared" si="1"/>
        <v>202308</v>
      </c>
      <c r="C37" s="2">
        <v>0</v>
      </c>
      <c r="D37" s="2">
        <f>D36*(1+((1+VLOOKUP($B37,'IPCA Hist'!$B:$C,2,0))^12 - 1)+$D$2)^(1/252)</f>
        <v>84386178.748754889</v>
      </c>
      <c r="E37" s="2">
        <f>E36*(1+((1+VLOOKUP($B37,'IPCA Hist'!$B:$C,2,0))^12 - 1)+$E$2)^(1/252)</f>
        <v>12569964.045812633</v>
      </c>
      <c r="F37" s="2">
        <f>F36*(1+((1+VLOOKUP($B37,'IPCA Hist'!$B:$C,2,0))^12 - 1)+$F$2)^(1/252)</f>
        <v>41882875.299428359</v>
      </c>
      <c r="G37" s="2">
        <f>G36*(1+((1+VLOOKUP($B37,'IPCA Hist'!$B:$C,2,0))^12 - 1)+$G$2)^(1/252)</f>
        <v>83752622.786379114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f>N36*(1+((1+VLOOKUP($B37,'IPCA Hist'!$B:$C,2,0))^12 - 1)+$N$2)^(1/252)</f>
        <v>43772594.987468958</v>
      </c>
      <c r="O37" s="2">
        <f>O36*(1+((1+VLOOKUP($B37,'IPCA Hist'!$B:$C,2,0))^12 - 1)+$O$2)^(1/252)</f>
        <v>43790411.508537836</v>
      </c>
      <c r="P37" s="2">
        <f>P36*(1+((1+VLOOKUP($B37,'IPCA Hist'!$B:$C,2,0))^12 - 1)+$P$2)^(1/252)</f>
        <v>44054045.446139038</v>
      </c>
      <c r="Q37" s="2">
        <f>Q36*(1+((1+VLOOKUP($B37,'IPCA Hist'!$B:$C,2,0))^12 - 1)+$Q$2)^(1/252)</f>
        <v>44036097.923691384</v>
      </c>
      <c r="R37" s="2">
        <f>R36*(1+((1+VLOOKUP($B37,'IPCA Hist'!$B:$C,2,0))^12 - 1)+$R$2)^(1/252)</f>
        <v>44018149.955895938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f>AE36*(1+((1+VLOOKUP($B37,'IPCA Hist'!$B:$C,2,0))^12 - 1)+$AE$2)^(1/252)</f>
        <v>45099303.251734018</v>
      </c>
      <c r="AF37" s="2">
        <f>AF36*(1+((1+VLOOKUP($B37,'IGPM Hist'!$B:$C,2,0))^12 - 1)+$AF$2)^(1/252)</f>
        <v>1603341.3167130307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f>BA36*(1+VLOOKUP(A37,'SELIC Hist'!$A:$C,3,0))^(1/252)</f>
        <v>16120277.151934763</v>
      </c>
      <c r="BB37" s="2">
        <f t="shared" si="0"/>
        <v>505085862.42248994</v>
      </c>
      <c r="BC37" s="2">
        <v>0</v>
      </c>
      <c r="BD37" s="2">
        <v>0</v>
      </c>
      <c r="BE37" s="2">
        <f t="shared" si="9"/>
        <v>167273.10746616125</v>
      </c>
      <c r="BF37" s="2">
        <f t="shared" si="2"/>
        <v>1503719.4362315536</v>
      </c>
      <c r="BG37" s="2">
        <f t="shared" si="3"/>
        <v>5085862.4224899411</v>
      </c>
      <c r="BH37" s="11">
        <f t="shared" si="4"/>
        <v>1.0106792639713007</v>
      </c>
      <c r="BI37" s="12">
        <f t="shared" si="5"/>
        <v>3.3128728275411135E-4</v>
      </c>
      <c r="BJ37" s="12">
        <f t="shared" si="6"/>
        <v>2.9860459850987731E-3</v>
      </c>
      <c r="BK37" s="12">
        <f t="shared" si="7"/>
        <v>1.0679263971300701E-2</v>
      </c>
      <c r="BL37" s="5">
        <f t="shared" si="8"/>
        <v>1.0679263971300701E-2</v>
      </c>
      <c r="BM37" s="19" t="s">
        <v>53</v>
      </c>
      <c r="BN37" s="19" t="s">
        <v>53</v>
      </c>
      <c r="BO37" s="19" t="s">
        <v>53</v>
      </c>
    </row>
    <row r="38" spans="1:67" s="2" customFormat="1" x14ac:dyDescent="0.25">
      <c r="A38" s="1">
        <v>45152</v>
      </c>
      <c r="B38" s="1" t="str">
        <f t="shared" si="1"/>
        <v>202308</v>
      </c>
      <c r="C38" s="2">
        <v>0</v>
      </c>
      <c r="D38" s="2">
        <f>D37*(1+((1+VLOOKUP($B38,'IPCA Hist'!$B:$C,2,0))^12 - 1)+$D$2)^(1/252)</f>
        <v>84417076.653367087</v>
      </c>
      <c r="E38" s="2">
        <f>E37*(1+((1+VLOOKUP($B38,'IPCA Hist'!$B:$C,2,0))^12 - 1)+$E$2)^(1/252)</f>
        <v>12574452.640429018</v>
      </c>
      <c r="F38" s="2">
        <f>F37*(1+((1+VLOOKUP($B38,'IPCA Hist'!$B:$C,2,0))^12 - 1)+$F$2)^(1/252)</f>
        <v>41897130.744759768</v>
      </c>
      <c r="G38" s="2">
        <f>G37*(1+((1+VLOOKUP($B38,'IPCA Hist'!$B:$C,2,0))^12 - 1)+$G$2)^(1/252)</f>
        <v>83781159.721589416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>N37*(1+((1+VLOOKUP($B38,'IPCA Hist'!$B:$C,2,0))^12 - 1)+$N$2)^(1/252)</f>
        <v>43786164.896738864</v>
      </c>
      <c r="O38" s="2">
        <f>O37*(1+((1+VLOOKUP($B38,'IPCA Hist'!$B:$C,2,0))^12 - 1)+$O$2)^(1/252)</f>
        <v>43803970.863899566</v>
      </c>
      <c r="P38" s="2">
        <f>P37*(1+((1+VLOOKUP($B38,'IPCA Hist'!$B:$C,2,0))^12 - 1)+$P$2)^(1/252)</f>
        <v>44067427.447063677</v>
      </c>
      <c r="Q38" s="2">
        <f>Q37*(1+((1+VLOOKUP($B38,'IPCA Hist'!$B:$C,2,0))^12 - 1)+$Q$2)^(1/252)</f>
        <v>44049490.664079189</v>
      </c>
      <c r="R38" s="2">
        <f>R37*(1+((1+VLOOKUP($B38,'IPCA Hist'!$B:$C,2,0))^12 - 1)+$R$2)^(1/252)</f>
        <v>44031553.420920305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f>AE37*(1+((1+VLOOKUP($B38,'IPCA Hist'!$B:$C,2,0))^12 - 1)+$AE$2)^(1/252)</f>
        <v>45112953.007860169</v>
      </c>
      <c r="AF38" s="2">
        <f>AF37*(1+((1+VLOOKUP($B38,'IGPM Hist'!$B:$C,2,0))^12 - 1)+$AF$2)^(1/252)</f>
        <v>1603629.4945339439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f>BA37*(1+VLOOKUP(A38,'SELIC Hist'!$A:$C,3,0))^(1/252)</f>
        <v>16128182.131250331</v>
      </c>
      <c r="BB38" s="2">
        <f t="shared" si="0"/>
        <v>505253191.68649137</v>
      </c>
      <c r="BC38" s="2">
        <v>0</v>
      </c>
      <c r="BD38" s="2">
        <v>0</v>
      </c>
      <c r="BE38" s="2">
        <f t="shared" si="9"/>
        <v>167329.26400142908</v>
      </c>
      <c r="BF38" s="2">
        <f t="shared" si="2"/>
        <v>1671048.7002329826</v>
      </c>
      <c r="BG38" s="2">
        <f t="shared" si="3"/>
        <v>5253191.6864913702</v>
      </c>
      <c r="BH38" s="11">
        <f t="shared" si="4"/>
        <v>1.0110140906413063</v>
      </c>
      <c r="BI38" s="12">
        <f t="shared" si="5"/>
        <v>3.3128874999377445E-4</v>
      </c>
      <c r="BJ38" s="12">
        <f t="shared" si="6"/>
        <v>3.3183239785343766E-3</v>
      </c>
      <c r="BK38" s="12">
        <f t="shared" si="7"/>
        <v>1.1014090641306318E-2</v>
      </c>
      <c r="BL38" s="5">
        <f t="shared" si="8"/>
        <v>1.1014090641306318E-2</v>
      </c>
      <c r="BM38" s="19" t="s">
        <v>53</v>
      </c>
      <c r="BN38" s="19" t="s">
        <v>53</v>
      </c>
      <c r="BO38" s="19" t="s">
        <v>53</v>
      </c>
    </row>
    <row r="39" spans="1:67" s="14" customFormat="1" x14ac:dyDescent="0.25">
      <c r="A39" s="13">
        <v>45153</v>
      </c>
      <c r="B39" s="13" t="str">
        <f t="shared" si="1"/>
        <v>202308</v>
      </c>
      <c r="C39" s="14">
        <v>0</v>
      </c>
      <c r="D39" s="14">
        <f>D38*(1+((1+VLOOKUP($B39,'IPCA Hist'!$B:$C,2,0))^12 - 1)+$D$2)^(1/252) - 2444544.895672</f>
        <v>82003440.97554037</v>
      </c>
      <c r="E39" s="14">
        <f>E38*(1+((1+VLOOKUP($B39,'IPCA Hist'!$B:$C,2,0))^12 - 1)+$E$2)^(1/252)</f>
        <v>12578942.83787271</v>
      </c>
      <c r="F39" s="14">
        <f>F38*(1+((1+VLOOKUP($B39,'IPCA Hist'!$B:$C,2,0))^12 - 1)+$F$2)^(1/252)</f>
        <v>41911391.042139187</v>
      </c>
      <c r="G39" s="14">
        <f>G38*(1+((1+VLOOKUP($B39,'IPCA Hist'!$B:$C,2,0))^12 - 1)+$G$2)^(1/252)</f>
        <v>83809706.380156964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2">
        <v>0</v>
      </c>
      <c r="N39" s="14">
        <f>N38*(1+((1+VLOOKUP($B39,'IPCA Hist'!$B:$C,2,0))^12 - 1)+$N$2)^(1/252) - 1219261.856882</f>
        <v>42580477.155924141</v>
      </c>
      <c r="O39" s="14">
        <f>O38*(1+((1+VLOOKUP($B39,'IPCA Hist'!$B:$C,2,0))^12 - 1)+$O$2)^(1/252) - 1219261.856882</f>
        <v>42598272.560926683</v>
      </c>
      <c r="P39" s="14">
        <f>P38*(1+((1+VLOOKUP($B39,'IPCA Hist'!$B:$C,2,0))^12 - 1)+$P$2)^(1/252) - 1219261.856882</f>
        <v>42861551.656066686</v>
      </c>
      <c r="Q39" s="14">
        <f>Q38*(1+((1+VLOOKUP($B39,'IPCA Hist'!$B:$C,2,0))^12 - 1)+$Q$2)^(1/252) - 1219261.856882</f>
        <v>42843625.620731883</v>
      </c>
      <c r="R39" s="14">
        <f>R38*(1+((1+VLOOKUP($B39,'IPCA Hist'!$B:$C,2,0))^12 - 1)+$R$2)^(1/252) - 1219261.856882</f>
        <v>42825699.110399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2">
        <v>0</v>
      </c>
      <c r="Z39" s="14">
        <v>0</v>
      </c>
      <c r="AA39" s="14">
        <v>0</v>
      </c>
      <c r="AB39" s="14">
        <v>0</v>
      </c>
      <c r="AC39" s="2">
        <v>0</v>
      </c>
      <c r="AD39" s="2">
        <v>0</v>
      </c>
      <c r="AE39" s="14">
        <f>AE38*(1+((1+VLOOKUP($B39,'IPCA Hist'!$B:$C,2,0))^12 - 1)+$AE$2)^(1/252) - 1222970.09611699</f>
        <v>43903636.799104825</v>
      </c>
      <c r="AF39" s="14">
        <f>AF38*(1+((1+VLOOKUP($B39,'IGPM Hist'!$B:$C,2,0))^12 - 1)+$AF$2)^(1/252)</f>
        <v>1603917.7241507259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2">
        <v>0</v>
      </c>
      <c r="AQ39" s="2">
        <v>0</v>
      </c>
      <c r="AR39" s="2">
        <v>0</v>
      </c>
      <c r="AS39" s="14">
        <v>0</v>
      </c>
      <c r="AT39" s="14">
        <v>0</v>
      </c>
      <c r="AU39" s="2">
        <v>0</v>
      </c>
      <c r="AV39" s="14">
        <v>0</v>
      </c>
      <c r="AW39" s="14">
        <v>0</v>
      </c>
      <c r="AX39" s="2">
        <v>0</v>
      </c>
      <c r="AY39" s="2">
        <v>0</v>
      </c>
      <c r="AZ39" s="14">
        <v>0</v>
      </c>
      <c r="BA39" s="14">
        <f>BA38*(1+VLOOKUP(A39,'SELIC Hist'!$A:$C,3,0))^(1/252) + 9763824.276199</f>
        <v>25899915.26316835</v>
      </c>
      <c r="BB39" s="14">
        <f t="shared" si="0"/>
        <v>505420577.12618148</v>
      </c>
      <c r="BC39" s="14">
        <v>0</v>
      </c>
      <c r="BD39" s="14">
        <v>0</v>
      </c>
      <c r="BE39" s="2">
        <f t="shared" si="9"/>
        <v>167385.43969011307</v>
      </c>
      <c r="BF39" s="2">
        <f t="shared" si="2"/>
        <v>1838434.1399230957</v>
      </c>
      <c r="BG39" s="2">
        <f t="shared" si="3"/>
        <v>5420577.1261814833</v>
      </c>
      <c r="BH39" s="15">
        <f t="shared" si="4"/>
        <v>1.0113490297191379</v>
      </c>
      <c r="BI39" s="16">
        <f t="shared" si="5"/>
        <v>3.3129021734912278E-4</v>
      </c>
      <c r="BJ39" s="16">
        <f t="shared" si="6"/>
        <v>3.6507135241556909E-3</v>
      </c>
      <c r="BK39" s="16">
        <f t="shared" si="7"/>
        <v>1.1349029719137871E-2</v>
      </c>
      <c r="BL39" s="5">
        <f t="shared" si="8"/>
        <v>1.1349029719137871E-2</v>
      </c>
      <c r="BM39" s="19" t="s">
        <v>53</v>
      </c>
      <c r="BN39" s="19" t="s">
        <v>53</v>
      </c>
      <c r="BO39" s="19" t="s">
        <v>53</v>
      </c>
    </row>
    <row r="40" spans="1:67" s="2" customFormat="1" x14ac:dyDescent="0.25">
      <c r="A40" s="1">
        <v>45154</v>
      </c>
      <c r="B40" s="1" t="str">
        <f t="shared" si="1"/>
        <v>202308</v>
      </c>
      <c r="C40" s="2">
        <v>0</v>
      </c>
      <c r="D40" s="2">
        <f>D39*(1+((1+VLOOKUP($B40,'IPCA Hist'!$B:$C,2,0))^12 - 1)+$D$2)^(1/252)</f>
        <v>82033466.443391904</v>
      </c>
      <c r="E40" s="2">
        <f>E39*(1+((1+VLOOKUP($B40,'IPCA Hist'!$B:$C,2,0))^12 - 1)+$E$2)^(1/252)</f>
        <v>12583434.638716063</v>
      </c>
      <c r="F40" s="2">
        <f>F39*(1+((1+VLOOKUP($B40,'IPCA Hist'!$B:$C,2,0))^12 - 1)+$F$2)^(1/252)</f>
        <v>41925656.193218075</v>
      </c>
      <c r="G40" s="2">
        <f>G39*(1+((1+VLOOKUP($B40,'IPCA Hist'!$B:$C,2,0))^12 - 1)+$G$2)^(1/252)</f>
        <v>83838262.765394777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f>N39*(1+((1+VLOOKUP($B40,'IPCA Hist'!$B:$C,2,0))^12 - 1)+$N$2)^(1/252)</f>
        <v>42593677.497641154</v>
      </c>
      <c r="O40" s="2">
        <f>O39*(1+((1+VLOOKUP($B40,'IPCA Hist'!$B:$C,2,0))^12 - 1)+$O$2)^(1/252)</f>
        <v>42611462.779870771</v>
      </c>
      <c r="P40" s="2">
        <f>P39*(1+((1+VLOOKUP($B40,'IPCA Hist'!$B:$C,2,0))^12 - 1)+$P$2)^(1/252)</f>
        <v>42874571.421177574</v>
      </c>
      <c r="Q40" s="2">
        <f>Q39*(1+((1+VLOOKUP($B40,'IPCA Hist'!$B:$C,2,0))^12 - 1)+$Q$2)^(1/252)</f>
        <v>42856655.693382852</v>
      </c>
      <c r="R40" s="2">
        <f>R39*(1+((1+VLOOKUP($B40,'IPCA Hist'!$B:$C,2,0))^12 - 1)+$R$2)^(1/252)</f>
        <v>42838739.475810662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f>AE39*(1+((1+VLOOKUP($B40,'IPCA Hist'!$B:$C,2,0))^12 - 1)+$AE$2)^(1/252)</f>
        <v>43916924.674795806</v>
      </c>
      <c r="AF40" s="2">
        <f>AF39*(1+((1+VLOOKUP($B40,'IGPM Hist'!$B:$C,2,0))^12 - 1)+$AF$2)^(1/252)</f>
        <v>1604206.0055726862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f>BA39*(1+VLOOKUP(A40,'SELIC Hist'!$A:$C,3,0))^(1/252)</f>
        <v>25912615.931556407</v>
      </c>
      <c r="BB40" s="2">
        <f t="shared" si="0"/>
        <v>505589673.52052867</v>
      </c>
      <c r="BC40" s="2">
        <v>0</v>
      </c>
      <c r="BD40" s="2">
        <v>0</v>
      </c>
      <c r="BE40" s="2">
        <f t="shared" si="9"/>
        <v>169096.39434719086</v>
      </c>
      <c r="BF40" s="2">
        <f t="shared" si="2"/>
        <v>2007530.5342702866</v>
      </c>
      <c r="BG40" s="2">
        <f t="shared" si="3"/>
        <v>5589673.5205286741</v>
      </c>
      <c r="BH40" s="11">
        <f t="shared" si="4"/>
        <v>1.0116873924255485</v>
      </c>
      <c r="BI40" s="12">
        <f t="shared" si="5"/>
        <v>3.3456571022227877E-4</v>
      </c>
      <c r="BJ40" s="12">
        <f t="shared" si="6"/>
        <v>3.9865006379409262E-3</v>
      </c>
      <c r="BK40" s="12">
        <f t="shared" si="7"/>
        <v>1.1687392425548504E-2</v>
      </c>
      <c r="BL40" s="5">
        <f t="shared" si="8"/>
        <v>1.1687392425548504E-2</v>
      </c>
      <c r="BM40" s="19" t="s">
        <v>53</v>
      </c>
      <c r="BN40" s="19" t="s">
        <v>53</v>
      </c>
      <c r="BO40" s="19" t="s">
        <v>53</v>
      </c>
    </row>
    <row r="41" spans="1:67" s="2" customFormat="1" x14ac:dyDescent="0.25">
      <c r="A41" s="1">
        <v>45155</v>
      </c>
      <c r="B41" s="1" t="str">
        <f t="shared" si="1"/>
        <v>202308</v>
      </c>
      <c r="C41" s="2">
        <v>0</v>
      </c>
      <c r="D41" s="2">
        <f>D40*(1+((1+VLOOKUP($B41,'IPCA Hist'!$B:$C,2,0))^12 - 1)+$D$2)^(1/252)</f>
        <v>82063502.905034781</v>
      </c>
      <c r="E41" s="2">
        <f>E40*(1+((1+VLOOKUP($B41,'IPCA Hist'!$B:$C,2,0))^12 - 1)+$E$2)^(1/252)</f>
        <v>12587928.04353163</v>
      </c>
      <c r="F41" s="2">
        <f>F40*(1+((1+VLOOKUP($B41,'IPCA Hist'!$B:$C,2,0))^12 - 1)+$F$2)^(1/252)</f>
        <v>41939926.199648462</v>
      </c>
      <c r="G41" s="2">
        <f>G40*(1+((1+VLOOKUP($B41,'IPCA Hist'!$B:$C,2,0))^12 - 1)+$G$2)^(1/252)</f>
        <v>83866828.880617023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f>N40*(1+((1+VLOOKUP($B41,'IPCA Hist'!$B:$C,2,0))^12 - 1)+$N$2)^(1/252)</f>
        <v>42606881.931586184</v>
      </c>
      <c r="O41" s="2">
        <f>O40*(1+((1+VLOOKUP($B41,'IPCA Hist'!$B:$C,2,0))^12 - 1)+$O$2)^(1/252)</f>
        <v>42624657.083062068</v>
      </c>
      <c r="P41" s="2">
        <f>P40*(1+((1+VLOOKUP($B41,'IPCA Hist'!$B:$C,2,0))^12 - 1)+$P$2)^(1/252)</f>
        <v>42887595.141214892</v>
      </c>
      <c r="Q41" s="2">
        <f>Q40*(1+((1+VLOOKUP($B41,'IPCA Hist'!$B:$C,2,0))^12 - 1)+$Q$2)^(1/252)</f>
        <v>42869689.728882223</v>
      </c>
      <c r="R41" s="2">
        <f>R40*(1+((1+VLOOKUP($B41,'IPCA Hist'!$B:$C,2,0))^12 - 1)+$R$2)^(1/252)</f>
        <v>42851783.811995335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f>AE40*(1+((1+VLOOKUP($B41,'IPCA Hist'!$B:$C,2,0))^12 - 1)+$AE$2)^(1/252)</f>
        <v>43930216.572195537</v>
      </c>
      <c r="AF41" s="2">
        <f>AF40*(1+((1+VLOOKUP($B41,'IGPM Hist'!$B:$C,2,0))^12 - 1)+$AF$2)^(1/252)</f>
        <v>1604494.3388091363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f>BA40*(1+VLOOKUP(A41,'SELIC Hist'!$A:$C,3,0))^(1/252)</f>
        <v>25925322.82803347</v>
      </c>
      <c r="BB41" s="2">
        <f t="shared" si="0"/>
        <v>505758827.46461076</v>
      </c>
      <c r="BC41" s="2">
        <v>0</v>
      </c>
      <c r="BD41" s="2">
        <v>0</v>
      </c>
      <c r="BE41" s="2">
        <f t="shared" si="9"/>
        <v>169153.94408208132</v>
      </c>
      <c r="BF41" s="2">
        <f t="shared" si="2"/>
        <v>2176684.4783523679</v>
      </c>
      <c r="BG41" s="2">
        <f t="shared" si="3"/>
        <v>5758827.4646107554</v>
      </c>
      <c r="BH41" s="11">
        <f t="shared" si="4"/>
        <v>1.0120258702892582</v>
      </c>
      <c r="BI41" s="12">
        <f t="shared" si="5"/>
        <v>3.3456764040340481E-4</v>
      </c>
      <c r="BJ41" s="12">
        <f t="shared" si="6"/>
        <v>4.3224020324561518E-3</v>
      </c>
      <c r="BK41" s="12">
        <f t="shared" si="7"/>
        <v>1.2025870289258167E-2</v>
      </c>
      <c r="BL41" s="5">
        <f t="shared" si="8"/>
        <v>1.2025870289258167E-2</v>
      </c>
      <c r="BM41" s="19" t="s">
        <v>53</v>
      </c>
      <c r="BN41" s="19" t="s">
        <v>53</v>
      </c>
      <c r="BO41" s="19" t="s">
        <v>53</v>
      </c>
    </row>
    <row r="42" spans="1:67" s="2" customFormat="1" x14ac:dyDescent="0.25">
      <c r="A42" s="1">
        <v>45156</v>
      </c>
      <c r="B42" s="1" t="str">
        <f t="shared" si="1"/>
        <v>202308</v>
      </c>
      <c r="C42" s="2">
        <v>0</v>
      </c>
      <c r="D42" s="2">
        <v>82203225.480000004</v>
      </c>
      <c r="E42" s="2">
        <v>12674166.639</v>
      </c>
      <c r="F42" s="2">
        <v>42247222.130000003</v>
      </c>
      <c r="G42" s="8">
        <v>84494444.260000005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f>N41*(1+((1+VLOOKUP($B42,'IPCA Hist'!$B:$C,2,0))^12 - 1)+$N$2)^(1/252)</f>
        <v>42620090.459027857</v>
      </c>
      <c r="O42" s="2">
        <f>O41*(1+((1+VLOOKUP($B42,'IPCA Hist'!$B:$C,2,0))^12 - 1)+$O$2)^(1/252)</f>
        <v>42637855.471765228</v>
      </c>
      <c r="P42" s="2">
        <f>P41*(1+((1+VLOOKUP($B42,'IPCA Hist'!$B:$C,2,0))^12 - 1)+$P$2)^(1/252)</f>
        <v>42900622.817380004</v>
      </c>
      <c r="Q42" s="2">
        <f>Q41*(1+((1+VLOOKUP($B42,'IPCA Hist'!$B:$C,2,0))^12 - 1)+$Q$2)^(1/252)</f>
        <v>42882727.728435218</v>
      </c>
      <c r="R42" s="2">
        <f>R41*(1+((1+VLOOKUP($B42,'IPCA Hist'!$B:$C,2,0))^12 - 1)+$R$2)^(1/252)</f>
        <v>42864832.120162107</v>
      </c>
      <c r="S42" s="2">
        <v>43879326.990600005</v>
      </c>
      <c r="T42" s="2">
        <v>221640336.5325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43819383.359999999</v>
      </c>
      <c r="AF42" s="2">
        <f>AF41*(1+((1+VLOOKUP($B42,'IGPM Hist'!$B:$C,2,0))^12 - 1)+$AF$2)^(1/252)</f>
        <v>1604782.7238693889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f>-SUM(AE42,G42,F42,E42,D42)</f>
        <v>-265438441.86900002</v>
      </c>
      <c r="BA42" s="2">
        <f>BA41*(1+VLOOKUP(A42,'SELIC Hist'!$A:$C,3,0))^(1/252) + SUM(AE42,G42,F42,E42,D42) - SUM(S42,T42)</f>
        <v>25856814.301553607</v>
      </c>
      <c r="BB42" s="2">
        <f t="shared" si="0"/>
        <v>506887389.14529353</v>
      </c>
      <c r="BC42" s="2">
        <v>0</v>
      </c>
      <c r="BD42" s="2">
        <v>0</v>
      </c>
      <c r="BE42" s="2">
        <f t="shared" si="9"/>
        <v>1128561.6806827784</v>
      </c>
      <c r="BF42" s="2">
        <f t="shared" si="2"/>
        <v>3305246.1590351462</v>
      </c>
      <c r="BG42" s="2">
        <f t="shared" si="3"/>
        <v>6887389.1452935338</v>
      </c>
      <c r="BH42" s="11">
        <f t="shared" si="4"/>
        <v>1.0142841276938668</v>
      </c>
      <c r="BI42" s="12">
        <f t="shared" si="5"/>
        <v>2.2314226057909003E-3</v>
      </c>
      <c r="BJ42" s="12">
        <f t="shared" si="6"/>
        <v>6.5634697438536893E-3</v>
      </c>
      <c r="BK42" s="12">
        <f t="shared" si="7"/>
        <v>1.4284127693866777E-2</v>
      </c>
      <c r="BL42" s="5">
        <f t="shared" si="8"/>
        <v>1.4284127693866777E-2</v>
      </c>
      <c r="BM42" s="19" t="s">
        <v>53</v>
      </c>
      <c r="BN42" s="19" t="s">
        <v>53</v>
      </c>
      <c r="BO42" s="19" t="s">
        <v>53</v>
      </c>
    </row>
    <row r="43" spans="1:67" s="2" customFormat="1" x14ac:dyDescent="0.25">
      <c r="A43" s="1">
        <v>45159</v>
      </c>
      <c r="B43" s="1" t="str">
        <f t="shared" si="1"/>
        <v>202308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>N42*(1+((1+VLOOKUP($B43,'IPCA Hist'!$B:$C,2,0))^12 - 1)+$N$2)^(1/252)</f>
        <v>42633303.081235193</v>
      </c>
      <c r="O43" s="2">
        <f>O42*(1+((1+VLOOKUP($B43,'IPCA Hist'!$B:$C,2,0))^12 - 1)+$O$2)^(1/252)</f>
        <v>42651057.9472453</v>
      </c>
      <c r="P43" s="2">
        <f>P42*(1+((1+VLOOKUP($B43,'IPCA Hist'!$B:$C,2,0))^12 - 1)+$P$2)^(1/252)</f>
        <v>42913654.450874634</v>
      </c>
      <c r="Q43" s="2">
        <f>Q42*(1+((1+VLOOKUP($B43,'IPCA Hist'!$B:$C,2,0))^12 - 1)+$Q$2)^(1/252)</f>
        <v>42895769.69324743</v>
      </c>
      <c r="R43" s="2">
        <f>R42*(1+((1+VLOOKUP($B43,'IPCA Hist'!$B:$C,2,0))^12 - 1)+$R$2)^(1/252)</f>
        <v>42877884.401520446</v>
      </c>
      <c r="S43" s="2">
        <f>S42*(1+((1+VLOOKUP($B43,'IPCA Hist'!$B:$C,2,0))^12 - 1)+$S$2)^(1/252)</f>
        <v>43892494.50036025</v>
      </c>
      <c r="T43" s="2">
        <f>T42*(1+((1+VLOOKUP($B43,'IPCA Hist'!$B:$C,2,0))^12 - 1)+$T$2)^(1/252)</f>
        <v>221706765.80571178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f>AF42*(1+((1+VLOOKUP($B43,'IGPM Hist'!$B:$C,2,0))^12 - 1)+$AF$2)^(1/252)</f>
        <v>1605071.1607627585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f>BA42*(1+VLOOKUP(A43,'SELIC Hist'!$A:$C,3,0))^(1/252)</f>
        <v>25869493.834311869</v>
      </c>
      <c r="BB43" s="2">
        <f t="shared" si="0"/>
        <v>507045494.87526965</v>
      </c>
      <c r="BC43" s="2">
        <v>0</v>
      </c>
      <c r="BD43" s="2">
        <v>0</v>
      </c>
      <c r="BE43" s="2">
        <f t="shared" si="9"/>
        <v>158105.72997611761</v>
      </c>
      <c r="BF43" s="2">
        <f t="shared" si="2"/>
        <v>3463351.8890112638</v>
      </c>
      <c r="BG43" s="2">
        <f t="shared" si="3"/>
        <v>7045494.8752696514</v>
      </c>
      <c r="BH43" s="11">
        <f t="shared" si="4"/>
        <v>1.0146004980274879</v>
      </c>
      <c r="BI43" s="12">
        <f t="shared" si="5"/>
        <v>3.1191490134063748E-4</v>
      </c>
      <c r="BJ43" s="12">
        <f t="shared" si="6"/>
        <v>6.8774318892119712E-3</v>
      </c>
      <c r="BK43" s="12">
        <f t="shared" si="7"/>
        <v>1.4600498027487863E-2</v>
      </c>
      <c r="BL43" s="5">
        <f t="shared" si="8"/>
        <v>1.4600498027487863E-2</v>
      </c>
      <c r="BM43" s="19" t="s">
        <v>53</v>
      </c>
      <c r="BN43" s="19" t="s">
        <v>53</v>
      </c>
      <c r="BO43" s="19" t="s">
        <v>53</v>
      </c>
    </row>
    <row r="44" spans="1:67" s="2" customFormat="1" x14ac:dyDescent="0.25">
      <c r="A44" s="1">
        <v>45160</v>
      </c>
      <c r="B44" s="1" t="str">
        <f t="shared" si="1"/>
        <v>202308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>N43*(1+((1+VLOOKUP($B44,'IPCA Hist'!$B:$C,2,0))^12 - 1)+$N$2)^(1/252)</f>
        <v>42646519.799477607</v>
      </c>
      <c r="O44" s="2">
        <f>O43*(1+((1+VLOOKUP($B44,'IPCA Hist'!$B:$C,2,0))^12 - 1)+$O$2)^(1/252)</f>
        <v>42664264.510767721</v>
      </c>
      <c r="P44" s="2">
        <f>P43*(1+((1+VLOOKUP($B44,'IPCA Hist'!$B:$C,2,0))^12 - 1)+$P$2)^(1/252)</f>
        <v>42926690.042900875</v>
      </c>
      <c r="Q44" s="2">
        <f>Q43*(1+((1+VLOOKUP($B44,'IPCA Hist'!$B:$C,2,0))^12 - 1)+$Q$2)^(1/252)</f>
        <v>42908815.624524817</v>
      </c>
      <c r="R44" s="2">
        <f>R43*(1+((1+VLOOKUP($B44,'IPCA Hist'!$B:$C,2,0))^12 - 1)+$R$2)^(1/252)</f>
        <v>42890940.657280184</v>
      </c>
      <c r="S44" s="2">
        <f>S43*(1+((1+VLOOKUP($B44,'IPCA Hist'!$B:$C,2,0))^12 - 1)+$S$2)^(1/252)</f>
        <v>43905665.961487234</v>
      </c>
      <c r="T44" s="2">
        <f>T43*(1+((1+VLOOKUP($B44,'IPCA Hist'!$B:$C,2,0))^12 - 1)+$T$2)^(1/252)</f>
        <v>221773214.988875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f>AF43*(1+((1+VLOOKUP($B44,'IGPM Hist'!$B:$C,2,0))^12 - 1)+$AF$2)^(1/252)</f>
        <v>1605359.6494985614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f>BA43*(1+VLOOKUP(A44,'SELIC Hist'!$A:$C,3,0))^(1/252)</f>
        <v>25882179.584794756</v>
      </c>
      <c r="BB44" s="2">
        <f t="shared" si="0"/>
        <v>507203650.81960678</v>
      </c>
      <c r="BC44" s="2">
        <v>0</v>
      </c>
      <c r="BD44" s="2">
        <v>0</v>
      </c>
      <c r="BE44" s="2">
        <f t="shared" si="9"/>
        <v>158155.94433712959</v>
      </c>
      <c r="BF44" s="2">
        <f t="shared" si="2"/>
        <v>3621507.8333483934</v>
      </c>
      <c r="BG44" s="2">
        <f t="shared" si="3"/>
        <v>7203650.819606781</v>
      </c>
      <c r="BH44" s="11">
        <f t="shared" si="4"/>
        <v>1.0149169688402893</v>
      </c>
      <c r="BI44" s="12">
        <f t="shared" si="5"/>
        <v>3.1191667401775369E-4</v>
      </c>
      <c r="BJ44" s="12">
        <f t="shared" si="6"/>
        <v>7.1914937489103714E-3</v>
      </c>
      <c r="BK44" s="12">
        <f t="shared" si="7"/>
        <v>1.4916968840289258E-2</v>
      </c>
      <c r="BL44" s="5">
        <f t="shared" si="8"/>
        <v>1.4916968840289258E-2</v>
      </c>
      <c r="BM44" s="19" t="s">
        <v>53</v>
      </c>
      <c r="BN44" s="19" t="s">
        <v>53</v>
      </c>
      <c r="BO44" s="19" t="s">
        <v>53</v>
      </c>
    </row>
    <row r="45" spans="1:67" s="2" customFormat="1" x14ac:dyDescent="0.25">
      <c r="A45" s="1">
        <v>45161</v>
      </c>
      <c r="B45" s="1" t="str">
        <f t="shared" si="1"/>
        <v>202308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>N44*(1+((1+VLOOKUP($B45,'IPCA Hist'!$B:$C,2,0))^12 - 1)+$N$2)^(1/252)</f>
        <v>42659740.615024909</v>
      </c>
      <c r="O45" s="2">
        <f>O44*(1+((1+VLOOKUP($B45,'IPCA Hist'!$B:$C,2,0))^12 - 1)+$O$2)^(1/252)</f>
        <v>42677475.163598321</v>
      </c>
      <c r="P45" s="2">
        <f>P44*(1+((1+VLOOKUP($B45,'IPCA Hist'!$B:$C,2,0))^12 - 1)+$P$2)^(1/252)</f>
        <v>42939729.594661184</v>
      </c>
      <c r="Q45" s="2">
        <f>Q44*(1+((1+VLOOKUP($B45,'IPCA Hist'!$B:$C,2,0))^12 - 1)+$Q$2)^(1/252)</f>
        <v>42921865.52347371</v>
      </c>
      <c r="R45" s="2">
        <f>R44*(1+((1+VLOOKUP($B45,'IPCA Hist'!$B:$C,2,0))^12 - 1)+$R$2)^(1/252)</f>
        <v>42904000.888651513</v>
      </c>
      <c r="S45" s="2">
        <f>S44*(1+((1+VLOOKUP($B45,'IPCA Hist'!$B:$C,2,0))^12 - 1)+$S$2)^(1/252)</f>
        <v>43918841.375166707</v>
      </c>
      <c r="T45" s="2">
        <f>T44*(1+((1+VLOOKUP($B45,'IPCA Hist'!$B:$C,2,0))^12 - 1)+$T$2)^(1/252)</f>
        <v>221839684.08795702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f>AF44*(1+((1+VLOOKUP($B45,'IGPM Hist'!$B:$C,2,0))^12 - 1)+$AF$2)^(1/252)</f>
        <v>1605648.1900861159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f>BA44*(1+VLOOKUP(A45,'SELIC Hist'!$A:$C,3,0))^(1/252)</f>
        <v>25894871.556051284</v>
      </c>
      <c r="BB45" s="2">
        <f t="shared" si="0"/>
        <v>507361856.99467075</v>
      </c>
      <c r="BC45" s="2">
        <v>0</v>
      </c>
      <c r="BD45" s="2">
        <v>0</v>
      </c>
      <c r="BE45" s="2">
        <f t="shared" si="9"/>
        <v>158206.1750639677</v>
      </c>
      <c r="BF45" s="2">
        <f t="shared" si="2"/>
        <v>3779714.0084123611</v>
      </c>
      <c r="BG45" s="2">
        <f t="shared" si="3"/>
        <v>7361856.9946707487</v>
      </c>
      <c r="BH45" s="11">
        <f t="shared" si="4"/>
        <v>1.015233540165019</v>
      </c>
      <c r="BI45" s="12">
        <f t="shared" si="5"/>
        <v>3.1191844697553428E-4</v>
      </c>
      <c r="BJ45" s="12">
        <f t="shared" si="6"/>
        <v>7.5056553554475602E-3</v>
      </c>
      <c r="BK45" s="12">
        <f t="shared" si="7"/>
        <v>1.5233540165018988E-2</v>
      </c>
      <c r="BL45" s="5">
        <f t="shared" si="8"/>
        <v>1.5233540165018988E-2</v>
      </c>
      <c r="BM45" s="19" t="s">
        <v>53</v>
      </c>
      <c r="BN45" s="19" t="s">
        <v>53</v>
      </c>
      <c r="BO45" s="19" t="s">
        <v>53</v>
      </c>
    </row>
    <row r="46" spans="1:67" s="2" customFormat="1" x14ac:dyDescent="0.25">
      <c r="A46" s="1">
        <v>45162</v>
      </c>
      <c r="B46" s="1" t="str">
        <f t="shared" si="1"/>
        <v>202308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f>N45*(1+((1+VLOOKUP($B46,'IPCA Hist'!$B:$C,2,0))^12 - 1)+$N$2)^(1/252)</f>
        <v>42672965.529147305</v>
      </c>
      <c r="O46" s="2">
        <f>O45*(1+((1+VLOOKUP($B46,'IPCA Hist'!$B:$C,2,0))^12 - 1)+$O$2)^(1/252)</f>
        <v>42690689.907003321</v>
      </c>
      <c r="P46" s="2">
        <f>P45*(1+((1+VLOOKUP($B46,'IPCA Hist'!$B:$C,2,0))^12 - 1)+$P$2)^(1/252)</f>
        <v>42952773.107358381</v>
      </c>
      <c r="Q46" s="2">
        <f>Q45*(1+((1+VLOOKUP($B46,'IPCA Hist'!$B:$C,2,0))^12 - 1)+$Q$2)^(1/252)</f>
        <v>42934919.39130079</v>
      </c>
      <c r="R46" s="2">
        <f>R45*(1+((1+VLOOKUP($B46,'IPCA Hist'!$B:$C,2,0))^12 - 1)+$R$2)^(1/252)</f>
        <v>42917065.096845008</v>
      </c>
      <c r="S46" s="2">
        <f>S45*(1+((1+VLOOKUP($B46,'IPCA Hist'!$B:$C,2,0))^12 - 1)+$S$2)^(1/252)</f>
        <v>43932020.742584765</v>
      </c>
      <c r="T46" s="2">
        <f>T45*(1+((1+VLOOKUP($B46,'IPCA Hist'!$B:$C,2,0))^12 - 1)+$T$2)^(1/252)</f>
        <v>221906173.10892695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f>AF45*(1+((1+VLOOKUP($B46,'IGPM Hist'!$B:$C,2,0))^12 - 1)+$AF$2)^(1/252)</f>
        <v>1605936.7825347411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f>BA45*(1+VLOOKUP(A46,'SELIC Hist'!$A:$C,3,0))^(1/252)</f>
        <v>25907569.751131963</v>
      </c>
      <c r="BB46" s="2">
        <f t="shared" si="0"/>
        <v>507520113.41683322</v>
      </c>
      <c r="BC46" s="2">
        <v>0</v>
      </c>
      <c r="BD46" s="2">
        <v>0</v>
      </c>
      <c r="BE46" s="2">
        <f t="shared" si="9"/>
        <v>158256.4221624732</v>
      </c>
      <c r="BF46" s="2">
        <f t="shared" si="2"/>
        <v>3937970.4305748343</v>
      </c>
      <c r="BG46" s="2">
        <f t="shared" si="3"/>
        <v>7520113.4168332219</v>
      </c>
      <c r="BH46" s="11">
        <f t="shared" si="4"/>
        <v>1.0155502120344371</v>
      </c>
      <c r="BI46" s="12">
        <f t="shared" si="5"/>
        <v>3.1192022021508947E-4</v>
      </c>
      <c r="BJ46" s="12">
        <f t="shared" si="6"/>
        <v>7.8199167413339765E-3</v>
      </c>
      <c r="BK46" s="12">
        <f t="shared" si="7"/>
        <v>1.5550212034437072E-2</v>
      </c>
      <c r="BL46" s="5">
        <f t="shared" si="8"/>
        <v>1.5550212034437072E-2</v>
      </c>
      <c r="BM46" s="19" t="s">
        <v>53</v>
      </c>
      <c r="BN46" s="19" t="s">
        <v>53</v>
      </c>
      <c r="BO46" s="19" t="s">
        <v>53</v>
      </c>
    </row>
    <row r="47" spans="1:67" s="2" customFormat="1" x14ac:dyDescent="0.25">
      <c r="A47" s="1">
        <v>45163</v>
      </c>
      <c r="B47" s="1" t="str">
        <f t="shared" si="1"/>
        <v>202308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f>N46*(1+((1+VLOOKUP($B47,'IPCA Hist'!$B:$C,2,0))^12 - 1)+$N$2)^(1/252)</f>
        <v>42686194.543115385</v>
      </c>
      <c r="O47" s="2">
        <f>O46*(1+((1+VLOOKUP($B47,'IPCA Hist'!$B:$C,2,0))^12 - 1)+$O$2)^(1/252)</f>
        <v>42703908.742249332</v>
      </c>
      <c r="P47" s="2">
        <f>P46*(1+((1+VLOOKUP($B47,'IPCA Hist'!$B:$C,2,0))^12 - 1)+$P$2)^(1/252)</f>
        <v>42965820.582195655</v>
      </c>
      <c r="Q47" s="2">
        <f>Q46*(1+((1+VLOOKUP($B47,'IPCA Hist'!$B:$C,2,0))^12 - 1)+$Q$2)^(1/252)</f>
        <v>42947977.229213126</v>
      </c>
      <c r="R47" s="2">
        <f>R46*(1+((1+VLOOKUP($B47,'IPCA Hist'!$B:$C,2,0))^12 - 1)+$R$2)^(1/252)</f>
        <v>42930133.283071607</v>
      </c>
      <c r="S47" s="2">
        <f>S46*(1+((1+VLOOKUP($B47,'IPCA Hist'!$B:$C,2,0))^12 - 1)+$S$2)^(1/252)</f>
        <v>43945204.064927861</v>
      </c>
      <c r="T47" s="2">
        <f>T46*(1+((1+VLOOKUP($B47,'IPCA Hist'!$B:$C,2,0))^12 - 1)+$T$2)^(1/252)</f>
        <v>221972682.05775571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f>AF46*(1+((1+VLOOKUP($B47,'IGPM Hist'!$B:$C,2,0))^12 - 1)+$AF$2)^(1/252)</f>
        <v>1606225.4268537585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f>BA46*(1+VLOOKUP(A47,'SELIC Hist'!$A:$C,3,0))^(1/252)</f>
        <v>25920274.1730888</v>
      </c>
      <c r="BB47" s="2">
        <f t="shared" si="0"/>
        <v>507678420.10247123</v>
      </c>
      <c r="BC47" s="2">
        <v>0</v>
      </c>
      <c r="BD47" s="2">
        <v>0</v>
      </c>
      <c r="BE47" s="2">
        <f t="shared" si="9"/>
        <v>158306.6856380105</v>
      </c>
      <c r="BF47" s="2">
        <f t="shared" si="2"/>
        <v>4096277.1162128448</v>
      </c>
      <c r="BG47" s="2">
        <f t="shared" si="3"/>
        <v>7678420.1024712324</v>
      </c>
      <c r="BH47" s="11">
        <f t="shared" si="4"/>
        <v>1.0158669844813135</v>
      </c>
      <c r="BI47" s="12">
        <f t="shared" si="5"/>
        <v>3.1192199373575313E-4</v>
      </c>
      <c r="BJ47" s="12">
        <f t="shared" si="6"/>
        <v>8.1342779390904951E-3</v>
      </c>
      <c r="BK47" s="12">
        <f t="shared" si="7"/>
        <v>1.5866984481313517E-2</v>
      </c>
      <c r="BL47" s="5">
        <f t="shared" si="8"/>
        <v>1.5866984481313517E-2</v>
      </c>
      <c r="BM47" s="19" t="s">
        <v>53</v>
      </c>
      <c r="BN47" s="19" t="s">
        <v>53</v>
      </c>
      <c r="BO47" s="19" t="s">
        <v>53</v>
      </c>
    </row>
    <row r="48" spans="1:67" s="2" customFormat="1" x14ac:dyDescent="0.25">
      <c r="A48" s="1">
        <v>45166</v>
      </c>
      <c r="B48" s="1" t="str">
        <f t="shared" si="1"/>
        <v>202308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f>N47*(1+((1+VLOOKUP($B48,'IPCA Hist'!$B:$C,2,0))^12 - 1)+$N$2)^(1/252)</f>
        <v>42699427.658200137</v>
      </c>
      <c r="O48" s="2">
        <f>O47*(1+((1+VLOOKUP($B48,'IPCA Hist'!$B:$C,2,0))^12 - 1)+$O$2)^(1/252)</f>
        <v>42717131.670603365</v>
      </c>
      <c r="P48" s="2">
        <f>P47*(1+((1+VLOOKUP($B48,'IPCA Hist'!$B:$C,2,0))^12 - 1)+$P$2)^(1/252)</f>
        <v>42978872.020376556</v>
      </c>
      <c r="Q48" s="2">
        <f>Q47*(1+((1+VLOOKUP($B48,'IPCA Hist'!$B:$C,2,0))^12 - 1)+$Q$2)^(1/252)</f>
        <v>42961039.038418137</v>
      </c>
      <c r="R48" s="2">
        <f>R47*(1+((1+VLOOKUP($B48,'IPCA Hist'!$B:$C,2,0))^12 - 1)+$R$2)^(1/252)</f>
        <v>42943205.44854261</v>
      </c>
      <c r="S48" s="2">
        <f>S47*(1+((1+VLOOKUP($B48,'IPCA Hist'!$B:$C,2,0))^12 - 1)+$S$2)^(1/252)</f>
        <v>43958391.343382813</v>
      </c>
      <c r="T48" s="2">
        <f>T47*(1+((1+VLOOKUP($B48,'IPCA Hist'!$B:$C,2,0))^12 - 1)+$T$2)^(1/252)</f>
        <v>222039210.94041604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f>AF47*(1+((1+VLOOKUP($B48,'IGPM Hist'!$B:$C,2,0))^12 - 1)+$AF$2)^(1/252)</f>
        <v>1606514.1230524913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f>BA47*(1+VLOOKUP(A48,'SELIC Hist'!$A:$C,3,0))^(1/252)</f>
        <v>25932984.824975297</v>
      </c>
      <c r="BB48" s="2">
        <f t="shared" si="0"/>
        <v>507836777.06796747</v>
      </c>
      <c r="BC48" s="2">
        <v>0</v>
      </c>
      <c r="BD48" s="2">
        <v>0</v>
      </c>
      <c r="BE48" s="2">
        <f t="shared" si="9"/>
        <v>158356.96549624205</v>
      </c>
      <c r="BF48" s="2">
        <f t="shared" si="2"/>
        <v>4254634.0817090869</v>
      </c>
      <c r="BG48" s="2">
        <f t="shared" si="3"/>
        <v>7836777.0679674745</v>
      </c>
      <c r="BH48" s="11">
        <f t="shared" si="4"/>
        <v>1.0161838575384305</v>
      </c>
      <c r="BI48" s="12">
        <f t="shared" si="5"/>
        <v>3.119237675381914E-4</v>
      </c>
      <c r="BJ48" s="12">
        <f t="shared" si="6"/>
        <v>8.4487389812497593E-3</v>
      </c>
      <c r="BK48" s="12">
        <f t="shared" si="7"/>
        <v>1.6183857538430546E-2</v>
      </c>
      <c r="BL48" s="5">
        <f t="shared" si="8"/>
        <v>1.6183857538430546E-2</v>
      </c>
      <c r="BM48" s="19" t="s">
        <v>53</v>
      </c>
      <c r="BN48" s="19" t="s">
        <v>53</v>
      </c>
      <c r="BO48" s="19" t="s">
        <v>53</v>
      </c>
    </row>
    <row r="49" spans="1:67" s="2" customFormat="1" x14ac:dyDescent="0.25">
      <c r="A49" s="1">
        <v>45167</v>
      </c>
      <c r="B49" s="1" t="str">
        <f t="shared" si="1"/>
        <v>202308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f>N48*(1+((1+VLOOKUP($B49,'IPCA Hist'!$B:$C,2,0))^12 - 1)+$N$2)^(1/252)</f>
        <v>42712664.875672951</v>
      </c>
      <c r="O49" s="2">
        <f>O48*(1+((1+VLOOKUP($B49,'IPCA Hist'!$B:$C,2,0))^12 - 1)+$O$2)^(1/252)</f>
        <v>42730358.693332814</v>
      </c>
      <c r="P49" s="2">
        <f>P48*(1+((1+VLOOKUP($B49,'IPCA Hist'!$B:$C,2,0))^12 - 1)+$P$2)^(1/252)</f>
        <v>42991927.423105009</v>
      </c>
      <c r="Q49" s="2">
        <f>Q48*(1+((1+VLOOKUP($B49,'IPCA Hist'!$B:$C,2,0))^12 - 1)+$Q$2)^(1/252)</f>
        <v>42974104.820123613</v>
      </c>
      <c r="R49" s="2">
        <f>R48*(1+((1+VLOOKUP($B49,'IPCA Hist'!$B:$C,2,0))^12 - 1)+$R$2)^(1/252)</f>
        <v>42956281.594469696</v>
      </c>
      <c r="S49" s="2">
        <f>S48*(1+((1+VLOOKUP($B49,'IPCA Hist'!$B:$C,2,0))^12 - 1)+$S$2)^(1/252)</f>
        <v>43971582.579136789</v>
      </c>
      <c r="T49" s="2">
        <f>T48*(1+((1+VLOOKUP($B49,'IPCA Hist'!$B:$C,2,0))^12 - 1)+$T$2)^(1/252)</f>
        <v>222105759.76288241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f>AF48*(1+((1+VLOOKUP($B49,'IGPM Hist'!$B:$C,2,0))^12 - 1)+$AF$2)^(1/252)</f>
        <v>1606802.871140264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f>BA48*(1+VLOOKUP(A49,'SELIC Hist'!$A:$C,3,0))^(1/252)</f>
        <v>25945701.709846456</v>
      </c>
      <c r="BB49" s="2">
        <f t="shared" si="0"/>
        <v>507995184.32970995</v>
      </c>
      <c r="BC49" s="2">
        <v>0</v>
      </c>
      <c r="BD49" s="2">
        <v>0</v>
      </c>
      <c r="BE49" s="2">
        <f t="shared" si="9"/>
        <v>158407.26174247265</v>
      </c>
      <c r="BF49" s="2">
        <f t="shared" si="2"/>
        <v>4413041.3434515595</v>
      </c>
      <c r="BG49" s="2">
        <f t="shared" si="3"/>
        <v>7995184.3297099471</v>
      </c>
      <c r="BH49" s="11">
        <f t="shared" si="4"/>
        <v>1.0165008312385808</v>
      </c>
      <c r="BI49" s="12">
        <f t="shared" si="5"/>
        <v>3.1192554162196018E-4</v>
      </c>
      <c r="BJ49" s="12">
        <f t="shared" si="6"/>
        <v>8.7632999003544043E-3</v>
      </c>
      <c r="BK49" s="12">
        <f t="shared" si="7"/>
        <v>1.6500831238580815E-2</v>
      </c>
      <c r="BL49" s="5">
        <f t="shared" si="8"/>
        <v>1.6500831238580815E-2</v>
      </c>
      <c r="BM49" s="19" t="s">
        <v>53</v>
      </c>
      <c r="BN49" s="19" t="s">
        <v>53</v>
      </c>
      <c r="BO49" s="19" t="s">
        <v>53</v>
      </c>
    </row>
    <row r="50" spans="1:67" s="2" customFormat="1" x14ac:dyDescent="0.25">
      <c r="A50" s="1">
        <v>45168</v>
      </c>
      <c r="B50" s="1" t="str">
        <f t="shared" si="1"/>
        <v>202308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f>N49*(1+((1+VLOOKUP($B50,'IPCA Hist'!$B:$C,2,0))^12 - 1)+$N$2)^(1/252)</f>
        <v>42725906.196805604</v>
      </c>
      <c r="O50" s="2">
        <f>O49*(1+((1+VLOOKUP($B50,'IPCA Hist'!$B:$C,2,0))^12 - 1)+$O$2)^(1/252)</f>
        <v>42743589.811705478</v>
      </c>
      <c r="P50" s="2">
        <f>P49*(1+((1+VLOOKUP($B50,'IPCA Hist'!$B:$C,2,0))^12 - 1)+$P$2)^(1/252)</f>
        <v>43004986.791585289</v>
      </c>
      <c r="Q50" s="2">
        <f>Q49*(1+((1+VLOOKUP($B50,'IPCA Hist'!$B:$C,2,0))^12 - 1)+$Q$2)^(1/252)</f>
        <v>42987174.575537719</v>
      </c>
      <c r="R50" s="2">
        <f>R49*(1+((1+VLOOKUP($B50,'IPCA Hist'!$B:$C,2,0))^12 - 1)+$R$2)^(1/252)</f>
        <v>42969361.722064905</v>
      </c>
      <c r="S50" s="2">
        <f>S49*(1+((1+VLOOKUP($B50,'IPCA Hist'!$B:$C,2,0))^12 - 1)+$S$2)^(1/252)</f>
        <v>43984777.773377307</v>
      </c>
      <c r="T50" s="2">
        <f>T49*(1+((1+VLOOKUP($B50,'IPCA Hist'!$B:$C,2,0))^12 - 1)+$T$2)^(1/252)</f>
        <v>222172328.53113112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f>AF49*(1+((1+VLOOKUP($B50,'IGPM Hist'!$B:$C,2,0))^12 - 1)+$AF$2)^(1/252)</f>
        <v>1607091.6711264027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f>BA49*(1+VLOOKUP(A50,'SELIC Hist'!$A:$C,3,0))^(1/252)</f>
        <v>25958424.830758777</v>
      </c>
      <c r="BB50" s="2">
        <f t="shared" si="0"/>
        <v>508153641.90409255</v>
      </c>
      <c r="BC50" s="2">
        <v>0</v>
      </c>
      <c r="BD50" s="2">
        <v>0</v>
      </c>
      <c r="BE50" s="2">
        <f t="shared" si="9"/>
        <v>158457.57438260317</v>
      </c>
      <c r="BF50" s="2">
        <f t="shared" si="2"/>
        <v>4571498.9178341627</v>
      </c>
      <c r="BG50" s="2">
        <f t="shared" si="3"/>
        <v>8153641.9040925503</v>
      </c>
      <c r="BH50" s="11">
        <f t="shared" si="4"/>
        <v>1.0168179056145683</v>
      </c>
      <c r="BI50" s="12">
        <f t="shared" si="5"/>
        <v>3.1192731598772561E-4</v>
      </c>
      <c r="BJ50" s="12">
        <f t="shared" si="6"/>
        <v>9.0779607289592779E-3</v>
      </c>
      <c r="BK50" s="12">
        <f t="shared" si="7"/>
        <v>1.6817905614568307E-2</v>
      </c>
      <c r="BL50" s="5">
        <f t="shared" si="8"/>
        <v>1.6817905614568307E-2</v>
      </c>
      <c r="BM50" s="19" t="s">
        <v>53</v>
      </c>
      <c r="BN50" s="19" t="s">
        <v>53</v>
      </c>
      <c r="BO50" s="19" t="s">
        <v>53</v>
      </c>
    </row>
    <row r="51" spans="1:67" s="2" customFormat="1" x14ac:dyDescent="0.25">
      <c r="A51" s="1">
        <v>45169</v>
      </c>
      <c r="B51" s="1" t="str">
        <f t="shared" si="1"/>
        <v>202308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f>N50*(1+((1+VLOOKUP($B51,'IPCA Hist'!$B:$C,2,0))^12 - 1)+$N$2)^(1/252)</f>
        <v>42739151.622870266</v>
      </c>
      <c r="O51" s="2">
        <f>O50*(1+((1+VLOOKUP($B51,'IPCA Hist'!$B:$C,2,0))^12 - 1)+$O$2)^(1/252)</f>
        <v>42756825.026989534</v>
      </c>
      <c r="P51" s="2">
        <f>P50*(1+((1+VLOOKUP($B51,'IPCA Hist'!$B:$C,2,0))^12 - 1)+$P$2)^(1/252)</f>
        <v>43018050.12702205</v>
      </c>
      <c r="Q51" s="2">
        <f>Q50*(1+((1+VLOOKUP($B51,'IPCA Hist'!$B:$C,2,0))^12 - 1)+$Q$2)^(1/252)</f>
        <v>43000248.305868983</v>
      </c>
      <c r="R51" s="2">
        <f>R50*(1+((1+VLOOKUP($B51,'IPCA Hist'!$B:$C,2,0))^12 - 1)+$R$2)^(1/252)</f>
        <v>42982445.832540654</v>
      </c>
      <c r="S51" s="2">
        <f>S50*(1+((1+VLOOKUP($B51,'IPCA Hist'!$B:$C,2,0))^12 - 1)+$S$2)^(1/252)</f>
        <v>43997976.92729225</v>
      </c>
      <c r="T51" s="2">
        <f>T50*(1+((1+VLOOKUP($B51,'IPCA Hist'!$B:$C,2,0))^12 - 1)+$T$2)^(1/252)</f>
        <v>222238917.25114024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f>AF50*(1+((1+VLOOKUP($B51,'IGPM Hist'!$B:$C,2,0))^12 - 1)+$AF$2)^(1/252)</f>
        <v>1607380.5230202356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f>BA50*(1+VLOOKUP(A51,'SELIC Hist'!$A:$C,3,0))^(1/252)</f>
        <v>25971154.190770257</v>
      </c>
      <c r="BB51" s="2">
        <f t="shared" si="0"/>
        <v>508312149.80751449</v>
      </c>
      <c r="BC51" s="2">
        <v>0</v>
      </c>
      <c r="BD51" s="2">
        <v>0</v>
      </c>
      <c r="BE51" s="2">
        <f t="shared" si="9"/>
        <v>158507.90342193842</v>
      </c>
      <c r="BF51" s="2">
        <f t="shared" si="2"/>
        <v>4730006.8212561011</v>
      </c>
      <c r="BG51" s="2">
        <f t="shared" si="3"/>
        <v>8312149.8075144887</v>
      </c>
      <c r="BH51" s="11">
        <f t="shared" si="4"/>
        <v>1.0171350806992079</v>
      </c>
      <c r="BI51" s="12">
        <f t="shared" si="5"/>
        <v>3.1192909063482155E-4</v>
      </c>
      <c r="BJ51" s="12">
        <f t="shared" si="6"/>
        <v>9.3927214996289976E-3</v>
      </c>
      <c r="BK51" s="12">
        <f t="shared" si="7"/>
        <v>1.7135080699207883E-2</v>
      </c>
      <c r="BL51" s="5">
        <f t="shared" si="8"/>
        <v>1.7135080699207883E-2</v>
      </c>
      <c r="BM51" s="19" t="s">
        <v>53</v>
      </c>
      <c r="BN51" s="19" t="s">
        <v>53</v>
      </c>
      <c r="BO51" s="19" t="s">
        <v>53</v>
      </c>
    </row>
    <row r="52" spans="1:67" s="2" customFormat="1" x14ac:dyDescent="0.25">
      <c r="A52" s="1">
        <v>45170</v>
      </c>
      <c r="B52" s="1" t="str">
        <f t="shared" si="1"/>
        <v>202309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f>N51*(1+((1+VLOOKUP($B52,'IPCA Hist'!$B:$C,2,0))^12 - 1)+$N$2)^(1/252)</f>
        <v>42752980.438445471</v>
      </c>
      <c r="O52" s="2">
        <f>O51*(1+((1+VLOOKUP($B52,'IPCA Hist'!$B:$C,2,0))^12 - 1)+$O$2)^(1/252)</f>
        <v>42770643.916602619</v>
      </c>
      <c r="P52" s="2">
        <f>P51*(1+((1+VLOOKUP($B52,'IPCA Hist'!$B:$C,2,0))^12 - 1)+$P$2)^(1/252)</f>
        <v>43031701.40706221</v>
      </c>
      <c r="Q52" s="2">
        <f>Q51*(1+((1+VLOOKUP($B52,'IPCA Hist'!$B:$C,2,0))^12 - 1)+$Q$2)^(1/252)</f>
        <v>43013909.693344899</v>
      </c>
      <c r="R52" s="2">
        <f>R51*(1+((1+VLOOKUP($B52,'IPCA Hist'!$B:$C,2,0))^12 - 1)+$R$2)^(1/252)</f>
        <v>42996117.312750585</v>
      </c>
      <c r="S52" s="2">
        <f>S51*(1+((1+VLOOKUP($B52,'IPCA Hist'!$B:$C,2,0))^12 - 1)+$S$2)^(1/252)</f>
        <v>44011777.87180648</v>
      </c>
      <c r="T52" s="2">
        <f>T51*(1+((1+VLOOKUP($B52,'IPCA Hist'!$B:$C,2,0))^12 - 1)+$T$2)^(1/252)</f>
        <v>222308545.91509122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f>AF51*(1+((1+VLOOKUP($B52,'IGPM Hist'!$B:$C,2,0))^12 - 1)+$AF$2)^(1/252)</f>
        <v>1608031.1401548462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f>BA51*(1+VLOOKUP(A52,'SELIC Hist'!$A:$C,3,0))^(1/252)</f>
        <v>25983889.792940397</v>
      </c>
      <c r="BB52" s="2">
        <f t="shared" si="0"/>
        <v>508477597.48819864</v>
      </c>
      <c r="BC52" s="2">
        <v>0</v>
      </c>
      <c r="BD52" s="2">
        <v>0</v>
      </c>
      <c r="BE52" s="2">
        <f t="shared" si="9"/>
        <v>165447.68068414927</v>
      </c>
      <c r="BF52" s="2">
        <f t="shared" si="2"/>
        <v>165447.68068414927</v>
      </c>
      <c r="BG52" s="2">
        <f t="shared" si="3"/>
        <v>8477597.488198638</v>
      </c>
      <c r="BH52" s="11">
        <f t="shared" si="4"/>
        <v>1.0174661423118565</v>
      </c>
      <c r="BI52" s="12">
        <f t="shared" si="5"/>
        <v>3.2548441099988779E-4</v>
      </c>
      <c r="BJ52" s="12">
        <f t="shared" si="6"/>
        <v>3.2548441099988779E-4</v>
      </c>
      <c r="BK52" s="12">
        <f t="shared" si="7"/>
        <v>1.7466142311856503E-2</v>
      </c>
      <c r="BL52" s="5">
        <f t="shared" si="8"/>
        <v>1.7466142311856503E-2</v>
      </c>
      <c r="BM52" s="19" t="s">
        <v>53</v>
      </c>
      <c r="BN52" s="19" t="s">
        <v>53</v>
      </c>
      <c r="BO52" s="19" t="s">
        <v>53</v>
      </c>
    </row>
    <row r="53" spans="1:67" s="2" customFormat="1" x14ac:dyDescent="0.25">
      <c r="A53" s="1">
        <v>45173</v>
      </c>
      <c r="B53" s="1" t="str">
        <f t="shared" si="1"/>
        <v>202309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f>N52*(1+((1+VLOOKUP($B53,'IPCA Hist'!$B:$C,2,0))^12 - 1)+$N$2)^(1/252)</f>
        <v>42766813.728516147</v>
      </c>
      <c r="O53" s="2">
        <f>O52*(1+((1+VLOOKUP($B53,'IPCA Hist'!$B:$C,2,0))^12 - 1)+$O$2)^(1/252)</f>
        <v>42784467.272443257</v>
      </c>
      <c r="P53" s="2">
        <f>P52*(1+((1+VLOOKUP($B53,'IPCA Hist'!$B:$C,2,0))^12 - 1)+$P$2)^(1/252)</f>
        <v>43045357.019178003</v>
      </c>
      <c r="Q53" s="2">
        <f>Q52*(1+((1+VLOOKUP($B53,'IPCA Hist'!$B:$C,2,0))^12 - 1)+$Q$2)^(1/252)</f>
        <v>43027575.421109885</v>
      </c>
      <c r="R53" s="2">
        <f>R52*(1+((1+VLOOKUP($B53,'IPCA Hist'!$B:$C,2,0))^12 - 1)+$R$2)^(1/252)</f>
        <v>43009793.141465299</v>
      </c>
      <c r="S53" s="2">
        <f>S52*(1+((1+VLOOKUP($B53,'IPCA Hist'!$B:$C,2,0))^12 - 1)+$S$2)^(1/252)</f>
        <v>44025583.145294063</v>
      </c>
      <c r="T53" s="2">
        <f>T52*(1+((1+VLOOKUP($B53,'IPCA Hist'!$B:$C,2,0))^12 - 1)+$T$2)^(1/252)</f>
        <v>222378196.39408207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f>AF52*(1+((1+VLOOKUP($B53,'IGPM Hist'!$B:$C,2,0))^12 - 1)+$AF$2)^(1/252)</f>
        <v>1608682.0206388317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f>BA52*(1+VLOOKUP(A53,'SELIC Hist'!$A:$C,3,0))^(1/252)</f>
        <v>25996631.640330192</v>
      </c>
      <c r="BB53" s="2">
        <f t="shared" si="0"/>
        <v>508643099.78305775</v>
      </c>
      <c r="BC53" s="2">
        <v>0</v>
      </c>
      <c r="BD53" s="2">
        <v>0</v>
      </c>
      <c r="BE53" s="2">
        <f t="shared" si="9"/>
        <v>165502.29485911131</v>
      </c>
      <c r="BF53" s="2">
        <f t="shared" si="2"/>
        <v>330949.97554326057</v>
      </c>
      <c r="BG53" s="2">
        <f t="shared" si="3"/>
        <v>8643099.7830577493</v>
      </c>
      <c r="BH53" s="11">
        <f t="shared" si="4"/>
        <v>1.0177973132077345</v>
      </c>
      <c r="BI53" s="12">
        <f t="shared" si="5"/>
        <v>3.2548591260783688E-4</v>
      </c>
      <c r="BJ53" s="12">
        <f t="shared" si="6"/>
        <v>6.5107626419824705E-4</v>
      </c>
      <c r="BK53" s="12">
        <f t="shared" si="7"/>
        <v>1.7797313207734478E-2</v>
      </c>
      <c r="BL53" s="5">
        <f t="shared" si="8"/>
        <v>1.7797313207734478E-2</v>
      </c>
      <c r="BM53" s="19" t="s">
        <v>53</v>
      </c>
      <c r="BN53" s="19" t="s">
        <v>53</v>
      </c>
      <c r="BO53" s="19" t="s">
        <v>53</v>
      </c>
    </row>
    <row r="54" spans="1:67" s="2" customFormat="1" x14ac:dyDescent="0.25">
      <c r="A54" s="1">
        <v>45174</v>
      </c>
      <c r="B54" s="1" t="str">
        <f t="shared" si="1"/>
        <v>202309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f>N53*(1+((1+VLOOKUP($B54,'IPCA Hist'!$B:$C,2,0))^12 - 1)+$N$2)^(1/252)</f>
        <v>42780651.494530067</v>
      </c>
      <c r="O54" s="2">
        <f>O53*(1+((1+VLOOKUP($B54,'IPCA Hist'!$B:$C,2,0))^12 - 1)+$O$2)^(1/252)</f>
        <v>42798295.095954925</v>
      </c>
      <c r="P54" s="2">
        <f>P53*(1+((1+VLOOKUP($B54,'IPCA Hist'!$B:$C,2,0))^12 - 1)+$P$2)^(1/252)</f>
        <v>43059016.964744166</v>
      </c>
      <c r="Q54" s="2">
        <f>Q53*(1+((1+VLOOKUP($B54,'IPCA Hist'!$B:$C,2,0))^12 - 1)+$Q$2)^(1/252)</f>
        <v>43041245.490542874</v>
      </c>
      <c r="R54" s="2">
        <f>R53*(1+((1+VLOOKUP($B54,'IPCA Hist'!$B:$C,2,0))^12 - 1)+$R$2)^(1/252)</f>
        <v>43023473.320067927</v>
      </c>
      <c r="S54" s="2">
        <f>S53*(1+((1+VLOOKUP($B54,'IPCA Hist'!$B:$C,2,0))^12 - 1)+$S$2)^(1/252)</f>
        <v>44039392.749112867</v>
      </c>
      <c r="T54" s="2">
        <f>T53*(1+((1+VLOOKUP($B54,'IPCA Hist'!$B:$C,2,0))^12 - 1)+$T$2)^(1/252)</f>
        <v>222447868.69494757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f>AF53*(1+((1+VLOOKUP($B54,'IGPM Hist'!$B:$C,2,0))^12 - 1)+$AF$2)^(1/252)</f>
        <v>1609333.1645787875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f>BA53*(1+VLOOKUP(A54,'SELIC Hist'!$A:$C,3,0))^(1/252)</f>
        <v>26009379.736002143</v>
      </c>
      <c r="BB54" s="2">
        <f t="shared" si="0"/>
        <v>508808656.71048135</v>
      </c>
      <c r="BC54" s="2">
        <v>0</v>
      </c>
      <c r="BD54" s="2">
        <v>0</v>
      </c>
      <c r="BE54" s="2">
        <f t="shared" si="9"/>
        <v>165556.92742359638</v>
      </c>
      <c r="BF54" s="2">
        <f t="shared" si="2"/>
        <v>496506.90296685696</v>
      </c>
      <c r="BG54" s="2">
        <f t="shared" si="3"/>
        <v>8808656.7104813457</v>
      </c>
      <c r="BH54" s="11">
        <f t="shared" si="4"/>
        <v>1.0181285934236395</v>
      </c>
      <c r="BI54" s="12">
        <f t="shared" si="5"/>
        <v>3.2548741444493601E-4</v>
      </c>
      <c r="BJ54" s="12">
        <f t="shared" si="6"/>
        <v>9.7677559577302731E-4</v>
      </c>
      <c r="BK54" s="12">
        <f t="shared" si="7"/>
        <v>1.8128593423639483E-2</v>
      </c>
      <c r="BL54" s="5">
        <f t="shared" si="8"/>
        <v>1.8128593423639483E-2</v>
      </c>
      <c r="BM54" s="19" t="s">
        <v>53</v>
      </c>
      <c r="BN54" s="19" t="s">
        <v>53</v>
      </c>
      <c r="BO54" s="19" t="s">
        <v>53</v>
      </c>
    </row>
    <row r="55" spans="1:67" s="2" customFormat="1" x14ac:dyDescent="0.25">
      <c r="A55" s="1">
        <v>45175</v>
      </c>
      <c r="B55" s="1" t="str">
        <f t="shared" si="1"/>
        <v>202309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f>N54*(1+((1+VLOOKUP($B55,'IPCA Hist'!$B:$C,2,0))^12 - 1)+$N$2)^(1/252)</f>
        <v>42794493.737935491</v>
      </c>
      <c r="O55" s="2">
        <f>O54*(1+((1+VLOOKUP($B55,'IPCA Hist'!$B:$C,2,0))^12 - 1)+$O$2)^(1/252)</f>
        <v>42812127.388581559</v>
      </c>
      <c r="P55" s="2">
        <f>P54*(1+((1+VLOOKUP($B55,'IPCA Hist'!$B:$C,2,0))^12 - 1)+$P$2)^(1/252)</f>
        <v>43072681.245135866</v>
      </c>
      <c r="Q55" s="2">
        <f>Q54*(1+((1+VLOOKUP($B55,'IPCA Hist'!$B:$C,2,0))^12 - 1)+$Q$2)^(1/252)</f>
        <v>43054919.903023235</v>
      </c>
      <c r="R55" s="2">
        <f>R54*(1+((1+VLOOKUP($B55,'IPCA Hist'!$B:$C,2,0))^12 - 1)+$R$2)^(1/252)</f>
        <v>43037157.849942043</v>
      </c>
      <c r="S55" s="2">
        <f>S54*(1+((1+VLOOKUP($B55,'IPCA Hist'!$B:$C,2,0))^12 - 1)+$S$2)^(1/252)</f>
        <v>44053206.684621207</v>
      </c>
      <c r="T55" s="2">
        <f>T54*(1+((1+VLOOKUP($B55,'IPCA Hist'!$B:$C,2,0))^12 - 1)+$T$2)^(1/252)</f>
        <v>222517562.82452464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f>AF54*(1+((1+VLOOKUP($B55,'IGPM Hist'!$B:$C,2,0))^12 - 1)+$AF$2)^(1/252)</f>
        <v>1609984.5720813524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f>BA54*(1+VLOOKUP(A55,'SELIC Hist'!$A:$C,3,0))^(1/252)</f>
        <v>26022134.083020251</v>
      </c>
      <c r="BB55" s="2">
        <f t="shared" si="0"/>
        <v>508974268.28886569</v>
      </c>
      <c r="BC55" s="2">
        <v>0</v>
      </c>
      <c r="BD55" s="2">
        <v>0</v>
      </c>
      <c r="BE55" s="2">
        <f t="shared" si="9"/>
        <v>165611.57838433981</v>
      </c>
      <c r="BF55" s="2">
        <f t="shared" si="2"/>
        <v>662118.48135119677</v>
      </c>
      <c r="BG55" s="2">
        <f t="shared" si="3"/>
        <v>8974268.2888656855</v>
      </c>
      <c r="BH55" s="11">
        <f t="shared" si="4"/>
        <v>1.0184599829963823</v>
      </c>
      <c r="BI55" s="12">
        <f t="shared" si="5"/>
        <v>3.2548891651140721E-4</v>
      </c>
      <c r="BJ55" s="12">
        <f t="shared" si="6"/>
        <v>1.3025824419148346E-3</v>
      </c>
      <c r="BK55" s="12">
        <f t="shared" si="7"/>
        <v>1.8459982996382296E-2</v>
      </c>
      <c r="BL55" s="5">
        <f t="shared" si="8"/>
        <v>1.8459982996382296E-2</v>
      </c>
      <c r="BM55" s="19" t="s">
        <v>53</v>
      </c>
      <c r="BN55" s="19" t="s">
        <v>53</v>
      </c>
      <c r="BO55" s="19" t="s">
        <v>53</v>
      </c>
    </row>
    <row r="56" spans="1:67" s="2" customFormat="1" x14ac:dyDescent="0.25">
      <c r="A56" s="1">
        <v>45177</v>
      </c>
      <c r="B56" s="1" t="str">
        <f t="shared" si="1"/>
        <v>202309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f>N55*(1+((1+VLOOKUP($B56,'IPCA Hist'!$B:$C,2,0))^12 - 1)+$N$2)^(1/252)</f>
        <v>42808340.460181132</v>
      </c>
      <c r="O56" s="2">
        <f>O55*(1+((1+VLOOKUP($B56,'IPCA Hist'!$B:$C,2,0))^12 - 1)+$O$2)^(1/252)</f>
        <v>42825964.151767567</v>
      </c>
      <c r="P56" s="2">
        <f>P55*(1+((1+VLOOKUP($B56,'IPCA Hist'!$B:$C,2,0))^12 - 1)+$P$2)^(1/252)</f>
        <v>43086349.861728705</v>
      </c>
      <c r="Q56" s="2">
        <f>Q55*(1+((1+VLOOKUP($B56,'IPCA Hist'!$B:$C,2,0))^12 - 1)+$Q$2)^(1/252)</f>
        <v>43068598.659930773</v>
      </c>
      <c r="R56" s="2">
        <f>R55*(1+((1+VLOOKUP($B56,'IPCA Hist'!$B:$C,2,0))^12 - 1)+$R$2)^(1/252)</f>
        <v>43050846.73247166</v>
      </c>
      <c r="S56" s="2">
        <f>S55*(1+((1+VLOOKUP($B56,'IPCA Hist'!$B:$C,2,0))^12 - 1)+$S$2)^(1/252)</f>
        <v>44067024.95317781</v>
      </c>
      <c r="T56" s="2">
        <f>T55*(1+((1+VLOOKUP($B56,'IPCA Hist'!$B:$C,2,0))^12 - 1)+$T$2)^(1/252)</f>
        <v>222587278.78965235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f>AF55*(1+((1+VLOOKUP($B56,'IGPM Hist'!$B:$C,2,0))^12 - 1)+$AF$2)^(1/252)</f>
        <v>1610636.2432532082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f>BA55*(1+VLOOKUP(A56,'SELIC Hist'!$A:$C,3,0))^(1/252)</f>
        <v>26034894.684450015</v>
      </c>
      <c r="BB56" s="2">
        <f t="shared" si="0"/>
        <v>509139934.53661323</v>
      </c>
      <c r="BC56" s="2">
        <v>0</v>
      </c>
      <c r="BD56" s="2">
        <v>0</v>
      </c>
      <c r="BE56" s="2">
        <f t="shared" si="9"/>
        <v>165666.24774754047</v>
      </c>
      <c r="BF56" s="2">
        <f t="shared" si="2"/>
        <v>827784.72909873724</v>
      </c>
      <c r="BG56" s="2">
        <f t="shared" si="3"/>
        <v>9139934.5366132259</v>
      </c>
      <c r="BH56" s="11">
        <f t="shared" si="4"/>
        <v>1.0187914819627863</v>
      </c>
      <c r="BI56" s="12">
        <f t="shared" si="5"/>
        <v>3.2549041880747254E-4</v>
      </c>
      <c r="BJ56" s="12">
        <f t="shared" si="6"/>
        <v>1.6284968388269316E-3</v>
      </c>
      <c r="BK56" s="12">
        <f t="shared" si="7"/>
        <v>1.8791481962786349E-2</v>
      </c>
      <c r="BL56" s="5">
        <f t="shared" si="8"/>
        <v>1.8791481962786349E-2</v>
      </c>
      <c r="BM56" s="19" t="s">
        <v>53</v>
      </c>
      <c r="BN56" s="19" t="s">
        <v>53</v>
      </c>
      <c r="BO56" s="19" t="s">
        <v>53</v>
      </c>
    </row>
    <row r="57" spans="1:67" s="2" customFormat="1" x14ac:dyDescent="0.25">
      <c r="A57" s="1">
        <v>45180</v>
      </c>
      <c r="B57" s="1" t="str">
        <f t="shared" si="1"/>
        <v>202309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f>N56*(1+((1+VLOOKUP($B57,'IPCA Hist'!$B:$C,2,0))^12 - 1)+$N$2)^(1/252)</f>
        <v>42822191.66271618</v>
      </c>
      <c r="O57" s="2">
        <f>O56*(1+((1+VLOOKUP($B57,'IPCA Hist'!$B:$C,2,0))^12 - 1)+$O$2)^(1/252)</f>
        <v>42839805.386957824</v>
      </c>
      <c r="P57" s="2">
        <f>P56*(1+((1+VLOOKUP($B57,'IPCA Hist'!$B:$C,2,0))^12 - 1)+$P$2)^(1/252)</f>
        <v>43100022.815898731</v>
      </c>
      <c r="Q57" s="2">
        <f>Q56*(1+((1+VLOOKUP($B57,'IPCA Hist'!$B:$C,2,0))^12 - 1)+$Q$2)^(1/252)</f>
        <v>43082281.762645736</v>
      </c>
      <c r="R57" s="2">
        <f>R56*(1+((1+VLOOKUP($B57,'IPCA Hist'!$B:$C,2,0))^12 - 1)+$R$2)^(1/252)</f>
        <v>43064539.969041236</v>
      </c>
      <c r="S57" s="2">
        <f>S56*(1+((1+VLOOKUP($B57,'IPCA Hist'!$B:$C,2,0))^12 - 1)+$S$2)^(1/252)</f>
        <v>44080847.556141831</v>
      </c>
      <c r="T57" s="2">
        <f>T56*(1+((1+VLOOKUP($B57,'IPCA Hist'!$B:$C,2,0))^12 - 1)+$T$2)^(1/252)</f>
        <v>222657016.59717187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f>AF56*(1+((1+VLOOKUP($B57,'IGPM Hist'!$B:$C,2,0))^12 - 1)+$AF$2)^(1/252)</f>
        <v>1611288.1782010801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f>BA56*(1+VLOOKUP(A57,'SELIC Hist'!$A:$C,3,0))^(1/252)</f>
        <v>26047661.543358445</v>
      </c>
      <c r="BB57" s="2">
        <f t="shared" si="0"/>
        <v>509305655.47213292</v>
      </c>
      <c r="BC57" s="2">
        <v>0</v>
      </c>
      <c r="BD57" s="2">
        <v>0</v>
      </c>
      <c r="BE57" s="2">
        <f t="shared" si="9"/>
        <v>165720.93551969528</v>
      </c>
      <c r="BF57" s="2">
        <f t="shared" si="2"/>
        <v>993505.66461843252</v>
      </c>
      <c r="BG57" s="2">
        <f t="shared" si="3"/>
        <v>9305655.4721329212</v>
      </c>
      <c r="BH57" s="11">
        <f t="shared" si="4"/>
        <v>1.0191230903596882</v>
      </c>
      <c r="BI57" s="12">
        <f t="shared" si="5"/>
        <v>3.2549192133313198E-4</v>
      </c>
      <c r="BJ57" s="12">
        <f t="shared" si="6"/>
        <v>1.9545188227250154E-3</v>
      </c>
      <c r="BK57" s="12">
        <f t="shared" si="7"/>
        <v>1.9123090359688177E-2</v>
      </c>
      <c r="BL57" s="5">
        <f t="shared" si="8"/>
        <v>1.9123090359688177E-2</v>
      </c>
      <c r="BM57" s="19" t="s">
        <v>53</v>
      </c>
      <c r="BN57" s="19" t="s">
        <v>53</v>
      </c>
      <c r="BO57" s="19" t="s">
        <v>53</v>
      </c>
    </row>
    <row r="58" spans="1:67" s="2" customFormat="1" x14ac:dyDescent="0.25">
      <c r="A58" s="1">
        <v>45181</v>
      </c>
      <c r="B58" s="1" t="str">
        <f t="shared" si="1"/>
        <v>202309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f>N57*(1+((1+VLOOKUP($B58,'IPCA Hist'!$B:$C,2,0))^12 - 1)+$N$2)^(1/252)</f>
        <v>42836047.346990287</v>
      </c>
      <c r="O58" s="2">
        <f>O57*(1+((1+VLOOKUP($B58,'IPCA Hist'!$B:$C,2,0))^12 - 1)+$O$2)^(1/252)</f>
        <v>42853651.095597662</v>
      </c>
      <c r="P58" s="2">
        <f>P57*(1+((1+VLOOKUP($B58,'IPCA Hist'!$B:$C,2,0))^12 - 1)+$P$2)^(1/252)</f>
        <v>43113700.109022431</v>
      </c>
      <c r="Q58" s="2">
        <f>Q57*(1+((1+VLOOKUP($B58,'IPCA Hist'!$B:$C,2,0))^12 - 1)+$Q$2)^(1/252)</f>
        <v>43095969.212548807</v>
      </c>
      <c r="R58" s="2">
        <f>R57*(1+((1+VLOOKUP($B58,'IPCA Hist'!$B:$C,2,0))^12 - 1)+$R$2)^(1/252)</f>
        <v>43078237.561035663</v>
      </c>
      <c r="S58" s="2">
        <f>S57*(1+((1+VLOOKUP($B58,'IPCA Hist'!$B:$C,2,0))^12 - 1)+$S$2)^(1/252)</f>
        <v>44094674.494872853</v>
      </c>
      <c r="T58" s="2">
        <f>T57*(1+((1+VLOOKUP($B58,'IPCA Hist'!$B:$C,2,0))^12 - 1)+$T$2)^(1/252)</f>
        <v>222726776.25392655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f>AF57*(1+((1+VLOOKUP($B58,'IGPM Hist'!$B:$C,2,0))^12 - 1)+$AF$2)^(1/252)</f>
        <v>1611940.3770317361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f>BA57*(1+VLOOKUP(A58,'SELIC Hist'!$A:$C,3,0))^(1/252)</f>
        <v>26060434.662814051</v>
      </c>
      <c r="BB58" s="2">
        <f t="shared" si="0"/>
        <v>509471431.1138401</v>
      </c>
      <c r="BC58" s="2">
        <v>0</v>
      </c>
      <c r="BD58" s="2">
        <v>0</v>
      </c>
      <c r="BE58" s="2">
        <f t="shared" si="9"/>
        <v>165775.64170718193</v>
      </c>
      <c r="BF58" s="2">
        <f t="shared" si="2"/>
        <v>1159281.3063256145</v>
      </c>
      <c r="BG58" s="2">
        <f t="shared" si="3"/>
        <v>9471431.1138401031</v>
      </c>
      <c r="BH58" s="11">
        <f t="shared" si="4"/>
        <v>1.019454808223937</v>
      </c>
      <c r="BI58" s="12">
        <f t="shared" si="5"/>
        <v>3.2549342408838555E-4</v>
      </c>
      <c r="BJ58" s="12">
        <f t="shared" si="6"/>
        <v>2.2806484298374397E-3</v>
      </c>
      <c r="BK58" s="12">
        <f t="shared" si="7"/>
        <v>1.945480822393697E-2</v>
      </c>
      <c r="BL58" s="5">
        <f t="shared" si="8"/>
        <v>1.945480822393697E-2</v>
      </c>
      <c r="BM58" s="19" t="s">
        <v>53</v>
      </c>
      <c r="BN58" s="19" t="s">
        <v>53</v>
      </c>
      <c r="BO58" s="19" t="s">
        <v>53</v>
      </c>
    </row>
    <row r="59" spans="1:67" s="2" customFormat="1" x14ac:dyDescent="0.25">
      <c r="A59" s="1">
        <v>45182</v>
      </c>
      <c r="B59" s="1" t="str">
        <f t="shared" si="1"/>
        <v>202309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f>N58*(1+((1+VLOOKUP($B59,'IPCA Hist'!$B:$C,2,0))^12 - 1)+$N$2)^(1/252)</f>
        <v>42849907.51445359</v>
      </c>
      <c r="O59" s="2">
        <f>O58*(1+((1+VLOOKUP($B59,'IPCA Hist'!$B:$C,2,0))^12 - 1)+$O$2)^(1/252)</f>
        <v>42867501.279132895</v>
      </c>
      <c r="P59" s="2">
        <f>P58*(1+((1+VLOOKUP($B59,'IPCA Hist'!$B:$C,2,0))^12 - 1)+$P$2)^(1/252)</f>
        <v>43127381.742476709</v>
      </c>
      <c r="Q59" s="2">
        <f>Q58*(1+((1+VLOOKUP($B59,'IPCA Hist'!$B:$C,2,0))^12 - 1)+$Q$2)^(1/252)</f>
        <v>43109661.011021107</v>
      </c>
      <c r="R59" s="2">
        <f>R58*(1+((1+VLOOKUP($B59,'IPCA Hist'!$B:$C,2,0))^12 - 1)+$R$2)^(1/252)</f>
        <v>43091939.509840272</v>
      </c>
      <c r="S59" s="2">
        <f>S58*(1+((1+VLOOKUP($B59,'IPCA Hist'!$B:$C,2,0))^12 - 1)+$S$2)^(1/252)</f>
        <v>44108505.77073089</v>
      </c>
      <c r="T59" s="2">
        <f>T58*(1+((1+VLOOKUP($B59,'IPCA Hist'!$B:$C,2,0))^12 - 1)+$T$2)^(1/252)</f>
        <v>222796557.76676187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f>AF58*(1+((1+VLOOKUP($B59,'IGPM Hist'!$B:$C,2,0))^12 - 1)+$AF$2)^(1/252)</f>
        <v>1612592.8398519878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f>BA58*(1+VLOOKUP(A59,'SELIC Hist'!$A:$C,3,0))^(1/252)</f>
        <v>26073214.045886848</v>
      </c>
      <c r="BB59" s="2">
        <f t="shared" si="0"/>
        <v>509637261.48015618</v>
      </c>
      <c r="BC59" s="2">
        <v>0</v>
      </c>
      <c r="BD59" s="2">
        <v>0</v>
      </c>
      <c r="BE59" s="2">
        <f t="shared" si="9"/>
        <v>165830.36631608009</v>
      </c>
      <c r="BF59" s="2">
        <f t="shared" si="2"/>
        <v>1325111.6726416945</v>
      </c>
      <c r="BG59" s="2">
        <f t="shared" si="3"/>
        <v>9637261.4801561832</v>
      </c>
      <c r="BH59" s="11">
        <f t="shared" si="4"/>
        <v>1.0197866355923939</v>
      </c>
      <c r="BI59" s="12">
        <f t="shared" si="5"/>
        <v>3.2549492707278915E-4</v>
      </c>
      <c r="BJ59" s="12">
        <f t="shared" si="6"/>
        <v>2.6068856964045484E-3</v>
      </c>
      <c r="BK59" s="12">
        <f t="shared" si="7"/>
        <v>1.9786635592393909E-2</v>
      </c>
      <c r="BL59" s="5">
        <f t="shared" si="8"/>
        <v>1.9786635592393909E-2</v>
      </c>
      <c r="BM59" s="19" t="s">
        <v>53</v>
      </c>
      <c r="BN59" s="19" t="s">
        <v>53</v>
      </c>
      <c r="BO59" s="19" t="s">
        <v>53</v>
      </c>
    </row>
    <row r="60" spans="1:67" s="2" customFormat="1" x14ac:dyDescent="0.25">
      <c r="A60" s="1">
        <v>45183</v>
      </c>
      <c r="B60" s="1" t="str">
        <f t="shared" si="1"/>
        <v>202309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>N59*(1+((1+VLOOKUP($B60,'IPCA Hist'!$B:$C,2,0))^12 - 1)+$N$2)^(1/252)</f>
        <v>42863772.166556671</v>
      </c>
      <c r="O60" s="2">
        <f>O59*(1+((1+VLOOKUP($B60,'IPCA Hist'!$B:$C,2,0))^12 - 1)+$O$2)^(1/252)</f>
        <v>42881355.939009793</v>
      </c>
      <c r="P60" s="2">
        <f>P59*(1+((1+VLOOKUP($B60,'IPCA Hist'!$B:$C,2,0))^12 - 1)+$P$2)^(1/252)</f>
        <v>43141067.717638925</v>
      </c>
      <c r="Q60" s="2">
        <f>Q59*(1+((1+VLOOKUP($B60,'IPCA Hist'!$B:$C,2,0))^12 - 1)+$Q$2)^(1/252)</f>
        <v>43123357.159444198</v>
      </c>
      <c r="R60" s="2">
        <f>R59*(1+((1+VLOOKUP($B60,'IPCA Hist'!$B:$C,2,0))^12 - 1)+$R$2)^(1/252)</f>
        <v>43105645.81684085</v>
      </c>
      <c r="S60" s="2">
        <f>S59*(1+((1+VLOOKUP($B60,'IPCA Hist'!$B:$C,2,0))^12 - 1)+$S$2)^(1/252)</f>
        <v>44122341.385076374</v>
      </c>
      <c r="T60" s="2">
        <f>T59*(1+((1+VLOOKUP($B60,'IPCA Hist'!$B:$C,2,0))^12 - 1)+$T$2)^(1/252)</f>
        <v>222866361.14252546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f>AF59*(1+((1+VLOOKUP($B60,'IGPM Hist'!$B:$C,2,0))^12 - 1)+$AF$2)^(1/252)</f>
        <v>1613245.56676869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f>BA59*(1+VLOOKUP(A60,'SELIC Hist'!$A:$C,3,0))^(1/252)</f>
        <v>26085999.695648357</v>
      </c>
      <c r="BB60" s="2">
        <f t="shared" si="0"/>
        <v>509803146.58950937</v>
      </c>
      <c r="BC60" s="2">
        <v>0</v>
      </c>
      <c r="BD60" s="2">
        <v>0</v>
      </c>
      <c r="BE60" s="2">
        <f t="shared" si="9"/>
        <v>165885.1093531847</v>
      </c>
      <c r="BF60" s="2">
        <f t="shared" si="2"/>
        <v>1490996.7819948792</v>
      </c>
      <c r="BG60" s="2">
        <f t="shared" si="3"/>
        <v>9803146.5895093679</v>
      </c>
      <c r="BH60" s="11">
        <f t="shared" si="4"/>
        <v>1.0201185725019339</v>
      </c>
      <c r="BI60" s="12">
        <f t="shared" si="5"/>
        <v>3.2549643028723096E-4</v>
      </c>
      <c r="BJ60" s="12">
        <f t="shared" si="6"/>
        <v>2.9332306586802304E-3</v>
      </c>
      <c r="BK60" s="12">
        <f t="shared" si="7"/>
        <v>2.011857250193394E-2</v>
      </c>
      <c r="BL60" s="5">
        <f t="shared" si="8"/>
        <v>2.011857250193394E-2</v>
      </c>
      <c r="BM60" s="19" t="s">
        <v>53</v>
      </c>
      <c r="BN60" s="19" t="s">
        <v>53</v>
      </c>
      <c r="BO60" s="19" t="s">
        <v>53</v>
      </c>
    </row>
    <row r="61" spans="1:67" s="2" customFormat="1" x14ac:dyDescent="0.25">
      <c r="A61" s="1">
        <v>45184</v>
      </c>
      <c r="B61" s="1" t="str">
        <f t="shared" si="1"/>
        <v>202309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f>N60*(1+((1+VLOOKUP($B61,'IPCA Hist'!$B:$C,2,0))^12 - 1)+$N$2)^(1/252)</f>
        <v>42877641.304750606</v>
      </c>
      <c r="O61" s="2">
        <f>O60*(1+((1+VLOOKUP($B61,'IPCA Hist'!$B:$C,2,0))^12 - 1)+$O$2)^(1/252)</f>
        <v>42895215.076675102</v>
      </c>
      <c r="P61" s="2">
        <f>P60*(1+((1+VLOOKUP($B61,'IPCA Hist'!$B:$C,2,0))^12 - 1)+$P$2)^(1/252)</f>
        <v>43154758.035886869</v>
      </c>
      <c r="Q61" s="2">
        <f>Q60*(1+((1+VLOOKUP($B61,'IPCA Hist'!$B:$C,2,0))^12 - 1)+$Q$2)^(1/252)</f>
        <v>43137057.65920008</v>
      </c>
      <c r="R61" s="2">
        <f>R60*(1+((1+VLOOKUP($B61,'IPCA Hist'!$B:$C,2,0))^12 - 1)+$R$2)^(1/252)</f>
        <v>43119356.483423606</v>
      </c>
      <c r="S61" s="2">
        <f>S60*(1+((1+VLOOKUP($B61,'IPCA Hist'!$B:$C,2,0))^12 - 1)+$S$2)^(1/252)</f>
        <v>44136181.339270167</v>
      </c>
      <c r="T61" s="2">
        <f>T60*(1+((1+VLOOKUP($B61,'IPCA Hist'!$B:$C,2,0))^12 - 1)+$T$2)^(1/252)</f>
        <v>222936186.3880671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f>AF60*(1+((1+VLOOKUP($B61,'IGPM Hist'!$B:$C,2,0))^12 - 1)+$AF$2)^(1/252)</f>
        <v>1613898.5578887404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f>BA60*(1+VLOOKUP(A61,'SELIC Hist'!$A:$C,3,0))^(1/252)</f>
        <v>26098791.615171604</v>
      </c>
      <c r="BB61" s="2">
        <f t="shared" si="0"/>
        <v>509969086.46033388</v>
      </c>
      <c r="BC61" s="2">
        <v>0</v>
      </c>
      <c r="BD61" s="2">
        <v>0</v>
      </c>
      <c r="BE61" s="2">
        <f t="shared" si="9"/>
        <v>165939.87082451582</v>
      </c>
      <c r="BF61" s="2">
        <f t="shared" si="2"/>
        <v>1656936.6528193951</v>
      </c>
      <c r="BG61" s="2">
        <f t="shared" si="3"/>
        <v>9969086.4603338838</v>
      </c>
      <c r="BH61" s="11">
        <f t="shared" si="4"/>
        <v>1.020450618989444</v>
      </c>
      <c r="BI61" s="12">
        <f t="shared" si="5"/>
        <v>3.2549793373104485E-4</v>
      </c>
      <c r="BJ61" s="12">
        <f t="shared" si="6"/>
        <v>3.2596833529299207E-3</v>
      </c>
      <c r="BK61" s="12">
        <f t="shared" si="7"/>
        <v>2.0450618989444003E-2</v>
      </c>
      <c r="BL61" s="5">
        <f t="shared" si="8"/>
        <v>2.0450618989444003E-2</v>
      </c>
      <c r="BM61" s="19" t="s">
        <v>53</v>
      </c>
      <c r="BN61" s="19" t="s">
        <v>53</v>
      </c>
      <c r="BO61" s="19" t="s">
        <v>53</v>
      </c>
    </row>
    <row r="62" spans="1:67" s="2" customFormat="1" x14ac:dyDescent="0.25">
      <c r="A62" s="1">
        <v>45187</v>
      </c>
      <c r="B62" s="1" t="str">
        <f t="shared" si="1"/>
        <v>202309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f>N61*(1+((1+VLOOKUP($B62,'IPCA Hist'!$B:$C,2,0))^12 - 1)+$N$2)^(1/252)</f>
        <v>42891514.930486917</v>
      </c>
      <c r="O62" s="2">
        <f>O61*(1+((1+VLOOKUP($B62,'IPCA Hist'!$B:$C,2,0))^12 - 1)+$O$2)^(1/252)</f>
        <v>42909078.693576023</v>
      </c>
      <c r="P62" s="2">
        <f>P61*(1+((1+VLOOKUP($B62,'IPCA Hist'!$B:$C,2,0))^12 - 1)+$P$2)^(1/252)</f>
        <v>43168452.698598772</v>
      </c>
      <c r="Q62" s="2">
        <f>Q61*(1+((1+VLOOKUP($B62,'IPCA Hist'!$B:$C,2,0))^12 - 1)+$Q$2)^(1/252)</f>
        <v>43150762.511671193</v>
      </c>
      <c r="R62" s="2">
        <f>R61*(1+((1+VLOOKUP($B62,'IPCA Hist'!$B:$C,2,0))^12 - 1)+$R$2)^(1/252)</f>
        <v>43133071.510975197</v>
      </c>
      <c r="S62" s="2">
        <f>S61*(1+((1+VLOOKUP($B62,'IPCA Hist'!$B:$C,2,0))^12 - 1)+$S$2)^(1/252)</f>
        <v>44150025.634673566</v>
      </c>
      <c r="T62" s="2">
        <f>T61*(1+((1+VLOOKUP($B62,'IPCA Hist'!$B:$C,2,0))^12 - 1)+$T$2)^(1/252)</f>
        <v>223006033.51023871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f>AF61*(1+((1+VLOOKUP($B62,'IGPM Hist'!$B:$C,2,0))^12 - 1)+$AF$2)^(1/252)</f>
        <v>1614551.8133190805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f>BA61*(1+VLOOKUP(A62,'SELIC Hist'!$A:$C,3,0))^(1/252)</f>
        <v>26111589.807531122</v>
      </c>
      <c r="BB62" s="2">
        <f t="shared" si="0"/>
        <v>510135081.11107063</v>
      </c>
      <c r="BC62" s="2">
        <v>0</v>
      </c>
      <c r="BD62" s="2">
        <v>0</v>
      </c>
      <c r="BE62" s="2">
        <f t="shared" si="9"/>
        <v>165994.65073674917</v>
      </c>
      <c r="BF62" s="2">
        <f t="shared" si="2"/>
        <v>1822931.3035561442</v>
      </c>
      <c r="BG62" s="2">
        <f t="shared" si="3"/>
        <v>10135081.111070633</v>
      </c>
      <c r="BH62" s="11">
        <f t="shared" si="4"/>
        <v>1.0207827750918246</v>
      </c>
      <c r="BI62" s="12">
        <f t="shared" si="5"/>
        <v>3.2549943740489695E-4</v>
      </c>
      <c r="BJ62" s="12">
        <f t="shared" si="6"/>
        <v>3.5862438154323772E-3</v>
      </c>
      <c r="BK62" s="12">
        <f t="shared" si="7"/>
        <v>2.0782775091824579E-2</v>
      </c>
      <c r="BL62" s="5">
        <f t="shared" si="8"/>
        <v>2.0782775091824579E-2</v>
      </c>
      <c r="BM62" s="19" t="s">
        <v>53</v>
      </c>
      <c r="BN62" s="19" t="s">
        <v>53</v>
      </c>
      <c r="BO62" s="19" t="s">
        <v>53</v>
      </c>
    </row>
    <row r="63" spans="1:67" s="2" customFormat="1" x14ac:dyDescent="0.25">
      <c r="A63" s="1">
        <v>45188</v>
      </c>
      <c r="B63" s="1" t="str">
        <f t="shared" si="1"/>
        <v>202309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f>N62*(1+((1+VLOOKUP($B63,'IPCA Hist'!$B:$C,2,0))^12 - 1)+$N$2)^(1/252)</f>
        <v>42905393.045217618</v>
      </c>
      <c r="O63" s="2">
        <f>O62*(1+((1+VLOOKUP($B63,'IPCA Hist'!$B:$C,2,0))^12 - 1)+$O$2)^(1/252)</f>
        <v>42922946.791160241</v>
      </c>
      <c r="P63" s="2">
        <f>P62*(1+((1+VLOOKUP($B63,'IPCA Hist'!$B:$C,2,0))^12 - 1)+$P$2)^(1/252)</f>
        <v>43182151.707153298</v>
      </c>
      <c r="Q63" s="2">
        <f>Q62*(1+((1+VLOOKUP($B63,'IPCA Hist'!$B:$C,2,0))^12 - 1)+$Q$2)^(1/252)</f>
        <v>43164471.718240418</v>
      </c>
      <c r="R63" s="2">
        <f>R62*(1+((1+VLOOKUP($B63,'IPCA Hist'!$B:$C,2,0))^12 - 1)+$R$2)^(1/252)</f>
        <v>43146790.900882728</v>
      </c>
      <c r="S63" s="2">
        <f>S62*(1+((1+VLOOKUP($B63,'IPCA Hist'!$B:$C,2,0))^12 - 1)+$S$2)^(1/252)</f>
        <v>44163874.272648282</v>
      </c>
      <c r="T63" s="2">
        <f>T62*(1+((1+VLOOKUP($B63,'IPCA Hist'!$B:$C,2,0))^12 - 1)+$T$2)^(1/252)</f>
        <v>223075902.51589435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f>AF62*(1+((1+VLOOKUP($B63,'IGPM Hist'!$B:$C,2,0))^12 - 1)+$AF$2)^(1/252)</f>
        <v>1615205.3331666947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f>BA62*(1+VLOOKUP(A63,'SELIC Hist'!$A:$C,3,0))^(1/252)</f>
        <v>26124394.275802955</v>
      </c>
      <c r="BB63" s="2">
        <f t="shared" si="0"/>
        <v>510301130.5601666</v>
      </c>
      <c r="BC63" s="2">
        <v>0</v>
      </c>
      <c r="BD63" s="2">
        <v>0</v>
      </c>
      <c r="BE63" s="2">
        <f t="shared" si="9"/>
        <v>166049.44909596443</v>
      </c>
      <c r="BF63" s="2">
        <f t="shared" si="2"/>
        <v>1988980.7526521087</v>
      </c>
      <c r="BG63" s="2">
        <f t="shared" si="3"/>
        <v>10301130.560166597</v>
      </c>
      <c r="BH63" s="11">
        <f t="shared" si="4"/>
        <v>1.0211150408459881</v>
      </c>
      <c r="BI63" s="12">
        <f t="shared" si="5"/>
        <v>3.2550094130812113E-4</v>
      </c>
      <c r="BJ63" s="12">
        <f t="shared" si="6"/>
        <v>3.9129120824781261E-3</v>
      </c>
      <c r="BK63" s="12">
        <f t="shared" si="7"/>
        <v>2.1115040845988142E-2</v>
      </c>
      <c r="BL63" s="5">
        <f t="shared" si="8"/>
        <v>2.1115040845988142E-2</v>
      </c>
      <c r="BM63" s="19" t="s">
        <v>53</v>
      </c>
      <c r="BN63" s="19" t="s">
        <v>53</v>
      </c>
      <c r="BO63" s="19" t="s">
        <v>53</v>
      </c>
    </row>
    <row r="64" spans="1:67" s="2" customFormat="1" x14ac:dyDescent="0.25">
      <c r="A64" s="1">
        <v>45189</v>
      </c>
      <c r="B64" s="1" t="str">
        <f t="shared" si="1"/>
        <v>202309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f>N63*(1+((1+VLOOKUP($B64,'IPCA Hist'!$B:$C,2,0))^12 - 1)+$N$2)^(1/252)</f>
        <v>42919275.650395177</v>
      </c>
      <c r="O64" s="2">
        <f>O63*(1+((1+VLOOKUP($B64,'IPCA Hist'!$B:$C,2,0))^12 - 1)+$O$2)^(1/252)</f>
        <v>42936819.370875895</v>
      </c>
      <c r="P64" s="2">
        <f>P63*(1+((1+VLOOKUP($B64,'IPCA Hist'!$B:$C,2,0))^12 - 1)+$P$2)^(1/252)</f>
        <v>43195855.062929548</v>
      </c>
      <c r="Q64" s="2">
        <f>Q63*(1+((1+VLOOKUP($B64,'IPCA Hist'!$B:$C,2,0))^12 - 1)+$Q$2)^(1/252)</f>
        <v>43178185.280291073</v>
      </c>
      <c r="R64" s="2">
        <f>R63*(1+((1+VLOOKUP($B64,'IPCA Hist'!$B:$C,2,0))^12 - 1)+$R$2)^(1/252)</f>
        <v>43160514.654533736</v>
      </c>
      <c r="S64" s="2">
        <f>S63*(1+((1+VLOOKUP($B64,'IPCA Hist'!$B:$C,2,0))^12 - 1)+$S$2)^(1/252)</f>
        <v>44177727.254556462</v>
      </c>
      <c r="T64" s="2">
        <f>T63*(1+((1+VLOOKUP($B64,'IPCA Hist'!$B:$C,2,0))^12 - 1)+$T$2)^(1/252)</f>
        <v>223145793.41189024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f>AF63*(1+((1+VLOOKUP($B64,'IGPM Hist'!$B:$C,2,0))^12 - 1)+$AF$2)^(1/252)</f>
        <v>1615859.1175386107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f>BA63*(1+VLOOKUP(A64,'SELIC Hist'!$A:$C,3,0))^(1/252)</f>
        <v>26136745.685926974</v>
      </c>
      <c r="BB64" s="2">
        <f t="shared" si="0"/>
        <v>510466775.48893774</v>
      </c>
      <c r="BC64" s="2">
        <v>0</v>
      </c>
      <c r="BD64" s="2">
        <v>0</v>
      </c>
      <c r="BE64" s="2">
        <f t="shared" si="9"/>
        <v>165644.92877113819</v>
      </c>
      <c r="BF64" s="2">
        <f t="shared" si="2"/>
        <v>2154625.6814232469</v>
      </c>
      <c r="BG64" s="2">
        <f t="shared" si="3"/>
        <v>10466775.488937736</v>
      </c>
      <c r="BH64" s="11">
        <f t="shared" si="4"/>
        <v>1.0214464971530171</v>
      </c>
      <c r="BI64" s="12">
        <f t="shared" si="5"/>
        <v>3.2460231587050359E-4</v>
      </c>
      <c r="BJ64" s="12">
        <f t="shared" si="6"/>
        <v>4.2387845386724354E-3</v>
      </c>
      <c r="BK64" s="12">
        <f t="shared" si="7"/>
        <v>2.1446497153017052E-2</v>
      </c>
      <c r="BL64" s="5">
        <f t="shared" si="8"/>
        <v>2.1446497153017052E-2</v>
      </c>
      <c r="BM64" s="19" t="s">
        <v>53</v>
      </c>
      <c r="BN64" s="19" t="s">
        <v>53</v>
      </c>
      <c r="BO64" s="19" t="s">
        <v>53</v>
      </c>
    </row>
    <row r="65" spans="1:67" s="2" customFormat="1" x14ac:dyDescent="0.25">
      <c r="A65" s="1">
        <v>45190</v>
      </c>
      <c r="B65" s="1" t="str">
        <f t="shared" si="1"/>
        <v>202309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f>N64*(1+((1+VLOOKUP($B65,'IPCA Hist'!$B:$C,2,0))^12 - 1)+$N$2)^(1/252)</f>
        <v>42933162.74747254</v>
      </c>
      <c r="O65" s="2">
        <f>O64*(1+((1+VLOOKUP($B65,'IPCA Hist'!$B:$C,2,0))^12 - 1)+$O$2)^(1/252)</f>
        <v>42950696.434171602</v>
      </c>
      <c r="P65" s="2">
        <f>P64*(1+((1+VLOOKUP($B65,'IPCA Hist'!$B:$C,2,0))^12 - 1)+$P$2)^(1/252)</f>
        <v>43209562.767307058</v>
      </c>
      <c r="Q65" s="2">
        <f>Q64*(1+((1+VLOOKUP($B65,'IPCA Hist'!$B:$C,2,0))^12 - 1)+$Q$2)^(1/252)</f>
        <v>43191903.199206911</v>
      </c>
      <c r="R65" s="2">
        <f>R64*(1+((1+VLOOKUP($B65,'IPCA Hist'!$B:$C,2,0))^12 - 1)+$R$2)^(1/252)</f>
        <v>43174242.773316197</v>
      </c>
      <c r="S65" s="2">
        <f>S64*(1+((1+VLOOKUP($B65,'IPCA Hist'!$B:$C,2,0))^12 - 1)+$S$2)^(1/252)</f>
        <v>44191584.581760675</v>
      </c>
      <c r="T65" s="2">
        <f>T64*(1+((1+VLOOKUP($B65,'IPCA Hist'!$B:$C,2,0))^12 - 1)+$T$2)^(1/252)</f>
        <v>223215706.20508474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f>AF64*(1+((1+VLOOKUP($B65,'IGPM Hist'!$B:$C,2,0))^12 - 1)+$AF$2)^(1/252)</f>
        <v>1616513.1665418996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f>BA64*(1+VLOOKUP(A65,'SELIC Hist'!$A:$C,3,0))^(1/252)</f>
        <v>26149102.935701493</v>
      </c>
      <c r="BB65" s="2">
        <f t="shared" si="0"/>
        <v>510632474.81056309</v>
      </c>
      <c r="BC65" s="2">
        <v>0</v>
      </c>
      <c r="BD65" s="2">
        <v>0</v>
      </c>
      <c r="BE65" s="2">
        <f t="shared" si="9"/>
        <v>165699.32162535191</v>
      </c>
      <c r="BF65" s="2">
        <f t="shared" si="2"/>
        <v>2320325.0030485988</v>
      </c>
      <c r="BG65" s="2">
        <f t="shared" si="3"/>
        <v>10632474.810563087</v>
      </c>
      <c r="BH65" s="11">
        <f t="shared" si="4"/>
        <v>1.0217780623004113</v>
      </c>
      <c r="BI65" s="12">
        <f t="shared" si="5"/>
        <v>3.2460353852936663E-4</v>
      </c>
      <c r="BJ65" s="12">
        <f t="shared" si="6"/>
        <v>4.5647640016621693E-3</v>
      </c>
      <c r="BK65" s="12">
        <f t="shared" si="7"/>
        <v>2.1778062300411349E-2</v>
      </c>
      <c r="BL65" s="5">
        <f t="shared" si="8"/>
        <v>2.1778062300411349E-2</v>
      </c>
      <c r="BM65" s="19" t="s">
        <v>53</v>
      </c>
      <c r="BN65" s="19" t="s">
        <v>53</v>
      </c>
      <c r="BO65" s="19" t="s">
        <v>53</v>
      </c>
    </row>
    <row r="66" spans="1:67" s="2" customFormat="1" x14ac:dyDescent="0.25">
      <c r="A66" s="1">
        <v>45191</v>
      </c>
      <c r="B66" s="1" t="str">
        <f t="shared" si="1"/>
        <v>202309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f>N65*(1+((1+VLOOKUP($B66,'IPCA Hist'!$B:$C,2,0))^12 - 1)+$N$2)^(1/252)</f>
        <v>42947054.337903112</v>
      </c>
      <c r="O66" s="2">
        <f>O65*(1+((1+VLOOKUP($B66,'IPCA Hist'!$B:$C,2,0))^12 - 1)+$O$2)^(1/252)</f>
        <v>42964577.98249644</v>
      </c>
      <c r="P66" s="2">
        <f>P65*(1+((1+VLOOKUP($B66,'IPCA Hist'!$B:$C,2,0))^12 - 1)+$P$2)^(1/252)</f>
        <v>43223274.821665816</v>
      </c>
      <c r="Q66" s="2">
        <f>Q65*(1+((1+VLOOKUP($B66,'IPCA Hist'!$B:$C,2,0))^12 - 1)+$Q$2)^(1/252)</f>
        <v>43205625.476372138</v>
      </c>
      <c r="R66" s="2">
        <f>R65*(1+((1+VLOOKUP($B66,'IPCA Hist'!$B:$C,2,0))^12 - 1)+$R$2)^(1/252)</f>
        <v>43187975.258618541</v>
      </c>
      <c r="S66" s="2">
        <f>S65*(1+((1+VLOOKUP($B66,'IPCA Hist'!$B:$C,2,0))^12 - 1)+$S$2)^(1/252)</f>
        <v>44205446.255623922</v>
      </c>
      <c r="T66" s="2">
        <f>T65*(1+((1+VLOOKUP($B66,'IPCA Hist'!$B:$C,2,0))^12 - 1)+$T$2)^(1/252)</f>
        <v>223285640.90233836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f>AF65*(1+((1+VLOOKUP($B66,'IGPM Hist'!$B:$C,2,0))^12 - 1)+$AF$2)^(1/252)</f>
        <v>1617167.4802836759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f>BA65*(1+VLOOKUP(A66,'SELIC Hist'!$A:$C,3,0))^(1/252)</f>
        <v>26161466.027887452</v>
      </c>
      <c r="BB66" s="2">
        <f t="shared" si="0"/>
        <v>510798228.54318947</v>
      </c>
      <c r="BC66" s="2">
        <v>0</v>
      </c>
      <c r="BD66" s="2">
        <v>0</v>
      </c>
      <c r="BE66" s="2">
        <f t="shared" si="9"/>
        <v>165753.73262637854</v>
      </c>
      <c r="BF66" s="2">
        <f t="shared" si="2"/>
        <v>2486078.7356749773</v>
      </c>
      <c r="BG66" s="2">
        <f t="shared" si="3"/>
        <v>10798228.543189466</v>
      </c>
      <c r="BH66" s="11">
        <f t="shared" si="4"/>
        <v>1.0221097363244829</v>
      </c>
      <c r="BI66" s="12">
        <f t="shared" si="5"/>
        <v>3.2460476135565131E-4</v>
      </c>
      <c r="BJ66" s="12">
        <f t="shared" si="6"/>
        <v>4.8908505071472153E-3</v>
      </c>
      <c r="BK66" s="12">
        <f t="shared" si="7"/>
        <v>2.2109736324482876E-2</v>
      </c>
      <c r="BL66" s="5">
        <f t="shared" si="8"/>
        <v>2.2109736324482876E-2</v>
      </c>
      <c r="BM66" s="19" t="s">
        <v>53</v>
      </c>
      <c r="BN66" s="19" t="s">
        <v>53</v>
      </c>
      <c r="BO66" s="19" t="s">
        <v>53</v>
      </c>
    </row>
    <row r="67" spans="1:67" s="2" customFormat="1" x14ac:dyDescent="0.25">
      <c r="A67" s="1">
        <v>45194</v>
      </c>
      <c r="B67" s="1" t="str">
        <f t="shared" si="1"/>
        <v>202309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f>N66*(1+((1+VLOOKUP($B67,'IPCA Hist'!$B:$C,2,0))^12 - 1)+$N$2)^(1/252)</f>
        <v>42960950.423140787</v>
      </c>
      <c r="O67" s="2">
        <f>O66*(1+((1+VLOOKUP($B67,'IPCA Hist'!$B:$C,2,0))^12 - 1)+$O$2)^(1/252)</f>
        <v>42978464.017299958</v>
      </c>
      <c r="P67" s="2">
        <f>P66*(1+((1+VLOOKUP($B67,'IPCA Hist'!$B:$C,2,0))^12 - 1)+$P$2)^(1/252)</f>
        <v>43236991.227386229</v>
      </c>
      <c r="Q67" s="2">
        <f>Q66*(1+((1+VLOOKUP($B67,'IPCA Hist'!$B:$C,2,0))^12 - 1)+$Q$2)^(1/252)</f>
        <v>43219352.113171384</v>
      </c>
      <c r="R67" s="2">
        <f>R66*(1+((1+VLOOKUP($B67,'IPCA Hist'!$B:$C,2,0))^12 - 1)+$R$2)^(1/252)</f>
        <v>43201712.111829631</v>
      </c>
      <c r="S67" s="2">
        <f>S66*(1+((1+VLOOKUP($B67,'IPCA Hist'!$B:$C,2,0))^12 - 1)+$S$2)^(1/252)</f>
        <v>44219312.27750963</v>
      </c>
      <c r="T67" s="2">
        <f>T66*(1+((1+VLOOKUP($B67,'IPCA Hist'!$B:$C,2,0))^12 - 1)+$T$2)^(1/252)</f>
        <v>223355597.51051375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f>AF66*(1+((1+VLOOKUP($B67,'IGPM Hist'!$B:$C,2,0))^12 - 1)+$AF$2)^(1/252)</f>
        <v>1617822.0588710976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f>BA66*(1+VLOOKUP(A67,'SELIC Hist'!$A:$C,3,0))^(1/252)</f>
        <v>26173834.965247098</v>
      </c>
      <c r="BB67" s="2">
        <f t="shared" ref="BB67:BB130" si="10">SUM(C67:BA67)</f>
        <v>510964036.70496953</v>
      </c>
      <c r="BC67" s="2">
        <v>0</v>
      </c>
      <c r="BD67" s="2">
        <v>0</v>
      </c>
      <c r="BE67" s="2">
        <f t="shared" si="9"/>
        <v>165808.16178005934</v>
      </c>
      <c r="BF67" s="2">
        <f t="shared" si="2"/>
        <v>2651886.8974550366</v>
      </c>
      <c r="BG67" s="2">
        <f t="shared" si="3"/>
        <v>10964036.704969525</v>
      </c>
      <c r="BH67" s="11">
        <f t="shared" si="4"/>
        <v>1.0224415192615552</v>
      </c>
      <c r="BI67" s="12">
        <f t="shared" si="5"/>
        <v>3.2460598434913557E-4</v>
      </c>
      <c r="BJ67" s="12">
        <f t="shared" si="6"/>
        <v>5.2170440908394511E-3</v>
      </c>
      <c r="BK67" s="12">
        <f t="shared" si="7"/>
        <v>2.2441519261555243E-2</v>
      </c>
      <c r="BL67" s="5">
        <f t="shared" si="8"/>
        <v>2.2441519261555243E-2</v>
      </c>
      <c r="BM67" s="19" t="s">
        <v>53</v>
      </c>
      <c r="BN67" s="19" t="s">
        <v>53</v>
      </c>
      <c r="BO67" s="19" t="s">
        <v>53</v>
      </c>
    </row>
    <row r="68" spans="1:67" s="2" customFormat="1" x14ac:dyDescent="0.25">
      <c r="A68" s="1">
        <v>45195</v>
      </c>
      <c r="B68" s="1" t="str">
        <f t="shared" ref="B68:B131" si="11">_xlfn.CONCAT(TEXT(YEAR(A68),"0000"),TEXT(MONTH(A68),"00"))</f>
        <v>202309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f>N67*(1+((1+VLOOKUP($B68,'IPCA Hist'!$B:$C,2,0))^12 - 1)+$N$2)^(1/252)</f>
        <v>42974851.004639909</v>
      </c>
      <c r="O68" s="2">
        <f>O67*(1+((1+VLOOKUP($B68,'IPCA Hist'!$B:$C,2,0))^12 - 1)+$O$2)^(1/252)</f>
        <v>42992354.540032178</v>
      </c>
      <c r="P68" s="2">
        <f>P67*(1+((1+VLOOKUP($B68,'IPCA Hist'!$B:$C,2,0))^12 - 1)+$P$2)^(1/252)</f>
        <v>43250711.985849157</v>
      </c>
      <c r="Q68" s="2">
        <f>Q67*(1+((1+VLOOKUP($B68,'IPCA Hist'!$B:$C,2,0))^12 - 1)+$Q$2)^(1/252)</f>
        <v>43233083.110989727</v>
      </c>
      <c r="R68" s="2">
        <f>R67*(1+((1+VLOOKUP($B68,'IPCA Hist'!$B:$C,2,0))^12 - 1)+$R$2)^(1/252)</f>
        <v>43215453.334338769</v>
      </c>
      <c r="S68" s="2">
        <f>S67*(1+((1+VLOOKUP($B68,'IPCA Hist'!$B:$C,2,0))^12 - 1)+$S$2)^(1/252)</f>
        <v>44233182.64878165</v>
      </c>
      <c r="T68" s="2">
        <f>T67*(1+((1+VLOOKUP($B68,'IPCA Hist'!$B:$C,2,0))^12 - 1)+$T$2)^(1/252)</f>
        <v>223425576.03647575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f>AF67*(1+((1+VLOOKUP($B68,'IGPM Hist'!$B:$C,2,0))^12 - 1)+$AF$2)^(1/252)</f>
        <v>1618476.9024113656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f>BA67*(1+VLOOKUP(A68,'SELIC Hist'!$A:$C,3,0))^(1/252)</f>
        <v>26186209.750543982</v>
      </c>
      <c r="BB68" s="2">
        <f t="shared" si="10"/>
        <v>511129899.31406248</v>
      </c>
      <c r="BC68" s="2">
        <v>0</v>
      </c>
      <c r="BD68" s="2">
        <v>0</v>
      </c>
      <c r="BE68" s="2">
        <f t="shared" si="9"/>
        <v>165862.60909295082</v>
      </c>
      <c r="BF68" s="2">
        <f t="shared" si="2"/>
        <v>2817749.5065479875</v>
      </c>
      <c r="BG68" s="2">
        <f t="shared" si="3"/>
        <v>11129899.314062476</v>
      </c>
      <c r="BH68" s="11">
        <f t="shared" si="4"/>
        <v>1.0227734111479654</v>
      </c>
      <c r="BI68" s="12">
        <f t="shared" si="5"/>
        <v>3.2460720751026351E-4</v>
      </c>
      <c r="BJ68" s="12">
        <f t="shared" si="6"/>
        <v>5.5433447884634113E-3</v>
      </c>
      <c r="BK68" s="12">
        <f t="shared" si="7"/>
        <v>2.2773411147965383E-2</v>
      </c>
      <c r="BL68" s="5">
        <f t="shared" si="8"/>
        <v>2.2773411147965383E-2</v>
      </c>
      <c r="BM68" s="19" t="s">
        <v>53</v>
      </c>
      <c r="BN68" s="19" t="s">
        <v>53</v>
      </c>
      <c r="BO68" s="19" t="s">
        <v>53</v>
      </c>
    </row>
    <row r="69" spans="1:67" s="2" customFormat="1" x14ac:dyDescent="0.25">
      <c r="A69" s="1">
        <v>45196</v>
      </c>
      <c r="B69" s="1" t="str">
        <f t="shared" si="11"/>
        <v>202309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-752247.10750001669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>N68*(1+((1+VLOOKUP($B69,'IPCA Hist'!$B:$C,2,0))^12 - 1)+$N$2)^(1/252)</f>
        <v>42988756.083855309</v>
      </c>
      <c r="O69" s="2">
        <f>O68*(1+((1+VLOOKUP($B69,'IPCA Hist'!$B:$C,2,0))^12 - 1)+$O$2)^(1/252)</f>
        <v>43006249.552143581</v>
      </c>
      <c r="P69" s="2">
        <f>P68*(1+((1+VLOOKUP($B69,'IPCA Hist'!$B:$C,2,0))^12 - 1)+$P$2)^(1/252)</f>
        <v>43264437.098435894</v>
      </c>
      <c r="Q69" s="2">
        <f>Q68*(1+((1+VLOOKUP($B69,'IPCA Hist'!$B:$C,2,0))^12 - 1)+$Q$2)^(1/252)</f>
        <v>43246818.471212685</v>
      </c>
      <c r="R69" s="2">
        <f>R68*(1+((1+VLOOKUP($B69,'IPCA Hist'!$B:$C,2,0))^12 - 1)+$R$2)^(1/252)</f>
        <v>43229198.927535713</v>
      </c>
      <c r="S69" s="2">
        <f>S68*(1+((1+VLOOKUP($B69,'IPCA Hist'!$B:$C,2,0))^12 - 1)+$S$2)^(1/252)</f>
        <v>44247057.370804265</v>
      </c>
      <c r="T69" s="2">
        <f>T68*(1+((1+VLOOKUP($B69,'IPCA Hist'!$B:$C,2,0))^12 - 1)+$T$2)^(1/252)</f>
        <v>223495576.4870913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f>AF68*(1+((1+VLOOKUP($B69,'IGPM Hist'!$B:$C,2,0))^12 - 1)+$AF$2)^(1/252)</f>
        <v>1619132.0110117248</v>
      </c>
      <c r="AG69" s="2">
        <v>0</v>
      </c>
      <c r="AH69" s="2">
        <v>0</v>
      </c>
      <c r="AI69" s="2">
        <f>85355.81*1280-110425728</f>
        <v>-1170291.200000003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f>-AI69</f>
        <v>1170291.200000003</v>
      </c>
      <c r="BA69" s="2">
        <f>BA68*(1+VLOOKUP(A69,'SELIC Hist'!$A:$C,3,0))^(1/252)+AI69</f>
        <v>25028299.186542962</v>
      </c>
      <c r="BB69" s="2">
        <f t="shared" si="10"/>
        <v>509373278.08113343</v>
      </c>
      <c r="BC69" s="2">
        <v>0</v>
      </c>
      <c r="BD69" s="2">
        <v>0</v>
      </c>
      <c r="BE69" s="2">
        <f t="shared" si="9"/>
        <v>-1756621.2329290509</v>
      </c>
      <c r="BF69" s="2">
        <f t="shared" ref="BF69:BF132" si="12">IF(MONTH(A69)=MONTH(A68),BE69+BF68,BE69)</f>
        <v>1061128.2736189365</v>
      </c>
      <c r="BG69" s="2">
        <f t="shared" ref="BG69:BG132" si="13">IF(YEAR(A69)=YEAR(A68),BE69+BG68,BE69)</f>
        <v>9373278.0811334252</v>
      </c>
      <c r="BH69" s="11">
        <f t="shared" ref="BH69:BH132" si="14">(1+(BB69-BB68-BC69+BD69)/BB68)*BH68</f>
        <v>1.01925840352875</v>
      </c>
      <c r="BI69" s="12">
        <f t="shared" ref="BI69:BI132" si="15">BH69/BH68 - 1</f>
        <v>-3.4367412966574973E-3</v>
      </c>
      <c r="BJ69" s="12">
        <f t="shared" ref="BJ69:BJ132" si="16">IF(MONTH(A69)=MONTH(A68),(1+BI69)*(1+BJ68) - 1,BI69)</f>
        <v>2.0875524498498166E-3</v>
      </c>
      <c r="BK69" s="12">
        <f t="shared" ref="BK69:BK132" si="17">IF(YEAR(A69)=YEAR(A68),(1+BI69)*(1+BK68) - 1,BI69)</f>
        <v>1.9258403528749968E-2</v>
      </c>
      <c r="BL69" s="5">
        <f t="shared" ref="BL69:BL132" si="18">(1+BI69)*(1+BL68) - 1</f>
        <v>1.9258403528749968E-2</v>
      </c>
      <c r="BM69" s="19" t="s">
        <v>53</v>
      </c>
      <c r="BN69" s="19" t="s">
        <v>53</v>
      </c>
      <c r="BO69" s="19" t="s">
        <v>53</v>
      </c>
    </row>
    <row r="70" spans="1:67" s="2" customFormat="1" x14ac:dyDescent="0.25">
      <c r="A70" s="1">
        <v>45197</v>
      </c>
      <c r="B70" s="1" t="str">
        <f t="shared" si="11"/>
        <v>202309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f>N69*(1+((1+VLOOKUP($B70,'IPCA Hist'!$B:$C,2,0))^12 - 1)+$N$2)^(1/252)</f>
        <v>43002665.662242286</v>
      </c>
      <c r="O70" s="2">
        <f>O69*(1+((1+VLOOKUP($B70,'IPCA Hist'!$B:$C,2,0))^12 - 1)+$O$2)^(1/252)</f>
        <v>43020149.05508513</v>
      </c>
      <c r="P70" s="2">
        <f>P69*(1+((1+VLOOKUP($B70,'IPCA Hist'!$B:$C,2,0))^12 - 1)+$P$2)^(1/252)</f>
        <v>43278166.566528164</v>
      </c>
      <c r="Q70" s="2">
        <f>Q69*(1+((1+VLOOKUP($B70,'IPCA Hist'!$B:$C,2,0))^12 - 1)+$Q$2)^(1/252)</f>
        <v>43260558.195226215</v>
      </c>
      <c r="R70" s="2">
        <f>R69*(1+((1+VLOOKUP($B70,'IPCA Hist'!$B:$C,2,0))^12 - 1)+$R$2)^(1/252)</f>
        <v>43242948.892810643</v>
      </c>
      <c r="S70" s="2">
        <f>S69*(1+((1+VLOOKUP($B70,'IPCA Hist'!$B:$C,2,0))^12 - 1)+$S$2)^(1/252)</f>
        <v>44260936.444942191</v>
      </c>
      <c r="T70" s="2">
        <f>T69*(1+((1+VLOOKUP($B70,'IPCA Hist'!$B:$C,2,0))^12 - 1)+$T$2)^(1/252)</f>
        <v>223565598.86922953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f>AF69*(1+((1+VLOOKUP($B70,'IGPM Hist'!$B:$C,2,0))^12 - 1)+$AF$2)^(1/252)</f>
        <v>1619787.3847794631</v>
      </c>
      <c r="AG70" s="2">
        <v>0</v>
      </c>
      <c r="AH70" s="2">
        <v>0</v>
      </c>
      <c r="AI70" s="2">
        <f>1280*VLOOKUP(A70,Derivativos!$A:$E,5,0)</f>
        <v>351833.59999999404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f>-AI70</f>
        <v>-351833.59999999404</v>
      </c>
      <c r="BA70" s="2">
        <f>BA69*(1+VLOOKUP(A70,'SELIC Hist'!$A:$C,3,0))^(1/252)+AI70</f>
        <v>25391965.97144654</v>
      </c>
      <c r="BB70" s="2">
        <f t="shared" si="10"/>
        <v>510642777.04229009</v>
      </c>
      <c r="BC70" s="2">
        <v>0</v>
      </c>
      <c r="BD70" s="2">
        <v>0</v>
      </c>
      <c r="BE70" s="2">
        <f t="shared" si="9"/>
        <v>1269498.9611566663</v>
      </c>
      <c r="BF70" s="2">
        <f t="shared" si="12"/>
        <v>2330627.2347756028</v>
      </c>
      <c r="BG70" s="2">
        <f t="shared" si="13"/>
        <v>10642777.042290092</v>
      </c>
      <c r="BH70" s="11">
        <f t="shared" si="14"/>
        <v>1.0217986771161363</v>
      </c>
      <c r="BI70" s="12">
        <f t="shared" si="15"/>
        <v>2.4922763242292145E-3</v>
      </c>
      <c r="BJ70" s="12">
        <f t="shared" si="16"/>
        <v>4.585031531625372E-3</v>
      </c>
      <c r="BK70" s="12">
        <f t="shared" si="17"/>
        <v>2.1798677116136256E-2</v>
      </c>
      <c r="BL70" s="5">
        <f t="shared" si="18"/>
        <v>2.1798677116136256E-2</v>
      </c>
      <c r="BM70" s="19" t="s">
        <v>53</v>
      </c>
      <c r="BN70" s="19" t="s">
        <v>53</v>
      </c>
      <c r="BO70" s="19" t="s">
        <v>53</v>
      </c>
    </row>
    <row r="71" spans="1:67" s="2" customFormat="1" x14ac:dyDescent="0.25">
      <c r="A71" s="1">
        <v>45198</v>
      </c>
      <c r="B71" s="1" t="str">
        <f t="shared" si="11"/>
        <v>202309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f>N70*(1+((1+VLOOKUP($B71,'IPCA Hist'!$B:$C,2,0))^12 - 1)+$N$2)^(1/252)</f>
        <v>43016579.741256602</v>
      </c>
      <c r="O71" s="2">
        <f>O70*(1+((1+VLOOKUP($B71,'IPCA Hist'!$B:$C,2,0))^12 - 1)+$O$2)^(1/252)</f>
        <v>43034053.050308242</v>
      </c>
      <c r="P71" s="2">
        <f>P70*(1+((1+VLOOKUP($B71,'IPCA Hist'!$B:$C,2,0))^12 - 1)+$P$2)^(1/252)</f>
        <v>43291900.39150814</v>
      </c>
      <c r="Q71" s="2">
        <f>Q70*(1+((1+VLOOKUP($B71,'IPCA Hist'!$B:$C,2,0))^12 - 1)+$Q$2)^(1/252)</f>
        <v>43274302.284416713</v>
      </c>
      <c r="R71" s="2">
        <f>R70*(1+((1+VLOOKUP($B71,'IPCA Hist'!$B:$C,2,0))^12 - 1)+$R$2)^(1/252)</f>
        <v>43256703.231554195</v>
      </c>
      <c r="S71" s="2">
        <f>S70*(1+((1+VLOOKUP($B71,'IPCA Hist'!$B:$C,2,0))^12 - 1)+$S$2)^(1/252)</f>
        <v>44274819.872560561</v>
      </c>
      <c r="T71" s="2">
        <f>T70*(1+((1+VLOOKUP($B71,'IPCA Hist'!$B:$C,2,0))^12 - 1)+$T$2)^(1/252)</f>
        <v>223635643.1897617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f>AF70*(1+((1+VLOOKUP($B71,'IGPM Hist'!$B:$C,2,0))^12 - 1)+$AF$2)^(1/252)</f>
        <v>1620443.0238219118</v>
      </c>
      <c r="AG71" s="2">
        <v>0</v>
      </c>
      <c r="AH71" s="2">
        <v>0</v>
      </c>
      <c r="AI71" s="2">
        <f>1280*VLOOKUP(A71,Derivativos!$A:$E,5,0)</f>
        <v>232627.20000000671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f>200000000-AI71</f>
        <v>199767372.79999998</v>
      </c>
      <c r="BA71" s="2">
        <f>BA70*(1+VLOOKUP(A71,'SELIC Hist'!$A:$C,3,0))^(1/252) + AI71</f>
        <v>25636598.29517334</v>
      </c>
      <c r="BB71" s="2">
        <f t="shared" si="10"/>
        <v>711041043.08036125</v>
      </c>
      <c r="BC71" s="2">
        <v>200000000</v>
      </c>
      <c r="BD71" s="2">
        <v>0</v>
      </c>
      <c r="BE71" s="2">
        <f t="shared" si="9"/>
        <v>398266.03807115555</v>
      </c>
      <c r="BF71" s="2">
        <f t="shared" si="12"/>
        <v>2728893.2728467584</v>
      </c>
      <c r="BG71" s="2">
        <f t="shared" si="13"/>
        <v>11041043.080361247</v>
      </c>
      <c r="BH71" s="11">
        <f t="shared" si="14"/>
        <v>1.0225956093927435</v>
      </c>
      <c r="BI71" s="12">
        <f t="shared" si="15"/>
        <v>7.7993081656413388E-4</v>
      </c>
      <c r="BJ71" s="12">
        <f t="shared" si="16"/>
        <v>5.3685383555759358E-3</v>
      </c>
      <c r="BK71" s="12">
        <f t="shared" si="17"/>
        <v>2.2595609392743521E-2</v>
      </c>
      <c r="BL71" s="5">
        <f t="shared" si="18"/>
        <v>2.2595609392743521E-2</v>
      </c>
      <c r="BM71" s="19" t="s">
        <v>53</v>
      </c>
      <c r="BN71" s="19" t="s">
        <v>53</v>
      </c>
      <c r="BO71" s="19" t="s">
        <v>53</v>
      </c>
    </row>
    <row r="72" spans="1:67" s="2" customFormat="1" x14ac:dyDescent="0.25">
      <c r="A72" s="1">
        <v>45201</v>
      </c>
      <c r="B72" s="1" t="str">
        <f t="shared" si="11"/>
        <v>202310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200152669.75999999</v>
      </c>
      <c r="J72" s="2">
        <v>0</v>
      </c>
      <c r="K72" s="2">
        <v>0</v>
      </c>
      <c r="L72" s="2">
        <v>0</v>
      </c>
      <c r="M72" s="2">
        <v>0</v>
      </c>
      <c r="N72" s="2">
        <f>N71*(1+((1+VLOOKUP($B72,'IPCA Hist'!$B:$C,2,0))^12 - 1)+$N$2)^(1/252)</f>
        <v>43030109.633717842</v>
      </c>
      <c r="O72" s="2">
        <f>O71*(1+((1+VLOOKUP($B72,'IPCA Hist'!$B:$C,2,0))^12 - 1)+$O$2)^(1/252)</f>
        <v>43047572.657000966</v>
      </c>
      <c r="P72" s="2">
        <f>P71*(1+((1+VLOOKUP($B72,'IPCA Hist'!$B:$C,2,0))^12 - 1)+$P$2)^(1/252)</f>
        <v>43305246.786224715</v>
      </c>
      <c r="Q72" s="2">
        <f>Q71*(1+((1+VLOOKUP($B72,'IPCA Hist'!$B:$C,2,0))^12 - 1)+$Q$2)^(1/252)</f>
        <v>43287659.146946691</v>
      </c>
      <c r="R72" s="2">
        <f>R71*(1+((1+VLOOKUP($B72,'IPCA Hist'!$B:$C,2,0))^12 - 1)+$R$2)^(1/252)</f>
        <v>43270070.547215089</v>
      </c>
      <c r="S72" s="2">
        <f>S71*(1+((1+VLOOKUP($B72,'IPCA Hist'!$B:$C,2,0))^12 - 1)+$S$2)^(1/252)</f>
        <v>44288306.601954885</v>
      </c>
      <c r="T72" s="2">
        <f>T71*(1+((1+VLOOKUP($B72,'IPCA Hist'!$B:$C,2,0))^12 - 1)+$T$2)^(1/252)</f>
        <v>223703683.51787806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f>AF71*(1+((1+VLOOKUP($B72,'IGPM Hist'!$B:$C,2,0))^12 - 1)+$AF$2)^(1/252)</f>
        <v>1621194.3319212997</v>
      </c>
      <c r="AG72" s="2">
        <v>0</v>
      </c>
      <c r="AH72" s="2">
        <v>0</v>
      </c>
      <c r="AI72" s="2">
        <f>109594598.4-1280*Derivativos!D205</f>
        <v>29785.600000008941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f>-AI72</f>
        <v>-29785.600000008941</v>
      </c>
      <c r="BA72" s="2">
        <f>BA71*(1+VLOOKUP(A72,'SELIC Hist'!$A:$C,3,0))^(1/252) + AI72</f>
        <v>25678504.679157294</v>
      </c>
      <c r="BB72" s="2">
        <f t="shared" si="10"/>
        <v>711385017.66201687</v>
      </c>
      <c r="BC72" s="2">
        <v>0</v>
      </c>
      <c r="BD72" s="2">
        <v>0</v>
      </c>
      <c r="BE72" s="2">
        <f t="shared" si="9"/>
        <v>343974.58165562153</v>
      </c>
      <c r="BF72" s="2">
        <f t="shared" si="12"/>
        <v>343974.58165562153</v>
      </c>
      <c r="BG72" s="2">
        <f t="shared" si="13"/>
        <v>11385017.662016869</v>
      </c>
      <c r="BH72" s="11">
        <f t="shared" si="14"/>
        <v>1.0230903022102213</v>
      </c>
      <c r="BI72" s="12">
        <f t="shared" si="15"/>
        <v>4.8376192204813151E-4</v>
      </c>
      <c r="BJ72" s="12">
        <f t="shared" si="16"/>
        <v>4.8376192204813151E-4</v>
      </c>
      <c r="BK72" s="12">
        <f t="shared" si="17"/>
        <v>2.3090302210221347E-2</v>
      </c>
      <c r="BL72" s="5">
        <f t="shared" si="18"/>
        <v>2.3090302210221347E-2</v>
      </c>
      <c r="BM72" s="19" t="s">
        <v>53</v>
      </c>
      <c r="BN72" s="19" t="s">
        <v>53</v>
      </c>
      <c r="BO72" s="19" t="s">
        <v>53</v>
      </c>
    </row>
    <row r="73" spans="1:67" x14ac:dyDescent="0.25">
      <c r="A73" s="1">
        <v>45202</v>
      </c>
      <c r="B73" s="1" t="str">
        <f t="shared" si="11"/>
        <v>202310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f>I72*(1+((1+VLOOKUP($B73,'IPCA Hist'!$B:$C,2,0))^12 - 1)+$I$2)^(1/252)</f>
        <v>200218188.03523925</v>
      </c>
      <c r="J73" s="2">
        <v>0</v>
      </c>
      <c r="K73" s="2">
        <v>0</v>
      </c>
      <c r="L73" s="2">
        <v>0</v>
      </c>
      <c r="M73" s="2">
        <v>0</v>
      </c>
      <c r="N73" s="2">
        <f>N72*(1+((1+VLOOKUP($B73,'IPCA Hist'!$B:$C,2,0))^12 - 1)+$N$2)^(1/252)</f>
        <v>43043643.78170082</v>
      </c>
      <c r="O73" s="2">
        <f>O72*(1+((1+VLOOKUP($B73,'IPCA Hist'!$B:$C,2,0))^12 - 1)+$O$2)^(1/252)</f>
        <v>43061096.511022314</v>
      </c>
      <c r="P73" s="2">
        <f>P72*(1+((1+VLOOKUP($B73,'IPCA Hist'!$B:$C,2,0))^12 - 1)+$P$2)^(1/252)</f>
        <v>43318597.295481198</v>
      </c>
      <c r="Q73" s="2">
        <f>Q72*(1+((1+VLOOKUP($B73,'IPCA Hist'!$B:$C,2,0))^12 - 1)+$Q$2)^(1/252)</f>
        <v>43301020.132149182</v>
      </c>
      <c r="R73" s="2">
        <f>R72*(1+((1+VLOOKUP($B73,'IPCA Hist'!$B:$C,2,0))^12 - 1)+$R$2)^(1/252)</f>
        <v>43283441.9936838</v>
      </c>
      <c r="S73" s="2">
        <f>S72*(1+((1+VLOOKUP($B73,'IPCA Hist'!$B:$C,2,0))^12 - 1)+$S$2)^(1/252)</f>
        <v>44301797.439595617</v>
      </c>
      <c r="T73" s="2">
        <f>T72*(1+((1+VLOOKUP($B73,'IPCA Hist'!$B:$C,2,0))^12 - 1)+$T$2)^(1/252)</f>
        <v>223771744.54701588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f>AF72*(1+((1+VLOOKUP($B73,'IGPM Hist'!$B:$C,2,0))^12 - 1)+$AF$2)^(1/252)</f>
        <v>1621945.9883599083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f>BA72*(1+VLOOKUP(A73,'SELIC Hist'!$A:$C,3,0))^(1/252)</f>
        <v>25690645.27615317</v>
      </c>
      <c r="BB73" s="2">
        <f t="shared" si="10"/>
        <v>711612121.00040126</v>
      </c>
      <c r="BC73" s="2">
        <v>0</v>
      </c>
      <c r="BD73" s="2">
        <v>0</v>
      </c>
      <c r="BE73" s="2">
        <f t="shared" ref="BE73:BE136" si="19">BB73-BB72-BC73+BD73</f>
        <v>227103.33838438988</v>
      </c>
      <c r="BF73" s="2">
        <f t="shared" si="12"/>
        <v>571077.92004001141</v>
      </c>
      <c r="BG73" s="2">
        <f t="shared" si="13"/>
        <v>11612121.000401258</v>
      </c>
      <c r="BH73" s="11">
        <f t="shared" si="14"/>
        <v>1.0234169146877574</v>
      </c>
      <c r="BI73" s="12">
        <f t="shared" si="15"/>
        <v>3.1924110396763794E-4</v>
      </c>
      <c r="BJ73" s="12">
        <f t="shared" si="16"/>
        <v>8.031574627058724E-4</v>
      </c>
      <c r="BK73" s="12">
        <f t="shared" si="17"/>
        <v>2.3416914687757417E-2</v>
      </c>
      <c r="BL73" s="5">
        <f t="shared" si="18"/>
        <v>2.3416914687757417E-2</v>
      </c>
      <c r="BM73" s="19" t="s">
        <v>53</v>
      </c>
      <c r="BN73" s="19" t="s">
        <v>53</v>
      </c>
      <c r="BO73" s="19" t="s">
        <v>53</v>
      </c>
    </row>
    <row r="74" spans="1:67" x14ac:dyDescent="0.25">
      <c r="A74" s="1">
        <v>45203</v>
      </c>
      <c r="B74" s="1" t="str">
        <f t="shared" si="11"/>
        <v>202310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f>I73*(1+((1+VLOOKUP($B74,'IPCA Hist'!$B:$C,2,0))^12 - 1)+$I$2)^(1/252)</f>
        <v>200283727.75732905</v>
      </c>
      <c r="J74" s="2">
        <v>0</v>
      </c>
      <c r="K74" s="2">
        <v>0</v>
      </c>
      <c r="L74" s="2">
        <v>0</v>
      </c>
      <c r="M74" s="2">
        <v>0</v>
      </c>
      <c r="N74" s="2">
        <f>N73*(1+((1+VLOOKUP($B74,'IPCA Hist'!$B:$C,2,0))^12 - 1)+$N$2)^(1/252)</f>
        <v>43057182.186544009</v>
      </c>
      <c r="O74" s="2">
        <f>O73*(1+((1+VLOOKUP($B74,'IPCA Hist'!$B:$C,2,0))^12 - 1)+$O$2)^(1/252)</f>
        <v>43074624.613706626</v>
      </c>
      <c r="P74" s="2">
        <f>P73*(1+((1+VLOOKUP($B74,'IPCA Hist'!$B:$C,2,0))^12 - 1)+$P$2)^(1/252)</f>
        <v>43331951.920546055</v>
      </c>
      <c r="Q74" s="2">
        <f>Q73*(1+((1+VLOOKUP($B74,'IPCA Hist'!$B:$C,2,0))^12 - 1)+$Q$2)^(1/252)</f>
        <v>43314385.241296671</v>
      </c>
      <c r="R74" s="2">
        <f>R73*(1+((1+VLOOKUP($B74,'IPCA Hist'!$B:$C,2,0))^12 - 1)+$R$2)^(1/252)</f>
        <v>43296817.572236851</v>
      </c>
      <c r="S74" s="2">
        <f>S73*(1+((1+VLOOKUP($B74,'IPCA Hist'!$B:$C,2,0))^12 - 1)+$S$2)^(1/252)</f>
        <v>44315292.386734188</v>
      </c>
      <c r="T74" s="2">
        <f>T73*(1+((1+VLOOKUP($B74,'IPCA Hist'!$B:$C,2,0))^12 - 1)+$T$2)^(1/252)</f>
        <v>223839826.28347337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f>AF73*(1+((1+VLOOKUP($B74,'IGPM Hist'!$B:$C,2,0))^12 - 1)+$AF$2)^(1/252)</f>
        <v>1622697.993299243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f>BA73*(1+VLOOKUP(A74,'SELIC Hist'!$A:$C,3,0))^(1/252)</f>
        <v>25702791.613128737</v>
      </c>
      <c r="BB74" s="2">
        <f t="shared" si="10"/>
        <v>711839297.56829488</v>
      </c>
      <c r="BC74" s="2">
        <v>0</v>
      </c>
      <c r="BD74" s="2">
        <v>0</v>
      </c>
      <c r="BE74" s="2">
        <f t="shared" si="19"/>
        <v>227176.56789362431</v>
      </c>
      <c r="BF74" s="2">
        <f t="shared" si="12"/>
        <v>798254.48793363571</v>
      </c>
      <c r="BG74" s="2">
        <f t="shared" si="13"/>
        <v>11839297.568294883</v>
      </c>
      <c r="BH74" s="11">
        <f t="shared" si="14"/>
        <v>1.0237436324815412</v>
      </c>
      <c r="BI74" s="12">
        <f t="shared" si="15"/>
        <v>3.192421281053015E-4</v>
      </c>
      <c r="BJ74" s="12">
        <f t="shared" si="16"/>
        <v>1.1226559925088253E-3</v>
      </c>
      <c r="BK74" s="12">
        <f t="shared" si="17"/>
        <v>2.374363248154121E-2</v>
      </c>
      <c r="BL74" s="5">
        <f t="shared" si="18"/>
        <v>2.374363248154121E-2</v>
      </c>
      <c r="BM74" s="19" t="s">
        <v>53</v>
      </c>
      <c r="BN74" s="19" t="s">
        <v>53</v>
      </c>
      <c r="BO74" s="19" t="s">
        <v>53</v>
      </c>
    </row>
    <row r="75" spans="1:67" x14ac:dyDescent="0.25">
      <c r="A75" s="1">
        <v>45204</v>
      </c>
      <c r="B75" s="1" t="str">
        <f t="shared" si="11"/>
        <v>202310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f>I74*(1+((1+VLOOKUP($B75,'IPCA Hist'!$B:$C,2,0))^12 - 1)+$I$2)^(1/252)</f>
        <v>200349288.9332898</v>
      </c>
      <c r="J75" s="2">
        <v>0</v>
      </c>
      <c r="K75" s="2">
        <v>0</v>
      </c>
      <c r="L75" s="2">
        <v>0</v>
      </c>
      <c r="M75" s="2">
        <v>0</v>
      </c>
      <c r="N75" s="2">
        <f>N74*(1+((1+VLOOKUP($B75,'IPCA Hist'!$B:$C,2,0))^12 - 1)+$N$2)^(1/252)</f>
        <v>43070724.849586308</v>
      </c>
      <c r="O75" s="2">
        <f>O74*(1+((1+VLOOKUP($B75,'IPCA Hist'!$B:$C,2,0))^12 - 1)+$O$2)^(1/252)</f>
        <v>43088156.966388658</v>
      </c>
      <c r="P75" s="2">
        <f>P74*(1+((1+VLOOKUP($B75,'IPCA Hist'!$B:$C,2,0))^12 - 1)+$P$2)^(1/252)</f>
        <v>43345310.662688144</v>
      </c>
      <c r="Q75" s="2">
        <f>Q74*(1+((1+VLOOKUP($B75,'IPCA Hist'!$B:$C,2,0))^12 - 1)+$Q$2)^(1/252)</f>
        <v>43327754.475662045</v>
      </c>
      <c r="R75" s="2">
        <f>R74*(1+((1+VLOOKUP($B75,'IPCA Hist'!$B:$C,2,0))^12 - 1)+$R$2)^(1/252)</f>
        <v>43310197.284151144</v>
      </c>
      <c r="S75" s="2">
        <f>S74*(1+((1+VLOOKUP($B75,'IPCA Hist'!$B:$C,2,0))^12 - 1)+$S$2)^(1/252)</f>
        <v>44328791.444622405</v>
      </c>
      <c r="T75" s="2">
        <f>T74*(1+((1+VLOOKUP($B75,'IPCA Hist'!$B:$C,2,0))^12 - 1)+$T$2)^(1/252)</f>
        <v>223907928.7335507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f>AF74*(1+((1+VLOOKUP($B75,'IGPM Hist'!$B:$C,2,0))^12 - 1)+$AF$2)^(1/252)</f>
        <v>1623450.3469008838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f>BA74*(1+VLOOKUP(A75,'SELIC Hist'!$A:$C,3,0))^(1/252)</f>
        <v>25714943.692797814</v>
      </c>
      <c r="BB75" s="2">
        <f t="shared" si="10"/>
        <v>712066547.38963795</v>
      </c>
      <c r="BC75" s="2">
        <v>0</v>
      </c>
      <c r="BD75" s="2">
        <v>0</v>
      </c>
      <c r="BE75" s="2">
        <f t="shared" si="19"/>
        <v>227249.82134306431</v>
      </c>
      <c r="BF75" s="2">
        <f t="shared" si="12"/>
        <v>1025504.3092767</v>
      </c>
      <c r="BG75" s="2">
        <f t="shared" si="13"/>
        <v>12066547.389637947</v>
      </c>
      <c r="BH75" s="11">
        <f t="shared" si="14"/>
        <v>1.0240704556260025</v>
      </c>
      <c r="BI75" s="12">
        <f t="shared" si="15"/>
        <v>3.1924315237907841E-4</v>
      </c>
      <c r="BJ75" s="12">
        <f t="shared" si="16"/>
        <v>1.4422575451260577E-3</v>
      </c>
      <c r="BK75" s="12">
        <f t="shared" si="17"/>
        <v>2.4070455626002518E-2</v>
      </c>
      <c r="BL75" s="5">
        <f t="shared" si="18"/>
        <v>2.4070455626002518E-2</v>
      </c>
      <c r="BM75" s="19" t="s">
        <v>53</v>
      </c>
      <c r="BN75" s="19" t="s">
        <v>53</v>
      </c>
      <c r="BO75" s="19" t="s">
        <v>53</v>
      </c>
    </row>
    <row r="76" spans="1:67" x14ac:dyDescent="0.25">
      <c r="A76" s="1">
        <v>45205</v>
      </c>
      <c r="B76" s="1" t="str">
        <f t="shared" si="11"/>
        <v>202310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f>I75*(1+((1+VLOOKUP($B76,'IPCA Hist'!$B:$C,2,0))^12 - 1)+$I$2)^(1/252)</f>
        <v>200414871.57014427</v>
      </c>
      <c r="J76" s="2">
        <v>0</v>
      </c>
      <c r="K76" s="2">
        <v>0</v>
      </c>
      <c r="L76" s="2">
        <v>0</v>
      </c>
      <c r="M76" s="2">
        <v>0</v>
      </c>
      <c r="N76" s="2">
        <f>N75*(1+((1+VLOOKUP($B76,'IPCA Hist'!$B:$C,2,0))^12 - 1)+$N$2)^(1/252)</f>
        <v>43084271.772167042</v>
      </c>
      <c r="O76" s="2">
        <f>O75*(1+((1+VLOOKUP($B76,'IPCA Hist'!$B:$C,2,0))^12 - 1)+$O$2)^(1/252)</f>
        <v>43101693.570403598</v>
      </c>
      <c r="P76" s="2">
        <f>P75*(1+((1+VLOOKUP($B76,'IPCA Hist'!$B:$C,2,0))^12 - 1)+$P$2)^(1/252)</f>
        <v>43358673.523176715</v>
      </c>
      <c r="Q76" s="2">
        <f>Q75*(1+((1+VLOOKUP($B76,'IPCA Hist'!$B:$C,2,0))^12 - 1)+$Q$2)^(1/252)</f>
        <v>43341127.836518571</v>
      </c>
      <c r="R76" s="2">
        <f>R75*(1+((1+VLOOKUP($B76,'IPCA Hist'!$B:$C,2,0))^12 - 1)+$R$2)^(1/252)</f>
        <v>43323581.130703986</v>
      </c>
      <c r="S76" s="2">
        <f>S75*(1+((1+VLOOKUP($B76,'IPCA Hist'!$B:$C,2,0))^12 - 1)+$S$2)^(1/252)</f>
        <v>44342294.614512466</v>
      </c>
      <c r="T76" s="2">
        <f>T75*(1+((1+VLOOKUP($B76,'IPCA Hist'!$B:$C,2,0))^12 - 1)+$T$2)^(1/252)</f>
        <v>223976051.90354985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f>AF75*(1+((1+VLOOKUP($B76,'IGPM Hist'!$B:$C,2,0))^12 - 1)+$AF$2)^(1/252)</f>
        <v>1624203.049326486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f>BA75*(1+VLOOKUP(A76,'SELIC Hist'!$A:$C,3,0))^(1/252)</f>
        <v>25727101.517875504</v>
      </c>
      <c r="BB76" s="2">
        <f t="shared" si="10"/>
        <v>712293870.48837852</v>
      </c>
      <c r="BC76" s="2">
        <v>0</v>
      </c>
      <c r="BD76" s="2">
        <v>0</v>
      </c>
      <c r="BE76" s="2">
        <f t="shared" si="19"/>
        <v>227323.0987405777</v>
      </c>
      <c r="BF76" s="2">
        <f t="shared" si="12"/>
        <v>1252827.4080172777</v>
      </c>
      <c r="BG76" s="2">
        <f t="shared" si="13"/>
        <v>12293870.488378525</v>
      </c>
      <c r="BH76" s="11">
        <f t="shared" si="14"/>
        <v>1.0243973841555829</v>
      </c>
      <c r="BI76" s="12">
        <f t="shared" si="15"/>
        <v>3.192441767891907E-4</v>
      </c>
      <c r="BJ76" s="12">
        <f t="shared" si="16"/>
        <v>1.7619621542379615E-3</v>
      </c>
      <c r="BK76" s="12">
        <f t="shared" si="17"/>
        <v>2.4397384155582902E-2</v>
      </c>
      <c r="BL76" s="5">
        <f t="shared" si="18"/>
        <v>2.4397384155582902E-2</v>
      </c>
      <c r="BM76" s="19" t="s">
        <v>53</v>
      </c>
      <c r="BN76" s="19" t="s">
        <v>53</v>
      </c>
      <c r="BO76" s="19" t="s">
        <v>53</v>
      </c>
    </row>
    <row r="77" spans="1:67" x14ac:dyDescent="0.25">
      <c r="A77" s="1">
        <v>45208</v>
      </c>
      <c r="B77" s="1" t="str">
        <f t="shared" si="11"/>
        <v>202310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f>I76*(1+((1+VLOOKUP($B77,'IPCA Hist'!$B:$C,2,0))^12 - 1)+$I$2)^(1/252)</f>
        <v>200480475.67491749</v>
      </c>
      <c r="J77" s="2">
        <v>0</v>
      </c>
      <c r="K77" s="2">
        <v>0</v>
      </c>
      <c r="L77" s="2">
        <v>0</v>
      </c>
      <c r="M77" s="2">
        <v>0</v>
      </c>
      <c r="N77" s="2">
        <f>N76*(1+((1+VLOOKUP($B77,'IPCA Hist'!$B:$C,2,0))^12 - 1)+$N$2)^(1/252)</f>
        <v>43097822.955625944</v>
      </c>
      <c r="O77" s="2">
        <f>O76*(1+((1+VLOOKUP($B77,'IPCA Hist'!$B:$C,2,0))^12 - 1)+$O$2)^(1/252)</f>
        <v>43115234.427087054</v>
      </c>
      <c r="P77" s="2">
        <f>P76*(1+((1+VLOOKUP($B77,'IPCA Hist'!$B:$C,2,0))^12 - 1)+$P$2)^(1/252)</f>
        <v>43372040.5032814</v>
      </c>
      <c r="Q77" s="2">
        <f>Q76*(1+((1+VLOOKUP($B77,'IPCA Hist'!$B:$C,2,0))^12 - 1)+$Q$2)^(1/252)</f>
        <v>43354505.325139917</v>
      </c>
      <c r="R77" s="2">
        <f>R76*(1+((1+VLOOKUP($B77,'IPCA Hist'!$B:$C,2,0))^12 - 1)+$R$2)^(1/252)</f>
        <v>43336969.113173068</v>
      </c>
      <c r="S77" s="2">
        <f>S76*(1+((1+VLOOKUP($B77,'IPCA Hist'!$B:$C,2,0))^12 - 1)+$S$2)^(1/252)</f>
        <v>44355801.89765694</v>
      </c>
      <c r="T77" s="2">
        <f>T76*(1+((1+VLOOKUP($B77,'IPCA Hist'!$B:$C,2,0))^12 - 1)+$T$2)^(1/252)</f>
        <v>224044195.79977483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f>AF76*(1+((1+VLOOKUP($B77,'IGPM Hist'!$B:$C,2,0))^12 - 1)+$AF$2)^(1/252)</f>
        <v>1624956.1007377794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f>BA76*(1+VLOOKUP(A77,'SELIC Hist'!$A:$C,3,0))^(1/252)</f>
        <v>25739265.091078192</v>
      </c>
      <c r="BB77" s="2">
        <f t="shared" si="10"/>
        <v>712521266.88847268</v>
      </c>
      <c r="BC77" s="2">
        <v>0</v>
      </c>
      <c r="BD77" s="2">
        <v>0</v>
      </c>
      <c r="BE77" s="2">
        <f t="shared" si="19"/>
        <v>227396.4000941515</v>
      </c>
      <c r="BF77" s="2">
        <f t="shared" si="12"/>
        <v>1480223.8081114292</v>
      </c>
      <c r="BG77" s="2">
        <f t="shared" si="13"/>
        <v>12521266.888472676</v>
      </c>
      <c r="BH77" s="11">
        <f t="shared" si="14"/>
        <v>1.0247244181047352</v>
      </c>
      <c r="BI77" s="12">
        <f t="shared" si="15"/>
        <v>3.1924520133563838E-4</v>
      </c>
      <c r="BJ77" s="12">
        <f t="shared" si="16"/>
        <v>2.0817698535362528E-3</v>
      </c>
      <c r="BK77" s="12">
        <f t="shared" si="17"/>
        <v>2.4724418104735246E-2</v>
      </c>
      <c r="BL77" s="5">
        <f t="shared" si="18"/>
        <v>2.4724418104735246E-2</v>
      </c>
      <c r="BM77" s="19" t="s">
        <v>53</v>
      </c>
      <c r="BN77" s="19" t="s">
        <v>53</v>
      </c>
      <c r="BO77" s="19" t="s">
        <v>53</v>
      </c>
    </row>
    <row r="78" spans="1:67" x14ac:dyDescent="0.25">
      <c r="A78" s="1">
        <v>45209</v>
      </c>
      <c r="B78" s="1" t="str">
        <f t="shared" si="11"/>
        <v>202310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f>I77*(1+((1+VLOOKUP($B78,'IPCA Hist'!$B:$C,2,0))^12 - 1)+$I$2)^(1/252)</f>
        <v>200546101.25463679</v>
      </c>
      <c r="J78" s="2">
        <v>0</v>
      </c>
      <c r="K78" s="2">
        <v>0</v>
      </c>
      <c r="L78" s="2">
        <v>0</v>
      </c>
      <c r="M78" s="2">
        <v>0</v>
      </c>
      <c r="N78" s="2">
        <f>N77*(1+((1+VLOOKUP($B78,'IPCA Hist'!$B:$C,2,0))^12 - 1)+$N$2)^(1/252)</f>
        <v>43111378.401303187</v>
      </c>
      <c r="O78" s="2">
        <f>O77*(1+((1+VLOOKUP($B78,'IPCA Hist'!$B:$C,2,0))^12 - 1)+$O$2)^(1/252)</f>
        <v>43128779.53777504</v>
      </c>
      <c r="P78" s="2">
        <f>P77*(1+((1+VLOOKUP($B78,'IPCA Hist'!$B:$C,2,0))^12 - 1)+$P$2)^(1/252)</f>
        <v>43385411.604272231</v>
      </c>
      <c r="Q78" s="2">
        <f>Q77*(1+((1+VLOOKUP($B78,'IPCA Hist'!$B:$C,2,0))^12 - 1)+$Q$2)^(1/252)</f>
        <v>43367886.942800142</v>
      </c>
      <c r="R78" s="2">
        <f>R77*(1+((1+VLOOKUP($B78,'IPCA Hist'!$B:$C,2,0))^12 - 1)+$R$2)^(1/252)</f>
        <v>43350361.232836492</v>
      </c>
      <c r="S78" s="2">
        <f>S77*(1+((1+VLOOKUP($B78,'IPCA Hist'!$B:$C,2,0))^12 - 1)+$S$2)^(1/252)</f>
        <v>44369313.295308784</v>
      </c>
      <c r="T78" s="2">
        <f>T77*(1+((1+VLOOKUP($B78,'IPCA Hist'!$B:$C,2,0))^12 - 1)+$T$2)^(1/252)</f>
        <v>224112360.42853147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f>AF77*(1+((1+VLOOKUP($B78,'IGPM Hist'!$B:$C,2,0))^12 - 1)+$AF$2)^(1/252)</f>
        <v>1625709.5012965689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f>BA77*(1+VLOOKUP(A78,'SELIC Hist'!$A:$C,3,0))^(1/252)</f>
        <v>25751434.415123545</v>
      </c>
      <c r="BB78" s="2">
        <f t="shared" si="10"/>
        <v>712748736.61388433</v>
      </c>
      <c r="BC78" s="2">
        <v>0</v>
      </c>
      <c r="BD78" s="2">
        <v>0</v>
      </c>
      <c r="BE78" s="2">
        <f t="shared" si="19"/>
        <v>227469.72541165352</v>
      </c>
      <c r="BF78" s="2">
        <f t="shared" si="12"/>
        <v>1707693.5335230827</v>
      </c>
      <c r="BG78" s="2">
        <f t="shared" si="13"/>
        <v>12748736.61388433</v>
      </c>
      <c r="BH78" s="11">
        <f t="shared" si="14"/>
        <v>1.0250515575079238</v>
      </c>
      <c r="BI78" s="12">
        <f t="shared" si="15"/>
        <v>3.1924622601797736E-4</v>
      </c>
      <c r="BJ78" s="12">
        <f t="shared" si="16"/>
        <v>2.4016806767233057E-3</v>
      </c>
      <c r="BK78" s="12">
        <f t="shared" si="17"/>
        <v>2.5051557507923761E-2</v>
      </c>
      <c r="BL78" s="5">
        <f t="shared" si="18"/>
        <v>2.5051557507923761E-2</v>
      </c>
      <c r="BM78" s="19" t="s">
        <v>53</v>
      </c>
      <c r="BN78" s="19" t="s">
        <v>53</v>
      </c>
      <c r="BO78" s="19" t="s">
        <v>53</v>
      </c>
    </row>
    <row r="79" spans="1:67" x14ac:dyDescent="0.25">
      <c r="A79" s="1">
        <v>45210</v>
      </c>
      <c r="B79" s="1" t="str">
        <f t="shared" si="11"/>
        <v>202310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f>I78*(1+((1+VLOOKUP($B79,'IPCA Hist'!$B:$C,2,0))^12 - 1)+$I$2)^(1/252)</f>
        <v>200611748.31633183</v>
      </c>
      <c r="J79" s="2">
        <v>0</v>
      </c>
      <c r="K79" s="2">
        <v>0</v>
      </c>
      <c r="L79" s="2">
        <v>0</v>
      </c>
      <c r="M79" s="2">
        <v>0</v>
      </c>
      <c r="N79" s="2">
        <f>N78*(1+((1+VLOOKUP($B79,'IPCA Hist'!$B:$C,2,0))^12 - 1)+$N$2)^(1/252)</f>
        <v>43124938.110539347</v>
      </c>
      <c r="O79" s="2">
        <f>O78*(1+((1+VLOOKUP($B79,'IPCA Hist'!$B:$C,2,0))^12 - 1)+$O$2)^(1/252)</f>
        <v>43142328.903803997</v>
      </c>
      <c r="P79" s="2">
        <f>P78*(1+((1+VLOOKUP($B79,'IPCA Hist'!$B:$C,2,0))^12 - 1)+$P$2)^(1/252)</f>
        <v>43398786.827419639</v>
      </c>
      <c r="Q79" s="2">
        <f>Q78*(1+((1+VLOOKUP($B79,'IPCA Hist'!$B:$C,2,0))^12 - 1)+$Q$2)^(1/252)</f>
        <v>43381272.690773696</v>
      </c>
      <c r="R79" s="2">
        <f>R78*(1+((1+VLOOKUP($B79,'IPCA Hist'!$B:$C,2,0))^12 - 1)+$R$2)^(1/252)</f>
        <v>43363757.490972742</v>
      </c>
      <c r="S79" s="2">
        <f>S78*(1+((1+VLOOKUP($B79,'IPCA Hist'!$B:$C,2,0))^12 - 1)+$S$2)^(1/252)</f>
        <v>44382828.808721334</v>
      </c>
      <c r="T79" s="2">
        <f>T78*(1+((1+VLOOKUP($B79,'IPCA Hist'!$B:$C,2,0))^12 - 1)+$T$2)^(1/252)</f>
        <v>224180545.79612759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f>AF78*(1+((1+VLOOKUP($B79,'IGPM Hist'!$B:$C,2,0))^12 - 1)+$AF$2)^(1/252)</f>
        <v>1626463.2511647348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f>BA78*(1+VLOOKUP(A79,'SELIC Hist'!$A:$C,3,0))^(1/252)</f>
        <v>25763609.492730517</v>
      </c>
      <c r="BB79" s="2">
        <f t="shared" si="10"/>
        <v>712976279.6885854</v>
      </c>
      <c r="BC79" s="2">
        <v>0</v>
      </c>
      <c r="BD79" s="2">
        <v>0</v>
      </c>
      <c r="BE79" s="2">
        <f t="shared" si="19"/>
        <v>227543.07470107079</v>
      </c>
      <c r="BF79" s="2">
        <f t="shared" si="12"/>
        <v>1935236.6082241535</v>
      </c>
      <c r="BG79" s="2">
        <f t="shared" si="13"/>
        <v>12976279.688585401</v>
      </c>
      <c r="BH79" s="11">
        <f t="shared" si="14"/>
        <v>1.0253788023996238</v>
      </c>
      <c r="BI79" s="12">
        <f t="shared" si="15"/>
        <v>3.1924725083642969E-4</v>
      </c>
      <c r="BJ79" s="12">
        <f t="shared" si="16"/>
        <v>2.7216946575132628E-3</v>
      </c>
      <c r="BK79" s="12">
        <f t="shared" si="17"/>
        <v>2.5378802399623757E-2</v>
      </c>
      <c r="BL79" s="5">
        <f t="shared" si="18"/>
        <v>2.5378802399623757E-2</v>
      </c>
      <c r="BM79" s="19" t="s">
        <v>53</v>
      </c>
      <c r="BN79" s="19" t="s">
        <v>53</v>
      </c>
      <c r="BO79" s="19" t="s">
        <v>53</v>
      </c>
    </row>
    <row r="80" spans="1:67" x14ac:dyDescent="0.25">
      <c r="A80" s="1">
        <v>45212</v>
      </c>
      <c r="B80" s="1" t="str">
        <f t="shared" si="11"/>
        <v>202310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f>I79*(1+((1+VLOOKUP($B80,'IPCA Hist'!$B:$C,2,0))^12 - 1)+$I$2)^(1/252)</f>
        <v>200677416.86703455</v>
      </c>
      <c r="J80" s="2">
        <v>0</v>
      </c>
      <c r="K80" s="2">
        <v>0</v>
      </c>
      <c r="L80" s="2">
        <v>0</v>
      </c>
      <c r="M80" s="2">
        <v>0</v>
      </c>
      <c r="N80" s="2">
        <f>N79*(1+((1+VLOOKUP($B80,'IPCA Hist'!$B:$C,2,0))^12 - 1)+$N$2)^(1/252)</f>
        <v>43138502.084675431</v>
      </c>
      <c r="O80" s="2">
        <f>O79*(1+((1+VLOOKUP($B80,'IPCA Hist'!$B:$C,2,0))^12 - 1)+$O$2)^(1/252)</f>
        <v>43155882.526510783</v>
      </c>
      <c r="P80" s="2">
        <f>P79*(1+((1+VLOOKUP($B80,'IPCA Hist'!$B:$C,2,0))^12 - 1)+$P$2)^(1/252)</f>
        <v>43412166.173994429</v>
      </c>
      <c r="Q80" s="2">
        <f>Q79*(1+((1+VLOOKUP($B80,'IPCA Hist'!$B:$C,2,0))^12 - 1)+$Q$2)^(1/252)</f>
        <v>43394662.570335418</v>
      </c>
      <c r="R80" s="2">
        <f>R79*(1+((1+VLOOKUP($B80,'IPCA Hist'!$B:$C,2,0))^12 - 1)+$R$2)^(1/252)</f>
        <v>43377157.888860703</v>
      </c>
      <c r="S80" s="2">
        <f>S79*(1+((1+VLOOKUP($B80,'IPCA Hist'!$B:$C,2,0))^12 - 1)+$S$2)^(1/252)</f>
        <v>44396348.439148307</v>
      </c>
      <c r="T80" s="2">
        <f>T79*(1+((1+VLOOKUP($B80,'IPCA Hist'!$B:$C,2,0))^12 - 1)+$T$2)^(1/252)</f>
        <v>224248751.9088729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f>AF79*(1+((1+VLOOKUP($B80,'IGPM Hist'!$B:$C,2,0))^12 - 1)+$AF$2)^(1/252)</f>
        <v>1627217.3505042321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f>BA79*(1+VLOOKUP(A80,'SELIC Hist'!$A:$C,3,0))^(1/252)</f>
        <v>25775790.326619346</v>
      </c>
      <c r="BB80" s="2">
        <f t="shared" si="10"/>
        <v>713203896.13655627</v>
      </c>
      <c r="BC80" s="2">
        <v>0</v>
      </c>
      <c r="BD80" s="2">
        <v>0</v>
      </c>
      <c r="BE80" s="2">
        <f t="shared" si="19"/>
        <v>227616.44797086716</v>
      </c>
      <c r="BF80" s="2">
        <f t="shared" si="12"/>
        <v>2162853.0561950207</v>
      </c>
      <c r="BG80" s="2">
        <f t="shared" si="13"/>
        <v>13203896.136556268</v>
      </c>
      <c r="BH80" s="11">
        <f t="shared" si="14"/>
        <v>1.0257061528143232</v>
      </c>
      <c r="BI80" s="12">
        <f t="shared" si="15"/>
        <v>3.1924827579166148E-4</v>
      </c>
      <c r="BJ80" s="12">
        <f t="shared" si="16"/>
        <v>3.041811829631591E-3</v>
      </c>
      <c r="BK80" s="12">
        <f t="shared" si="17"/>
        <v>2.5706152814323202E-2</v>
      </c>
      <c r="BL80" s="5">
        <f t="shared" si="18"/>
        <v>2.5706152814323202E-2</v>
      </c>
      <c r="BM80" s="19" t="s">
        <v>53</v>
      </c>
      <c r="BN80" s="19" t="s">
        <v>53</v>
      </c>
      <c r="BO80" s="19" t="s">
        <v>53</v>
      </c>
    </row>
    <row r="81" spans="1:67" x14ac:dyDescent="0.25">
      <c r="A81" s="1">
        <v>45215</v>
      </c>
      <c r="B81" s="1" t="str">
        <f t="shared" si="11"/>
        <v>202310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f>I80*(1+((1+VLOOKUP($B81,'IPCA Hist'!$B:$C,2,0))^12 - 1)+$I$2)^(1/252)</f>
        <v>200743106.9137792</v>
      </c>
      <c r="J81" s="2">
        <v>0</v>
      </c>
      <c r="K81" s="2">
        <v>0</v>
      </c>
      <c r="L81" s="2">
        <v>0</v>
      </c>
      <c r="M81" s="2">
        <v>0</v>
      </c>
      <c r="N81" s="2">
        <f>N80*(1+((1+VLOOKUP($B81,'IPCA Hist'!$B:$C,2,0))^12 - 1)+$N$2)^(1/252)</f>
        <v>43152070.325052872</v>
      </c>
      <c r="O81" s="2">
        <f>O80*(1+((1+VLOOKUP($B81,'IPCA Hist'!$B:$C,2,0))^12 - 1)+$O$2)^(1/252)</f>
        <v>43169440.407232679</v>
      </c>
      <c r="P81" s="2">
        <f>P80*(1+((1+VLOOKUP($B81,'IPCA Hist'!$B:$C,2,0))^12 - 1)+$P$2)^(1/252)</f>
        <v>43425549.645267807</v>
      </c>
      <c r="Q81" s="2">
        <f>Q80*(1+((1+VLOOKUP($B81,'IPCA Hist'!$B:$C,2,0))^12 - 1)+$Q$2)^(1/252)</f>
        <v>43408056.582760558</v>
      </c>
      <c r="R81" s="2">
        <f>R80*(1+((1+VLOOKUP($B81,'IPCA Hist'!$B:$C,2,0))^12 - 1)+$R$2)^(1/252)</f>
        <v>43390562.427779652</v>
      </c>
      <c r="S81" s="2">
        <f>S80*(1+((1+VLOOKUP($B81,'IPCA Hist'!$B:$C,2,0))^12 - 1)+$S$2)^(1/252)</f>
        <v>44409872.1878438</v>
      </c>
      <c r="T81" s="2">
        <f>T80*(1+((1+VLOOKUP($B81,'IPCA Hist'!$B:$C,2,0))^12 - 1)+$T$2)^(1/252)</f>
        <v>224316978.77307907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f>AF80*(1+((1+VLOOKUP($B81,'IGPM Hist'!$B:$C,2,0))^12 - 1)+$AF$2)^(1/252)</f>
        <v>1627971.7994770908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f>BA80*(1+VLOOKUP(A81,'SELIC Hist'!$A:$C,3,0))^(1/252)</f>
        <v>25787976.919511557</v>
      </c>
      <c r="BB81" s="2">
        <f t="shared" si="10"/>
        <v>713431585.98178434</v>
      </c>
      <c r="BC81" s="2">
        <v>0</v>
      </c>
      <c r="BD81" s="2">
        <v>0</v>
      </c>
      <c r="BE81" s="2">
        <f t="shared" si="19"/>
        <v>227689.84522807598</v>
      </c>
      <c r="BF81" s="2">
        <f t="shared" si="12"/>
        <v>2390542.9014230967</v>
      </c>
      <c r="BG81" s="2">
        <f t="shared" si="13"/>
        <v>13431585.981784344</v>
      </c>
      <c r="BH81" s="11">
        <f t="shared" si="14"/>
        <v>1.0260336087865196</v>
      </c>
      <c r="BI81" s="12">
        <f t="shared" si="15"/>
        <v>3.1924930088211845E-4</v>
      </c>
      <c r="BJ81" s="12">
        <f t="shared" si="16"/>
        <v>3.3620322268137492E-3</v>
      </c>
      <c r="BK81" s="12">
        <f t="shared" si="17"/>
        <v>2.6033608786519613E-2</v>
      </c>
      <c r="BL81" s="5">
        <f t="shared" si="18"/>
        <v>2.6033608786519613E-2</v>
      </c>
      <c r="BM81" s="19" t="s">
        <v>53</v>
      </c>
      <c r="BN81" s="19" t="s">
        <v>53</v>
      </c>
      <c r="BO81" s="19" t="s">
        <v>53</v>
      </c>
    </row>
    <row r="82" spans="1:67" x14ac:dyDescent="0.25">
      <c r="A82" s="1">
        <v>45216</v>
      </c>
      <c r="B82" s="1" t="str">
        <f t="shared" si="11"/>
        <v>202310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f>I81*(1+((1+VLOOKUP($B82,'IPCA Hist'!$B:$C,2,0))^12 - 1)+$I$2)^(1/252)</f>
        <v>200808818.4636023</v>
      </c>
      <c r="J82" s="2">
        <v>0</v>
      </c>
      <c r="K82" s="2">
        <v>0</v>
      </c>
      <c r="L82" s="2">
        <v>0</v>
      </c>
      <c r="M82" s="2">
        <v>0</v>
      </c>
      <c r="N82" s="2">
        <f>N81*(1+((1+VLOOKUP($B82,'IPCA Hist'!$B:$C,2,0))^12 - 1)+$N$2)^(1/252)</f>
        <v>43165642.83301352</v>
      </c>
      <c r="O82" s="2">
        <f>O81*(1+((1+VLOOKUP($B82,'IPCA Hist'!$B:$C,2,0))^12 - 1)+$O$2)^(1/252)</f>
        <v>43183002.547307394</v>
      </c>
      <c r="P82" s="2">
        <f>P81*(1+((1+VLOOKUP($B82,'IPCA Hist'!$B:$C,2,0))^12 - 1)+$P$2)^(1/252)</f>
        <v>43438937.242511369</v>
      </c>
      <c r="Q82" s="2">
        <f>Q81*(1+((1+VLOOKUP($B82,'IPCA Hist'!$B:$C,2,0))^12 - 1)+$Q$2)^(1/252)</f>
        <v>43421454.729324736</v>
      </c>
      <c r="R82" s="2">
        <f>R81*(1+((1+VLOOKUP($B82,'IPCA Hist'!$B:$C,2,0))^12 - 1)+$R$2)^(1/252)</f>
        <v>43403971.109009266</v>
      </c>
      <c r="S82" s="2">
        <f>S81*(1+((1+VLOOKUP($B82,'IPCA Hist'!$B:$C,2,0))^12 - 1)+$S$2)^(1/252)</f>
        <v>44423400.056062303</v>
      </c>
      <c r="T82" s="2">
        <f>T81*(1+((1+VLOOKUP($B82,'IPCA Hist'!$B:$C,2,0))^12 - 1)+$T$2)^(1/252)</f>
        <v>224385226.39505962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f>AF81*(1+((1+VLOOKUP($B82,'IGPM Hist'!$B:$C,2,0))^12 - 1)+$AF$2)^(1/252)</f>
        <v>1628726.5982454163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f>BA81*(1+VLOOKUP(A82,'SELIC Hist'!$A:$C,3,0))^(1/252)</f>
        <v>25800169.274129964</v>
      </c>
      <c r="BB82" s="2">
        <f t="shared" si="10"/>
        <v>713659349.24826586</v>
      </c>
      <c r="BC82" s="2">
        <v>0</v>
      </c>
      <c r="BD82" s="2">
        <v>0</v>
      </c>
      <c r="BE82" s="2">
        <f t="shared" si="19"/>
        <v>227763.26648151875</v>
      </c>
      <c r="BF82" s="2">
        <f t="shared" si="12"/>
        <v>2618306.1679046154</v>
      </c>
      <c r="BG82" s="2">
        <f t="shared" si="13"/>
        <v>13659349.248265862</v>
      </c>
      <c r="BH82" s="11">
        <f t="shared" si="14"/>
        <v>1.0263611703507241</v>
      </c>
      <c r="BI82" s="12">
        <f t="shared" si="15"/>
        <v>3.1925032610957693E-4</v>
      </c>
      <c r="BJ82" s="12">
        <f t="shared" si="16"/>
        <v>3.6823558828080749E-3</v>
      </c>
      <c r="BK82" s="12">
        <f t="shared" si="17"/>
        <v>2.636117035072405E-2</v>
      </c>
      <c r="BL82" s="5">
        <f t="shared" si="18"/>
        <v>2.636117035072405E-2</v>
      </c>
      <c r="BM82" s="19" t="s">
        <v>53</v>
      </c>
      <c r="BN82" s="19" t="s">
        <v>53</v>
      </c>
      <c r="BO82" s="19" t="s">
        <v>53</v>
      </c>
    </row>
    <row r="83" spans="1:67" x14ac:dyDescent="0.25">
      <c r="A83" s="1">
        <v>45217</v>
      </c>
      <c r="B83" s="1" t="str">
        <f t="shared" si="11"/>
        <v>202310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f>I82*(1+((1+VLOOKUP($B83,'IPCA Hist'!$B:$C,2,0))^12 - 1)+$I$2)^(1/252)</f>
        <v>200874551.52354273</v>
      </c>
      <c r="J83" s="2">
        <v>0</v>
      </c>
      <c r="K83" s="2">
        <v>0</v>
      </c>
      <c r="L83" s="2">
        <v>0</v>
      </c>
      <c r="M83" s="2">
        <v>0</v>
      </c>
      <c r="N83" s="2">
        <f>N82*(1+((1+VLOOKUP($B83,'IPCA Hist'!$B:$C,2,0))^12 - 1)+$N$2)^(1/252)</f>
        <v>43179219.60989964</v>
      </c>
      <c r="O83" s="2">
        <f>O82*(1+((1+VLOOKUP($B83,'IPCA Hist'!$B:$C,2,0))^12 - 1)+$O$2)^(1/252)</f>
        <v>43196568.948073044</v>
      </c>
      <c r="P83" s="2">
        <f>P82*(1+((1+VLOOKUP($B83,'IPCA Hist'!$B:$C,2,0))^12 - 1)+$P$2)^(1/252)</f>
        <v>43452328.966997102</v>
      </c>
      <c r="Q83" s="2">
        <f>Q82*(1+((1+VLOOKUP($B83,'IPCA Hist'!$B:$C,2,0))^12 - 1)+$Q$2)^(1/252)</f>
        <v>43434857.011303984</v>
      </c>
      <c r="R83" s="2">
        <f>R82*(1+((1+VLOOKUP($B83,'IPCA Hist'!$B:$C,2,0))^12 - 1)+$R$2)^(1/252)</f>
        <v>43417383.933829606</v>
      </c>
      <c r="S83" s="2">
        <f>S82*(1+((1+VLOOKUP($B83,'IPCA Hist'!$B:$C,2,0))^12 - 1)+$S$2)^(1/252)</f>
        <v>44436932.045058675</v>
      </c>
      <c r="T83" s="2">
        <f>T82*(1+((1+VLOOKUP($B83,'IPCA Hist'!$B:$C,2,0))^12 - 1)+$T$2)^(1/252)</f>
        <v>224453494.78113005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f>AF82*(1+((1+VLOOKUP($B83,'IGPM Hist'!$B:$C,2,0))^12 - 1)+$AF$2)^(1/252)</f>
        <v>1629481.746971389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f>BA82*(1+VLOOKUP(A83,'SELIC Hist'!$A:$C,3,0))^(1/252)</f>
        <v>25812367.393198665</v>
      </c>
      <c r="BB83" s="2">
        <f t="shared" si="10"/>
        <v>713887185.96000481</v>
      </c>
      <c r="BC83" s="2">
        <v>0</v>
      </c>
      <c r="BD83" s="2">
        <v>0</v>
      </c>
      <c r="BE83" s="2">
        <f t="shared" si="19"/>
        <v>227836.71173894405</v>
      </c>
      <c r="BF83" s="2">
        <f t="shared" si="12"/>
        <v>2846142.8796435595</v>
      </c>
      <c r="BG83" s="2">
        <f t="shared" si="13"/>
        <v>13887185.960004807</v>
      </c>
      <c r="BH83" s="11">
        <f t="shared" si="14"/>
        <v>1.026688837541458</v>
      </c>
      <c r="BI83" s="12">
        <f t="shared" si="15"/>
        <v>3.1925135147314876E-4</v>
      </c>
      <c r="BJ83" s="12">
        <f t="shared" si="16"/>
        <v>4.0027828313733416E-3</v>
      </c>
      <c r="BK83" s="12">
        <f t="shared" si="17"/>
        <v>2.668883754145801E-2</v>
      </c>
      <c r="BL83" s="5">
        <f t="shared" si="18"/>
        <v>2.668883754145801E-2</v>
      </c>
      <c r="BM83" s="19" t="s">
        <v>53</v>
      </c>
      <c r="BN83" s="19" t="s">
        <v>53</v>
      </c>
      <c r="BO83" s="19" t="s">
        <v>53</v>
      </c>
    </row>
    <row r="84" spans="1:67" x14ac:dyDescent="0.25">
      <c r="A84" s="1">
        <v>45218</v>
      </c>
      <c r="B84" s="1" t="str">
        <f t="shared" si="11"/>
        <v>202310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f>I83*(1+((1+VLOOKUP($B84,'IPCA Hist'!$B:$C,2,0))^12 - 1)+$I$2)^(1/252)</f>
        <v>200940306.10064164</v>
      </c>
      <c r="J84" s="2">
        <v>0</v>
      </c>
      <c r="K84" s="2">
        <v>0</v>
      </c>
      <c r="L84" s="2">
        <v>0</v>
      </c>
      <c r="M84" s="2">
        <v>0</v>
      </c>
      <c r="N84" s="2">
        <f>N83*(1+((1+VLOOKUP($B84,'IPCA Hist'!$B:$C,2,0))^12 - 1)+$N$2)^(1/252)</f>
        <v>43192800.657053933</v>
      </c>
      <c r="O84" s="2">
        <f>O83*(1+((1+VLOOKUP($B84,'IPCA Hist'!$B:$C,2,0))^12 - 1)+$O$2)^(1/252)</f>
        <v>43210139.610868171</v>
      </c>
      <c r="P84" s="2">
        <f>P83*(1+((1+VLOOKUP($B84,'IPCA Hist'!$B:$C,2,0))^12 - 1)+$P$2)^(1/252)</f>
        <v>43465724.819997393</v>
      </c>
      <c r="Q84" s="2">
        <f>Q83*(1+((1+VLOOKUP($B84,'IPCA Hist'!$B:$C,2,0))^12 - 1)+$Q$2)^(1/252)</f>
        <v>43448263.429974727</v>
      </c>
      <c r="R84" s="2">
        <f>R83*(1+((1+VLOOKUP($B84,'IPCA Hist'!$B:$C,2,0))^12 - 1)+$R$2)^(1/252)</f>
        <v>43430800.903521143</v>
      </c>
      <c r="S84" s="2">
        <f>S83*(1+((1+VLOOKUP($B84,'IPCA Hist'!$B:$C,2,0))^12 - 1)+$S$2)^(1/252)</f>
        <v>44450468.156088166</v>
      </c>
      <c r="T84" s="2">
        <f>T83*(1+((1+VLOOKUP($B84,'IPCA Hist'!$B:$C,2,0))^12 - 1)+$T$2)^(1/252)</f>
        <v>224521783.93760774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f>AF83*(1+((1+VLOOKUP($B84,'IGPM Hist'!$B:$C,2,0))^12 - 1)+$AF$2)^(1/252)</f>
        <v>1630237.2458172645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f>BA83*(1+VLOOKUP(A84,'SELIC Hist'!$A:$C,3,0))^(1/252)</f>
        <v>25824571.279443048</v>
      </c>
      <c r="BB84" s="2">
        <f t="shared" si="10"/>
        <v>714115096.14101315</v>
      </c>
      <c r="BC84" s="2">
        <v>0</v>
      </c>
      <c r="BD84" s="2">
        <v>0</v>
      </c>
      <c r="BE84" s="2">
        <f t="shared" si="19"/>
        <v>227910.18100833893</v>
      </c>
      <c r="BF84" s="2">
        <f t="shared" si="12"/>
        <v>3074053.0606518984</v>
      </c>
      <c r="BG84" s="2">
        <f t="shared" si="13"/>
        <v>14115096.141013145</v>
      </c>
      <c r="BH84" s="11">
        <f t="shared" si="14"/>
        <v>1.0270166103932548</v>
      </c>
      <c r="BI84" s="12">
        <f t="shared" si="15"/>
        <v>3.1925237697305597E-4</v>
      </c>
      <c r="BJ84" s="12">
        <f t="shared" si="16"/>
        <v>4.3233131062798691E-3</v>
      </c>
      <c r="BK84" s="12">
        <f t="shared" si="17"/>
        <v>2.7016610393254759E-2</v>
      </c>
      <c r="BL84" s="5">
        <f t="shared" si="18"/>
        <v>2.7016610393254759E-2</v>
      </c>
      <c r="BM84" s="19" t="s">
        <v>53</v>
      </c>
      <c r="BN84" s="19" t="s">
        <v>53</v>
      </c>
      <c r="BO84" s="19" t="s">
        <v>53</v>
      </c>
    </row>
    <row r="85" spans="1:67" x14ac:dyDescent="0.25">
      <c r="A85" s="1">
        <v>45219</v>
      </c>
      <c r="B85" s="1" t="str">
        <f t="shared" si="11"/>
        <v>202310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f>I84*(1+((1+VLOOKUP($B85,'IPCA Hist'!$B:$C,2,0))^12 - 1)+$I$2)^(1/252)</f>
        <v>201006082.20194247</v>
      </c>
      <c r="J85" s="2">
        <v>0</v>
      </c>
      <c r="K85" s="2">
        <v>0</v>
      </c>
      <c r="L85" s="2">
        <v>0</v>
      </c>
      <c r="M85" s="2">
        <v>0</v>
      </c>
      <c r="N85" s="2">
        <f>N84*(1+((1+VLOOKUP($B85,'IPCA Hist'!$B:$C,2,0))^12 - 1)+$N$2)^(1/252)</f>
        <v>43206385.975819506</v>
      </c>
      <c r="O85" s="2">
        <f>O84*(1+((1+VLOOKUP($B85,'IPCA Hist'!$B:$C,2,0))^12 - 1)+$O$2)^(1/252)</f>
        <v>43223714.537031732</v>
      </c>
      <c r="P85" s="2">
        <f>P84*(1+((1+VLOOKUP($B85,'IPCA Hist'!$B:$C,2,0))^12 - 1)+$P$2)^(1/252)</f>
        <v>43479124.802785017</v>
      </c>
      <c r="Q85" s="2">
        <f>Q84*(1+((1+VLOOKUP($B85,'IPCA Hist'!$B:$C,2,0))^12 - 1)+$Q$2)^(1/252)</f>
        <v>43461673.986613773</v>
      </c>
      <c r="R85" s="2">
        <f>R84*(1+((1+VLOOKUP($B85,'IPCA Hist'!$B:$C,2,0))^12 - 1)+$R$2)^(1/252)</f>
        <v>43444222.019364737</v>
      </c>
      <c r="S85" s="2">
        <f>S84*(1+((1+VLOOKUP($B85,'IPCA Hist'!$B:$C,2,0))^12 - 1)+$S$2)^(1/252)</f>
        <v>44464008.3904064</v>
      </c>
      <c r="T85" s="2">
        <f>T84*(1+((1+VLOOKUP($B85,'IPCA Hist'!$B:$C,2,0))^12 - 1)+$T$2)^(1/252)</f>
        <v>224590093.870812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f>AF84*(1+((1+VLOOKUP($B85,'IGPM Hist'!$B:$C,2,0))^12 - 1)+$AF$2)^(1/252)</f>
        <v>1630993.0949453737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f>BA84*(1+VLOOKUP(A85,'SELIC Hist'!$A:$C,3,0))^(1/252)</f>
        <v>25836780.935589787</v>
      </c>
      <c r="BB85" s="2">
        <f t="shared" si="10"/>
        <v>714343079.81531072</v>
      </c>
      <c r="BC85" s="2">
        <v>0</v>
      </c>
      <c r="BD85" s="2">
        <v>0</v>
      </c>
      <c r="BE85" s="2">
        <f t="shared" si="19"/>
        <v>227983.67429757118</v>
      </c>
      <c r="BF85" s="2">
        <f t="shared" si="12"/>
        <v>3302036.7349494696</v>
      </c>
      <c r="BG85" s="2">
        <f t="shared" si="13"/>
        <v>14343079.815310717</v>
      </c>
      <c r="BH85" s="11">
        <f t="shared" si="14"/>
        <v>1.0273444889406589</v>
      </c>
      <c r="BI85" s="12">
        <f t="shared" si="15"/>
        <v>3.1925340260907653E-4</v>
      </c>
      <c r="BJ85" s="12">
        <f t="shared" si="16"/>
        <v>4.6439467413086355E-3</v>
      </c>
      <c r="BK85" s="12">
        <f t="shared" si="17"/>
        <v>2.7344488940658884E-2</v>
      </c>
      <c r="BL85" s="5">
        <f t="shared" si="18"/>
        <v>2.7344488940658884E-2</v>
      </c>
      <c r="BM85" s="19" t="s">
        <v>53</v>
      </c>
      <c r="BN85" s="19" t="s">
        <v>53</v>
      </c>
      <c r="BO85" s="19" t="s">
        <v>53</v>
      </c>
    </row>
    <row r="86" spans="1:67" x14ac:dyDescent="0.25">
      <c r="A86" s="1">
        <v>45222</v>
      </c>
      <c r="B86" s="1" t="str">
        <f t="shared" si="11"/>
        <v>202310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f>I85*(1+((1+VLOOKUP($B86,'IPCA Hist'!$B:$C,2,0))^12 - 1)+$I$2)^(1/252)</f>
        <v>201071879.83449098</v>
      </c>
      <c r="J86" s="2">
        <v>0</v>
      </c>
      <c r="K86" s="2">
        <v>0</v>
      </c>
      <c r="L86" s="2">
        <v>0</v>
      </c>
      <c r="M86" s="2">
        <v>0</v>
      </c>
      <c r="N86" s="2">
        <f>N85*(1+((1+VLOOKUP($B86,'IPCA Hist'!$B:$C,2,0))^12 - 1)+$N$2)^(1/252)</f>
        <v>43219975.567539908</v>
      </c>
      <c r="O86" s="2">
        <f>O85*(1+((1+VLOOKUP($B86,'IPCA Hist'!$B:$C,2,0))^12 - 1)+$O$2)^(1/252)</f>
        <v>43237293.727903113</v>
      </c>
      <c r="P86" s="2">
        <f>P85*(1+((1+VLOOKUP($B86,'IPCA Hist'!$B:$C,2,0))^12 - 1)+$P$2)^(1/252)</f>
        <v>43492528.916633137</v>
      </c>
      <c r="Q86" s="2">
        <f>Q85*(1+((1+VLOOKUP($B86,'IPCA Hist'!$B:$C,2,0))^12 - 1)+$Q$2)^(1/252)</f>
        <v>43475088.682498328</v>
      </c>
      <c r="R86" s="2">
        <f>R85*(1+((1+VLOOKUP($B86,'IPCA Hist'!$B:$C,2,0))^12 - 1)+$R$2)^(1/252)</f>
        <v>43457647.282641649</v>
      </c>
      <c r="S86" s="2">
        <f>S85*(1+((1+VLOOKUP($B86,'IPCA Hist'!$B:$C,2,0))^12 - 1)+$S$2)^(1/252)</f>
        <v>44477552.749269389</v>
      </c>
      <c r="T86" s="2">
        <f>T85*(1+((1+VLOOKUP($B86,'IPCA Hist'!$B:$C,2,0))^12 - 1)+$T$2)^(1/252)</f>
        <v>224658424.58706409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f>AF85*(1+((1+VLOOKUP($B86,'IGPM Hist'!$B:$C,2,0))^12 - 1)+$AF$2)^(1/252)</f>
        <v>1631749.2945181227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f>BA85*(1+VLOOKUP(A86,'SELIC Hist'!$A:$C,3,0))^(1/252)</f>
        <v>25848996.364366848</v>
      </c>
      <c r="BB86" s="2">
        <f t="shared" si="10"/>
        <v>714571137.00692558</v>
      </c>
      <c r="BC86" s="2">
        <v>0</v>
      </c>
      <c r="BD86" s="2">
        <v>0</v>
      </c>
      <c r="BE86" s="2">
        <f t="shared" si="19"/>
        <v>228057.19161486626</v>
      </c>
      <c r="BF86" s="2">
        <f t="shared" si="12"/>
        <v>3530093.9265643358</v>
      </c>
      <c r="BG86" s="2">
        <f t="shared" si="13"/>
        <v>14571137.006925583</v>
      </c>
      <c r="BH86" s="11">
        <f t="shared" si="14"/>
        <v>1.0276724732182267</v>
      </c>
      <c r="BI86" s="12">
        <f t="shared" si="15"/>
        <v>3.1925442838165452E-4</v>
      </c>
      <c r="BJ86" s="12">
        <f t="shared" si="16"/>
        <v>4.9646837702526092E-3</v>
      </c>
      <c r="BK86" s="12">
        <f t="shared" si="17"/>
        <v>2.7672473218226745E-2</v>
      </c>
      <c r="BL86" s="5">
        <f t="shared" si="18"/>
        <v>2.7672473218226745E-2</v>
      </c>
      <c r="BM86" s="19" t="s">
        <v>53</v>
      </c>
      <c r="BN86" s="19" t="s">
        <v>53</v>
      </c>
      <c r="BO86" s="19" t="s">
        <v>53</v>
      </c>
    </row>
    <row r="87" spans="1:67" x14ac:dyDescent="0.25">
      <c r="A87" s="1">
        <v>45223</v>
      </c>
      <c r="B87" s="1" t="str">
        <f t="shared" si="11"/>
        <v>202310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f>I86*(1+((1+VLOOKUP($B87,'IPCA Hist'!$B:$C,2,0))^12 - 1)+$I$2)^(1/252)</f>
        <v>201137699.00533527</v>
      </c>
      <c r="J87" s="2">
        <v>0</v>
      </c>
      <c r="K87" s="2">
        <v>0</v>
      </c>
      <c r="L87" s="2">
        <v>0</v>
      </c>
      <c r="M87" s="2">
        <v>0</v>
      </c>
      <c r="N87" s="2">
        <f>N86*(1+((1+VLOOKUP($B87,'IPCA Hist'!$B:$C,2,0))^12 - 1)+$N$2)^(1/252)</f>
        <v>43233569.433559097</v>
      </c>
      <c r="O87" s="2">
        <f>O86*(1+((1+VLOOKUP($B87,'IPCA Hist'!$B:$C,2,0))^12 - 1)+$O$2)^(1/252)</f>
        <v>43250877.18482212</v>
      </c>
      <c r="P87" s="2">
        <f>P86*(1+((1+VLOOKUP($B87,'IPCA Hist'!$B:$C,2,0))^12 - 1)+$P$2)^(1/252)</f>
        <v>43505937.16281531</v>
      </c>
      <c r="Q87" s="2">
        <f>Q86*(1+((1+VLOOKUP($B87,'IPCA Hist'!$B:$C,2,0))^12 - 1)+$Q$2)^(1/252)</f>
        <v>43488507.518905997</v>
      </c>
      <c r="R87" s="2">
        <f>R86*(1+((1+VLOOKUP($B87,'IPCA Hist'!$B:$C,2,0))^12 - 1)+$R$2)^(1/252)</f>
        <v>43471076.694633521</v>
      </c>
      <c r="S87" s="2">
        <f>S86*(1+((1+VLOOKUP($B87,'IPCA Hist'!$B:$C,2,0))^12 - 1)+$S$2)^(1/252)</f>
        <v>44491101.233933531</v>
      </c>
      <c r="T87" s="2">
        <f>T86*(1+((1+VLOOKUP($B87,'IPCA Hist'!$B:$C,2,0))^12 - 1)+$T$2)^(1/252)</f>
        <v>224726776.09268719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f>AF86*(1+((1+VLOOKUP($B87,'IGPM Hist'!$B:$C,2,0))^12 - 1)+$AF$2)^(1/252)</f>
        <v>1632505.844697993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f>BA86*(1+VLOOKUP(A87,'SELIC Hist'!$A:$C,3,0))^(1/252)</f>
        <v>25861217.568503484</v>
      </c>
      <c r="BB87" s="2">
        <f t="shared" si="10"/>
        <v>714799267.73989356</v>
      </c>
      <c r="BC87" s="2">
        <v>0</v>
      </c>
      <c r="BD87" s="2">
        <v>0</v>
      </c>
      <c r="BE87" s="2">
        <f t="shared" si="19"/>
        <v>228130.73296797276</v>
      </c>
      <c r="BF87" s="2">
        <f t="shared" si="12"/>
        <v>3758224.6595323086</v>
      </c>
      <c r="BG87" s="2">
        <f t="shared" si="13"/>
        <v>14799267.739893556</v>
      </c>
      <c r="BH87" s="11">
        <f t="shared" si="14"/>
        <v>1.0280005632605258</v>
      </c>
      <c r="BI87" s="12">
        <f t="shared" si="15"/>
        <v>3.1925545429034585E-4</v>
      </c>
      <c r="BJ87" s="12">
        <f t="shared" si="16"/>
        <v>5.2855242269154168E-3</v>
      </c>
      <c r="BK87" s="12">
        <f t="shared" si="17"/>
        <v>2.8000563260525801E-2</v>
      </c>
      <c r="BL87" s="5">
        <f t="shared" si="18"/>
        <v>2.8000563260525801E-2</v>
      </c>
      <c r="BM87" s="19" t="s">
        <v>53</v>
      </c>
      <c r="BN87" s="19" t="s">
        <v>53</v>
      </c>
      <c r="BO87" s="19" t="s">
        <v>53</v>
      </c>
    </row>
    <row r="88" spans="1:67" x14ac:dyDescent="0.25">
      <c r="A88" s="1">
        <v>45224</v>
      </c>
      <c r="B88" s="1" t="str">
        <f t="shared" si="11"/>
        <v>202310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f>I87*(1+((1+VLOOKUP($B88,'IPCA Hist'!$B:$C,2,0))^12 - 1)+$I$2)^(1/252)</f>
        <v>201203539.7215257</v>
      </c>
      <c r="J88" s="2">
        <v>0</v>
      </c>
      <c r="K88" s="2">
        <v>0</v>
      </c>
      <c r="L88" s="2">
        <v>0</v>
      </c>
      <c r="M88" s="2">
        <v>0</v>
      </c>
      <c r="N88" s="2">
        <f>N87*(1+((1+VLOOKUP($B88,'IPCA Hist'!$B:$C,2,0))^12 - 1)+$N$2)^(1/252)</f>
        <v>43247167.575221457</v>
      </c>
      <c r="O88" s="2">
        <f>O87*(1+((1+VLOOKUP($B88,'IPCA Hist'!$B:$C,2,0))^12 - 1)+$O$2)^(1/252)</f>
        <v>43264464.909128979</v>
      </c>
      <c r="P88" s="2">
        <f>P87*(1+((1+VLOOKUP($B88,'IPCA Hist'!$B:$C,2,0))^12 - 1)+$P$2)^(1/252)</f>
        <v>43519349.542605489</v>
      </c>
      <c r="Q88" s="2">
        <f>Q87*(1+((1+VLOOKUP($B88,'IPCA Hist'!$B:$C,2,0))^12 - 1)+$Q$2)^(1/252)</f>
        <v>43501930.497114778</v>
      </c>
      <c r="R88" s="2">
        <f>R87*(1+((1+VLOOKUP($B88,'IPCA Hist'!$B:$C,2,0))^12 - 1)+$R$2)^(1/252)</f>
        <v>43484510.256622411</v>
      </c>
      <c r="S88" s="2">
        <f>S87*(1+((1+VLOOKUP($B88,'IPCA Hist'!$B:$C,2,0))^12 - 1)+$S$2)^(1/252)</f>
        <v>44504653.845655605</v>
      </c>
      <c r="T88" s="2">
        <f>T87*(1+((1+VLOOKUP($B88,'IPCA Hist'!$B:$C,2,0))^12 - 1)+$T$2)^(1/252)</f>
        <v>224795148.39400637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f>AF87*(1+((1+VLOOKUP($B88,'IGPM Hist'!$B:$C,2,0))^12 - 1)+$AF$2)^(1/252)</f>
        <v>1633262.7456475412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f>BA87*(1+VLOOKUP(A88,'SELIC Hist'!$A:$C,3,0))^(1/252)</f>
        <v>25873444.550730243</v>
      </c>
      <c r="BB88" s="2">
        <f t="shared" si="10"/>
        <v>715027472.03825867</v>
      </c>
      <c r="BC88" s="2">
        <v>0</v>
      </c>
      <c r="BD88" s="2">
        <v>0</v>
      </c>
      <c r="BE88" s="2">
        <f t="shared" si="19"/>
        <v>228204.29836511612</v>
      </c>
      <c r="BF88" s="2">
        <f t="shared" si="12"/>
        <v>3986428.9578974247</v>
      </c>
      <c r="BG88" s="2">
        <f t="shared" si="13"/>
        <v>15027472.038258672</v>
      </c>
      <c r="BH88" s="11">
        <f t="shared" si="14"/>
        <v>1.0283287591021353</v>
      </c>
      <c r="BI88" s="12">
        <f t="shared" si="15"/>
        <v>3.1925648033559462E-4</v>
      </c>
      <c r="BJ88" s="12">
        <f t="shared" si="16"/>
        <v>5.6064681451124532E-3</v>
      </c>
      <c r="BK88" s="12">
        <f t="shared" si="17"/>
        <v>2.8328759102135281E-2</v>
      </c>
      <c r="BL88" s="5">
        <f t="shared" si="18"/>
        <v>2.8328759102135281E-2</v>
      </c>
      <c r="BM88" s="19" t="s">
        <v>53</v>
      </c>
      <c r="BN88" s="19" t="s">
        <v>53</v>
      </c>
      <c r="BO88" s="19" t="s">
        <v>53</v>
      </c>
    </row>
    <row r="89" spans="1:67" x14ac:dyDescent="0.25">
      <c r="A89" s="1">
        <v>45225</v>
      </c>
      <c r="B89" s="1" t="str">
        <f t="shared" si="11"/>
        <v>202310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f>I88*(1+((1+VLOOKUP($B89,'IPCA Hist'!$B:$C,2,0))^12 - 1)+$I$2)^(1/252)</f>
        <v>201269401.99011496</v>
      </c>
      <c r="J89" s="2">
        <v>0</v>
      </c>
      <c r="K89" s="2">
        <v>0</v>
      </c>
      <c r="L89" s="2">
        <v>0</v>
      </c>
      <c r="M89" s="2">
        <v>0</v>
      </c>
      <c r="N89" s="2">
        <f>N88*(1+((1+VLOOKUP($B89,'IPCA Hist'!$B:$C,2,0))^12 - 1)+$N$2)^(1/252)</f>
        <v>43260769.993871793</v>
      </c>
      <c r="O89" s="2">
        <f>O88*(1+((1+VLOOKUP($B89,'IPCA Hist'!$B:$C,2,0))^12 - 1)+$O$2)^(1/252)</f>
        <v>43278056.902164333</v>
      </c>
      <c r="P89" s="2">
        <f>P88*(1+((1+VLOOKUP($B89,'IPCA Hist'!$B:$C,2,0))^12 - 1)+$P$2)^(1/252)</f>
        <v>43532766.057278015</v>
      </c>
      <c r="Q89" s="2">
        <f>Q88*(1+((1+VLOOKUP($B89,'IPCA Hist'!$B:$C,2,0))^12 - 1)+$Q$2)^(1/252)</f>
        <v>43515357.618403055</v>
      </c>
      <c r="R89" s="2">
        <f>R88*(1+((1+VLOOKUP($B89,'IPCA Hist'!$B:$C,2,0))^12 - 1)+$R$2)^(1/252)</f>
        <v>43497947.969890758</v>
      </c>
      <c r="S89" s="2">
        <f>S88*(1+((1+VLOOKUP($B89,'IPCA Hist'!$B:$C,2,0))^12 - 1)+$S$2)^(1/252)</f>
        <v>44518210.585692763</v>
      </c>
      <c r="T89" s="2">
        <f>T88*(1+((1+VLOOKUP($B89,'IPCA Hist'!$B:$C,2,0))^12 - 1)+$T$2)^(1/252)</f>
        <v>224863541.49734867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f>AF88*(1+((1+VLOOKUP($B89,'IGPM Hist'!$B:$C,2,0))^12 - 1)+$AF$2)^(1/252)</f>
        <v>1634019.9975293998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f>BA88*(1+VLOOKUP(A89,'SELIC Hist'!$A:$C,3,0))^(1/252)</f>
        <v>25885677.313778959</v>
      </c>
      <c r="BB89" s="2">
        <f t="shared" si="10"/>
        <v>715255749.92607284</v>
      </c>
      <c r="BC89" s="2">
        <v>0</v>
      </c>
      <c r="BD89" s="2">
        <v>0</v>
      </c>
      <c r="BE89" s="2">
        <f t="shared" si="19"/>
        <v>228277.88781416416</v>
      </c>
      <c r="BF89" s="2">
        <f t="shared" si="12"/>
        <v>4214706.8457115889</v>
      </c>
      <c r="BG89" s="2">
        <f t="shared" si="13"/>
        <v>15255749.926072836</v>
      </c>
      <c r="BH89" s="11">
        <f t="shared" si="14"/>
        <v>1.0286570607776462</v>
      </c>
      <c r="BI89" s="12">
        <f t="shared" si="15"/>
        <v>3.1925750651717877E-4</v>
      </c>
      <c r="BJ89" s="12">
        <f t="shared" si="16"/>
        <v>5.9275155586699935E-3</v>
      </c>
      <c r="BK89" s="12">
        <f t="shared" si="17"/>
        <v>2.8657060777646182E-2</v>
      </c>
      <c r="BL89" s="5">
        <f t="shared" si="18"/>
        <v>2.8657060777646182E-2</v>
      </c>
      <c r="BM89" s="19" t="s">
        <v>53</v>
      </c>
      <c r="BN89" s="19" t="s">
        <v>53</v>
      </c>
      <c r="BO89" s="19" t="s">
        <v>53</v>
      </c>
    </row>
    <row r="90" spans="1:67" x14ac:dyDescent="0.25">
      <c r="A90" s="1">
        <v>45226</v>
      </c>
      <c r="B90" s="1" t="str">
        <f t="shared" si="11"/>
        <v>202310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f>I89*(1+((1+VLOOKUP($B90,'IPCA Hist'!$B:$C,2,0))^12 - 1)+$I$2)^(1/252)</f>
        <v>201335285.81815803</v>
      </c>
      <c r="J90" s="2">
        <v>0</v>
      </c>
      <c r="K90" s="2">
        <v>0</v>
      </c>
      <c r="L90" s="2">
        <v>0</v>
      </c>
      <c r="M90" s="2">
        <v>0</v>
      </c>
      <c r="N90" s="2">
        <f>N89*(1+((1+VLOOKUP($B90,'IPCA Hist'!$B:$C,2,0))^12 - 1)+$N$2)^(1/252)</f>
        <v>43274376.690855332</v>
      </c>
      <c r="O90" s="2">
        <f>O89*(1+((1+VLOOKUP($B90,'IPCA Hist'!$B:$C,2,0))^12 - 1)+$O$2)^(1/252)</f>
        <v>43291653.165269241</v>
      </c>
      <c r="P90" s="2">
        <f>P89*(1+((1+VLOOKUP($B90,'IPCA Hist'!$B:$C,2,0))^12 - 1)+$P$2)^(1/252)</f>
        <v>43546186.708107628</v>
      </c>
      <c r="Q90" s="2">
        <f>Q89*(1+((1+VLOOKUP($B90,'IPCA Hist'!$B:$C,2,0))^12 - 1)+$Q$2)^(1/252)</f>
        <v>43528788.884049617</v>
      </c>
      <c r="R90" s="2">
        <f>R89*(1+((1+VLOOKUP($B90,'IPCA Hist'!$B:$C,2,0))^12 - 1)+$R$2)^(1/252)</f>
        <v>43511389.835721403</v>
      </c>
      <c r="S90" s="2">
        <f>S89*(1+((1+VLOOKUP($B90,'IPCA Hist'!$B:$C,2,0))^12 - 1)+$S$2)^(1/252)</f>
        <v>44531771.455302551</v>
      </c>
      <c r="T90" s="2">
        <f>T89*(1+((1+VLOOKUP($B90,'IPCA Hist'!$B:$C,2,0))^12 - 1)+$T$2)^(1/252)</f>
        <v>224931955.40904298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f>AF89*(1+((1+VLOOKUP($B90,'IGPM Hist'!$B:$C,2,0))^12 - 1)+$AF$2)^(1/252)</f>
        <v>1634777.6005062759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f>BA89*(1+VLOOKUP(A90,'SELIC Hist'!$A:$C,3,0))^(1/252)</f>
        <v>25897915.860382762</v>
      </c>
      <c r="BB90" s="2">
        <f t="shared" si="10"/>
        <v>715484101.42739594</v>
      </c>
      <c r="BC90" s="2">
        <v>0</v>
      </c>
      <c r="BD90" s="2">
        <v>0</v>
      </c>
      <c r="BE90" s="2">
        <f t="shared" si="19"/>
        <v>228351.5013231039</v>
      </c>
      <c r="BF90" s="2">
        <f t="shared" si="12"/>
        <v>4443058.3470346928</v>
      </c>
      <c r="BG90" s="2">
        <f t="shared" si="13"/>
        <v>15484101.42739594</v>
      </c>
      <c r="BH90" s="11">
        <f t="shared" si="14"/>
        <v>1.0289854683216604</v>
      </c>
      <c r="BI90" s="12">
        <f t="shared" si="15"/>
        <v>3.1925853283487626E-4</v>
      </c>
      <c r="BJ90" s="12">
        <f t="shared" si="16"/>
        <v>6.248666501425415E-3</v>
      </c>
      <c r="BK90" s="12">
        <f t="shared" si="17"/>
        <v>2.8985468321660379E-2</v>
      </c>
      <c r="BL90" s="5">
        <f t="shared" si="18"/>
        <v>2.8985468321660379E-2</v>
      </c>
      <c r="BM90" s="19" t="s">
        <v>53</v>
      </c>
      <c r="BN90" s="19" t="s">
        <v>53</v>
      </c>
      <c r="BO90" s="19" t="s">
        <v>53</v>
      </c>
    </row>
    <row r="91" spans="1:67" x14ac:dyDescent="0.25">
      <c r="A91" s="1">
        <v>45229</v>
      </c>
      <c r="B91" s="1" t="str">
        <f t="shared" si="11"/>
        <v>202310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f>I90*(1+((1+VLOOKUP($B91,'IPCA Hist'!$B:$C,2,0))^12 - 1)+$I$2)^(1/252)</f>
        <v>201401191.21271223</v>
      </c>
      <c r="J91" s="2">
        <v>0</v>
      </c>
      <c r="K91" s="2">
        <v>0</v>
      </c>
      <c r="L91" s="2">
        <v>0</v>
      </c>
      <c r="M91" s="2">
        <v>0</v>
      </c>
      <c r="N91" s="2">
        <f>N90*(1+((1+VLOOKUP($B91,'IPCA Hist'!$B:$C,2,0))^12 - 1)+$N$2)^(1/252)</f>
        <v>43287987.667517729</v>
      </c>
      <c r="O91" s="2">
        <f>O90*(1+((1+VLOOKUP($B91,'IPCA Hist'!$B:$C,2,0))^12 - 1)+$O$2)^(1/252)</f>
        <v>43305253.699785203</v>
      </c>
      <c r="P91" s="2">
        <f>P90*(1+((1+VLOOKUP($B91,'IPCA Hist'!$B:$C,2,0))^12 - 1)+$P$2)^(1/252)</f>
        <v>43559611.496369451</v>
      </c>
      <c r="Q91" s="2">
        <f>Q90*(1+((1+VLOOKUP($B91,'IPCA Hist'!$B:$C,2,0))^12 - 1)+$Q$2)^(1/252)</f>
        <v>43542224.295333646</v>
      </c>
      <c r="R91" s="2">
        <f>R90*(1+((1+VLOOKUP($B91,'IPCA Hist'!$B:$C,2,0))^12 - 1)+$R$2)^(1/252)</f>
        <v>43524835.855397582</v>
      </c>
      <c r="S91" s="2">
        <f>S90*(1+((1+VLOOKUP($B91,'IPCA Hist'!$B:$C,2,0))^12 - 1)+$S$2)^(1/252)</f>
        <v>44545336.455742896</v>
      </c>
      <c r="T91" s="2">
        <f>T90*(1+((1+VLOOKUP($B91,'IPCA Hist'!$B:$C,2,0))^12 - 1)+$T$2)^(1/252)</f>
        <v>225000390.1354202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f>AF90*(1+((1+VLOOKUP($B91,'IGPM Hist'!$B:$C,2,0))^12 - 1)+$AF$2)^(1/252)</f>
        <v>1635535.5547409528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f>BA90*(1+VLOOKUP(A91,'SELIC Hist'!$A:$C,3,0))^(1/252)</f>
        <v>25910160.19327607</v>
      </c>
      <c r="BB91" s="2">
        <f t="shared" si="10"/>
        <v>715712526.56629598</v>
      </c>
      <c r="BC91" s="2">
        <v>0</v>
      </c>
      <c r="BD91" s="2">
        <v>0</v>
      </c>
      <c r="BE91" s="2">
        <f t="shared" si="19"/>
        <v>228425.13890004158</v>
      </c>
      <c r="BF91" s="2">
        <f t="shared" si="12"/>
        <v>4671483.4859347343</v>
      </c>
      <c r="BG91" s="2">
        <f t="shared" si="13"/>
        <v>15712526.566295981</v>
      </c>
      <c r="BH91" s="11">
        <f t="shared" si="14"/>
        <v>1.0293139817687917</v>
      </c>
      <c r="BI91" s="12">
        <f t="shared" si="15"/>
        <v>3.1925955928913119E-4</v>
      </c>
      <c r="BJ91" s="12">
        <f t="shared" si="16"/>
        <v>6.5699210072278635E-3</v>
      </c>
      <c r="BK91" s="12">
        <f t="shared" si="17"/>
        <v>2.9313981768791741E-2</v>
      </c>
      <c r="BL91" s="5">
        <f t="shared" si="18"/>
        <v>2.9313981768791741E-2</v>
      </c>
      <c r="BM91" s="19" t="s">
        <v>53</v>
      </c>
      <c r="BN91" s="19" t="s">
        <v>53</v>
      </c>
      <c r="BO91" s="19" t="s">
        <v>53</v>
      </c>
    </row>
    <row r="92" spans="1:67" x14ac:dyDescent="0.25">
      <c r="A92" s="1">
        <v>45230</v>
      </c>
      <c r="B92" s="1" t="str">
        <f t="shared" si="11"/>
        <v>202310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f>I91*(1+((1+VLOOKUP($B92,'IPCA Hist'!$B:$C,2,0))^12 - 1)+$I$2)^(1/252)</f>
        <v>201467118.18083718</v>
      </c>
      <c r="J92" s="2">
        <v>0</v>
      </c>
      <c r="K92" s="2">
        <v>0</v>
      </c>
      <c r="L92" s="2">
        <v>0</v>
      </c>
      <c r="M92" s="2">
        <v>0</v>
      </c>
      <c r="N92" s="2">
        <f>N91*(1+((1+VLOOKUP($B92,'IPCA Hist'!$B:$C,2,0))^12 - 1)+$N$2)^(1/252)</f>
        <v>43301602.925205067</v>
      </c>
      <c r="O92" s="2">
        <f>O91*(1+((1+VLOOKUP($B92,'IPCA Hist'!$B:$C,2,0))^12 - 1)+$O$2)^(1/252)</f>
        <v>43318858.50705412</v>
      </c>
      <c r="P92" s="2">
        <f>P91*(1+((1+VLOOKUP($B92,'IPCA Hist'!$B:$C,2,0))^12 - 1)+$P$2)^(1/252)</f>
        <v>43573040.423339017</v>
      </c>
      <c r="Q92" s="2">
        <f>Q91*(1+((1+VLOOKUP($B92,'IPCA Hist'!$B:$C,2,0))^12 - 1)+$Q$2)^(1/252)</f>
        <v>43555663.853534713</v>
      </c>
      <c r="R92" s="2">
        <f>R91*(1+((1+VLOOKUP($B92,'IPCA Hist'!$B:$C,2,0))^12 - 1)+$R$2)^(1/252)</f>
        <v>43538286.030202933</v>
      </c>
      <c r="S92" s="2">
        <f>S91*(1+((1+VLOOKUP($B92,'IPCA Hist'!$B:$C,2,0))^12 - 1)+$S$2)^(1/252)</f>
        <v>44558905.588272102</v>
      </c>
      <c r="T92" s="2">
        <f>T91*(1+((1+VLOOKUP($B92,'IPCA Hist'!$B:$C,2,0))^12 - 1)+$T$2)^(1/252)</f>
        <v>225068845.68281314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f>AF91*(1+((1+VLOOKUP($B92,'IGPM Hist'!$B:$C,2,0))^12 - 1)+$AF$2)^(1/252)</f>
        <v>1636293.8603962888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f>BA91*(1+VLOOKUP(A92,'SELIC Hist'!$A:$C,3,0))^(1/252)</f>
        <v>25922410.315194596</v>
      </c>
      <c r="BB92" s="2">
        <f t="shared" si="10"/>
        <v>715941025.36684906</v>
      </c>
      <c r="BC92" s="2">
        <v>0</v>
      </c>
      <c r="BD92" s="2">
        <v>0</v>
      </c>
      <c r="BE92" s="2">
        <f t="shared" si="19"/>
        <v>228498.80055308342</v>
      </c>
      <c r="BF92" s="2">
        <f t="shared" si="12"/>
        <v>4899982.2864878178</v>
      </c>
      <c r="BG92" s="2">
        <f t="shared" si="13"/>
        <v>15941025.366849065</v>
      </c>
      <c r="BH92" s="11">
        <f t="shared" si="14"/>
        <v>1.0296426011536655</v>
      </c>
      <c r="BI92" s="12">
        <f t="shared" si="15"/>
        <v>3.192605858797215E-4</v>
      </c>
      <c r="BJ92" s="12">
        <f t="shared" si="16"/>
        <v>6.891279109937587E-3</v>
      </c>
      <c r="BK92" s="12">
        <f t="shared" si="17"/>
        <v>2.964260115366546E-2</v>
      </c>
      <c r="BL92" s="5">
        <f t="shared" si="18"/>
        <v>2.964260115366546E-2</v>
      </c>
      <c r="BM92" s="19" t="s">
        <v>53</v>
      </c>
      <c r="BN92" s="19" t="s">
        <v>53</v>
      </c>
      <c r="BO92" s="19" t="s">
        <v>53</v>
      </c>
    </row>
    <row r="93" spans="1:67" x14ac:dyDescent="0.25">
      <c r="A93" s="1">
        <v>45231</v>
      </c>
      <c r="B93" s="1" t="str">
        <f t="shared" si="11"/>
        <v>202311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f>I92*(1+((1+VLOOKUP($B93,'IPCA Hist'!$B:$C,2,0))^12 - 1)+$I$2)^(1/252)</f>
        <v>201536695.76404548</v>
      </c>
      <c r="J93" s="2">
        <v>0</v>
      </c>
      <c r="K93" s="2">
        <v>0</v>
      </c>
      <c r="L93" s="2">
        <v>0</v>
      </c>
      <c r="M93" s="2">
        <v>0</v>
      </c>
      <c r="N93" s="2">
        <f>N92*(1+((1+VLOOKUP($B93,'IPCA Hist'!$B:$C,2,0))^12 - 1)+$N$2)^(1/252)</f>
        <v>43316004.964843556</v>
      </c>
      <c r="O93" s="2">
        <f>O92*(1+((1+VLOOKUP($B93,'IPCA Hist'!$B:$C,2,0))^12 - 1)+$O$2)^(1/252)</f>
        <v>43333250.471695058</v>
      </c>
      <c r="P93" s="2">
        <f>P92*(1+((1+VLOOKUP($B93,'IPCA Hist'!$B:$C,2,0))^12 - 1)+$P$2)^(1/252)</f>
        <v>43587262.125815637</v>
      </c>
      <c r="Q93" s="2">
        <f>Q92*(1+((1+VLOOKUP($B93,'IPCA Hist'!$B:$C,2,0))^12 - 1)+$Q$2)^(1/252)</f>
        <v>43569895.808475874</v>
      </c>
      <c r="R93" s="2">
        <f>R92*(1+((1+VLOOKUP($B93,'IPCA Hist'!$B:$C,2,0))^12 - 1)+$R$2)^(1/252)</f>
        <v>43552528.223032743</v>
      </c>
      <c r="S93" s="2">
        <f>S92*(1+((1+VLOOKUP($B93,'IPCA Hist'!$B:$C,2,0))^12 - 1)+$S$2)^(1/252)</f>
        <v>44573286.075242028</v>
      </c>
      <c r="T93" s="2">
        <f>T92*(1+((1+VLOOKUP($B93,'IPCA Hist'!$B:$C,2,0))^12 - 1)+$T$2)^(1/252)</f>
        <v>225141399.73943904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f>AF92*(1+((1+VLOOKUP($B93,'IGPM Hist'!$B:$C,2,0))^12 - 1)+$AF$2)^(1/252)</f>
        <v>1637122.223797505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f>BA92*(1+VLOOKUP(A93,'SELIC Hist'!$A:$C,3,0))^(1/252)</f>
        <v>25934208.423699453</v>
      </c>
      <c r="BB93" s="2">
        <f t="shared" si="10"/>
        <v>716181653.82008648</v>
      </c>
      <c r="BC93" s="2">
        <v>0</v>
      </c>
      <c r="BD93" s="2">
        <v>0</v>
      </c>
      <c r="BE93" s="2">
        <f t="shared" si="19"/>
        <v>240628.45323741436</v>
      </c>
      <c r="BF93" s="2">
        <f t="shared" si="12"/>
        <v>240628.45323741436</v>
      </c>
      <c r="BG93" s="2">
        <f t="shared" si="13"/>
        <v>16181653.820086479</v>
      </c>
      <c r="BH93" s="11">
        <f t="shared" si="14"/>
        <v>1.0299886650021173</v>
      </c>
      <c r="BI93" s="12">
        <f t="shared" si="15"/>
        <v>3.3610094227265463E-4</v>
      </c>
      <c r="BJ93" s="12">
        <f t="shared" si="16"/>
        <v>3.3610094227265463E-4</v>
      </c>
      <c r="BK93" s="12">
        <f t="shared" si="17"/>
        <v>2.9988665002117276E-2</v>
      </c>
      <c r="BL93" s="5">
        <f t="shared" si="18"/>
        <v>2.9988665002117276E-2</v>
      </c>
      <c r="BM93" s="19" t="s">
        <v>53</v>
      </c>
      <c r="BN93" s="19" t="s">
        <v>53</v>
      </c>
      <c r="BO93" s="19" t="s">
        <v>53</v>
      </c>
    </row>
    <row r="94" spans="1:67" x14ac:dyDescent="0.25">
      <c r="A94" s="1">
        <v>45233</v>
      </c>
      <c r="B94" s="1" t="str">
        <f t="shared" si="11"/>
        <v>202311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f>I93*(1+((1+VLOOKUP($B94,'IPCA Hist'!$B:$C,2,0))^12 - 1)+$I$2)^(1/252)</f>
        <v>201606297.37618774</v>
      </c>
      <c r="J94" s="2">
        <v>0</v>
      </c>
      <c r="K94" s="2">
        <v>0</v>
      </c>
      <c r="L94" s="2">
        <v>0</v>
      </c>
      <c r="M94" s="2">
        <v>0</v>
      </c>
      <c r="N94" s="2">
        <f>N93*(1+((1+VLOOKUP($B94,'IPCA Hist'!$B:$C,2,0))^12 - 1)+$N$2)^(1/252)</f>
        <v>43330411.794575989</v>
      </c>
      <c r="O94" s="2">
        <f>O93*(1+((1+VLOOKUP($B94,'IPCA Hist'!$B:$C,2,0))^12 - 1)+$O$2)^(1/252)</f>
        <v>43347647.217825018</v>
      </c>
      <c r="P94" s="2">
        <f>P93*(1+((1+VLOOKUP($B94,'IPCA Hist'!$B:$C,2,0))^12 - 1)+$P$2)^(1/252)</f>
        <v>43601488.470080376</v>
      </c>
      <c r="Q94" s="2">
        <f>Q93*(1+((1+VLOOKUP($B94,'IPCA Hist'!$B:$C,2,0))^12 - 1)+$Q$2)^(1/252)</f>
        <v>43584132.413754642</v>
      </c>
      <c r="R94" s="2">
        <f>R93*(1+((1+VLOOKUP($B94,'IPCA Hist'!$B:$C,2,0))^12 - 1)+$R$2)^(1/252)</f>
        <v>43566775.074751891</v>
      </c>
      <c r="S94" s="2">
        <f>S93*(1+((1+VLOOKUP($B94,'IPCA Hist'!$B:$C,2,0))^12 - 1)+$S$2)^(1/252)</f>
        <v>44587671.203223728</v>
      </c>
      <c r="T94" s="2">
        <f>T93*(1+((1+VLOOKUP($B94,'IPCA Hist'!$B:$C,2,0))^12 - 1)+$T$2)^(1/252)</f>
        <v>225213977.18486902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f>AF93*(1+((1+VLOOKUP($B94,'IGPM Hist'!$B:$C,2,0))^12 - 1)+$AF$2)^(1/252)</f>
        <v>1637951.0065524457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f>BA93*(1+VLOOKUP(A94,'SELIC Hist'!$A:$C,3,0))^(1/252)</f>
        <v>25946011.901896503</v>
      </c>
      <c r="BB94" s="2">
        <f t="shared" si="10"/>
        <v>716422363.64371729</v>
      </c>
      <c r="BC94" s="2">
        <v>0</v>
      </c>
      <c r="BD94" s="2">
        <v>0</v>
      </c>
      <c r="BE94" s="2">
        <f t="shared" si="19"/>
        <v>240709.82363080978</v>
      </c>
      <c r="BF94" s="2">
        <f t="shared" si="12"/>
        <v>481338.27686822414</v>
      </c>
      <c r="BG94" s="2">
        <f t="shared" si="13"/>
        <v>16422363.643717289</v>
      </c>
      <c r="BH94" s="11">
        <f t="shared" si="14"/>
        <v>1.0303348458747659</v>
      </c>
      <c r="BI94" s="12">
        <f t="shared" si="15"/>
        <v>3.3610163335917598E-4</v>
      </c>
      <c r="BJ94" s="12">
        <f t="shared" si="16"/>
        <v>6.7231553970747981E-4</v>
      </c>
      <c r="BK94" s="12">
        <f t="shared" si="17"/>
        <v>3.033484587476587E-2</v>
      </c>
      <c r="BL94" s="5">
        <f t="shared" si="18"/>
        <v>3.033484587476587E-2</v>
      </c>
      <c r="BM94" s="19" t="s">
        <v>53</v>
      </c>
      <c r="BN94" s="19" t="s">
        <v>53</v>
      </c>
      <c r="BO94" s="19" t="s">
        <v>53</v>
      </c>
    </row>
    <row r="95" spans="1:67" x14ac:dyDescent="0.25">
      <c r="A95" s="1">
        <v>45236</v>
      </c>
      <c r="B95" s="1" t="str">
        <f t="shared" si="11"/>
        <v>202311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f>I94*(1+((1+VLOOKUP($B95,'IPCA Hist'!$B:$C,2,0))^12 - 1)+$I$2)^(1/252)</f>
        <v>201675923.02556252</v>
      </c>
      <c r="J95" s="2">
        <v>0</v>
      </c>
      <c r="K95" s="2">
        <v>0</v>
      </c>
      <c r="L95" s="2">
        <v>0</v>
      </c>
      <c r="M95" s="2">
        <v>0</v>
      </c>
      <c r="N95" s="2">
        <f>N94*(1+((1+VLOOKUP($B95,'IPCA Hist'!$B:$C,2,0))^12 - 1)+$N$2)^(1/252)</f>
        <v>43344823.415995538</v>
      </c>
      <c r="O95" s="2">
        <f>O94*(1+((1+VLOOKUP($B95,'IPCA Hist'!$B:$C,2,0))^12 - 1)+$O$2)^(1/252)</f>
        <v>43362048.747032568</v>
      </c>
      <c r="P95" s="2">
        <f>P94*(1+((1+VLOOKUP($B95,'IPCA Hist'!$B:$C,2,0))^12 - 1)+$P$2)^(1/252)</f>
        <v>43615719.457648255</v>
      </c>
      <c r="Q95" s="2">
        <f>Q94*(1+((1+VLOOKUP($B95,'IPCA Hist'!$B:$C,2,0))^12 - 1)+$Q$2)^(1/252)</f>
        <v>43598373.670890525</v>
      </c>
      <c r="R95" s="2">
        <f>R94*(1+((1+VLOOKUP($B95,'IPCA Hist'!$B:$C,2,0))^12 - 1)+$R$2)^(1/252)</f>
        <v>43581026.586884394</v>
      </c>
      <c r="S95" s="2">
        <f>S94*(1+((1+VLOOKUP($B95,'IPCA Hist'!$B:$C,2,0))^12 - 1)+$S$2)^(1/252)</f>
        <v>44602060.973715</v>
      </c>
      <c r="T95" s="2">
        <f>T94*(1+((1+VLOOKUP($B95,'IPCA Hist'!$B:$C,2,0))^12 - 1)+$T$2)^(1/252)</f>
        <v>225286578.02664277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f>AF94*(1+((1+VLOOKUP($B95,'IGPM Hist'!$B:$C,2,0))^12 - 1)+$AF$2)^(1/252)</f>
        <v>1638780.2088734058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f>BA94*(1+VLOOKUP(A95,'SELIC Hist'!$A:$C,3,0))^(1/252)</f>
        <v>25957820.752229664</v>
      </c>
      <c r="BB95" s="2">
        <f t="shared" si="10"/>
        <v>716663154.8654747</v>
      </c>
      <c r="BC95" s="2">
        <v>0</v>
      </c>
      <c r="BD95" s="2">
        <v>0</v>
      </c>
      <c r="BE95" s="2">
        <f t="shared" si="19"/>
        <v>240791.22175741196</v>
      </c>
      <c r="BF95" s="2">
        <f t="shared" si="12"/>
        <v>722129.4986256361</v>
      </c>
      <c r="BG95" s="2">
        <f t="shared" si="13"/>
        <v>16663154.865474701</v>
      </c>
      <c r="BH95" s="11">
        <f t="shared" si="14"/>
        <v>1.0306811438114964</v>
      </c>
      <c r="BI95" s="12">
        <f t="shared" si="15"/>
        <v>3.3610232451808386E-4</v>
      </c>
      <c r="BJ95" s="12">
        <f t="shared" si="16"/>
        <v>1.0086438310412671E-3</v>
      </c>
      <c r="BK95" s="12">
        <f t="shared" si="17"/>
        <v>3.0681143811496447E-2</v>
      </c>
      <c r="BL95" s="5">
        <f t="shared" si="18"/>
        <v>3.0681143811496447E-2</v>
      </c>
      <c r="BM95" s="19" t="s">
        <v>53</v>
      </c>
      <c r="BN95" s="19" t="s">
        <v>53</v>
      </c>
      <c r="BO95" s="19" t="s">
        <v>53</v>
      </c>
    </row>
    <row r="96" spans="1:67" x14ac:dyDescent="0.25">
      <c r="A96" s="1">
        <v>45237</v>
      </c>
      <c r="B96" s="1" t="str">
        <f t="shared" si="11"/>
        <v>202311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f>I95*(1+((1+VLOOKUP($B96,'IPCA Hist'!$B:$C,2,0))^12 - 1)+$I$2)^(1/252)</f>
        <v>201745572.72047117</v>
      </c>
      <c r="J96" s="2">
        <v>0</v>
      </c>
      <c r="K96" s="2">
        <v>0</v>
      </c>
      <c r="L96" s="2">
        <v>0</v>
      </c>
      <c r="M96" s="2">
        <v>0</v>
      </c>
      <c r="N96" s="2">
        <f>N95*(1+((1+VLOOKUP($B96,'IPCA Hist'!$B:$C,2,0))^12 - 1)+$N$2)^(1/252)</f>
        <v>43359239.830695905</v>
      </c>
      <c r="O96" s="2">
        <f>O95*(1+((1+VLOOKUP($B96,'IPCA Hist'!$B:$C,2,0))^12 - 1)+$O$2)^(1/252)</f>
        <v>43376455.060906798</v>
      </c>
      <c r="P96" s="2">
        <f>P95*(1+((1+VLOOKUP($B96,'IPCA Hist'!$B:$C,2,0))^12 - 1)+$P$2)^(1/252)</f>
        <v>43629955.090034798</v>
      </c>
      <c r="Q96" s="2">
        <f>Q95*(1+((1+VLOOKUP($B96,'IPCA Hist'!$B:$C,2,0))^12 - 1)+$Q$2)^(1/252)</f>
        <v>43612619.581403531</v>
      </c>
      <c r="R96" s="2">
        <f>R95*(1+((1+VLOOKUP($B96,'IPCA Hist'!$B:$C,2,0))^12 - 1)+$R$2)^(1/252)</f>
        <v>43595282.760954753</v>
      </c>
      <c r="S96" s="2">
        <f>S95*(1+((1+VLOOKUP($B96,'IPCA Hist'!$B:$C,2,0))^12 - 1)+$S$2)^(1/252)</f>
        <v>44616455.388214111</v>
      </c>
      <c r="T96" s="2">
        <f>T95*(1+((1+VLOOKUP($B96,'IPCA Hist'!$B:$C,2,0))^12 - 1)+$T$2)^(1/252)</f>
        <v>225359202.27230242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f>AF95*(1+((1+VLOOKUP($B96,'IGPM Hist'!$B:$C,2,0))^12 - 1)+$AF$2)^(1/252)</f>
        <v>1639609.8309727882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f>BA95*(1+VLOOKUP(A96,'SELIC Hist'!$A:$C,3,0))^(1/252)</f>
        <v>25969634.977143962</v>
      </c>
      <c r="BB96" s="2">
        <f t="shared" si="10"/>
        <v>716904027.51310027</v>
      </c>
      <c r="BC96" s="2">
        <v>0</v>
      </c>
      <c r="BD96" s="2">
        <v>0</v>
      </c>
      <c r="BE96" s="2">
        <f t="shared" si="19"/>
        <v>240872.64762556553</v>
      </c>
      <c r="BF96" s="2">
        <f t="shared" si="12"/>
        <v>963002.14625120163</v>
      </c>
      <c r="BG96" s="2">
        <f t="shared" si="13"/>
        <v>16904027.513100266</v>
      </c>
      <c r="BH96" s="11">
        <f t="shared" si="14"/>
        <v>1.031027558852206</v>
      </c>
      <c r="BI96" s="12">
        <f t="shared" si="15"/>
        <v>3.3610301574782397E-4</v>
      </c>
      <c r="BJ96" s="12">
        <f t="shared" si="16"/>
        <v>1.3450858550225764E-3</v>
      </c>
      <c r="BK96" s="12">
        <f t="shared" si="17"/>
        <v>3.1027558852205983E-2</v>
      </c>
      <c r="BL96" s="5">
        <f t="shared" si="18"/>
        <v>3.1027558852205983E-2</v>
      </c>
      <c r="BM96" s="19" t="s">
        <v>53</v>
      </c>
      <c r="BN96" s="19" t="s">
        <v>53</v>
      </c>
      <c r="BO96" s="19" t="s">
        <v>53</v>
      </c>
    </row>
    <row r="97" spans="1:67" x14ac:dyDescent="0.25">
      <c r="A97" s="1">
        <v>45238</v>
      </c>
      <c r="B97" s="1" t="str">
        <f t="shared" si="11"/>
        <v>202311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f>I96*(1+((1+VLOOKUP($B97,'IPCA Hist'!$B:$C,2,0))^12 - 1)+$I$2)^(1/252)</f>
        <v>201815246.4692179</v>
      </c>
      <c r="J97" s="2">
        <v>0</v>
      </c>
      <c r="K97" s="2">
        <v>0</v>
      </c>
      <c r="L97" s="2">
        <v>0</v>
      </c>
      <c r="M97" s="2">
        <v>0</v>
      </c>
      <c r="N97" s="2">
        <f>N96*(1+((1+VLOOKUP($B97,'IPCA Hist'!$B:$C,2,0))^12 - 1)+$N$2)^(1/252)</f>
        <v>43373661.040271334</v>
      </c>
      <c r="O97" s="2">
        <f>O96*(1+((1+VLOOKUP($B97,'IPCA Hist'!$B:$C,2,0))^12 - 1)+$O$2)^(1/252)</f>
        <v>43390866.161037341</v>
      </c>
      <c r="P97" s="2">
        <f>P96*(1+((1+VLOOKUP($B97,'IPCA Hist'!$B:$C,2,0))^12 - 1)+$P$2)^(1/252)</f>
        <v>43644195.368756004</v>
      </c>
      <c r="Q97" s="2">
        <f>Q96*(1+((1+VLOOKUP($B97,'IPCA Hist'!$B:$C,2,0))^12 - 1)+$Q$2)^(1/252)</f>
        <v>43626870.146814175</v>
      </c>
      <c r="R97" s="2">
        <f>R96*(1+((1+VLOOKUP($B97,'IPCA Hist'!$B:$C,2,0))^12 - 1)+$R$2)^(1/252)</f>
        <v>43609543.598487973</v>
      </c>
      <c r="S97" s="2">
        <f>S96*(1+((1+VLOOKUP($B97,'IPCA Hist'!$B:$C,2,0))^12 - 1)+$S$2)^(1/252)</f>
        <v>44630854.448219828</v>
      </c>
      <c r="T97" s="2">
        <f>T96*(1+((1+VLOOKUP($B97,'IPCA Hist'!$B:$C,2,0))^12 - 1)+$T$2)^(1/252)</f>
        <v>225431849.92939255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f>AF96*(1+((1+VLOOKUP($B97,'IGPM Hist'!$B:$C,2,0))^12 - 1)+$AF$2)^(1/252)</f>
        <v>1640439.8730631026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f>BA96*(1+VLOOKUP(A97,'SELIC Hist'!$A:$C,3,0))^(1/252)</f>
        <v>25981454.57908554</v>
      </c>
      <c r="BB97" s="2">
        <f t="shared" si="10"/>
        <v>717144981.61434579</v>
      </c>
      <c r="BC97" s="2">
        <v>0</v>
      </c>
      <c r="BD97" s="2">
        <v>0</v>
      </c>
      <c r="BE97" s="2">
        <f t="shared" si="19"/>
        <v>240954.1012455225</v>
      </c>
      <c r="BF97" s="2">
        <f t="shared" si="12"/>
        <v>1203956.2474967241</v>
      </c>
      <c r="BG97" s="2">
        <f t="shared" si="13"/>
        <v>17144981.614345789</v>
      </c>
      <c r="BH97" s="11">
        <f t="shared" si="14"/>
        <v>1.0313740910368059</v>
      </c>
      <c r="BI97" s="12">
        <f t="shared" si="15"/>
        <v>3.3610370704906245E-4</v>
      </c>
      <c r="BJ97" s="12">
        <f t="shared" si="16"/>
        <v>1.6816416504137344E-3</v>
      </c>
      <c r="BK97" s="12">
        <f t="shared" si="17"/>
        <v>3.1374091036805885E-2</v>
      </c>
      <c r="BL97" s="5">
        <f t="shared" si="18"/>
        <v>3.1374091036805885E-2</v>
      </c>
      <c r="BM97" s="19" t="s">
        <v>53</v>
      </c>
      <c r="BN97" s="19" t="s">
        <v>53</v>
      </c>
      <c r="BO97" s="19" t="s">
        <v>53</v>
      </c>
    </row>
    <row r="98" spans="1:67" x14ac:dyDescent="0.25">
      <c r="A98" s="1">
        <v>45239</v>
      </c>
      <c r="B98" s="1" t="str">
        <f t="shared" si="11"/>
        <v>202311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f>I97*(1+((1+VLOOKUP($B98,'IPCA Hist'!$B:$C,2,0))^12 - 1)+$I$2)^(1/252)</f>
        <v>201884944.28010982</v>
      </c>
      <c r="J98" s="2">
        <v>0</v>
      </c>
      <c r="K98" s="2">
        <v>0</v>
      </c>
      <c r="L98" s="2">
        <v>0</v>
      </c>
      <c r="M98" s="2">
        <v>0</v>
      </c>
      <c r="N98" s="2">
        <f>N97*(1+((1+VLOOKUP($B98,'IPCA Hist'!$B:$C,2,0))^12 - 1)+$N$2)^(1/252)</f>
        <v>43388087.046316594</v>
      </c>
      <c r="O98" s="2">
        <f>O97*(1+((1+VLOOKUP($B98,'IPCA Hist'!$B:$C,2,0))^12 - 1)+$O$2)^(1/252)</f>
        <v>43405282.049014345</v>
      </c>
      <c r="P98" s="2">
        <f>P97*(1+((1+VLOOKUP($B98,'IPCA Hist'!$B:$C,2,0))^12 - 1)+$P$2)^(1/252)</f>
        <v>43658440.295328386</v>
      </c>
      <c r="Q98" s="2">
        <f>Q97*(1+((1+VLOOKUP($B98,'IPCA Hist'!$B:$C,2,0))^12 - 1)+$Q$2)^(1/252)</f>
        <v>43641125.368643448</v>
      </c>
      <c r="R98" s="2">
        <f>R97*(1+((1+VLOOKUP($B98,'IPCA Hist'!$B:$C,2,0))^12 - 1)+$R$2)^(1/252)</f>
        <v>43623809.10100957</v>
      </c>
      <c r="S98" s="2">
        <f>S97*(1+((1+VLOOKUP($B98,'IPCA Hist'!$B:$C,2,0))^12 - 1)+$S$2)^(1/252)</f>
        <v>44645258.155231394</v>
      </c>
      <c r="T98" s="2">
        <f>T97*(1+((1+VLOOKUP($B98,'IPCA Hist'!$B:$C,2,0))^12 - 1)+$T$2)^(1/252)</f>
        <v>225504521.00546014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f>AF97*(1+((1+VLOOKUP($B98,'IGPM Hist'!$B:$C,2,0))^12 - 1)+$AF$2)^(1/252)</f>
        <v>1641270.3353569673</v>
      </c>
      <c r="AG98" s="2">
        <v>11467750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f>BA97*(1+VLOOKUP(A98,'SELIC Hist'!$A:$C,3,0))^(1/252) - AG98</f>
        <v>14525529.560501654</v>
      </c>
      <c r="BB98" s="2">
        <f t="shared" si="10"/>
        <v>717386017.19697237</v>
      </c>
      <c r="BC98" s="2">
        <v>0</v>
      </c>
      <c r="BD98" s="2">
        <v>0</v>
      </c>
      <c r="BE98" s="2">
        <f t="shared" si="19"/>
        <v>241035.58262658119</v>
      </c>
      <c r="BF98" s="2">
        <f t="shared" si="12"/>
        <v>1444991.8301233053</v>
      </c>
      <c r="BG98" s="2">
        <f t="shared" si="13"/>
        <v>17386017.19697237</v>
      </c>
      <c r="BH98" s="11">
        <f t="shared" si="14"/>
        <v>1.0317207404052213</v>
      </c>
      <c r="BI98" s="12">
        <f t="shared" si="15"/>
        <v>3.3610439842157724E-4</v>
      </c>
      <c r="BJ98" s="12">
        <f t="shared" si="16"/>
        <v>2.0183112559906125E-3</v>
      </c>
      <c r="BK98" s="12">
        <f t="shared" si="17"/>
        <v>3.1720740405221326E-2</v>
      </c>
      <c r="BL98" s="5">
        <f t="shared" si="18"/>
        <v>3.1720740405221326E-2</v>
      </c>
      <c r="BM98" s="19" t="s">
        <v>53</v>
      </c>
      <c r="BN98" s="19" t="s">
        <v>53</v>
      </c>
      <c r="BO98" s="19" t="s">
        <v>53</v>
      </c>
    </row>
    <row r="99" spans="1:67" x14ac:dyDescent="0.25">
      <c r="A99" s="1">
        <v>45240</v>
      </c>
      <c r="B99" s="1" t="str">
        <f t="shared" si="11"/>
        <v>202311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f>I98*(1+((1+VLOOKUP($B99,'IPCA Hist'!$B:$C,2,0))^12 - 1)+$I$2)^(1/252)</f>
        <v>201954666.16145694</v>
      </c>
      <c r="J99" s="2">
        <v>0</v>
      </c>
      <c r="K99" s="2">
        <v>0</v>
      </c>
      <c r="L99" s="2">
        <v>0</v>
      </c>
      <c r="M99" s="2">
        <v>0</v>
      </c>
      <c r="N99" s="2">
        <f>N98*(1+((1+VLOOKUP($B99,'IPCA Hist'!$B:$C,2,0))^12 - 1)+$N$2)^(1/252)</f>
        <v>43402517.850426979</v>
      </c>
      <c r="O99" s="2">
        <f>O98*(1+((1+VLOOKUP($B99,'IPCA Hist'!$B:$C,2,0))^12 - 1)+$O$2)^(1/252)</f>
        <v>43419702.726428494</v>
      </c>
      <c r="P99" s="2">
        <f>P98*(1+((1+VLOOKUP($B99,'IPCA Hist'!$B:$C,2,0))^12 - 1)+$P$2)^(1/252)</f>
        <v>43672689.87126895</v>
      </c>
      <c r="Q99" s="2">
        <f>Q98*(1+((1+VLOOKUP($B99,'IPCA Hist'!$B:$C,2,0))^12 - 1)+$Q$2)^(1/252)</f>
        <v>43655385.248412855</v>
      </c>
      <c r="R99" s="2">
        <f>R98*(1+((1+VLOOKUP($B99,'IPCA Hist'!$B:$C,2,0))^12 - 1)+$R$2)^(1/252)</f>
        <v>43638079.270045541</v>
      </c>
      <c r="S99" s="2">
        <f>S98*(1+((1+VLOOKUP($B99,'IPCA Hist'!$B:$C,2,0))^12 - 1)+$S$2)^(1/252)</f>
        <v>44659666.510748528</v>
      </c>
      <c r="T99" s="2">
        <f>T98*(1+((1+VLOOKUP($B99,'IPCA Hist'!$B:$C,2,0))^12 - 1)+$T$2)^(1/252)</f>
        <v>225577215.50805464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f>AF98*(1+((1+VLOOKUP($B99,'IGPM Hist'!$B:$C,2,0))^12 - 1)+$AF$2)^(1/252)</f>
        <v>1642101.2180671073</v>
      </c>
      <c r="AG99" s="2">
        <f>350000*VLOOKUP(A99,'CVRDA6 Hist'!$A:$B,2,0)</f>
        <v>11425233.050000001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f>BA98*(1+VLOOKUP(A99,'SELIC Hist'!$A:$C,3,0))^(1/252)</f>
        <v>14532140.588247977</v>
      </c>
      <c r="BB99" s="2">
        <f t="shared" si="10"/>
        <v>717579398.00315785</v>
      </c>
      <c r="BC99" s="2">
        <v>0</v>
      </c>
      <c r="BD99" s="2">
        <v>0</v>
      </c>
      <c r="BE99" s="2">
        <f t="shared" si="19"/>
        <v>193380.80618548393</v>
      </c>
      <c r="BF99" s="2">
        <f t="shared" si="12"/>
        <v>1638372.6363087893</v>
      </c>
      <c r="BG99" s="2">
        <f t="shared" si="13"/>
        <v>17579398.003157854</v>
      </c>
      <c r="BH99" s="11">
        <f t="shared" si="14"/>
        <v>1.0319988542571159</v>
      </c>
      <c r="BI99" s="12">
        <f t="shared" si="15"/>
        <v>2.6956311044523673E-4</v>
      </c>
      <c r="BJ99" s="12">
        <f t="shared" si="16"/>
        <v>2.2884184286957598E-3</v>
      </c>
      <c r="BK99" s="12">
        <f t="shared" si="17"/>
        <v>3.1998854257115905E-2</v>
      </c>
      <c r="BL99" s="5">
        <f t="shared" si="18"/>
        <v>3.1998854257115905E-2</v>
      </c>
      <c r="BM99" s="19" t="s">
        <v>53</v>
      </c>
      <c r="BN99" s="19" t="s">
        <v>53</v>
      </c>
      <c r="BO99" s="19" t="s">
        <v>53</v>
      </c>
    </row>
    <row r="100" spans="1:67" x14ac:dyDescent="0.25">
      <c r="A100" s="1">
        <v>45243</v>
      </c>
      <c r="B100" s="1" t="str">
        <f t="shared" si="11"/>
        <v>202311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f>I99*(1+((1+VLOOKUP($B100,'IPCA Hist'!$B:$C,2,0))^12 - 1)+$I$2)^(1/252)</f>
        <v>202024412.12157208</v>
      </c>
      <c r="J100" s="2">
        <v>0</v>
      </c>
      <c r="K100" s="2">
        <v>0</v>
      </c>
      <c r="L100" s="2">
        <v>0</v>
      </c>
      <c r="M100" s="2">
        <v>0</v>
      </c>
      <c r="N100" s="2">
        <f>N99*(1+((1+VLOOKUP($B100,'IPCA Hist'!$B:$C,2,0))^12 - 1)+$N$2)^(1/252)</f>
        <v>43416953.454198316</v>
      </c>
      <c r="O100" s="2">
        <f>O99*(1+((1+VLOOKUP($B100,'IPCA Hist'!$B:$C,2,0))^12 - 1)+$O$2)^(1/252)</f>
        <v>43434128.194871001</v>
      </c>
      <c r="P100" s="2">
        <f>P99*(1+((1+VLOOKUP($B100,'IPCA Hist'!$B:$C,2,0))^12 - 1)+$P$2)^(1/252)</f>
        <v>43686944.098095186</v>
      </c>
      <c r="Q100" s="2">
        <f>Q99*(1+((1+VLOOKUP($B100,'IPCA Hist'!$B:$C,2,0))^12 - 1)+$Q$2)^(1/252)</f>
        <v>43669649.787644394</v>
      </c>
      <c r="R100" s="2">
        <f>R99*(1+((1+VLOOKUP($B100,'IPCA Hist'!$B:$C,2,0))^12 - 1)+$R$2)^(1/252)</f>
        <v>43652354.107122399</v>
      </c>
      <c r="S100" s="2">
        <f>S99*(1+((1+VLOOKUP($B100,'IPCA Hist'!$B:$C,2,0))^12 - 1)+$S$2)^(1/252)</f>
        <v>44674079.51627145</v>
      </c>
      <c r="T100" s="2">
        <f>T99*(1+((1+VLOOKUP($B100,'IPCA Hist'!$B:$C,2,0))^12 - 1)+$T$2)^(1/252)</f>
        <v>225649933.4447279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f>AF99*(1+((1+VLOOKUP($B100,'IGPM Hist'!$B:$C,2,0))^12 - 1)+$AF$2)^(1/252)</f>
        <v>1642932.5214063558</v>
      </c>
      <c r="AG100" s="2">
        <f>350000*VLOOKUP(A100,'CVRDA6 Hist'!$A:$B,2,0)</f>
        <v>11487530.25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f>BA99*(1+VLOOKUP(A100,'SELIC Hist'!$A:$C,3,0))^(1/252)</f>
        <v>14538754.624882042</v>
      </c>
      <c r="BB100" s="2">
        <f t="shared" si="10"/>
        <v>717877672.1207912</v>
      </c>
      <c r="BC100" s="2">
        <v>0</v>
      </c>
      <c r="BD100" s="2">
        <v>0</v>
      </c>
      <c r="BE100" s="2">
        <f t="shared" si="19"/>
        <v>298274.11763334274</v>
      </c>
      <c r="BF100" s="2">
        <f t="shared" si="12"/>
        <v>1936646.753942132</v>
      </c>
      <c r="BG100" s="2">
        <f t="shared" si="13"/>
        <v>17877672.120791197</v>
      </c>
      <c r="BH100" s="11">
        <f t="shared" si="14"/>
        <v>1.0324278221852765</v>
      </c>
      <c r="BI100" s="12">
        <f t="shared" si="15"/>
        <v>4.1566705853512964E-4</v>
      </c>
      <c r="BJ100" s="12">
        <f t="shared" si="16"/>
        <v>2.7050367073877535E-3</v>
      </c>
      <c r="BK100" s="12">
        <f t="shared" si="17"/>
        <v>3.2427822185276511E-2</v>
      </c>
      <c r="BL100" s="5">
        <f t="shared" si="18"/>
        <v>3.2427822185276511E-2</v>
      </c>
      <c r="BM100" s="19" t="s">
        <v>53</v>
      </c>
      <c r="BN100" s="19" t="s">
        <v>53</v>
      </c>
      <c r="BO100" s="19" t="s">
        <v>53</v>
      </c>
    </row>
    <row r="101" spans="1:67" x14ac:dyDescent="0.25">
      <c r="A101" s="1">
        <v>45244</v>
      </c>
      <c r="B101" s="1" t="str">
        <f t="shared" si="11"/>
        <v>202311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f>I100*(1+((1+VLOOKUP($B101,'IPCA Hist'!$B:$C,2,0))^12 - 1)+$I$2)^(1/252)</f>
        <v>202094182.16877091</v>
      </c>
      <c r="J101" s="2">
        <v>0</v>
      </c>
      <c r="K101" s="2">
        <v>0</v>
      </c>
      <c r="L101" s="2">
        <v>0</v>
      </c>
      <c r="M101" s="2">
        <v>0</v>
      </c>
      <c r="N101" s="2">
        <f>N100*(1+((1+VLOOKUP($B101,'IPCA Hist'!$B:$C,2,0))^12 - 1)+$N$2)^(1/252)</f>
        <v>43431393.859226964</v>
      </c>
      <c r="O101" s="2">
        <f>O100*(1+((1+VLOOKUP($B101,'IPCA Hist'!$B:$C,2,0))^12 - 1)+$O$2)^(1/252)</f>
        <v>43448558.455933601</v>
      </c>
      <c r="P101" s="2">
        <f>P100*(1+((1+VLOOKUP($B101,'IPCA Hist'!$B:$C,2,0))^12 - 1)+$P$2)^(1/252)</f>
        <v>43701202.977325082</v>
      </c>
      <c r="Q101" s="2">
        <f>Q100*(1+((1+VLOOKUP($B101,'IPCA Hist'!$B:$C,2,0))^12 - 1)+$Q$2)^(1/252)</f>
        <v>43683918.98786056</v>
      </c>
      <c r="R101" s="2">
        <f>R100*(1+((1+VLOOKUP($B101,'IPCA Hist'!$B:$C,2,0))^12 - 1)+$R$2)^(1/252)</f>
        <v>43666633.61376714</v>
      </c>
      <c r="S101" s="2">
        <f>S100*(1+((1+VLOOKUP($B101,'IPCA Hist'!$B:$C,2,0))^12 - 1)+$S$2)^(1/252)</f>
        <v>44688497.173300855</v>
      </c>
      <c r="T101" s="2">
        <f>T100*(1+((1+VLOOKUP($B101,'IPCA Hist'!$B:$C,2,0))^12 - 1)+$T$2)^(1/252)</f>
        <v>225722674.82303423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f>AF100*(1+((1+VLOOKUP($B101,'IGPM Hist'!$B:$C,2,0))^12 - 1)+$AF$2)^(1/252)</f>
        <v>1643764.2455876537</v>
      </c>
      <c r="AG101" s="2">
        <f>350000*VLOOKUP(A101,'CVRDA6 Hist'!$A:$B,2,0)</f>
        <v>11588914.049999999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f>BA100*(1+VLOOKUP(A101,'SELIC Hist'!$A:$C,3,0))^(1/252)</f>
        <v>14545371.671773292</v>
      </c>
      <c r="BB101" s="2">
        <f t="shared" si="10"/>
        <v>718215112.02658033</v>
      </c>
      <c r="BC101" s="2">
        <v>0</v>
      </c>
      <c r="BD101" s="2">
        <v>0</v>
      </c>
      <c r="BE101" s="2">
        <f t="shared" si="19"/>
        <v>337439.90578913689</v>
      </c>
      <c r="BF101" s="2">
        <f t="shared" si="12"/>
        <v>2274086.6597312689</v>
      </c>
      <c r="BG101" s="2">
        <f t="shared" si="13"/>
        <v>18215112.026580334</v>
      </c>
      <c r="BH101" s="11">
        <f t="shared" si="14"/>
        <v>1.0329131170489865</v>
      </c>
      <c r="BI101" s="12">
        <f t="shared" si="15"/>
        <v>4.70052097862661E-4</v>
      </c>
      <c r="BJ101" s="12">
        <f t="shared" si="16"/>
        <v>3.1763603134296048E-3</v>
      </c>
      <c r="BK101" s="12">
        <f t="shared" si="17"/>
        <v>3.2913117048986473E-2</v>
      </c>
      <c r="BL101" s="5">
        <f t="shared" si="18"/>
        <v>3.2913117048986473E-2</v>
      </c>
      <c r="BM101" s="19" t="s">
        <v>53</v>
      </c>
      <c r="BN101" s="19" t="s">
        <v>53</v>
      </c>
      <c r="BO101" s="19" t="s">
        <v>53</v>
      </c>
    </row>
    <row r="102" spans="1:67" s="17" customFormat="1" x14ac:dyDescent="0.25">
      <c r="A102" s="13">
        <v>45246</v>
      </c>
      <c r="B102" s="13" t="str">
        <f t="shared" si="11"/>
        <v>202311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f>I101*(1+((1+VLOOKUP($B102,'IPCA Hist'!$B:$C,2,0))^12 - 1)+$I$2)^(1/252)</f>
        <v>202163976.31137207</v>
      </c>
      <c r="J102" s="14">
        <v>0</v>
      </c>
      <c r="K102" s="14">
        <v>0</v>
      </c>
      <c r="L102" s="14">
        <v>0</v>
      </c>
      <c r="M102" s="2">
        <v>0</v>
      </c>
      <c r="N102" s="14">
        <f>N101*(1+((1+VLOOKUP($B102,'IPCA Hist'!$B:$C,2,0))^12 - 1)+$N$2)^(1/252)</f>
        <v>43445839.067109823</v>
      </c>
      <c r="O102" s="14">
        <f>O101*(1+((1+VLOOKUP($B102,'IPCA Hist'!$B:$C,2,0))^12 - 1)+$O$2)^(1/252)</f>
        <v>43462993.511208564</v>
      </c>
      <c r="P102" s="14">
        <f>P101*(1+((1+VLOOKUP($B102,'IPCA Hist'!$B:$C,2,0))^12 - 1)+$P$2)^(1/252)</f>
        <v>43715466.510477133</v>
      </c>
      <c r="Q102" s="14">
        <f>Q101*(1+((1+VLOOKUP($B102,'IPCA Hist'!$B:$C,2,0))^12 - 1)+$Q$2)^(1/252)</f>
        <v>43698192.850584343</v>
      </c>
      <c r="R102" s="14">
        <f>R101*(1+((1+VLOOKUP($B102,'IPCA Hist'!$B:$C,2,0))^12 - 1)+$R$2)^(1/252)</f>
        <v>43680917.791507274</v>
      </c>
      <c r="S102" s="14">
        <f>S101*(1+((1+VLOOKUP($B102,'IPCA Hist'!$B:$C,2,0))^12 - 1)+$S$2)^(1/252)</f>
        <v>44702919.483337916</v>
      </c>
      <c r="T102" s="14">
        <f>T101*(1+((1+VLOOKUP($B102,'IPCA Hist'!$B:$C,2,0))^12 - 1)+$T$2)^(1/252)</f>
        <v>225795439.65053034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2">
        <v>0</v>
      </c>
      <c r="AD102" s="2">
        <v>0</v>
      </c>
      <c r="AE102" s="14">
        <v>0</v>
      </c>
      <c r="AF102" s="14">
        <f>AF101*(1+((1+VLOOKUP($B102,'IGPM Hist'!$B:$C,2,0))^12 - 1)+$AF$2)^(1/252)</f>
        <v>1644596.3908240497</v>
      </c>
      <c r="AG102" s="14">
        <f>350000*VLOOKUP(A102,'CVRDA6 Hist'!$A:$B,2,0)</f>
        <v>11814766.949999999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2">
        <v>0</v>
      </c>
      <c r="AQ102" s="2">
        <v>0</v>
      </c>
      <c r="AR102" s="2">
        <v>0</v>
      </c>
      <c r="AS102" s="14">
        <v>0</v>
      </c>
      <c r="AT102" s="14">
        <v>0</v>
      </c>
      <c r="AU102" s="2">
        <v>0</v>
      </c>
      <c r="AV102" s="14">
        <v>0</v>
      </c>
      <c r="AW102" s="14">
        <v>0</v>
      </c>
      <c r="AX102" s="2">
        <v>0</v>
      </c>
      <c r="AY102" s="2">
        <v>0</v>
      </c>
      <c r="AZ102" s="14">
        <v>0</v>
      </c>
      <c r="BA102" s="14">
        <f>BA101*(1+VLOOKUP(A102,'SELIC Hist'!$A:$C,3,0))^(1/252)</f>
        <v>14551991.730291788</v>
      </c>
      <c r="BB102" s="14">
        <f t="shared" si="10"/>
        <v>718677100.2472434</v>
      </c>
      <c r="BC102" s="14">
        <v>0</v>
      </c>
      <c r="BD102" s="14">
        <v>0</v>
      </c>
      <c r="BE102" s="2">
        <f t="shared" si="19"/>
        <v>461988.22066307068</v>
      </c>
      <c r="BF102" s="2">
        <f t="shared" si="12"/>
        <v>2736074.8803943396</v>
      </c>
      <c r="BG102" s="2">
        <f t="shared" si="13"/>
        <v>18677100.247243404</v>
      </c>
      <c r="BH102" s="15">
        <f t="shared" si="14"/>
        <v>1.0335775331620065</v>
      </c>
      <c r="BI102" s="16">
        <f t="shared" si="15"/>
        <v>6.4324491775091808E-4</v>
      </c>
      <c r="BJ102" s="16">
        <f t="shared" si="16"/>
        <v>3.821648408809164E-3</v>
      </c>
      <c r="BK102" s="16">
        <f t="shared" si="17"/>
        <v>3.3577533162006512E-2</v>
      </c>
      <c r="BL102" s="5">
        <f t="shared" si="18"/>
        <v>3.3577533162006512E-2</v>
      </c>
      <c r="BM102" s="19" t="s">
        <v>53</v>
      </c>
      <c r="BN102" s="19" t="s">
        <v>53</v>
      </c>
      <c r="BO102" s="19" t="s">
        <v>53</v>
      </c>
    </row>
    <row r="103" spans="1:67" x14ac:dyDescent="0.25">
      <c r="A103" s="1">
        <v>45247</v>
      </c>
      <c r="B103" s="1" t="str">
        <f t="shared" si="11"/>
        <v>202311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f>I102*(1+((1+VLOOKUP($B103,'IPCA Hist'!$B:$C,2,0))^12 - 1)+$I$2)^(1/252)</f>
        <v>202233794.557697</v>
      </c>
      <c r="J103" s="2">
        <v>0</v>
      </c>
      <c r="K103" s="2">
        <v>0</v>
      </c>
      <c r="L103" s="2">
        <v>0</v>
      </c>
      <c r="M103" s="2">
        <v>0</v>
      </c>
      <c r="N103" s="2">
        <f>N102*(1+((1+VLOOKUP($B103,'IPCA Hist'!$B:$C,2,0))^12 - 1)+$N$2)^(1/252)</f>
        <v>43460289.079444304</v>
      </c>
      <c r="O103" s="2">
        <f>O102*(1+((1+VLOOKUP($B103,'IPCA Hist'!$B:$C,2,0))^12 - 1)+$O$2)^(1/252)</f>
        <v>43477433.362288684</v>
      </c>
      <c r="P103" s="2">
        <f>P102*(1+((1+VLOOKUP($B103,'IPCA Hist'!$B:$C,2,0))^12 - 1)+$P$2)^(1/252)</f>
        <v>43729734.69907032</v>
      </c>
      <c r="Q103" s="2">
        <f>Q102*(1+((1+VLOOKUP($B103,'IPCA Hist'!$B:$C,2,0))^12 - 1)+$Q$2)^(1/252)</f>
        <v>43712471.377339236</v>
      </c>
      <c r="R103" s="2">
        <f>R102*(1+((1+VLOOKUP($B103,'IPCA Hist'!$B:$C,2,0))^12 - 1)+$R$2)^(1/252)</f>
        <v>43695206.641870797</v>
      </c>
      <c r="S103" s="2">
        <f>S102*(1+((1+VLOOKUP($B103,'IPCA Hist'!$B:$C,2,0))^12 - 1)+$S$2)^(1/252)</f>
        <v>44717346.447884306</v>
      </c>
      <c r="T103" s="2">
        <f>T102*(1+((1+VLOOKUP($B103,'IPCA Hist'!$B:$C,2,0))^12 - 1)+$T$2)^(1/252)</f>
        <v>225868227.93477544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f>AF102*(1+((1+VLOOKUP($B103,'IGPM Hist'!$B:$C,2,0))^12 - 1)+$AF$2)^(1/252)</f>
        <v>1645428.9573287</v>
      </c>
      <c r="AG103" s="2">
        <f>350000*VLOOKUP(A103,'CVRDA6 Hist'!$A:$B,2,0)</f>
        <v>11950667.049999999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f>BA102*(1+VLOOKUP(A103,'SELIC Hist'!$A:$C,3,0))^(1/252)</f>
        <v>14558614.801808218</v>
      </c>
      <c r="BB103" s="2">
        <f t="shared" si="10"/>
        <v>719049214.90950692</v>
      </c>
      <c r="BC103" s="2">
        <v>0</v>
      </c>
      <c r="BD103" s="2">
        <v>0</v>
      </c>
      <c r="BE103" s="2">
        <f t="shared" si="19"/>
        <v>372114.66226351261</v>
      </c>
      <c r="BF103" s="2">
        <f t="shared" si="12"/>
        <v>3108189.5426578522</v>
      </c>
      <c r="BG103" s="2">
        <f t="shared" si="13"/>
        <v>19049214.909506917</v>
      </c>
      <c r="BH103" s="11">
        <f t="shared" si="14"/>
        <v>1.0341126961086808</v>
      </c>
      <c r="BI103" s="12">
        <f t="shared" si="15"/>
        <v>5.1777726344059971E-4</v>
      </c>
      <c r="BJ103" s="12">
        <f t="shared" si="16"/>
        <v>4.3414044349046055E-3</v>
      </c>
      <c r="BK103" s="12">
        <f t="shared" si="17"/>
        <v>3.411269610868084E-2</v>
      </c>
      <c r="BL103" s="5">
        <f t="shared" si="18"/>
        <v>3.411269610868084E-2</v>
      </c>
      <c r="BM103" s="19" t="s">
        <v>53</v>
      </c>
      <c r="BN103" s="19" t="s">
        <v>53</v>
      </c>
      <c r="BO103" s="19" t="s">
        <v>53</v>
      </c>
    </row>
    <row r="104" spans="1:67" x14ac:dyDescent="0.25">
      <c r="A104" s="1">
        <v>45250</v>
      </c>
      <c r="B104" s="1" t="str">
        <f t="shared" si="11"/>
        <v>202311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f>I103*(1+((1+VLOOKUP($B104,'IPCA Hist'!$B:$C,2,0))^12 - 1)+$I$2)^(1/252)</f>
        <v>202303636.91607001</v>
      </c>
      <c r="J104" s="2">
        <v>0</v>
      </c>
      <c r="K104" s="2">
        <v>0</v>
      </c>
      <c r="L104" s="2">
        <v>0</v>
      </c>
      <c r="M104" s="2">
        <v>0</v>
      </c>
      <c r="N104" s="2">
        <f>N103*(1+((1+VLOOKUP($B104,'IPCA Hist'!$B:$C,2,0))^12 - 1)+$N$2)^(1/252)</f>
        <v>43474743.897828363</v>
      </c>
      <c r="O104" s="2">
        <f>O103*(1+((1+VLOOKUP($B104,'IPCA Hist'!$B:$C,2,0))^12 - 1)+$O$2)^(1/252)</f>
        <v>43491878.010767289</v>
      </c>
      <c r="P104" s="2">
        <f>P103*(1+((1+VLOOKUP($B104,'IPCA Hist'!$B:$C,2,0))^12 - 1)+$P$2)^(1/252)</f>
        <v>43744007.54462412</v>
      </c>
      <c r="Q104" s="2">
        <f>Q103*(1+((1+VLOOKUP($B104,'IPCA Hist'!$B:$C,2,0))^12 - 1)+$Q$2)^(1/252)</f>
        <v>43726754.569649227</v>
      </c>
      <c r="R104" s="2">
        <f>R103*(1+((1+VLOOKUP($B104,'IPCA Hist'!$B:$C,2,0))^12 - 1)+$R$2)^(1/252)</f>
        <v>43709500.166386217</v>
      </c>
      <c r="S104" s="2">
        <f>S103*(1+((1+VLOOKUP($B104,'IPCA Hist'!$B:$C,2,0))^12 - 1)+$S$2)^(1/252)</f>
        <v>44731778.068442166</v>
      </c>
      <c r="T104" s="2">
        <f>T103*(1+((1+VLOOKUP($B104,'IPCA Hist'!$B:$C,2,0))^12 - 1)+$T$2)^(1/252)</f>
        <v>225941039.6833311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f>AF103*(1+((1+VLOOKUP($B104,'IGPM Hist'!$B:$C,2,0))^12 - 1)+$AF$2)^(1/252)</f>
        <v>1646261.9453148691</v>
      </c>
      <c r="AG104" s="2">
        <f>350000*VLOOKUP(A104,'CVRDA6 Hist'!$A:$B,2,0)</f>
        <v>11999478.049999999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f>BA103*(1+VLOOKUP(A104,'SELIC Hist'!$A:$C,3,0))^(1/252)</f>
        <v>14565240.887693891</v>
      </c>
      <c r="BB104" s="2">
        <f t="shared" si="10"/>
        <v>719334319.74010718</v>
      </c>
      <c r="BC104" s="2">
        <v>0</v>
      </c>
      <c r="BD104" s="2">
        <v>0</v>
      </c>
      <c r="BE104" s="2">
        <f t="shared" si="19"/>
        <v>285104.83060026169</v>
      </c>
      <c r="BF104" s="2">
        <f t="shared" si="12"/>
        <v>3393294.3732581139</v>
      </c>
      <c r="BG104" s="2">
        <f t="shared" si="13"/>
        <v>19334319.740107179</v>
      </c>
      <c r="BH104" s="11">
        <f t="shared" si="14"/>
        <v>1.0345227244056767</v>
      </c>
      <c r="BI104" s="12">
        <f t="shared" si="15"/>
        <v>3.9650252679312992E-4</v>
      </c>
      <c r="BJ104" s="12">
        <f t="shared" si="16"/>
        <v>4.7396283395260141E-3</v>
      </c>
      <c r="BK104" s="12">
        <f t="shared" si="17"/>
        <v>3.4522724405676719E-2</v>
      </c>
      <c r="BL104" s="5">
        <f t="shared" si="18"/>
        <v>3.4522724405676719E-2</v>
      </c>
      <c r="BM104" s="19" t="s">
        <v>53</v>
      </c>
      <c r="BN104" s="19" t="s">
        <v>53</v>
      </c>
      <c r="BO104" s="19" t="s">
        <v>53</v>
      </c>
    </row>
    <row r="105" spans="1:67" x14ac:dyDescent="0.25">
      <c r="A105" s="1">
        <v>45251</v>
      </c>
      <c r="B105" s="1" t="str">
        <f t="shared" si="11"/>
        <v>202311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f>I104*(1+((1+VLOOKUP($B105,'IPCA Hist'!$B:$C,2,0))^12 - 1)+$I$2)^(1/252)</f>
        <v>202373503.39481834</v>
      </c>
      <c r="J105" s="2">
        <v>0</v>
      </c>
      <c r="K105" s="2">
        <v>0</v>
      </c>
      <c r="L105" s="2">
        <v>0</v>
      </c>
      <c r="M105" s="2">
        <v>0</v>
      </c>
      <c r="N105" s="2">
        <f>N104*(1+((1+VLOOKUP($B105,'IPCA Hist'!$B:$C,2,0))^12 - 1)+$N$2)^(1/252)</f>
        <v>43489203.523860477</v>
      </c>
      <c r="O105" s="2">
        <f>O104*(1+((1+VLOOKUP($B105,'IPCA Hist'!$B:$C,2,0))^12 - 1)+$O$2)^(1/252)</f>
        <v>43506327.458238237</v>
      </c>
      <c r="P105" s="2">
        <f>P104*(1+((1+VLOOKUP($B105,'IPCA Hist'!$B:$C,2,0))^12 - 1)+$P$2)^(1/252)</f>
        <v>43758285.048658505</v>
      </c>
      <c r="Q105" s="2">
        <f>Q104*(1+((1+VLOOKUP($B105,'IPCA Hist'!$B:$C,2,0))^12 - 1)+$Q$2)^(1/252)</f>
        <v>43741042.429038793</v>
      </c>
      <c r="R105" s="2">
        <f>R104*(1+((1+VLOOKUP($B105,'IPCA Hist'!$B:$C,2,0))^12 - 1)+$R$2)^(1/252)</f>
        <v>43723798.366582535</v>
      </c>
      <c r="S105" s="2">
        <f>S104*(1+((1+VLOOKUP($B105,'IPCA Hist'!$B:$C,2,0))^12 - 1)+$S$2)^(1/252)</f>
        <v>44746214.346514136</v>
      </c>
      <c r="T105" s="2">
        <f>T104*(1+((1+VLOOKUP($B105,'IPCA Hist'!$B:$C,2,0))^12 - 1)+$T$2)^(1/252)</f>
        <v>226013874.90376139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f>AF104*(1+((1+VLOOKUP($B105,'IGPM Hist'!$B:$C,2,0))^12 - 1)+$AF$2)^(1/252)</f>
        <v>1647095.3549959294</v>
      </c>
      <c r="AG105" s="2">
        <f>350000*VLOOKUP(A105,'CVRDA6 Hist'!$A:$B,2,0)</f>
        <v>12002014.15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f>BA104*(1+VLOOKUP(A105,'SELIC Hist'!$A:$C,3,0))^(1/252)</f>
        <v>14571869.989320744</v>
      </c>
      <c r="BB105" s="2">
        <f t="shared" si="10"/>
        <v>719573228.96578908</v>
      </c>
      <c r="BC105" s="2">
        <v>0</v>
      </c>
      <c r="BD105" s="2">
        <v>0</v>
      </c>
      <c r="BE105" s="2">
        <f t="shared" si="19"/>
        <v>238909.22568190098</v>
      </c>
      <c r="BF105" s="2">
        <f t="shared" si="12"/>
        <v>3632203.5989400148</v>
      </c>
      <c r="BG105" s="2">
        <f t="shared" si="13"/>
        <v>19573228.96578908</v>
      </c>
      <c r="BH105" s="11">
        <f t="shared" si="14"/>
        <v>1.0348663157181661</v>
      </c>
      <c r="BI105" s="12">
        <f t="shared" si="15"/>
        <v>3.3212543754101986E-4</v>
      </c>
      <c r="BJ105" s="12">
        <f t="shared" si="16"/>
        <v>5.0733279282031418E-3</v>
      </c>
      <c r="BK105" s="12">
        <f t="shared" si="17"/>
        <v>3.4866315718166119E-2</v>
      </c>
      <c r="BL105" s="5">
        <f t="shared" si="18"/>
        <v>3.4866315718166119E-2</v>
      </c>
      <c r="BM105" s="19" t="s">
        <v>53</v>
      </c>
      <c r="BN105" s="19" t="s">
        <v>53</v>
      </c>
      <c r="BO105" s="19" t="s">
        <v>53</v>
      </c>
    </row>
    <row r="106" spans="1:67" x14ac:dyDescent="0.25">
      <c r="A106" s="1">
        <v>45252</v>
      </c>
      <c r="B106" s="1" t="str">
        <f t="shared" si="11"/>
        <v>202311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f>I105*(1+((1+VLOOKUP($B106,'IPCA Hist'!$B:$C,2,0))^12 - 1)+$I$2)^(1/252)</f>
        <v>202443394.00227204</v>
      </c>
      <c r="J106" s="2">
        <v>0</v>
      </c>
      <c r="K106" s="2">
        <v>0</v>
      </c>
      <c r="L106" s="2">
        <v>0</v>
      </c>
      <c r="M106" s="2">
        <v>0</v>
      </c>
      <c r="N106" s="2">
        <f>N105*(1+((1+VLOOKUP($B106,'IPCA Hist'!$B:$C,2,0))^12 - 1)+$N$2)^(1/252)</f>
        <v>43503667.959139667</v>
      </c>
      <c r="O106" s="2">
        <f>O105*(1+((1+VLOOKUP($B106,'IPCA Hist'!$B:$C,2,0))^12 - 1)+$O$2)^(1/252)</f>
        <v>43520781.706295907</v>
      </c>
      <c r="P106" s="2">
        <f>P105*(1+((1+VLOOKUP($B106,'IPCA Hist'!$B:$C,2,0))^12 - 1)+$P$2)^(1/252)</f>
        <v>43772567.212693952</v>
      </c>
      <c r="Q106" s="2">
        <f>Q105*(1+((1+VLOOKUP($B106,'IPCA Hist'!$B:$C,2,0))^12 - 1)+$Q$2)^(1/252)</f>
        <v>43755334.957032926</v>
      </c>
      <c r="R106" s="2">
        <f>R105*(1+((1+VLOOKUP($B106,'IPCA Hist'!$B:$C,2,0))^12 - 1)+$R$2)^(1/252)</f>
        <v>43738101.243989259</v>
      </c>
      <c r="S106" s="2">
        <f>S105*(1+((1+VLOOKUP($B106,'IPCA Hist'!$B:$C,2,0))^12 - 1)+$S$2)^(1/252)</f>
        <v>44760655.283603333</v>
      </c>
      <c r="T106" s="2">
        <f>T105*(1+((1+VLOOKUP($B106,'IPCA Hist'!$B:$C,2,0))^12 - 1)+$T$2)^(1/252)</f>
        <v>226086733.60363278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f>AF105*(1+((1+VLOOKUP($B106,'IGPM Hist'!$B:$C,2,0))^12 - 1)+$AF$2)^(1/252)</f>
        <v>1647929.1865853614</v>
      </c>
      <c r="AG106" s="2">
        <f>350000*VLOOKUP(A106,'CVRDA6 Hist'!$A:$B,2,0)</f>
        <v>12317724.65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f>BA105*(1+VLOOKUP(A106,'SELIC Hist'!$A:$C,3,0))^(1/252)</f>
        <v>14578502.108061334</v>
      </c>
      <c r="BB106" s="2">
        <f t="shared" si="10"/>
        <v>720125391.91330647</v>
      </c>
      <c r="BC106" s="2">
        <v>0</v>
      </c>
      <c r="BD106" s="2">
        <v>0</v>
      </c>
      <c r="BE106" s="2">
        <f t="shared" si="19"/>
        <v>552162.94751739502</v>
      </c>
      <c r="BF106" s="2">
        <f t="shared" si="12"/>
        <v>4184366.5464574099</v>
      </c>
      <c r="BG106" s="2">
        <f t="shared" si="13"/>
        <v>20125391.913306475</v>
      </c>
      <c r="BH106" s="11">
        <f t="shared" si="14"/>
        <v>1.0356604181279996</v>
      </c>
      <c r="BI106" s="12">
        <f t="shared" si="15"/>
        <v>7.6734781852705325E-4</v>
      </c>
      <c r="BJ106" s="12">
        <f t="shared" si="16"/>
        <v>5.8445687538486446E-3</v>
      </c>
      <c r="BK106" s="12">
        <f t="shared" si="17"/>
        <v>3.5660418127999582E-2</v>
      </c>
      <c r="BL106" s="5">
        <f t="shared" si="18"/>
        <v>3.5660418127999582E-2</v>
      </c>
      <c r="BM106" s="19" t="s">
        <v>53</v>
      </c>
      <c r="BN106" s="19" t="s">
        <v>53</v>
      </c>
      <c r="BO106" s="19" t="s">
        <v>53</v>
      </c>
    </row>
    <row r="107" spans="1:67" x14ac:dyDescent="0.25">
      <c r="A107" s="1">
        <v>45253</v>
      </c>
      <c r="B107" s="1" t="str">
        <f t="shared" si="11"/>
        <v>202311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f>I106*(1+((1+VLOOKUP($B107,'IPCA Hist'!$B:$C,2,0))^12 - 1)+$I$2)^(1/252)</f>
        <v>202513308.74676406</v>
      </c>
      <c r="J107" s="2">
        <v>0</v>
      </c>
      <c r="K107" s="2">
        <v>0</v>
      </c>
      <c r="L107" s="2">
        <v>0</v>
      </c>
      <c r="M107" s="2">
        <v>0</v>
      </c>
      <c r="N107" s="2">
        <f>N106*(1+((1+VLOOKUP($B107,'IPCA Hist'!$B:$C,2,0))^12 - 1)+$N$2)^(1/252)</f>
        <v>43518137.205265485</v>
      </c>
      <c r="O107" s="2">
        <f>O106*(1+((1+VLOOKUP($B107,'IPCA Hist'!$B:$C,2,0))^12 - 1)+$O$2)^(1/252)</f>
        <v>43535240.756535217</v>
      </c>
      <c r="P107" s="2">
        <f>P106*(1+((1+VLOOKUP($B107,'IPCA Hist'!$B:$C,2,0))^12 - 1)+$P$2)^(1/252)</f>
        <v>43786854.038251422</v>
      </c>
      <c r="Q107" s="2">
        <f>Q106*(1+((1+VLOOKUP($B107,'IPCA Hist'!$B:$C,2,0))^12 - 1)+$Q$2)^(1/252)</f>
        <v>43769632.155157104</v>
      </c>
      <c r="R107" s="2">
        <f>R106*(1+((1+VLOOKUP($B107,'IPCA Hist'!$B:$C,2,0))^12 - 1)+$R$2)^(1/252)</f>
        <v>43752408.800136387</v>
      </c>
      <c r="S107" s="2">
        <f>S106*(1+((1+VLOOKUP($B107,'IPCA Hist'!$B:$C,2,0))^12 - 1)+$S$2)^(1/252)</f>
        <v>44775100.88121336</v>
      </c>
      <c r="T107" s="2">
        <f>T106*(1+((1+VLOOKUP($B107,'IPCA Hist'!$B:$C,2,0))^12 - 1)+$T$2)^(1/252)</f>
        <v>226159615.7905142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f>AF106*(1+((1+VLOOKUP($B107,'IGPM Hist'!$B:$C,2,0))^12 - 1)+$AF$2)^(1/252)</f>
        <v>1648763.4402967533</v>
      </c>
      <c r="AG107" s="2">
        <f>350000*VLOOKUP(A107,'CVRDA6 Hist'!$A:$B,2,0)</f>
        <v>12362349.65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f>BA106*(1+VLOOKUP(A107,'SELIC Hist'!$A:$C,3,0))^(1/252)</f>
        <v>14585137.245288847</v>
      </c>
      <c r="BB107" s="2">
        <f t="shared" si="10"/>
        <v>720406548.70942283</v>
      </c>
      <c r="BC107" s="2">
        <v>0</v>
      </c>
      <c r="BD107" s="2">
        <v>0</v>
      </c>
      <c r="BE107" s="2">
        <f t="shared" si="19"/>
        <v>281156.79611635208</v>
      </c>
      <c r="BF107" s="2">
        <f t="shared" si="12"/>
        <v>4465523.3425737619</v>
      </c>
      <c r="BG107" s="2">
        <f t="shared" si="13"/>
        <v>20406548.709422827</v>
      </c>
      <c r="BH107" s="11">
        <f t="shared" si="14"/>
        <v>1.0360647684929432</v>
      </c>
      <c r="BI107" s="12">
        <f t="shared" si="15"/>
        <v>3.9042755508078564E-4</v>
      </c>
      <c r="BJ107" s="12">
        <f t="shared" si="16"/>
        <v>6.2372781896185003E-3</v>
      </c>
      <c r="BK107" s="12">
        <f t="shared" si="17"/>
        <v>3.6064768492943156E-2</v>
      </c>
      <c r="BL107" s="5">
        <f t="shared" si="18"/>
        <v>3.6064768492943156E-2</v>
      </c>
      <c r="BM107" s="19" t="s">
        <v>53</v>
      </c>
      <c r="BN107" s="19" t="s">
        <v>53</v>
      </c>
      <c r="BO107" s="19" t="s">
        <v>53</v>
      </c>
    </row>
    <row r="108" spans="1:67" x14ac:dyDescent="0.25">
      <c r="A108" s="1">
        <v>45254</v>
      </c>
      <c r="B108" s="1" t="str">
        <f t="shared" si="11"/>
        <v>202311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f>I107*(1+((1+VLOOKUP($B108,'IPCA Hist'!$B:$C,2,0))^12 - 1)+$I$2)^(1/252)</f>
        <v>202583247.63663027</v>
      </c>
      <c r="J108" s="2">
        <v>0</v>
      </c>
      <c r="K108" s="2">
        <v>0</v>
      </c>
      <c r="L108" s="2">
        <v>0</v>
      </c>
      <c r="M108" s="2">
        <v>0</v>
      </c>
      <c r="N108" s="2">
        <f>N107*(1+((1+VLOOKUP($B108,'IPCA Hist'!$B:$C,2,0))^12 - 1)+$N$2)^(1/252)</f>
        <v>43532611.263838008</v>
      </c>
      <c r="O108" s="2">
        <f>O107*(1+((1+VLOOKUP($B108,'IPCA Hist'!$B:$C,2,0))^12 - 1)+$O$2)^(1/252)</f>
        <v>43549704.610551611</v>
      </c>
      <c r="P108" s="2">
        <f>P107*(1+((1+VLOOKUP($B108,'IPCA Hist'!$B:$C,2,0))^12 - 1)+$P$2)^(1/252)</f>
        <v>43801145.526852384</v>
      </c>
      <c r="Q108" s="2">
        <f>Q107*(1+((1+VLOOKUP($B108,'IPCA Hist'!$B:$C,2,0))^12 - 1)+$Q$2)^(1/252)</f>
        <v>43783934.024937309</v>
      </c>
      <c r="R108" s="2">
        <f>R107*(1+((1+VLOOKUP($B108,'IPCA Hist'!$B:$C,2,0))^12 - 1)+$R$2)^(1/252)</f>
        <v>43766721.036554426</v>
      </c>
      <c r="S108" s="2">
        <f>S107*(1+((1+VLOOKUP($B108,'IPCA Hist'!$B:$C,2,0))^12 - 1)+$S$2)^(1/252)</f>
        <v>44789551.140848301</v>
      </c>
      <c r="T108" s="2">
        <f>T107*(1+((1+VLOOKUP($B108,'IPCA Hist'!$B:$C,2,0))^12 - 1)+$T$2)^(1/252)</f>
        <v>226232521.47197703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f>AF107*(1+((1+VLOOKUP($B108,'IGPM Hist'!$B:$C,2,0))^12 - 1)+$AF$2)^(1/252)</f>
        <v>1649598.1163438018</v>
      </c>
      <c r="AG108" s="2">
        <f>350000*VLOOKUP(A108,'CVRDA6 Hist'!$A:$B,2,0)</f>
        <v>12355112.35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f>BA107*(1+VLOOKUP(A108,'SELIC Hist'!$A:$C,3,0))^(1/252)</f>
        <v>14591775.402377089</v>
      </c>
      <c r="BB108" s="2">
        <f t="shared" si="10"/>
        <v>720635922.58091033</v>
      </c>
      <c r="BC108" s="2">
        <v>0</v>
      </c>
      <c r="BD108" s="2">
        <v>0</v>
      </c>
      <c r="BE108" s="2">
        <f t="shared" si="19"/>
        <v>229373.87148749828</v>
      </c>
      <c r="BF108" s="2">
        <f t="shared" si="12"/>
        <v>4694897.2140612602</v>
      </c>
      <c r="BG108" s="2">
        <f t="shared" si="13"/>
        <v>20635922.580910325</v>
      </c>
      <c r="BH108" s="11">
        <f t="shared" si="14"/>
        <v>1.0363946463757674</v>
      </c>
      <c r="BI108" s="12">
        <f t="shared" si="15"/>
        <v>3.1839503943764669E-4</v>
      </c>
      <c r="BJ108" s="12">
        <f t="shared" si="16"/>
        <v>6.5576591474914014E-3</v>
      </c>
      <c r="BK108" s="12">
        <f t="shared" si="17"/>
        <v>3.6394646375767392E-2</v>
      </c>
      <c r="BL108" s="5">
        <f t="shared" si="18"/>
        <v>3.6394646375767392E-2</v>
      </c>
      <c r="BM108" s="19" t="s">
        <v>53</v>
      </c>
      <c r="BN108" s="19" t="s">
        <v>53</v>
      </c>
      <c r="BO108" s="19" t="s">
        <v>53</v>
      </c>
    </row>
    <row r="109" spans="1:67" x14ac:dyDescent="0.25">
      <c r="A109" s="1">
        <v>45257</v>
      </c>
      <c r="B109" s="1" t="str">
        <f t="shared" si="11"/>
        <v>202311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f>I108*(1+((1+VLOOKUP($B109,'IPCA Hist'!$B:$C,2,0))^12 - 1)+$I$2)^(1/252)</f>
        <v>202653210.68020937</v>
      </c>
      <c r="J109" s="2">
        <v>0</v>
      </c>
      <c r="K109" s="2">
        <v>0</v>
      </c>
      <c r="L109" s="2">
        <v>0</v>
      </c>
      <c r="M109" s="2">
        <v>0</v>
      </c>
      <c r="N109" s="2">
        <f>N108*(1+((1+VLOOKUP($B109,'IPCA Hist'!$B:$C,2,0))^12 - 1)+$N$2)^(1/252)</f>
        <v>43547090.136457846</v>
      </c>
      <c r="O109" s="2">
        <f>O108*(1+((1+VLOOKUP($B109,'IPCA Hist'!$B:$C,2,0))^12 - 1)+$O$2)^(1/252)</f>
        <v>43564173.269941062</v>
      </c>
      <c r="P109" s="2">
        <f>P108*(1+((1+VLOOKUP($B109,'IPCA Hist'!$B:$C,2,0))^12 - 1)+$P$2)^(1/252)</f>
        <v>43815441.68001879</v>
      </c>
      <c r="Q109" s="2">
        <f>Q108*(1+((1+VLOOKUP($B109,'IPCA Hist'!$B:$C,2,0))^12 - 1)+$Q$2)^(1/252)</f>
        <v>43798240.567900017</v>
      </c>
      <c r="R109" s="2">
        <f>R108*(1+((1+VLOOKUP($B109,'IPCA Hist'!$B:$C,2,0))^12 - 1)+$R$2)^(1/252)</f>
        <v>43781037.95477438</v>
      </c>
      <c r="S109" s="2">
        <f>S108*(1+((1+VLOOKUP($B109,'IPCA Hist'!$B:$C,2,0))^12 - 1)+$S$2)^(1/252)</f>
        <v>44804006.064012736</v>
      </c>
      <c r="T109" s="2">
        <f>T108*(1+((1+VLOOKUP($B109,'IPCA Hist'!$B:$C,2,0))^12 - 1)+$T$2)^(1/252)</f>
        <v>226305450.65559506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f>AF108*(1+((1+VLOOKUP($B109,'IGPM Hist'!$B:$C,2,0))^12 - 1)+$AF$2)^(1/252)</f>
        <v>1650433.2149403116</v>
      </c>
      <c r="AG109" s="2">
        <f>350000*VLOOKUP(A109,'CVRDA6 Hist'!$A:$B,2,0)</f>
        <v>12253849.649999999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f>BA108*(1+VLOOKUP(A109,'SELIC Hist'!$A:$C,3,0))^(1/252)</f>
        <v>14598416.580700498</v>
      </c>
      <c r="BB109" s="2">
        <f t="shared" si="10"/>
        <v>720771350.45455003</v>
      </c>
      <c r="BC109" s="2">
        <v>0</v>
      </c>
      <c r="BD109" s="2">
        <v>0</v>
      </c>
      <c r="BE109" s="2">
        <f t="shared" si="19"/>
        <v>135427.8736397028</v>
      </c>
      <c r="BF109" s="2">
        <f t="shared" si="12"/>
        <v>4830325.087700963</v>
      </c>
      <c r="BG109" s="2">
        <f t="shared" si="13"/>
        <v>20771350.454550028</v>
      </c>
      <c r="BH109" s="11">
        <f t="shared" si="14"/>
        <v>1.0365894142451064</v>
      </c>
      <c r="BI109" s="12">
        <f t="shared" si="15"/>
        <v>1.8792828583213961E-4</v>
      </c>
      <c r="BJ109" s="12">
        <f t="shared" si="16"/>
        <v>6.7468198029660975E-3</v>
      </c>
      <c r="BK109" s="12">
        <f t="shared" si="17"/>
        <v>3.6589414245106422E-2</v>
      </c>
      <c r="BL109" s="5">
        <f t="shared" si="18"/>
        <v>3.6589414245106422E-2</v>
      </c>
      <c r="BM109" s="19" t="s">
        <v>53</v>
      </c>
      <c r="BN109" s="19" t="s">
        <v>53</v>
      </c>
      <c r="BO109" s="19" t="s">
        <v>53</v>
      </c>
    </row>
    <row r="110" spans="1:67" x14ac:dyDescent="0.25">
      <c r="A110" s="1">
        <v>45258</v>
      </c>
      <c r="B110" s="1" t="str">
        <f t="shared" si="11"/>
        <v>202311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f>I109*(1+((1+VLOOKUP($B110,'IPCA Hist'!$B:$C,2,0))^12 - 1)+$I$2)^(1/252)</f>
        <v>202723197.88584295</v>
      </c>
      <c r="J110" s="2">
        <v>0</v>
      </c>
      <c r="K110" s="2">
        <v>0</v>
      </c>
      <c r="L110" s="2">
        <v>0</v>
      </c>
      <c r="M110" s="2">
        <v>0</v>
      </c>
      <c r="N110" s="2">
        <f>N109*(1+((1+VLOOKUP($B110,'IPCA Hist'!$B:$C,2,0))^12 - 1)+$N$2)^(1/252)</f>
        <v>43561573.824726142</v>
      </c>
      <c r="O110" s="2">
        <f>O109*(1+((1+VLOOKUP($B110,'IPCA Hist'!$B:$C,2,0))^12 - 1)+$O$2)^(1/252)</f>
        <v>43578646.736300081</v>
      </c>
      <c r="P110" s="2">
        <f>P109*(1+((1+VLOOKUP($B110,'IPCA Hist'!$B:$C,2,0))^12 - 1)+$P$2)^(1/252)</f>
        <v>43829742.499273099</v>
      </c>
      <c r="Q110" s="2">
        <f>Q109*(1+((1+VLOOKUP($B110,'IPCA Hist'!$B:$C,2,0))^12 - 1)+$Q$2)^(1/252)</f>
        <v>43812551.785572208</v>
      </c>
      <c r="R110" s="2">
        <f>R109*(1+((1+VLOOKUP($B110,'IPCA Hist'!$B:$C,2,0))^12 - 1)+$R$2)^(1/252)</f>
        <v>43795359.556327753</v>
      </c>
      <c r="S110" s="2">
        <f>S109*(1+((1+VLOOKUP($B110,'IPCA Hist'!$B:$C,2,0))^12 - 1)+$S$2)^(1/252)</f>
        <v>44818465.652211726</v>
      </c>
      <c r="T110" s="2">
        <f>T109*(1+((1+VLOOKUP($B110,'IPCA Hist'!$B:$C,2,0))^12 - 1)+$T$2)^(1/252)</f>
        <v>226378403.34894454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f>AF109*(1+((1+VLOOKUP($B110,'IGPM Hist'!$B:$C,2,0))^12 - 1)+$AF$2)^(1/252)</f>
        <v>1651268.7363001956</v>
      </c>
      <c r="AG110" s="2">
        <f>350000*VLOOKUP(A110,'CVRDA6 Hist'!$A:$B,2,0)</f>
        <v>12228906.9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f>BA109*(1+VLOOKUP(A110,'SELIC Hist'!$A:$C,3,0))^(1/252)</f>
        <v>14605060.78163413</v>
      </c>
      <c r="BB110" s="2">
        <f t="shared" si="10"/>
        <v>720983177.70713282</v>
      </c>
      <c r="BC110" s="2">
        <v>0</v>
      </c>
      <c r="BD110" s="2">
        <v>0</v>
      </c>
      <c r="BE110" s="2">
        <f t="shared" si="19"/>
        <v>211827.25258278847</v>
      </c>
      <c r="BF110" s="2">
        <f t="shared" si="12"/>
        <v>5042152.3402837515</v>
      </c>
      <c r="BG110" s="2">
        <f t="shared" si="13"/>
        <v>20983177.707132816</v>
      </c>
      <c r="BH110" s="11">
        <f t="shared" si="14"/>
        <v>1.0368940571634711</v>
      </c>
      <c r="BI110" s="12">
        <f t="shared" si="15"/>
        <v>2.9388966757526447E-4</v>
      </c>
      <c r="BJ110" s="12">
        <f t="shared" si="16"/>
        <v>7.0426922911703826E-3</v>
      </c>
      <c r="BK110" s="12">
        <f t="shared" si="17"/>
        <v>3.689405716347105E-2</v>
      </c>
      <c r="BL110" s="5">
        <f t="shared" si="18"/>
        <v>3.689405716347105E-2</v>
      </c>
      <c r="BM110" s="19" t="s">
        <v>53</v>
      </c>
      <c r="BN110" s="19" t="s">
        <v>53</v>
      </c>
      <c r="BO110" s="19" t="s">
        <v>53</v>
      </c>
    </row>
    <row r="111" spans="1:67" x14ac:dyDescent="0.25">
      <c r="A111" s="1">
        <v>45259</v>
      </c>
      <c r="B111" s="1" t="str">
        <f t="shared" si="11"/>
        <v>202311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f>I110*(1+((1+VLOOKUP($B111,'IPCA Hist'!$B:$C,2,0))^12 - 1)+$I$2)^(1/252)</f>
        <v>202793209.26187548</v>
      </c>
      <c r="J111" s="2">
        <v>0</v>
      </c>
      <c r="K111" s="2">
        <v>0</v>
      </c>
      <c r="L111" s="2">
        <v>0</v>
      </c>
      <c r="M111" s="2">
        <v>0</v>
      </c>
      <c r="N111" s="2">
        <f>N110*(1+((1+VLOOKUP($B111,'IPCA Hist'!$B:$C,2,0))^12 - 1)+$N$2)^(1/252)</f>
        <v>43576062.330244571</v>
      </c>
      <c r="O111" s="2">
        <f>O110*(1+((1+VLOOKUP($B111,'IPCA Hist'!$B:$C,2,0))^12 - 1)+$O$2)^(1/252)</f>
        <v>43593125.011225693</v>
      </c>
      <c r="P111" s="2">
        <f>P110*(1+((1+VLOOKUP($B111,'IPCA Hist'!$B:$C,2,0))^12 - 1)+$P$2)^(1/252)</f>
        <v>43844047.986138269</v>
      </c>
      <c r="Q111" s="2">
        <f>Q110*(1+((1+VLOOKUP($B111,'IPCA Hist'!$B:$C,2,0))^12 - 1)+$Q$2)^(1/252)</f>
        <v>43826867.679481357</v>
      </c>
      <c r="R111" s="2">
        <f>R110*(1+((1+VLOOKUP($B111,'IPCA Hist'!$B:$C,2,0))^12 - 1)+$R$2)^(1/252)</f>
        <v>43809685.842746548</v>
      </c>
      <c r="S111" s="2">
        <f>S110*(1+((1+VLOOKUP($B111,'IPCA Hist'!$B:$C,2,0))^12 - 1)+$S$2)^(1/252)</f>
        <v>44832929.906950817</v>
      </c>
      <c r="T111" s="2">
        <f>T110*(1+((1+VLOOKUP($B111,'IPCA Hist'!$B:$C,2,0))^12 - 1)+$T$2)^(1/252)</f>
        <v>226451379.55960414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f>AF110*(1+((1+VLOOKUP($B111,'IGPM Hist'!$B:$C,2,0))^12 - 1)+$AF$2)^(1/252)</f>
        <v>1652104.6806374751</v>
      </c>
      <c r="AG111" s="2">
        <f>350000*VLOOKUP(A111,'CVRDA6 Hist'!$A:$B,2,0)</f>
        <v>12184456.9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f>BA110*(1+VLOOKUP(A111,'SELIC Hist'!$A:$C,3,0))^(1/252)</f>
        <v>14611708.006553672</v>
      </c>
      <c r="BB111" s="2">
        <f t="shared" si="10"/>
        <v>721175577.16545796</v>
      </c>
      <c r="BC111" s="2">
        <v>0</v>
      </c>
      <c r="BD111" s="2">
        <v>0</v>
      </c>
      <c r="BE111" s="2">
        <f t="shared" si="19"/>
        <v>192399.45832514763</v>
      </c>
      <c r="BF111" s="2">
        <f t="shared" si="12"/>
        <v>5234551.7986088991</v>
      </c>
      <c r="BG111" s="2">
        <f t="shared" si="13"/>
        <v>21175577.165457964</v>
      </c>
      <c r="BH111" s="11">
        <f t="shared" si="14"/>
        <v>1.0371707596734705</v>
      </c>
      <c r="BI111" s="12">
        <f t="shared" si="15"/>
        <v>2.6685707000417835E-4</v>
      </c>
      <c r="BJ111" s="12">
        <f t="shared" si="16"/>
        <v>7.3114287534044031E-3</v>
      </c>
      <c r="BK111" s="12">
        <f t="shared" si="17"/>
        <v>3.7170759673470499E-2</v>
      </c>
      <c r="BL111" s="5">
        <f t="shared" si="18"/>
        <v>3.7170759673470499E-2</v>
      </c>
      <c r="BM111" s="19" t="s">
        <v>53</v>
      </c>
      <c r="BN111" s="19" t="s">
        <v>53</v>
      </c>
      <c r="BO111" s="19" t="s">
        <v>53</v>
      </c>
    </row>
    <row r="112" spans="1:67" x14ac:dyDescent="0.25">
      <c r="A112" s="1">
        <v>45260</v>
      </c>
      <c r="B112" s="1" t="str">
        <f t="shared" si="11"/>
        <v>202311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f>I111*(1+((1+VLOOKUP($B112,'IPCA Hist'!$B:$C,2,0))^12 - 1)+$I$2)^(1/252)</f>
        <v>202863244.81665432</v>
      </c>
      <c r="J112" s="2">
        <v>0</v>
      </c>
      <c r="K112" s="2">
        <v>0</v>
      </c>
      <c r="L112" s="2">
        <v>0</v>
      </c>
      <c r="M112" s="2">
        <v>0</v>
      </c>
      <c r="N112" s="2">
        <f>N111*(1+((1+VLOOKUP($B112,'IPCA Hist'!$B:$C,2,0))^12 - 1)+$N$2)^(1/252)</f>
        <v>43590555.654615343</v>
      </c>
      <c r="O112" s="2">
        <f>O111*(1+((1+VLOOKUP($B112,'IPCA Hist'!$B:$C,2,0))^12 - 1)+$O$2)^(1/252)</f>
        <v>43607608.096315473</v>
      </c>
      <c r="P112" s="2">
        <f>P111*(1+((1+VLOOKUP($B112,'IPCA Hist'!$B:$C,2,0))^12 - 1)+$P$2)^(1/252)</f>
        <v>43858358.142137751</v>
      </c>
      <c r="Q112" s="2">
        <f>Q111*(1+((1+VLOOKUP($B112,'IPCA Hist'!$B:$C,2,0))^12 - 1)+$Q$2)^(1/252)</f>
        <v>43841188.251155436</v>
      </c>
      <c r="R112" s="2">
        <f>R111*(1+((1+VLOOKUP($B112,'IPCA Hist'!$B:$C,2,0))^12 - 1)+$R$2)^(1/252)</f>
        <v>43824016.815563284</v>
      </c>
      <c r="S112" s="2">
        <f>S111*(1+((1+VLOOKUP($B112,'IPCA Hist'!$B:$C,2,0))^12 - 1)+$S$2)^(1/252)</f>
        <v>44847398.829736039</v>
      </c>
      <c r="T112" s="2">
        <f>T111*(1+((1+VLOOKUP($B112,'IPCA Hist'!$B:$C,2,0))^12 - 1)+$T$2)^(1/252)</f>
        <v>226524379.29515499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f>AF111*(1+((1+VLOOKUP($B112,'IGPM Hist'!$B:$C,2,0))^12 - 1)+$AF$2)^(1/252)</f>
        <v>1652941.0481662799</v>
      </c>
      <c r="AG112" s="2">
        <f>350000*VLOOKUP(A112,'CVRDA6 Hist'!$A:$B,2,0)</f>
        <v>11129772.15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f>BA111*(1+VLOOKUP(A112,'SELIC Hist'!$A:$C,3,0))^(1/252)</f>
        <v>14618358.256835436</v>
      </c>
      <c r="BB112" s="2">
        <f t="shared" si="10"/>
        <v>720357821.35633433</v>
      </c>
      <c r="BC112" s="2">
        <v>0</v>
      </c>
      <c r="BD112" s="2">
        <v>0</v>
      </c>
      <c r="BE112" s="2">
        <f t="shared" si="19"/>
        <v>-817755.80912363529</v>
      </c>
      <c r="BF112" s="2">
        <f t="shared" si="12"/>
        <v>4416795.9894852638</v>
      </c>
      <c r="BG112" s="2">
        <f t="shared" si="13"/>
        <v>20357821.356334329</v>
      </c>
      <c r="BH112" s="11">
        <f t="shared" si="14"/>
        <v>1.0359946904323158</v>
      </c>
      <c r="BI112" s="12">
        <f t="shared" si="15"/>
        <v>-1.133920552797818E-3</v>
      </c>
      <c r="BJ112" s="12">
        <f t="shared" si="16"/>
        <v>6.1692176212728711E-3</v>
      </c>
      <c r="BK112" s="12">
        <f t="shared" si="17"/>
        <v>3.5994690432315846E-2</v>
      </c>
      <c r="BL112" s="5">
        <f t="shared" si="18"/>
        <v>3.5994690432315846E-2</v>
      </c>
      <c r="BM112" s="19" t="s">
        <v>53</v>
      </c>
      <c r="BN112" s="19" t="s">
        <v>53</v>
      </c>
      <c r="BO112" s="19" t="s">
        <v>53</v>
      </c>
    </row>
    <row r="113" spans="1:67" x14ac:dyDescent="0.25">
      <c r="A113" s="1">
        <v>45261</v>
      </c>
      <c r="B113" s="1" t="str">
        <f t="shared" si="11"/>
        <v>202312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f>I112*(1+((1+VLOOKUP($B113,'IPCA Hist'!$B:$C,2,0))^12 - 1)+$I$2)^(1/252)</f>
        <v>202958870.15102243</v>
      </c>
      <c r="J113" s="2">
        <v>0</v>
      </c>
      <c r="K113" s="2">
        <v>0</v>
      </c>
      <c r="L113" s="2">
        <v>0</v>
      </c>
      <c r="M113" s="2">
        <v>0</v>
      </c>
      <c r="N113" s="2">
        <f>N112*(1+((1+VLOOKUP($B113,'IPCA Hist'!$B:$C,2,0))^12 - 1)+$N$2)^(1/252)</f>
        <v>43610564.579673529</v>
      </c>
      <c r="O113" s="2">
        <f>O112*(1+((1+VLOOKUP($B113,'IPCA Hist'!$B:$C,2,0))^12 - 1)+$O$2)^(1/252)</f>
        <v>43627609.426248506</v>
      </c>
      <c r="P113" s="2">
        <f>P112*(1+((1+VLOOKUP($B113,'IPCA Hist'!$B:$C,2,0))^12 - 1)+$P$2)^(1/252)</f>
        <v>43878226.115820989</v>
      </c>
      <c r="Q113" s="2">
        <f>Q112*(1+((1+VLOOKUP($B113,'IPCA Hist'!$B:$C,2,0))^12 - 1)+$Q$2)^(1/252)</f>
        <v>43861063.974009521</v>
      </c>
      <c r="R113" s="2">
        <f>R112*(1+((1+VLOOKUP($B113,'IPCA Hist'!$B:$C,2,0))^12 - 1)+$R$2)^(1/252)</f>
        <v>43843900.273346312</v>
      </c>
      <c r="S113" s="2">
        <f>S112*(1+((1+VLOOKUP($B113,'IPCA Hist'!$B:$C,2,0))^12 - 1)+$S$2)^(1/252)</f>
        <v>44867555.928739876</v>
      </c>
      <c r="T113" s="2">
        <f>T112*(1+((1+VLOOKUP($B113,'IPCA Hist'!$B:$C,2,0))^12 - 1)+$T$2)^(1/252)</f>
        <v>226626112.57126299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f>AF112*(1+((1+VLOOKUP($B113,'IGPM Hist'!$B:$C,2,0))^12 - 1)+$AF$2)^(1/252)</f>
        <v>1653886.4828510166</v>
      </c>
      <c r="AG113" s="2">
        <f>350000*VLOOKUP(A113,'CVRDA6 Hist'!$A:$B,2,0)</f>
        <v>11950219.75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f>BA112*(1+VLOOKUP(A113,'SELIC Hist'!$A:$C,3,0))^(1/252)</f>
        <v>14625011.53385636</v>
      </c>
      <c r="BB113" s="2">
        <f t="shared" si="10"/>
        <v>721503020.7868315</v>
      </c>
      <c r="BC113" s="2">
        <v>0</v>
      </c>
      <c r="BD113" s="2">
        <v>0</v>
      </c>
      <c r="BE113" s="2">
        <f t="shared" si="19"/>
        <v>1145199.4304971695</v>
      </c>
      <c r="BF113" s="2">
        <f t="shared" si="12"/>
        <v>1145199.4304971695</v>
      </c>
      <c r="BG113" s="2">
        <f t="shared" si="13"/>
        <v>21503020.786831498</v>
      </c>
      <c r="BH113" s="11">
        <f t="shared" si="14"/>
        <v>1.037641678212982</v>
      </c>
      <c r="BI113" s="12">
        <f t="shared" si="15"/>
        <v>1.5897646926925635E-3</v>
      </c>
      <c r="BJ113" s="12">
        <f t="shared" si="16"/>
        <v>1.5897646926925635E-3</v>
      </c>
      <c r="BK113" s="12">
        <f t="shared" si="17"/>
        <v>3.7641678212982033E-2</v>
      </c>
      <c r="BL113" s="5">
        <f t="shared" si="18"/>
        <v>3.7641678212982033E-2</v>
      </c>
      <c r="BM113" s="19" t="s">
        <v>53</v>
      </c>
      <c r="BN113" s="19" t="s">
        <v>53</v>
      </c>
      <c r="BO113" s="19" t="s">
        <v>53</v>
      </c>
    </row>
    <row r="114" spans="1:67" x14ac:dyDescent="0.25">
      <c r="A114" s="1">
        <v>45264</v>
      </c>
      <c r="B114" s="1" t="str">
        <f t="shared" si="11"/>
        <v>202312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f>I113*(1+((1+VLOOKUP($B114,'IPCA Hist'!$B:$C,2,0))^12 - 1)+$I$2)^(1/252)</f>
        <v>203054540.56109947</v>
      </c>
      <c r="J114" s="2">
        <v>0</v>
      </c>
      <c r="K114" s="2">
        <v>0</v>
      </c>
      <c r="L114" s="2">
        <v>0</v>
      </c>
      <c r="M114" s="2">
        <v>0</v>
      </c>
      <c r="N114" s="2">
        <f>N113*(1+((1+VLOOKUP($B114,'IPCA Hist'!$B:$C,2,0))^12 - 1)+$N$2)^(1/252)</f>
        <v>43630582.689223081</v>
      </c>
      <c r="O114" s="2">
        <f>O113*(1+((1+VLOOKUP($B114,'IPCA Hist'!$B:$C,2,0))^12 - 1)+$O$2)^(1/252)</f>
        <v>43647619.930112801</v>
      </c>
      <c r="P114" s="2">
        <f>P113*(1+((1+VLOOKUP($B114,'IPCA Hist'!$B:$C,2,0))^12 - 1)+$P$2)^(1/252)</f>
        <v>43898103.089758568</v>
      </c>
      <c r="Q114" s="2">
        <f>Q113*(1+((1+VLOOKUP($B114,'IPCA Hist'!$B:$C,2,0))^12 - 1)+$Q$2)^(1/252)</f>
        <v>43880948.707667708</v>
      </c>
      <c r="R114" s="2">
        <f>R113*(1+((1+VLOOKUP($B114,'IPCA Hist'!$B:$C,2,0))^12 - 1)+$R$2)^(1/252)</f>
        <v>43863792.75248161</v>
      </c>
      <c r="S114" s="2">
        <f>S113*(1+((1+VLOOKUP($B114,'IPCA Hist'!$B:$C,2,0))^12 - 1)+$S$2)^(1/252)</f>
        <v>44887722.087547638</v>
      </c>
      <c r="T114" s="2">
        <f>T113*(1+((1+VLOOKUP($B114,'IPCA Hist'!$B:$C,2,0))^12 - 1)+$T$2)^(1/252)</f>
        <v>226727891.53631404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f>AF113*(1+((1+VLOOKUP($B114,'IGPM Hist'!$B:$C,2,0))^12 - 1)+$AF$2)^(1/252)</f>
        <v>1654832.4582971702</v>
      </c>
      <c r="AG114" s="2">
        <f>350000*VLOOKUP(A114,'CVRDA6 Hist'!$A:$B,2,0)</f>
        <v>12004999.999999998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f>BA113*(1+VLOOKUP(A114,'SELIC Hist'!$A:$C,3,0))^(1/252)</f>
        <v>14631667.838994008</v>
      </c>
      <c r="BB114" s="2">
        <f t="shared" si="10"/>
        <v>721882701.65149605</v>
      </c>
      <c r="BC114" s="2">
        <v>0</v>
      </c>
      <c r="BD114" s="2">
        <v>0</v>
      </c>
      <c r="BE114" s="2">
        <f t="shared" si="19"/>
        <v>379680.8646645546</v>
      </c>
      <c r="BF114" s="2">
        <f t="shared" si="12"/>
        <v>1524880.2951617241</v>
      </c>
      <c r="BG114" s="2">
        <f t="shared" si="13"/>
        <v>21882701.651496053</v>
      </c>
      <c r="BH114" s="11">
        <f t="shared" si="14"/>
        <v>1.038187722620622</v>
      </c>
      <c r="BI114" s="12">
        <f t="shared" si="15"/>
        <v>5.2623600141066262E-4</v>
      </c>
      <c r="BJ114" s="12">
        <f t="shared" si="16"/>
        <v>2.1168372855182582E-3</v>
      </c>
      <c r="BK114" s="12">
        <f t="shared" si="17"/>
        <v>3.8187722620621978E-2</v>
      </c>
      <c r="BL114" s="5">
        <f t="shared" si="18"/>
        <v>3.8187722620621978E-2</v>
      </c>
      <c r="BM114" s="19" t="s">
        <v>53</v>
      </c>
      <c r="BN114" s="19" t="s">
        <v>53</v>
      </c>
      <c r="BO114" s="19" t="s">
        <v>53</v>
      </c>
    </row>
    <row r="115" spans="1:67" x14ac:dyDescent="0.25">
      <c r="A115" s="1">
        <v>45265</v>
      </c>
      <c r="B115" s="1" t="str">
        <f t="shared" si="11"/>
        <v>202312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f>I114*(1+((1+VLOOKUP($B115,'IPCA Hist'!$B:$C,2,0))^12 - 1)+$I$2)^(1/252)</f>
        <v>203150256.06813315</v>
      </c>
      <c r="J115" s="2">
        <v>0</v>
      </c>
      <c r="K115" s="2">
        <v>0</v>
      </c>
      <c r="L115" s="2">
        <v>0</v>
      </c>
      <c r="M115" s="2">
        <v>0</v>
      </c>
      <c r="N115" s="2">
        <f>N114*(1+((1+VLOOKUP($B115,'IPCA Hist'!$B:$C,2,0))^12 - 1)+$N$2)^(1/252)</f>
        <v>43650609.987479858</v>
      </c>
      <c r="O115" s="2">
        <f>O114*(1+((1+VLOOKUP($B115,'IPCA Hist'!$B:$C,2,0))^12 - 1)+$O$2)^(1/252)</f>
        <v>43667639.612116128</v>
      </c>
      <c r="P115" s="2">
        <f>P114*(1+((1+VLOOKUP($B115,'IPCA Hist'!$B:$C,2,0))^12 - 1)+$P$2)^(1/252)</f>
        <v>43917989.06802763</v>
      </c>
      <c r="Q115" s="2">
        <f>Q114*(1+((1+VLOOKUP($B115,'IPCA Hist'!$B:$C,2,0))^12 - 1)+$Q$2)^(1/252)</f>
        <v>43900842.456215113</v>
      </c>
      <c r="R115" s="2">
        <f>R114*(1+((1+VLOOKUP($B115,'IPCA Hist'!$B:$C,2,0))^12 - 1)+$R$2)^(1/252)</f>
        <v>43883694.257062264</v>
      </c>
      <c r="S115" s="2">
        <f>S114*(1+((1+VLOOKUP($B115,'IPCA Hist'!$B:$C,2,0))^12 - 1)+$S$2)^(1/252)</f>
        <v>44907897.31023135</v>
      </c>
      <c r="T115" s="2">
        <f>T114*(1+((1+VLOOKUP($B115,'IPCA Hist'!$B:$C,2,0))^12 - 1)+$T$2)^(1/252)</f>
        <v>226829716.21082729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f>AF114*(1+((1+VLOOKUP($B115,'IGPM Hist'!$B:$C,2,0))^12 - 1)+$AF$2)^(1/252)</f>
        <v>1655778.9748140406</v>
      </c>
      <c r="AG115" s="2">
        <f>350000*VLOOKUP(A115,'CVRDA6 Hist'!$A:$B,2,0)</f>
        <v>11991250.25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f>BA114*(1+VLOOKUP(A115,'SELIC Hist'!$A:$C,3,0))^(1/252)</f>
        <v>14638327.17362657</v>
      </c>
      <c r="BB115" s="2">
        <f t="shared" si="10"/>
        <v>722194001.36853337</v>
      </c>
      <c r="BC115" s="2">
        <v>0</v>
      </c>
      <c r="BD115" s="2">
        <v>0</v>
      </c>
      <c r="BE115" s="2">
        <f t="shared" si="19"/>
        <v>311299.71703732014</v>
      </c>
      <c r="BF115" s="2">
        <f t="shared" si="12"/>
        <v>1836180.0121990442</v>
      </c>
      <c r="BG115" s="2">
        <f t="shared" si="13"/>
        <v>22194001.368533373</v>
      </c>
      <c r="BH115" s="11">
        <f t="shared" si="14"/>
        <v>1.0386354235331718</v>
      </c>
      <c r="BI115" s="12">
        <f t="shared" si="15"/>
        <v>4.3123310244874702E-4</v>
      </c>
      <c r="BJ115" s="12">
        <f t="shared" si="16"/>
        <v>2.5489832382770139E-3</v>
      </c>
      <c r="BK115" s="12">
        <f t="shared" si="17"/>
        <v>3.8635423533171842E-2</v>
      </c>
      <c r="BL115" s="5">
        <f t="shared" si="18"/>
        <v>3.8635423533171842E-2</v>
      </c>
      <c r="BM115" s="19" t="s">
        <v>53</v>
      </c>
      <c r="BN115" s="19" t="s">
        <v>53</v>
      </c>
      <c r="BO115" s="19" t="s">
        <v>53</v>
      </c>
    </row>
    <row r="116" spans="1:67" x14ac:dyDescent="0.25">
      <c r="A116" s="1">
        <v>45266</v>
      </c>
      <c r="B116" s="1" t="str">
        <f t="shared" si="11"/>
        <v>202312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f>I115*(1+((1+VLOOKUP($B116,'IPCA Hist'!$B:$C,2,0))^12 - 1)+$I$2)^(1/252)</f>
        <v>203246016.69338116</v>
      </c>
      <c r="J116" s="2">
        <v>0</v>
      </c>
      <c r="K116" s="2">
        <v>0</v>
      </c>
      <c r="L116" s="2">
        <v>0</v>
      </c>
      <c r="M116" s="2">
        <v>0</v>
      </c>
      <c r="N116" s="2">
        <f>N115*(1+((1+VLOOKUP($B116,'IPCA Hist'!$B:$C,2,0))^12 - 1)+$N$2)^(1/252)</f>
        <v>43670646.478661656</v>
      </c>
      <c r="O116" s="2">
        <f>O115*(1+((1+VLOOKUP($B116,'IPCA Hist'!$B:$C,2,0))^12 - 1)+$O$2)^(1/252)</f>
        <v>43687668.476468183</v>
      </c>
      <c r="P116" s="2">
        <f>P115*(1+((1+VLOOKUP($B116,'IPCA Hist'!$B:$C,2,0))^12 - 1)+$P$2)^(1/252)</f>
        <v>43937884.05470717</v>
      </c>
      <c r="Q116" s="2">
        <f>Q115*(1+((1+VLOOKUP($B116,'IPCA Hist'!$B:$C,2,0))^12 - 1)+$Q$2)^(1/252)</f>
        <v>43920745.2237387</v>
      </c>
      <c r="R116" s="2">
        <f>R115*(1+((1+VLOOKUP($B116,'IPCA Hist'!$B:$C,2,0))^12 - 1)+$R$2)^(1/252)</f>
        <v>43903604.791183226</v>
      </c>
      <c r="S116" s="2">
        <f>S115*(1+((1+VLOOKUP($B116,'IPCA Hist'!$B:$C,2,0))^12 - 1)+$S$2)^(1/252)</f>
        <v>44928081.600864857</v>
      </c>
      <c r="T116" s="2">
        <f>T115*(1+((1+VLOOKUP($B116,'IPCA Hist'!$B:$C,2,0))^12 - 1)+$T$2)^(1/252)</f>
        <v>226931586.61533111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f>AF115*(1+((1+VLOOKUP($B116,'IGPM Hist'!$B:$C,2,0))^12 - 1)+$AF$2)^(1/252)</f>
        <v>1656726.0327111045</v>
      </c>
      <c r="AG116" s="2">
        <f>350000*VLOOKUP(A116,'CVRDA6 Hist'!$A:$B,2,0)</f>
        <v>11909996.350000001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f>BA115*(1+VLOOKUP(A116,'SELIC Hist'!$A:$C,3,0))^(1/252)</f>
        <v>14644989.539132867</v>
      </c>
      <c r="BB116" s="2">
        <f t="shared" si="10"/>
        <v>722437945.85618019</v>
      </c>
      <c r="BC116" s="2">
        <v>0</v>
      </c>
      <c r="BD116" s="2">
        <v>0</v>
      </c>
      <c r="BE116" s="2">
        <f t="shared" si="19"/>
        <v>243944.48764681816</v>
      </c>
      <c r="BF116" s="2">
        <f t="shared" si="12"/>
        <v>2080124.4998458624</v>
      </c>
      <c r="BG116" s="2">
        <f t="shared" si="13"/>
        <v>22437945.856180191</v>
      </c>
      <c r="BH116" s="11">
        <f t="shared" si="14"/>
        <v>1.0389862563921619</v>
      </c>
      <c r="BI116" s="12">
        <f t="shared" si="15"/>
        <v>3.3778248944815736E-4</v>
      </c>
      <c r="BJ116" s="12">
        <f t="shared" si="16"/>
        <v>2.8876267296289448E-3</v>
      </c>
      <c r="BK116" s="12">
        <f t="shared" si="17"/>
        <v>3.8986256392161911E-2</v>
      </c>
      <c r="BL116" s="5">
        <f t="shared" si="18"/>
        <v>3.8986256392161911E-2</v>
      </c>
      <c r="BM116" s="19" t="s">
        <v>53</v>
      </c>
      <c r="BN116" s="19" t="s">
        <v>53</v>
      </c>
      <c r="BO116" s="19" t="s">
        <v>53</v>
      </c>
    </row>
    <row r="117" spans="1:67" x14ac:dyDescent="0.25">
      <c r="A117" s="1">
        <v>45267</v>
      </c>
      <c r="B117" s="1" t="str">
        <f t="shared" si="11"/>
        <v>202312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f>I116*(1+((1+VLOOKUP($B117,'IPCA Hist'!$B:$C,2,0))^12 - 1)+$I$2)^(1/252)</f>
        <v>203341822.45811129</v>
      </c>
      <c r="J117" s="2">
        <v>0</v>
      </c>
      <c r="K117" s="2">
        <v>0</v>
      </c>
      <c r="L117" s="2">
        <v>0</v>
      </c>
      <c r="M117" s="2">
        <v>0</v>
      </c>
      <c r="N117" s="2">
        <f>N116*(1+((1+VLOOKUP($B117,'IPCA Hist'!$B:$C,2,0))^12 - 1)+$N$2)^(1/252)</f>
        <v>43690692.166988216</v>
      </c>
      <c r="O117" s="2">
        <f>O116*(1+((1+VLOOKUP($B117,'IPCA Hist'!$B:$C,2,0))^12 - 1)+$O$2)^(1/252)</f>
        <v>43707706.527380601</v>
      </c>
      <c r="P117" s="2">
        <f>P116*(1+((1+VLOOKUP($B117,'IPCA Hist'!$B:$C,2,0))^12 - 1)+$P$2)^(1/252)</f>
        <v>43957788.053878024</v>
      </c>
      <c r="Q117" s="2">
        <f>Q116*(1+((1+VLOOKUP($B117,'IPCA Hist'!$B:$C,2,0))^12 - 1)+$Q$2)^(1/252)</f>
        <v>43940657.014327288</v>
      </c>
      <c r="R117" s="2">
        <f>R116*(1+((1+VLOOKUP($B117,'IPCA Hist'!$B:$C,2,0))^12 - 1)+$R$2)^(1/252)</f>
        <v>43923524.358941294</v>
      </c>
      <c r="S117" s="2">
        <f>S116*(1+((1+VLOOKUP($B117,'IPCA Hist'!$B:$C,2,0))^12 - 1)+$S$2)^(1/252)</f>
        <v>44948274.963523842</v>
      </c>
      <c r="T117" s="2">
        <f>T116*(1+((1+VLOOKUP($B117,'IPCA Hist'!$B:$C,2,0))^12 - 1)+$T$2)^(1/252)</f>
        <v>227033502.77036306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f>AF116*(1+((1+VLOOKUP($B117,'IGPM Hist'!$B:$C,2,0))^12 - 1)+$AF$2)^(1/252)</f>
        <v>1657673.632298016</v>
      </c>
      <c r="AG117" s="2">
        <f>350000*VLOOKUP(A117,'CVRDA6 Hist'!$A:$B,2,0)</f>
        <v>11960256.350000001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f>BA116*(1+VLOOKUP(A117,'SELIC Hist'!$A:$C,3,0))^(1/252)</f>
        <v>14651654.936892346</v>
      </c>
      <c r="BB117" s="2">
        <f t="shared" si="10"/>
        <v>722813553.23270404</v>
      </c>
      <c r="BC117" s="2">
        <v>0</v>
      </c>
      <c r="BD117" s="2">
        <v>0</v>
      </c>
      <c r="BE117" s="2">
        <f t="shared" si="19"/>
        <v>375607.37652385235</v>
      </c>
      <c r="BF117" s="2">
        <f t="shared" si="12"/>
        <v>2455731.8763697147</v>
      </c>
      <c r="BG117" s="2">
        <f t="shared" si="13"/>
        <v>22813553.232704043</v>
      </c>
      <c r="BH117" s="11">
        <f t="shared" si="14"/>
        <v>1.0395264424444675</v>
      </c>
      <c r="BI117" s="12">
        <f t="shared" si="15"/>
        <v>5.1991645604765324E-4</v>
      </c>
      <c r="BJ117" s="12">
        <f t="shared" si="16"/>
        <v>3.4090445103323042E-3</v>
      </c>
      <c r="BK117" s="12">
        <f t="shared" si="17"/>
        <v>3.9526442444467458E-2</v>
      </c>
      <c r="BL117" s="5">
        <f t="shared" si="18"/>
        <v>3.9526442444467458E-2</v>
      </c>
      <c r="BM117" s="19" t="s">
        <v>53</v>
      </c>
      <c r="BN117" s="19" t="s">
        <v>53</v>
      </c>
      <c r="BO117" s="19" t="s">
        <v>53</v>
      </c>
    </row>
    <row r="118" spans="1:67" x14ac:dyDescent="0.25">
      <c r="A118" s="1">
        <v>45268</v>
      </c>
      <c r="B118" s="1" t="str">
        <f t="shared" si="11"/>
        <v>202312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f>I117*(1+((1+VLOOKUP($B118,'IPCA Hist'!$B:$C,2,0))^12 - 1)+$I$2)^(1/252)</f>
        <v>203437673.38360128</v>
      </c>
      <c r="J118" s="2">
        <v>0</v>
      </c>
      <c r="K118" s="2">
        <v>0</v>
      </c>
      <c r="L118" s="2">
        <v>0</v>
      </c>
      <c r="M118" s="2">
        <v>0</v>
      </c>
      <c r="N118" s="2">
        <f>N117*(1+((1+VLOOKUP($B118,'IPCA Hist'!$B:$C,2,0))^12 - 1)+$N$2)^(1/252)</f>
        <v>43710747.056681208</v>
      </c>
      <c r="O118" s="2">
        <f>O117*(1+((1+VLOOKUP($B118,'IPCA Hist'!$B:$C,2,0))^12 - 1)+$O$2)^(1/252)</f>
        <v>43727753.769066945</v>
      </c>
      <c r="P118" s="2">
        <f>P117*(1+((1+VLOOKUP($B118,'IPCA Hist'!$B:$C,2,0))^12 - 1)+$P$2)^(1/252)</f>
        <v>43977701.069622874</v>
      </c>
      <c r="Q118" s="2">
        <f>Q117*(1+((1+VLOOKUP($B118,'IPCA Hist'!$B:$C,2,0))^12 - 1)+$Q$2)^(1/252)</f>
        <v>43960577.83207155</v>
      </c>
      <c r="R118" s="2">
        <f>R117*(1+((1+VLOOKUP($B118,'IPCA Hist'!$B:$C,2,0))^12 - 1)+$R$2)^(1/252)</f>
        <v>43943452.964435138</v>
      </c>
      <c r="S118" s="2">
        <f>S117*(1+((1+VLOOKUP($B118,'IPCA Hist'!$B:$C,2,0))^12 - 1)+$S$2)^(1/252)</f>
        <v>44968477.402285807</v>
      </c>
      <c r="T118" s="2">
        <f>T117*(1+((1+VLOOKUP($B118,'IPCA Hist'!$B:$C,2,0))^12 - 1)+$T$2)^(1/252)</f>
        <v>227135464.69646996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f>AF117*(1+((1+VLOOKUP($B118,'IGPM Hist'!$B:$C,2,0))^12 - 1)+$AF$2)^(1/252)</f>
        <v>1658621.7738846061</v>
      </c>
      <c r="AG118" s="2">
        <f>350000*VLOOKUP(A118,'CVRDA6 Hist'!$A:$B,2,0)</f>
        <v>12116913.550000001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f>BA117*(1+VLOOKUP(A118,'SELIC Hist'!$A:$C,3,0))^(1/252)</f>
        <v>14658323.36828508</v>
      </c>
      <c r="BB118" s="2">
        <f t="shared" si="10"/>
        <v>723295706.86640453</v>
      </c>
      <c r="BC118" s="2">
        <v>0</v>
      </c>
      <c r="BD118" s="2">
        <v>0</v>
      </c>
      <c r="BE118" s="2">
        <f t="shared" si="19"/>
        <v>482153.63370049</v>
      </c>
      <c r="BF118" s="2">
        <f t="shared" si="12"/>
        <v>2937885.5100702047</v>
      </c>
      <c r="BG118" s="2">
        <f t="shared" si="13"/>
        <v>23295706.866404533</v>
      </c>
      <c r="BH118" s="11">
        <f t="shared" si="14"/>
        <v>1.0402198597846801</v>
      </c>
      <c r="BI118" s="12">
        <f t="shared" si="15"/>
        <v>6.6705118013365983E-4</v>
      </c>
      <c r="BJ118" s="12">
        <f t="shared" si="16"/>
        <v>4.0783696976296469E-3</v>
      </c>
      <c r="BK118" s="12">
        <f t="shared" si="17"/>
        <v>4.0219859784680123E-2</v>
      </c>
      <c r="BL118" s="5">
        <f t="shared" si="18"/>
        <v>4.0219859784680123E-2</v>
      </c>
      <c r="BM118" s="19" t="s">
        <v>53</v>
      </c>
      <c r="BN118" s="19" t="s">
        <v>53</v>
      </c>
      <c r="BO118" s="19" t="s">
        <v>53</v>
      </c>
    </row>
    <row r="119" spans="1:67" x14ac:dyDescent="0.25">
      <c r="A119" s="1">
        <v>45271</v>
      </c>
      <c r="B119" s="1" t="str">
        <f t="shared" si="11"/>
        <v>202312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f>I118*(1+((1+VLOOKUP($B119,'IPCA Hist'!$B:$C,2,0))^12 - 1)+$I$2)^(1/252)</f>
        <v>203533569.49113896</v>
      </c>
      <c r="J119" s="2">
        <v>0</v>
      </c>
      <c r="K119" s="2">
        <v>0</v>
      </c>
      <c r="L119" s="2">
        <v>0</v>
      </c>
      <c r="M119" s="2">
        <v>0</v>
      </c>
      <c r="N119" s="2">
        <f>N118*(1+((1+VLOOKUP($B119,'IPCA Hist'!$B:$C,2,0))^12 - 1)+$N$2)^(1/252)</f>
        <v>43730811.15196424</v>
      </c>
      <c r="O119" s="2">
        <f>O118*(1+((1+VLOOKUP($B119,'IPCA Hist'!$B:$C,2,0))^12 - 1)+$O$2)^(1/252)</f>
        <v>43747810.205742717</v>
      </c>
      <c r="P119" s="2">
        <f>P118*(1+((1+VLOOKUP($B119,'IPCA Hist'!$B:$C,2,0))^12 - 1)+$P$2)^(1/252)</f>
        <v>43997623.106026262</v>
      </c>
      <c r="Q119" s="2">
        <f>Q118*(1+((1+VLOOKUP($B119,'IPCA Hist'!$B:$C,2,0))^12 - 1)+$Q$2)^(1/252)</f>
        <v>43980507.681064017</v>
      </c>
      <c r="R119" s="2">
        <f>R118*(1+((1+VLOOKUP($B119,'IPCA Hist'!$B:$C,2,0))^12 - 1)+$R$2)^(1/252)</f>
        <v>43963390.61176528</v>
      </c>
      <c r="S119" s="2">
        <f>S118*(1+((1+VLOOKUP($B119,'IPCA Hist'!$B:$C,2,0))^12 - 1)+$S$2)^(1/252)</f>
        <v>44988688.9212301</v>
      </c>
      <c r="T119" s="2">
        <f>T118*(1+((1+VLOOKUP($B119,'IPCA Hist'!$B:$C,2,0))^12 - 1)+$T$2)^(1/252)</f>
        <v>227237472.41420782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f>AF118*(1+((1+VLOOKUP($B119,'IGPM Hist'!$B:$C,2,0))^12 - 1)+$AF$2)^(1/252)</f>
        <v>1659570.4577808827</v>
      </c>
      <c r="AG119" s="2">
        <f>350000*VLOOKUP(A119,'CVRDA6 Hist'!$A:$B,2,0)</f>
        <v>12272751.4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f>BA118*(1+VLOOKUP(A119,'SELIC Hist'!$A:$C,3,0))^(1/252)</f>
        <v>14664994.834691772</v>
      </c>
      <c r="BB119" s="2">
        <f t="shared" si="10"/>
        <v>723777190.275612</v>
      </c>
      <c r="BC119" s="2">
        <v>0</v>
      </c>
      <c r="BD119" s="2">
        <v>0</v>
      </c>
      <c r="BE119" s="2">
        <f t="shared" si="19"/>
        <v>481483.40920746326</v>
      </c>
      <c r="BF119" s="2">
        <f t="shared" si="12"/>
        <v>3419368.919277668</v>
      </c>
      <c r="BG119" s="2">
        <f t="shared" si="13"/>
        <v>23777190.275611997</v>
      </c>
      <c r="BH119" s="11">
        <f t="shared" si="14"/>
        <v>1.04091231323029</v>
      </c>
      <c r="BI119" s="12">
        <f t="shared" si="15"/>
        <v>6.6567989362664726E-4</v>
      </c>
      <c r="BJ119" s="12">
        <f t="shared" si="16"/>
        <v>4.7467644799628061E-3</v>
      </c>
      <c r="BK119" s="12">
        <f t="shared" si="17"/>
        <v>4.0912313230289987E-2</v>
      </c>
      <c r="BL119" s="5">
        <f t="shared" si="18"/>
        <v>4.0912313230289987E-2</v>
      </c>
      <c r="BM119" s="19" t="s">
        <v>53</v>
      </c>
      <c r="BN119" s="19" t="s">
        <v>53</v>
      </c>
      <c r="BO119" s="19" t="s">
        <v>53</v>
      </c>
    </row>
    <row r="120" spans="1:67" x14ac:dyDescent="0.25">
      <c r="A120" s="1">
        <v>45272</v>
      </c>
      <c r="B120" s="1" t="str">
        <f t="shared" si="11"/>
        <v>202312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f>I119*(1+((1+VLOOKUP($B120,'IPCA Hist'!$B:$C,2,0))^12 - 1)+$I$2)^(1/252)</f>
        <v>203629510.80202216</v>
      </c>
      <c r="J120" s="2">
        <v>0</v>
      </c>
      <c r="K120" s="2">
        <v>0</v>
      </c>
      <c r="L120" s="2">
        <v>0</v>
      </c>
      <c r="M120" s="2">
        <v>0</v>
      </c>
      <c r="N120" s="2">
        <f>N119*(1+((1+VLOOKUP($B120,'IPCA Hist'!$B:$C,2,0))^12 - 1)+$N$2)^(1/252)</f>
        <v>43750884.457062855</v>
      </c>
      <c r="O120" s="2">
        <f>O119*(1+((1+VLOOKUP($B120,'IPCA Hist'!$B:$C,2,0))^12 - 1)+$O$2)^(1/252)</f>
        <v>43767875.84162534</v>
      </c>
      <c r="P120" s="2">
        <f>P119*(1+((1+VLOOKUP($B120,'IPCA Hist'!$B:$C,2,0))^12 - 1)+$P$2)^(1/252)</f>
        <v>44017554.16717457</v>
      </c>
      <c r="Q120" s="2">
        <f>Q119*(1+((1+VLOOKUP($B120,'IPCA Hist'!$B:$C,2,0))^12 - 1)+$Q$2)^(1/252)</f>
        <v>44000446.565399066</v>
      </c>
      <c r="R120" s="2">
        <f>R119*(1+((1+VLOOKUP($B120,'IPCA Hist'!$B:$C,2,0))^12 - 1)+$R$2)^(1/252)</f>
        <v>43983337.305034108</v>
      </c>
      <c r="S120" s="2">
        <f>S119*(1+((1+VLOOKUP($B120,'IPCA Hist'!$B:$C,2,0))^12 - 1)+$S$2)^(1/252)</f>
        <v>45008909.524437897</v>
      </c>
      <c r="T120" s="2">
        <f>T119*(1+((1+VLOOKUP($B120,'IPCA Hist'!$B:$C,2,0))^12 - 1)+$T$2)^(1/252)</f>
        <v>227339525.94414189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f>AF119*(1+((1+VLOOKUP($B120,'IGPM Hist'!$B:$C,2,0))^12 - 1)+$AF$2)^(1/252)</f>
        <v>1660519.6842970317</v>
      </c>
      <c r="AG120" s="2">
        <f>350000*VLOOKUP(A120,'CVRDA6 Hist'!$A:$B,2,0)</f>
        <v>12298564.6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f>BA119*(1+VLOOKUP(A120,'SELIC Hist'!$A:$C,3,0))^(1/252)</f>
        <v>14671669.337493753</v>
      </c>
      <c r="BB120" s="2">
        <f t="shared" si="10"/>
        <v>724128798.22868872</v>
      </c>
      <c r="BC120" s="2">
        <v>0</v>
      </c>
      <c r="BD120" s="2">
        <v>0</v>
      </c>
      <c r="BE120" s="2">
        <f t="shared" si="19"/>
        <v>351607.95307672024</v>
      </c>
      <c r="BF120" s="2">
        <f t="shared" si="12"/>
        <v>3770976.8723543882</v>
      </c>
      <c r="BG120" s="2">
        <f t="shared" si="13"/>
        <v>24128798.228688717</v>
      </c>
      <c r="BH120" s="11">
        <f t="shared" si="14"/>
        <v>1.0414179841089866</v>
      </c>
      <c r="BI120" s="12">
        <f t="shared" si="15"/>
        <v>4.8579584684449451E-4</v>
      </c>
      <c r="BJ120" s="12">
        <f t="shared" si="16"/>
        <v>5.234866285277695E-3</v>
      </c>
      <c r="BK120" s="12">
        <f t="shared" si="17"/>
        <v>4.1417984108986561E-2</v>
      </c>
      <c r="BL120" s="5">
        <f t="shared" si="18"/>
        <v>4.1417984108986561E-2</v>
      </c>
      <c r="BM120" s="19" t="s">
        <v>53</v>
      </c>
      <c r="BN120" s="19" t="s">
        <v>53</v>
      </c>
      <c r="BO120" s="19" t="s">
        <v>53</v>
      </c>
    </row>
    <row r="121" spans="1:67" x14ac:dyDescent="0.25">
      <c r="A121" s="1">
        <v>45273</v>
      </c>
      <c r="B121" s="1" t="str">
        <f t="shared" si="11"/>
        <v>202312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f>I120*(1+((1+VLOOKUP($B121,'IPCA Hist'!$B:$C,2,0))^12 - 1)+$I$2)^(1/252)</f>
        <v>203725497.33755875</v>
      </c>
      <c r="J121" s="2">
        <v>0</v>
      </c>
      <c r="K121" s="2">
        <v>0</v>
      </c>
      <c r="L121" s="2">
        <v>0</v>
      </c>
      <c r="M121" s="2">
        <v>0</v>
      </c>
      <c r="N121" s="2">
        <f>N120*(1+((1+VLOOKUP($B121,'IPCA Hist'!$B:$C,2,0))^12 - 1)+$N$2)^(1/252)</f>
        <v>43770966.976204544</v>
      </c>
      <c r="O121" s="2">
        <f>O120*(1+((1+VLOOKUP($B121,'IPCA Hist'!$B:$C,2,0))^12 - 1)+$O$2)^(1/252)</f>
        <v>43787950.680934176</v>
      </c>
      <c r="P121" s="2">
        <f>P120*(1+((1+VLOOKUP($B121,'IPCA Hist'!$B:$C,2,0))^12 - 1)+$P$2)^(1/252)</f>
        <v>44037494.257156044</v>
      </c>
      <c r="Q121" s="2">
        <f>Q120*(1+((1+VLOOKUP($B121,'IPCA Hist'!$B:$C,2,0))^12 - 1)+$Q$2)^(1/252)</f>
        <v>44020394.489172935</v>
      </c>
      <c r="R121" s="2">
        <f>R120*(1+((1+VLOOKUP($B121,'IPCA Hist'!$B:$C,2,0))^12 - 1)+$R$2)^(1/252)</f>
        <v>44003293.048345864</v>
      </c>
      <c r="S121" s="2">
        <f>S120*(1+((1+VLOOKUP($B121,'IPCA Hist'!$B:$C,2,0))^12 - 1)+$S$2)^(1/252)</f>
        <v>45029139.215992205</v>
      </c>
      <c r="T121" s="2">
        <f>T120*(1+((1+VLOOKUP($B121,'IPCA Hist'!$B:$C,2,0))^12 - 1)+$T$2)^(1/252)</f>
        <v>227441625.30684671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f>AF120*(1+((1+VLOOKUP($B121,'IGPM Hist'!$B:$C,2,0))^12 - 1)+$AF$2)^(1/252)</f>
        <v>1661469.4537434159</v>
      </c>
      <c r="AG121" s="2">
        <f>350000*VLOOKUP(A121,'CVRDA6 Hist'!$A:$B,2,0)</f>
        <v>12225301.550000001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f>BA120*(1+VLOOKUP(A121,'SELIC Hist'!$A:$C,3,0))^(1/252)</f>
        <v>14678086.614494966</v>
      </c>
      <c r="BB121" s="2">
        <f t="shared" si="10"/>
        <v>724381218.93044949</v>
      </c>
      <c r="BC121" s="2">
        <v>0</v>
      </c>
      <c r="BD121" s="2">
        <v>0</v>
      </c>
      <c r="BE121" s="2">
        <f t="shared" si="19"/>
        <v>252420.70176076889</v>
      </c>
      <c r="BF121" s="2">
        <f t="shared" si="12"/>
        <v>4023397.5741151571</v>
      </c>
      <c r="BG121" s="2">
        <f t="shared" si="13"/>
        <v>24381218.930449486</v>
      </c>
      <c r="BH121" s="11">
        <f t="shared" si="14"/>
        <v>1.0417810071775595</v>
      </c>
      <c r="BI121" s="12">
        <f t="shared" si="15"/>
        <v>3.4858536544635221E-4</v>
      </c>
      <c r="BJ121" s="12">
        <f t="shared" si="16"/>
        <v>5.585276448501153E-3</v>
      </c>
      <c r="BK121" s="12">
        <f t="shared" si="17"/>
        <v>4.1781007177559504E-2</v>
      </c>
      <c r="BL121" s="5">
        <f t="shared" si="18"/>
        <v>4.1781007177559504E-2</v>
      </c>
      <c r="BM121" s="19" t="s">
        <v>53</v>
      </c>
      <c r="BN121" s="19" t="s">
        <v>53</v>
      </c>
      <c r="BO121" s="19" t="s">
        <v>53</v>
      </c>
    </row>
    <row r="122" spans="1:67" x14ac:dyDescent="0.25">
      <c r="A122" s="1">
        <v>45274</v>
      </c>
      <c r="B122" s="1" t="str">
        <f t="shared" si="11"/>
        <v>202312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f>I121*(1+((1+VLOOKUP($B122,'IPCA Hist'!$B:$C,2,0))^12 - 1)+$I$2)^(1/252)</f>
        <v>203821529.11906666</v>
      </c>
      <c r="J122" s="2">
        <v>0</v>
      </c>
      <c r="K122" s="2">
        <v>0</v>
      </c>
      <c r="L122" s="2">
        <v>0</v>
      </c>
      <c r="M122" s="2">
        <v>0</v>
      </c>
      <c r="N122" s="2">
        <f>N121*(1+((1+VLOOKUP($B122,'IPCA Hist'!$B:$C,2,0))^12 - 1)+$N$2)^(1/252)</f>
        <v>43791058.713618733</v>
      </c>
      <c r="O122" s="2">
        <f>O121*(1+((1+VLOOKUP($B122,'IPCA Hist'!$B:$C,2,0))^12 - 1)+$O$2)^(1/252)</f>
        <v>43808034.727890529</v>
      </c>
      <c r="P122" s="2">
        <f>P121*(1+((1+VLOOKUP($B122,'IPCA Hist'!$B:$C,2,0))^12 - 1)+$P$2)^(1/252)</f>
        <v>44057443.38006077</v>
      </c>
      <c r="Q122" s="2">
        <f>Q121*(1+((1+VLOOKUP($B122,'IPCA Hist'!$B:$C,2,0))^12 - 1)+$Q$2)^(1/252)</f>
        <v>44040351.456483722</v>
      </c>
      <c r="R122" s="2">
        <f>R121*(1+((1+VLOOKUP($B122,'IPCA Hist'!$B:$C,2,0))^12 - 1)+$R$2)^(1/252)</f>
        <v>44023257.845806658</v>
      </c>
      <c r="S122" s="2">
        <f>S121*(1+((1+VLOOKUP($B122,'IPCA Hist'!$B:$C,2,0))^12 - 1)+$S$2)^(1/252)</f>
        <v>45049377.999977872</v>
      </c>
      <c r="T122" s="2">
        <f>T121*(1+((1+VLOOKUP($B122,'IPCA Hist'!$B:$C,2,0))^12 - 1)+$T$2)^(1/252)</f>
        <v>227543770.52290598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f>AF121*(1+((1+VLOOKUP($B122,'IGPM Hist'!$B:$C,2,0))^12 - 1)+$AF$2)^(1/252)</f>
        <v>1662419.7664305756</v>
      </c>
      <c r="AG122" s="2">
        <f>350000*VLOOKUP(A122,'CVRDA6 Hist'!$A:$B,2,0)</f>
        <v>12254685.450000001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f>BA121*(1+VLOOKUP(A122,'SELIC Hist'!$A:$C,3,0))^(1/252)</f>
        <v>14684506.698364517</v>
      </c>
      <c r="BB122" s="2">
        <f t="shared" si="10"/>
        <v>724736435.68060613</v>
      </c>
      <c r="BC122" s="2">
        <v>0</v>
      </c>
      <c r="BD122" s="2">
        <v>0</v>
      </c>
      <c r="BE122" s="2">
        <f t="shared" si="19"/>
        <v>355216.75015664101</v>
      </c>
      <c r="BF122" s="2">
        <f t="shared" si="12"/>
        <v>4378614.3242717981</v>
      </c>
      <c r="BG122" s="2">
        <f t="shared" si="13"/>
        <v>24736435.680606127</v>
      </c>
      <c r="BH122" s="11">
        <f t="shared" si="14"/>
        <v>1.0422918681083424</v>
      </c>
      <c r="BI122" s="12">
        <f t="shared" si="15"/>
        <v>4.903726668687991E-4</v>
      </c>
      <c r="BJ122" s="12">
        <f t="shared" si="16"/>
        <v>6.0783879822772224E-3</v>
      </c>
      <c r="BK122" s="12">
        <f t="shared" si="17"/>
        <v>4.2291868108342401E-2</v>
      </c>
      <c r="BL122" s="5">
        <f t="shared" si="18"/>
        <v>4.2291868108342401E-2</v>
      </c>
      <c r="BM122" s="19" t="s">
        <v>53</v>
      </c>
      <c r="BN122" s="19" t="s">
        <v>53</v>
      </c>
      <c r="BO122" s="19" t="s">
        <v>53</v>
      </c>
    </row>
    <row r="123" spans="1:67" x14ac:dyDescent="0.25">
      <c r="A123" s="1">
        <v>45275</v>
      </c>
      <c r="B123" s="1" t="str">
        <f t="shared" si="11"/>
        <v>202312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f>I122*(1+((1+VLOOKUP($B123,'IPCA Hist'!$B:$C,2,0))^12 - 1)+$I$2)^(1/252)</f>
        <v>203917606.16787383</v>
      </c>
      <c r="J123" s="2">
        <v>0</v>
      </c>
      <c r="K123" s="2">
        <v>0</v>
      </c>
      <c r="L123" s="2">
        <v>0</v>
      </c>
      <c r="M123" s="2">
        <v>0</v>
      </c>
      <c r="N123" s="2">
        <f>N122*(1+((1+VLOOKUP($B123,'IPCA Hist'!$B:$C,2,0))^12 - 1)+$N$2)^(1/252)</f>
        <v>43811159.673536792</v>
      </c>
      <c r="O123" s="2">
        <f>O122*(1+((1+VLOOKUP($B123,'IPCA Hist'!$B:$C,2,0))^12 - 1)+$O$2)^(1/252)</f>
        <v>43828127.986717634</v>
      </c>
      <c r="P123" s="2">
        <f>P122*(1+((1+VLOOKUP($B123,'IPCA Hist'!$B:$C,2,0))^12 - 1)+$P$2)^(1/252)</f>
        <v>44077401.539980687</v>
      </c>
      <c r="Q123" s="2">
        <f>Q122*(1+((1+VLOOKUP($B123,'IPCA Hist'!$B:$C,2,0))^12 - 1)+$Q$2)^(1/252)</f>
        <v>44060317.471431375</v>
      </c>
      <c r="R123" s="2">
        <f>R122*(1+((1+VLOOKUP($B123,'IPCA Hist'!$B:$C,2,0))^12 - 1)+$R$2)^(1/252)</f>
        <v>44043231.701524459</v>
      </c>
      <c r="S123" s="2">
        <f>S122*(1+((1+VLOOKUP($B123,'IPCA Hist'!$B:$C,2,0))^12 - 1)+$S$2)^(1/252)</f>
        <v>45069625.880481578</v>
      </c>
      <c r="T123" s="2">
        <f>T122*(1+((1+VLOOKUP($B123,'IPCA Hist'!$B:$C,2,0))^12 - 1)+$T$2)^(1/252)</f>
        <v>227645961.61291265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f>AF122*(1+((1+VLOOKUP($B123,'IGPM Hist'!$B:$C,2,0))^12 - 1)+$AF$2)^(1/252)</f>
        <v>1663370.6226692293</v>
      </c>
      <c r="AG123" s="2">
        <f>350000*VLOOKUP(A123,'CVRDA6 Hist'!$A:$B,2,0)</f>
        <v>12203641.450000001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f>BA122*(1+VLOOKUP(A123,'SELIC Hist'!$A:$C,3,0))^(1/252)</f>
        <v>14690929.590330107</v>
      </c>
      <c r="BB123" s="2">
        <f t="shared" si="10"/>
        <v>725011373.69745851</v>
      </c>
      <c r="BC123" s="2">
        <v>0</v>
      </c>
      <c r="BD123" s="2">
        <v>0</v>
      </c>
      <c r="BE123" s="2">
        <f t="shared" si="19"/>
        <v>274938.01685237885</v>
      </c>
      <c r="BF123" s="2">
        <f t="shared" si="12"/>
        <v>4653552.341124177</v>
      </c>
      <c r="BG123" s="2">
        <f t="shared" si="13"/>
        <v>25011373.697458506</v>
      </c>
      <c r="BH123" s="11">
        <f t="shared" si="14"/>
        <v>1.0426872748315188</v>
      </c>
      <c r="BI123" s="12">
        <f t="shared" si="15"/>
        <v>3.7936276322869666E-4</v>
      </c>
      <c r="BJ123" s="12">
        <f t="shared" si="16"/>
        <v>6.4600566595669484E-3</v>
      </c>
      <c r="BK123" s="12">
        <f t="shared" si="17"/>
        <v>4.2687274831518796E-2</v>
      </c>
      <c r="BL123" s="5">
        <f t="shared" si="18"/>
        <v>4.2687274831518796E-2</v>
      </c>
      <c r="BM123" s="19" t="s">
        <v>53</v>
      </c>
      <c r="BN123" s="19" t="s">
        <v>53</v>
      </c>
      <c r="BO123" s="19" t="s">
        <v>53</v>
      </c>
    </row>
    <row r="124" spans="1:67" x14ac:dyDescent="0.25">
      <c r="A124" s="1">
        <v>45278</v>
      </c>
      <c r="B124" s="1" t="str">
        <f t="shared" si="11"/>
        <v>202312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f>I123*(1+((1+VLOOKUP($B124,'IPCA Hist'!$B:$C,2,0))^12 - 1)+$I$2)^(1/252)</f>
        <v>204013728.50531831</v>
      </c>
      <c r="J124" s="2">
        <v>0</v>
      </c>
      <c r="K124" s="2">
        <v>0</v>
      </c>
      <c r="L124" s="2">
        <v>0</v>
      </c>
      <c r="M124" s="2">
        <v>0</v>
      </c>
      <c r="N124" s="2">
        <f>N123*(1+((1+VLOOKUP($B124,'IPCA Hist'!$B:$C,2,0))^12 - 1)+$N$2)^(1/252)</f>
        <v>43831269.860192031</v>
      </c>
      <c r="O124" s="2">
        <f>O123*(1+((1+VLOOKUP($B124,'IPCA Hist'!$B:$C,2,0))^12 - 1)+$O$2)^(1/252)</f>
        <v>43848230.461640663</v>
      </c>
      <c r="P124" s="2">
        <f>P123*(1+((1+VLOOKUP($B124,'IPCA Hist'!$B:$C,2,0))^12 - 1)+$P$2)^(1/252)</f>
        <v>44097368.741009593</v>
      </c>
      <c r="Q124" s="2">
        <f>Q123*(1+((1+VLOOKUP($B124,'IPCA Hist'!$B:$C,2,0))^12 - 1)+$Q$2)^(1/252)</f>
        <v>44080292.538117714</v>
      </c>
      <c r="R124" s="2">
        <f>R123*(1+((1+VLOOKUP($B124,'IPCA Hist'!$B:$C,2,0))^12 - 1)+$R$2)^(1/252)</f>
        <v>44063214.619609103</v>
      </c>
      <c r="S124" s="2">
        <f>S123*(1+((1+VLOOKUP($B124,'IPCA Hist'!$B:$C,2,0))^12 - 1)+$S$2)^(1/252)</f>
        <v>45089882.861591846</v>
      </c>
      <c r="T124" s="2">
        <f>T123*(1+((1+VLOOKUP($B124,'IPCA Hist'!$B:$C,2,0))^12 - 1)+$T$2)^(1/252)</f>
        <v>227748198.597469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f>AF123*(1+((1+VLOOKUP($B124,'IGPM Hist'!$B:$C,2,0))^12 - 1)+$AF$2)^(1/252)</f>
        <v>1664322.0227702723</v>
      </c>
      <c r="AG124" s="2">
        <f>350000*VLOOKUP(A124,'CVRDA6 Hist'!$A:$B,2,0)</f>
        <v>11982550.649999999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f>BA123*(1+VLOOKUP(A124,'SELIC Hist'!$A:$C,3,0))^(1/252)</f>
        <v>14697355.291619977</v>
      </c>
      <c r="BB124" s="2">
        <f t="shared" si="10"/>
        <v>725116414.14933848</v>
      </c>
      <c r="BC124" s="2">
        <v>0</v>
      </c>
      <c r="BD124" s="2">
        <v>0</v>
      </c>
      <c r="BE124" s="2">
        <f t="shared" si="19"/>
        <v>105040.45187997818</v>
      </c>
      <c r="BF124" s="2">
        <f t="shared" si="12"/>
        <v>4758592.7930041552</v>
      </c>
      <c r="BG124" s="2">
        <f t="shared" si="13"/>
        <v>25116414.149338484</v>
      </c>
      <c r="BH124" s="11">
        <f t="shared" si="14"/>
        <v>1.0428383405202668</v>
      </c>
      <c r="BI124" s="12">
        <f t="shared" si="15"/>
        <v>1.4488110902899365E-4</v>
      </c>
      <c r="BJ124" s="12">
        <f t="shared" si="16"/>
        <v>6.6058737087690833E-3</v>
      </c>
      <c r="BK124" s="12">
        <f t="shared" si="17"/>
        <v>4.2838340520266804E-2</v>
      </c>
      <c r="BL124" s="5">
        <f t="shared" si="18"/>
        <v>4.2838340520266804E-2</v>
      </c>
      <c r="BM124" s="19" t="s">
        <v>53</v>
      </c>
      <c r="BN124" s="19" t="s">
        <v>53</v>
      </c>
      <c r="BO124" s="19" t="s">
        <v>53</v>
      </c>
    </row>
    <row r="125" spans="1:67" x14ac:dyDescent="0.25">
      <c r="A125" s="1">
        <v>45279</v>
      </c>
      <c r="B125" s="1" t="str">
        <f t="shared" si="11"/>
        <v>202312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f>I124*(1+((1+VLOOKUP($B125,'IPCA Hist'!$B:$C,2,0))^12 - 1)+$I$2)^(1/252)</f>
        <v>204109896.1527482</v>
      </c>
      <c r="J125" s="2">
        <v>130193342.34</v>
      </c>
      <c r="K125" s="2">
        <v>0</v>
      </c>
      <c r="L125" s="2">
        <v>0</v>
      </c>
      <c r="M125" s="2">
        <v>0</v>
      </c>
      <c r="N125" s="2">
        <v>131465107.05</v>
      </c>
      <c r="O125" s="2">
        <v>0</v>
      </c>
      <c r="P125" s="2">
        <v>0</v>
      </c>
      <c r="Q125" s="2">
        <f>Q124*(1+((1+VLOOKUP($B125,'IPCA Hist'!$B:$C,2,0))^12 - 1)+$Q$2)^(1/252)</f>
        <v>44100276.660646409</v>
      </c>
      <c r="R125" s="2">
        <f>R124*(1+((1+VLOOKUP($B125,'IPCA Hist'!$B:$C,2,0))^12 - 1)+$R$2)^(1/252)</f>
        <v>44083206.604172289</v>
      </c>
      <c r="S125" s="2">
        <f>S124*(1+((1+VLOOKUP($B125,'IPCA Hist'!$B:$C,2,0))^12 - 1)+$S$2)^(1/252)</f>
        <v>45110148.947399028</v>
      </c>
      <c r="T125" s="2">
        <f>T124*(1+((1+VLOOKUP($B125,'IPCA Hist'!$B:$C,2,0))^12 - 1)+$T$2)^(1/252)</f>
        <v>227850481.49718651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f>AF124*(1+((1+VLOOKUP($B125,'IGPM Hist'!$B:$C,2,0))^12 - 1)+$AF$2)^(1/252)</f>
        <v>1665273.9670447786</v>
      </c>
      <c r="AG125" s="2">
        <f>350000*VLOOKUP(A125,'CVRDA6 Hist'!$A:$B,2,0)</f>
        <v>12182922.15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-131465107.05</v>
      </c>
      <c r="BA125" s="2">
        <f>BA124*(1+VLOOKUP(A125,'SELIC Hist'!$A:$C,3,0))^(1/252) + N125-J125</f>
        <v>15975548.513462901</v>
      </c>
      <c r="BB125" s="2">
        <f t="shared" si="10"/>
        <v>725271096.8326602</v>
      </c>
      <c r="BC125" s="2">
        <v>0</v>
      </c>
      <c r="BD125" s="2">
        <v>0</v>
      </c>
      <c r="BE125" s="2">
        <f t="shared" si="19"/>
        <v>154682.6833217144</v>
      </c>
      <c r="BF125" s="2">
        <f t="shared" si="12"/>
        <v>4913275.4763258696</v>
      </c>
      <c r="BG125" s="2">
        <f t="shared" si="13"/>
        <v>25271096.832660198</v>
      </c>
      <c r="BH125" s="11">
        <f t="shared" si="14"/>
        <v>1.0430608000173003</v>
      </c>
      <c r="BI125" s="12">
        <f t="shared" si="15"/>
        <v>2.1332117202610412E-4</v>
      </c>
      <c r="BJ125" s="12">
        <f t="shared" si="16"/>
        <v>6.820604053517032E-3</v>
      </c>
      <c r="BK125" s="12">
        <f t="shared" si="17"/>
        <v>4.3060800017300283E-2</v>
      </c>
      <c r="BL125" s="5">
        <f t="shared" si="18"/>
        <v>4.3060800017300283E-2</v>
      </c>
      <c r="BM125" s="19" t="s">
        <v>53</v>
      </c>
      <c r="BN125" s="19" t="s">
        <v>53</v>
      </c>
      <c r="BO125" s="19" t="s">
        <v>53</v>
      </c>
    </row>
    <row r="126" spans="1:67" x14ac:dyDescent="0.25">
      <c r="A126" s="1">
        <v>45280</v>
      </c>
      <c r="B126" s="1" t="str">
        <f t="shared" si="11"/>
        <v>202312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f>I125*(1+((1+VLOOKUP($B126,'IPCA Hist'!$B:$C,2,0))^12 - 1)+$I$2)^(1/252)</f>
        <v>204206109.13152161</v>
      </c>
      <c r="J126" s="2">
        <f>J125*(1+((1+VLOOKUP($B126,'IPCA Hist'!$B:$C,2,0))^12 - 1)+$J$2)^(1/252)</f>
        <v>130252458.65109193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f>Q125*(1+((1+VLOOKUP($B126,'IPCA Hist'!$B:$C,2,0))^12 - 1)+$Q$2)^(1/252)</f>
        <v>44120269.843122989</v>
      </c>
      <c r="R126" s="2">
        <f>R125*(1+((1+VLOOKUP($B126,'IPCA Hist'!$B:$C,2,0))^12 - 1)+$R$2)^(1/252)</f>
        <v>44103207.659327582</v>
      </c>
      <c r="S126" s="2">
        <f>S125*(1+((1+VLOOKUP($B126,'IPCA Hist'!$B:$C,2,0))^12 - 1)+$S$2)^(1/252)</f>
        <v>45130424.141995318</v>
      </c>
      <c r="T126" s="2">
        <f>T125*(1+((1+VLOOKUP($B126,'IPCA Hist'!$B:$C,2,0))^12 - 1)+$T$2)^(1/252)</f>
        <v>227952810.33268589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f>AF125*(1+((1+VLOOKUP($B126,'IGPM Hist'!$B:$C,2,0))^12 - 1)+$AF$2)^(1/252)</f>
        <v>1666226.4558039997</v>
      </c>
      <c r="AG126" s="2">
        <f>350000*VLOOKUP(A126,'CVRDA6 Hist'!$A:$B,2,0)</f>
        <v>12257154.35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f>BA125*(1+VLOOKUP(A126,'SELIC Hist'!$A:$C,3,0))^(1/252)</f>
        <v>15982536.097336212</v>
      </c>
      <c r="BB126" s="2">
        <f t="shared" si="10"/>
        <v>725671196.66288543</v>
      </c>
      <c r="BC126" s="2">
        <v>0</v>
      </c>
      <c r="BD126" s="2">
        <v>0</v>
      </c>
      <c r="BE126" s="2">
        <f t="shared" si="19"/>
        <v>400099.83022522926</v>
      </c>
      <c r="BF126" s="2">
        <f t="shared" si="12"/>
        <v>5313375.3065510988</v>
      </c>
      <c r="BG126" s="2">
        <f t="shared" si="13"/>
        <v>25671196.662885427</v>
      </c>
      <c r="BH126" s="11">
        <f t="shared" si="14"/>
        <v>1.0436362103029495</v>
      </c>
      <c r="BI126" s="12">
        <f t="shared" si="15"/>
        <v>5.5165555607072925E-4</v>
      </c>
      <c r="BJ126" s="12">
        <f t="shared" si="16"/>
        <v>7.3760222337095893E-3</v>
      </c>
      <c r="BK126" s="12">
        <f t="shared" si="17"/>
        <v>4.3636210302949507E-2</v>
      </c>
      <c r="BL126" s="5">
        <f t="shared" si="18"/>
        <v>4.3636210302949507E-2</v>
      </c>
      <c r="BM126" s="19" t="s">
        <v>53</v>
      </c>
      <c r="BN126" s="19" t="s">
        <v>53</v>
      </c>
      <c r="BO126" s="19" t="s">
        <v>53</v>
      </c>
    </row>
    <row r="127" spans="1:67" x14ac:dyDescent="0.25">
      <c r="A127" s="1">
        <v>45281</v>
      </c>
      <c r="B127" s="1" t="str">
        <f t="shared" si="11"/>
        <v>202312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f>I126*(1+((1+VLOOKUP($B127,'IPCA Hist'!$B:$C,2,0))^12 - 1)+$I$2)^(1/252)</f>
        <v>204302367.46300676</v>
      </c>
      <c r="J127" s="2">
        <f>J126*(1+((1+VLOOKUP($B127,'IPCA Hist'!$B:$C,2,0))^12 - 1)+$J$2)^(1/252)</f>
        <v>130311601.80486394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f>Q126*(1+((1+VLOOKUP($B127,'IPCA Hist'!$B:$C,2,0))^12 - 1)+$Q$2)^(1/252)</f>
        <v>44140272.089654848</v>
      </c>
      <c r="R127" s="2">
        <f>R126*(1+((1+VLOOKUP($B127,'IPCA Hist'!$B:$C,2,0))^12 - 1)+$R$2)^(1/252)</f>
        <v>44123217.789190419</v>
      </c>
      <c r="S127" s="2">
        <f>S126*(1+((1+VLOOKUP($B127,'IPCA Hist'!$B:$C,2,0))^12 - 1)+$S$2)^(1/252)</f>
        <v>45150708.449474752</v>
      </c>
      <c r="T127" s="2">
        <f>T126*(1+((1+VLOOKUP($B127,'IPCA Hist'!$B:$C,2,0))^12 - 1)+$T$2)^(1/252)</f>
        <v>228055185.12459713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f>AF126*(1+((1+VLOOKUP($B127,'IGPM Hist'!$B:$C,2,0))^12 - 1)+$AF$2)^(1/252)</f>
        <v>1667179.4893593648</v>
      </c>
      <c r="AG127" s="2">
        <f>350000*VLOOKUP(A127,'CVRDA6 Hist'!$A:$B,2,0)</f>
        <v>12259045.749999998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f>BA126*(1+VLOOKUP(A127,'SELIC Hist'!$A:$C,3,0))^(1/252)</f>
        <v>15989526.737525765</v>
      </c>
      <c r="BB127" s="2">
        <f t="shared" si="10"/>
        <v>725999104.69767308</v>
      </c>
      <c r="BC127" s="2">
        <v>0</v>
      </c>
      <c r="BD127" s="2">
        <v>0</v>
      </c>
      <c r="BE127" s="2">
        <f t="shared" si="19"/>
        <v>327908.03478765488</v>
      </c>
      <c r="BF127" s="2">
        <f t="shared" si="12"/>
        <v>5641283.3413387537</v>
      </c>
      <c r="BG127" s="2">
        <f t="shared" si="13"/>
        <v>25999104.697673082</v>
      </c>
      <c r="BH127" s="11">
        <f t="shared" si="14"/>
        <v>1.044107796746407</v>
      </c>
      <c r="BI127" s="12">
        <f t="shared" si="15"/>
        <v>4.5186860977208809E-4</v>
      </c>
      <c r="BJ127" s="12">
        <f t="shared" si="16"/>
        <v>7.8312238363940079E-3</v>
      </c>
      <c r="BK127" s="12">
        <f t="shared" si="17"/>
        <v>4.4107796746406969E-2</v>
      </c>
      <c r="BL127" s="5">
        <f t="shared" si="18"/>
        <v>4.4107796746406969E-2</v>
      </c>
      <c r="BM127" s="19" t="s">
        <v>53</v>
      </c>
      <c r="BN127" s="19" t="s">
        <v>53</v>
      </c>
      <c r="BO127" s="19" t="s">
        <v>53</v>
      </c>
    </row>
    <row r="128" spans="1:67" x14ac:dyDescent="0.25">
      <c r="A128" s="1">
        <v>45282</v>
      </c>
      <c r="B128" s="1" t="str">
        <f t="shared" si="11"/>
        <v>202312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f>I127*(1+((1+VLOOKUP($B128,'IPCA Hist'!$B:$C,2,0))^12 - 1)+$I$2)^(1/252)</f>
        <v>204398671.16858193</v>
      </c>
      <c r="J128" s="2">
        <f>J127*(1+((1+VLOOKUP($B128,'IPCA Hist'!$B:$C,2,0))^12 - 1)+$J$2)^(1/252)</f>
        <v>130370771.81350438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f>Q127*(1+((1+VLOOKUP($B128,'IPCA Hist'!$B:$C,2,0))^12 - 1)+$Q$2)^(1/252)</f>
        <v>44160283.404351249</v>
      </c>
      <c r="R128" s="2">
        <f>R127*(1+((1+VLOOKUP($B128,'IPCA Hist'!$B:$C,2,0))^12 - 1)+$R$2)^(1/252)</f>
        <v>44143236.99787809</v>
      </c>
      <c r="S128" s="2">
        <f>S127*(1+((1+VLOOKUP($B128,'IPCA Hist'!$B:$C,2,0))^12 - 1)+$S$2)^(1/252)</f>
        <v>45171001.873933204</v>
      </c>
      <c r="T128" s="2">
        <f>T127*(1+((1+VLOOKUP($B128,'IPCA Hist'!$B:$C,2,0))^12 - 1)+$T$2)^(1/252)</f>
        <v>228157605.89355955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f>AF127*(1+((1+VLOOKUP($B128,'IGPM Hist'!$B:$C,2,0))^12 - 1)+$AF$2)^(1/252)</f>
        <v>1668133.0680224821</v>
      </c>
      <c r="AG128" s="2">
        <f>350000*VLOOKUP(A128,'CVRDA6 Hist'!$A:$B,2,0)</f>
        <v>12434634.100000001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f>BA127*(1+VLOOKUP(A128,'SELIC Hist'!$A:$C,3,0))^(1/252)</f>
        <v>15996520.435368368</v>
      </c>
      <c r="BB128" s="2">
        <f t="shared" si="10"/>
        <v>726500858.75519931</v>
      </c>
      <c r="BC128" s="2">
        <v>0</v>
      </c>
      <c r="BD128" s="2">
        <v>0</v>
      </c>
      <c r="BE128" s="2">
        <f t="shared" si="19"/>
        <v>501754.05752623081</v>
      </c>
      <c r="BF128" s="2">
        <f t="shared" si="12"/>
        <v>6143037.3988649845</v>
      </c>
      <c r="BG128" s="2">
        <f t="shared" si="13"/>
        <v>26500858.755199313</v>
      </c>
      <c r="BH128" s="11">
        <f t="shared" si="14"/>
        <v>1.0448294027650955</v>
      </c>
      <c r="BI128" s="12">
        <f t="shared" si="15"/>
        <v>6.9112214364941416E-4</v>
      </c>
      <c r="BJ128" s="12">
        <f t="shared" si="16"/>
        <v>8.5277583122487233E-3</v>
      </c>
      <c r="BK128" s="12">
        <f t="shared" si="17"/>
        <v>4.4829402765095505E-2</v>
      </c>
      <c r="BL128" s="5">
        <f t="shared" si="18"/>
        <v>4.4829402765095505E-2</v>
      </c>
      <c r="BM128" s="19" t="s">
        <v>53</v>
      </c>
      <c r="BN128" s="19" t="s">
        <v>53</v>
      </c>
      <c r="BO128" s="19" t="s">
        <v>53</v>
      </c>
    </row>
    <row r="129" spans="1:67" x14ac:dyDescent="0.25">
      <c r="A129" s="1">
        <v>45286</v>
      </c>
      <c r="B129" s="1" t="str">
        <f t="shared" si="11"/>
        <v>202312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f>I128*(1+((1+VLOOKUP($B129,'IPCA Hist'!$B:$C,2,0))^12 - 1)+$I$2)^(1/252)</f>
        <v>204495020.2696355</v>
      </c>
      <c r="J129" s="2">
        <f>J128*(1+((1+VLOOKUP($B129,'IPCA Hist'!$B:$C,2,0))^12 - 1)+$J$2)^(1/252)</f>
        <v>130429968.68920711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f>Q128*(1+((1+VLOOKUP($B129,'IPCA Hist'!$B:$C,2,0))^12 - 1)+$Q$2)^(1/252)</f>
        <v>44180303.791323304</v>
      </c>
      <c r="R129" s="2">
        <f>R128*(1+((1+VLOOKUP($B129,'IPCA Hist'!$B:$C,2,0))^12 - 1)+$R$2)^(1/252)</f>
        <v>44163265.289509766</v>
      </c>
      <c r="S129" s="2">
        <f>S128*(1+((1+VLOOKUP($B129,'IPCA Hist'!$B:$C,2,0))^12 - 1)+$S$2)^(1/252)</f>
        <v>45191304.419468388</v>
      </c>
      <c r="T129" s="2">
        <f>T128*(1+((1+VLOOKUP($B129,'IPCA Hist'!$B:$C,2,0))^12 - 1)+$T$2)^(1/252)</f>
        <v>228260072.66022164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f>AF128*(1+((1+VLOOKUP($B129,'IGPM Hist'!$B:$C,2,0))^12 - 1)+$AF$2)^(1/252)</f>
        <v>1669087.1921051373</v>
      </c>
      <c r="AG129" s="2">
        <f>350000*VLOOKUP(A129,'CVRDA6 Hist'!$A:$B,2,0)</f>
        <v>12389701.100000001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f>BA128*(1+VLOOKUP(A129,'SELIC Hist'!$A:$C,3,0))^(1/252)</f>
        <v>16003517.192201417</v>
      </c>
      <c r="BB129" s="2">
        <f t="shared" si="10"/>
        <v>726782240.60367227</v>
      </c>
      <c r="BC129" s="2">
        <v>0</v>
      </c>
      <c r="BD129" s="2">
        <v>0</v>
      </c>
      <c r="BE129" s="2">
        <f t="shared" si="19"/>
        <v>281381.84847295284</v>
      </c>
      <c r="BF129" s="2">
        <f t="shared" si="12"/>
        <v>6424419.2473379374</v>
      </c>
      <c r="BG129" s="2">
        <f t="shared" si="13"/>
        <v>26782240.603672266</v>
      </c>
      <c r="BH129" s="11">
        <f t="shared" si="14"/>
        <v>1.0452340767928627</v>
      </c>
      <c r="BI129" s="12">
        <f t="shared" si="15"/>
        <v>3.8731110236400745E-4</v>
      </c>
      <c r="BJ129" s="12">
        <f t="shared" si="16"/>
        <v>8.9183723100854095E-3</v>
      </c>
      <c r="BK129" s="12">
        <f t="shared" si="17"/>
        <v>4.5234076792862732E-2</v>
      </c>
      <c r="BL129" s="5">
        <f t="shared" si="18"/>
        <v>4.5234076792862732E-2</v>
      </c>
      <c r="BM129" s="19">
        <f>BH129/BH3 - 1</f>
        <v>4.5234076792862732E-2</v>
      </c>
      <c r="BN129" s="19" t="s">
        <v>53</v>
      </c>
      <c r="BO129" s="19" t="s">
        <v>53</v>
      </c>
    </row>
    <row r="130" spans="1:67" x14ac:dyDescent="0.25">
      <c r="A130" s="1">
        <v>45287</v>
      </c>
      <c r="B130" s="1" t="str">
        <f t="shared" si="11"/>
        <v>202312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f>I129*(1+((1+VLOOKUP($B130,'IPCA Hist'!$B:$C,2,0))^12 - 1)+$I$2)^(1/252)</f>
        <v>204591414.78756592</v>
      </c>
      <c r="J130" s="2">
        <f>J129*(1+((1+VLOOKUP($B130,'IPCA Hist'!$B:$C,2,0))^12 - 1)+$J$2)^(1/252)</f>
        <v>130489192.44417152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f>Q129*(1+((1+VLOOKUP($B130,'IPCA Hist'!$B:$C,2,0))^12 - 1)+$Q$2)^(1/252)</f>
        <v>44200333.254683994</v>
      </c>
      <c r="R130" s="2">
        <f>R129*(1+((1+VLOOKUP($B130,'IPCA Hist'!$B:$C,2,0))^12 - 1)+$R$2)^(1/252)</f>
        <v>44183302.668206483</v>
      </c>
      <c r="S130" s="2">
        <f>S129*(1+((1+VLOOKUP($B130,'IPCA Hist'!$B:$C,2,0))^12 - 1)+$S$2)^(1/252)</f>
        <v>45211616.090179861</v>
      </c>
      <c r="T130" s="2">
        <f>T129*(1+((1+VLOOKUP($B130,'IPCA Hist'!$B:$C,2,0))^12 - 1)+$T$2)^(1/252)</f>
        <v>228362585.44524118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f>AF129*(1+((1+VLOOKUP($B130,'IGPM Hist'!$B:$C,2,0))^12 - 1)+$AF$2)^(1/252)</f>
        <v>1670041.8619192946</v>
      </c>
      <c r="AG130" s="2">
        <f>350000*VLOOKUP(A130,'CVRDA6 Hist'!$A:$B,2,0)</f>
        <v>12616003.050000001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f>BA129*(1+VLOOKUP(A130,'SELIC Hist'!$A:$C,3,0))^(1/252)</f>
        <v>16010517.009362889</v>
      </c>
      <c r="BB130" s="2">
        <f t="shared" si="10"/>
        <v>727335006.61133111</v>
      </c>
      <c r="BC130" s="2">
        <v>0</v>
      </c>
      <c r="BD130" s="2">
        <v>0</v>
      </c>
      <c r="BE130" s="2">
        <f t="shared" si="19"/>
        <v>552766.00765883923</v>
      </c>
      <c r="BF130" s="2">
        <f t="shared" si="12"/>
        <v>6977185.2549967766</v>
      </c>
      <c r="BG130" s="2">
        <f t="shared" si="13"/>
        <v>27335006.611331105</v>
      </c>
      <c r="BH130" s="11">
        <f t="shared" si="14"/>
        <v>1.0460290465037598</v>
      </c>
      <c r="BI130" s="12">
        <f t="shared" si="15"/>
        <v>7.6056620095688032E-4</v>
      </c>
      <c r="BJ130" s="12">
        <f t="shared" si="16"/>
        <v>9.6857215235888194E-3</v>
      </c>
      <c r="BK130" s="12">
        <f t="shared" si="17"/>
        <v>4.602904650375983E-2</v>
      </c>
      <c r="BL130" s="5">
        <f t="shared" si="18"/>
        <v>4.602904650375983E-2</v>
      </c>
      <c r="BM130" s="19">
        <f t="shared" ref="BM130:BM193" si="20">BH130/BH4 - 1</f>
        <v>4.5782878575284736E-2</v>
      </c>
      <c r="BN130" s="19" t="s">
        <v>53</v>
      </c>
      <c r="BO130" s="19" t="s">
        <v>53</v>
      </c>
    </row>
    <row r="131" spans="1:67" x14ac:dyDescent="0.25">
      <c r="A131" s="1">
        <v>45288</v>
      </c>
      <c r="B131" s="1" t="str">
        <f t="shared" si="11"/>
        <v>202312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f>I130*(1+((1+VLOOKUP($B131,'IPCA Hist'!$B:$C,2,0))^12 - 1)+$I$2)^(1/252)</f>
        <v>204687854.74378169</v>
      </c>
      <c r="J131" s="2">
        <f>J130*(1+((1+VLOOKUP($B131,'IPCA Hist'!$B:$C,2,0))^12 - 1)+$J$2)^(1/252)</f>
        <v>130548443.09060258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f>Q130*(1+((1+VLOOKUP($B131,'IPCA Hist'!$B:$C,2,0))^12 - 1)+$Q$2)^(1/252)</f>
        <v>44220371.798548169</v>
      </c>
      <c r="R131" s="2">
        <f>R130*(1+((1+VLOOKUP($B131,'IPCA Hist'!$B:$C,2,0))^12 - 1)+$R$2)^(1/252)</f>
        <v>44203349.138091147</v>
      </c>
      <c r="S131" s="2">
        <f>S130*(1+((1+VLOOKUP($B131,'IPCA Hist'!$B:$C,2,0))^12 - 1)+$S$2)^(1/252)</f>
        <v>45231936.890169017</v>
      </c>
      <c r="T131" s="2">
        <f>T130*(1+((1+VLOOKUP($B131,'IPCA Hist'!$B:$C,2,0))^12 - 1)+$T$2)^(1/252)</f>
        <v>228465144.26928532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f>AF130*(1+((1+VLOOKUP($B131,'IGPM Hist'!$B:$C,2,0))^12 - 1)+$AF$2)^(1/252)</f>
        <v>1670997.077777097</v>
      </c>
      <c r="AG131" s="2">
        <f>350000*VLOOKUP(A131,'CVRDA6 Hist'!$A:$B,2,0)</f>
        <v>12659153.5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f>BA130*(1+VLOOKUP(A131,'SELIC Hist'!$A:$C,3,0))^(1/252)</f>
        <v>16017519.888191352</v>
      </c>
      <c r="BB131" s="2">
        <f t="shared" ref="BB131:BB194" si="21">SUM(C131:BA131)</f>
        <v>727704770.39644635</v>
      </c>
      <c r="BC131" s="2">
        <v>0</v>
      </c>
      <c r="BD131" s="2">
        <v>0</v>
      </c>
      <c r="BE131" s="2">
        <f t="shared" si="19"/>
        <v>369763.785115242</v>
      </c>
      <c r="BF131" s="2">
        <f t="shared" si="12"/>
        <v>7346949.0401120186</v>
      </c>
      <c r="BG131" s="2">
        <f t="shared" si="13"/>
        <v>27704770.396446347</v>
      </c>
      <c r="BH131" s="11">
        <f t="shared" si="14"/>
        <v>1.0465608284970092</v>
      </c>
      <c r="BI131" s="12">
        <f t="shared" si="15"/>
        <v>5.0838166973155019E-4</v>
      </c>
      <c r="BJ131" s="12">
        <f t="shared" si="16"/>
        <v>1.0199027236601044E-2</v>
      </c>
      <c r="BK131" s="12">
        <f t="shared" si="17"/>
        <v>4.6560828497009155E-2</v>
      </c>
      <c r="BL131" s="5">
        <f t="shared" si="18"/>
        <v>4.6560828497009155E-2</v>
      </c>
      <c r="BM131" s="19">
        <f t="shared" si="20"/>
        <v>4.6068289441677068E-2</v>
      </c>
      <c r="BN131" s="19" t="s">
        <v>53</v>
      </c>
      <c r="BO131" s="19" t="s">
        <v>53</v>
      </c>
    </row>
    <row r="132" spans="1:67" x14ac:dyDescent="0.25">
      <c r="A132" s="1">
        <v>45289</v>
      </c>
      <c r="B132" s="1" t="str">
        <f t="shared" ref="B132:B195" si="22">_xlfn.CONCAT(TEXT(YEAR(A132),"0000"),TEXT(MONTH(A132),"00"))</f>
        <v>202312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f>I131*(1+((1+VLOOKUP($B132,'IPCA Hist'!$B:$C,2,0))^12 - 1)+$I$2)^(1/252)</f>
        <v>204784340.15970144</v>
      </c>
      <c r="J132" s="2">
        <f>J131*(1+((1+VLOOKUP($B132,'IPCA Hist'!$B:$C,2,0))^12 - 1)+$J$2)^(1/252)</f>
        <v>130607720.64071076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f>Q131*(1+((1+VLOOKUP($B132,'IPCA Hist'!$B:$C,2,0))^12 - 1)+$Q$2)^(1/252)</f>
        <v>44240419.427032538</v>
      </c>
      <c r="R132" s="2">
        <f>R131*(1+((1+VLOOKUP($B132,'IPCA Hist'!$B:$C,2,0))^12 - 1)+$R$2)^(1/252)</f>
        <v>44223404.703288533</v>
      </c>
      <c r="S132" s="2">
        <f>S131*(1+((1+VLOOKUP($B132,'IPCA Hist'!$B:$C,2,0))^12 - 1)+$S$2)^(1/252)</f>
        <v>45252266.823539108</v>
      </c>
      <c r="T132" s="2">
        <f>T131*(1+((1+VLOOKUP($B132,'IPCA Hist'!$B:$C,2,0))^12 - 1)+$T$2)^(1/252)</f>
        <v>228567749.15303037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f>AF131*(1+((1+VLOOKUP($B132,'IGPM Hist'!$B:$C,2,0))^12 - 1)+$AF$2)^(1/252)</f>
        <v>1671952.8399908654</v>
      </c>
      <c r="AG132" s="2">
        <f>350000*VLOOKUP(A132,'CVRDA6 Hist'!$A:$B,2,0)</f>
        <v>12659153.5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f>BA131*(1+VLOOKUP(A132,'SELIC Hist'!$A:$C,3,0))^(1/252)</f>
        <v>16024525.830025952</v>
      </c>
      <c r="BB132" s="2">
        <f t="shared" si="21"/>
        <v>728031533.0773195</v>
      </c>
      <c r="BC132" s="2">
        <v>0</v>
      </c>
      <c r="BD132" s="2">
        <v>0</v>
      </c>
      <c r="BE132" s="2">
        <f t="shared" si="19"/>
        <v>326762.68087315559</v>
      </c>
      <c r="BF132" s="2">
        <f t="shared" si="12"/>
        <v>7673711.7209851742</v>
      </c>
      <c r="BG132" s="2">
        <f t="shared" si="13"/>
        <v>28031533.077319503</v>
      </c>
      <c r="BH132" s="11">
        <f t="shared" si="14"/>
        <v>1.047030767730512</v>
      </c>
      <c r="BI132" s="12">
        <f t="shared" si="15"/>
        <v>4.4903193460599233E-4</v>
      </c>
      <c r="BJ132" s="12">
        <f t="shared" si="16"/>
        <v>1.065263886013823E-2</v>
      </c>
      <c r="BK132" s="12">
        <f t="shared" si="17"/>
        <v>4.7030767730511958E-2</v>
      </c>
      <c r="BL132" s="5">
        <f t="shared" si="18"/>
        <v>4.7030767730511958E-2</v>
      </c>
      <c r="BM132" s="19">
        <f t="shared" si="20"/>
        <v>4.6291698066475817E-2</v>
      </c>
      <c r="BN132" s="19" t="s">
        <v>53</v>
      </c>
      <c r="BO132" s="19" t="s">
        <v>53</v>
      </c>
    </row>
    <row r="133" spans="1:67" x14ac:dyDescent="0.25">
      <c r="A133" s="1">
        <v>45293</v>
      </c>
      <c r="B133" s="1" t="str">
        <f t="shared" si="22"/>
        <v>202401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f>I132*(1+((1+VLOOKUP($B133,'IPCA Hist'!$B:$C,2,0))^12 - 1)+$I$2)^(1/252)</f>
        <v>204867970.26654163</v>
      </c>
      <c r="J133" s="2">
        <f>J132*(1+((1+VLOOKUP($B133,'IPCA Hist'!$B:$C,2,0))^12 - 1)+$J$2)^(1/252)</f>
        <v>130658761.11533834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f>Q132*(1+((1+VLOOKUP($B133,'IPCA Hist'!$B:$C,2,0))^12 - 1)+$Q$2)^(1/252)</f>
        <v>44257676.402154468</v>
      </c>
      <c r="R133" s="2">
        <f>R132*(1+((1+VLOOKUP($B133,'IPCA Hist'!$B:$C,2,0))^12 - 1)+$R$2)^(1/252)</f>
        <v>44240670.953233443</v>
      </c>
      <c r="S133" s="2">
        <f>S132*(1+((1+VLOOKUP($B133,'IPCA Hist'!$B:$C,2,0))^12 - 1)+$S$2)^(1/252)</f>
        <v>45269739.293628991</v>
      </c>
      <c r="T133" s="2">
        <f>T132*(1+((1+VLOOKUP($B133,'IPCA Hist'!$B:$C,2,0))^12 - 1)+$T$2)^(1/252)</f>
        <v>228655919.71037197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f>AF132*(1+((1+VLOOKUP($B133,'IGPM Hist'!$B:$C,2,0))^12 - 1)+$AF$2)^(1/252) - 71336.5218029199</f>
        <v>1601072.3375643296</v>
      </c>
      <c r="AG133" s="2">
        <f>350000*VLOOKUP(A133,'CVRDA6 Hist'!$A:$B,2,0)</f>
        <v>12648125.699999999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f>BA132*(1+VLOOKUP(A133,'SELIC Hist'!$A:$C,3,0))^(1/252) + 71336.5218029199</f>
        <v>16102871.358009348</v>
      </c>
      <c r="BB133" s="2">
        <f t="shared" si="21"/>
        <v>728302807.13684261</v>
      </c>
      <c r="BC133" s="2">
        <v>0</v>
      </c>
      <c r="BD133" s="2">
        <v>0</v>
      </c>
      <c r="BE133" s="2">
        <f t="shared" si="19"/>
        <v>271274.05952310562</v>
      </c>
      <c r="BF133" s="2">
        <f t="shared" ref="BF133:BF196" si="23">IF(MONTH(A133)=MONTH(A132),BE133+BF132,BE133)</f>
        <v>271274.05952310562</v>
      </c>
      <c r="BG133" s="2">
        <f t="shared" ref="BG133:BG196" si="24">IF(YEAR(A133)=YEAR(A132),BE133+BG132,BE133)</f>
        <v>271274.05952310562</v>
      </c>
      <c r="BH133" s="11">
        <f t="shared" ref="BH133:BH196" si="25">(1+(BB133-BB132-BC133+BD133)/BB132)*BH132</f>
        <v>1.0474209050719638</v>
      </c>
      <c r="BI133" s="12">
        <f t="shared" ref="BI133:BI196" si="26">BH133/BH132 - 1</f>
        <v>3.7261306303104647E-4</v>
      </c>
      <c r="BJ133" s="12">
        <f t="shared" ref="BJ133:BJ196" si="27">IF(MONTH(A133)=MONTH(A132),(1+BI133)*(1+BJ132) - 1,BI133)</f>
        <v>3.7261306303104647E-4</v>
      </c>
      <c r="BK133" s="12">
        <f t="shared" ref="BK133:BK196" si="28">IF(YEAR(A133)=YEAR(A132),(1+BI133)*(1+BK132) - 1,BI133)</f>
        <v>3.7261306303104647E-4</v>
      </c>
      <c r="BL133" s="5">
        <f t="shared" ref="BL133:BL196" si="29">(1+BI133)*(1+BL132) - 1</f>
        <v>4.7420905071963837E-2</v>
      </c>
      <c r="BM133" s="19">
        <f t="shared" si="20"/>
        <v>4.6435205918051947E-2</v>
      </c>
      <c r="BN133" s="19" t="s">
        <v>53</v>
      </c>
      <c r="BO133" s="19" t="s">
        <v>53</v>
      </c>
    </row>
    <row r="134" spans="1:67" x14ac:dyDescent="0.25">
      <c r="A134" s="1">
        <v>45294</v>
      </c>
      <c r="B134" s="1" t="str">
        <f t="shared" si="22"/>
        <v>202401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f>I133*(1+((1+VLOOKUP($B134,'IPCA Hist'!$B:$C,2,0))^12 - 1)+$I$2)^(1/252)</f>
        <v>204951634.5263584</v>
      </c>
      <c r="J134" s="2">
        <f>J133*(1+((1+VLOOKUP($B134,'IPCA Hist'!$B:$C,2,0))^12 - 1)+$J$2)^(1/252)</f>
        <v>130709821.53618379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f>Q133*(1+((1+VLOOKUP($B134,'IPCA Hist'!$B:$C,2,0))^12 - 1)+$Q$2)^(1/252)</f>
        <v>44274940.108749427</v>
      </c>
      <c r="R134" s="2">
        <f>R133*(1+((1+VLOOKUP($B134,'IPCA Hist'!$B:$C,2,0))^12 - 1)+$R$2)^(1/252)</f>
        <v>44257943.944481723</v>
      </c>
      <c r="S134" s="2">
        <f>S133*(1+((1+VLOOKUP($B134,'IPCA Hist'!$B:$C,2,0))^12 - 1)+$S$2)^(1/252)</f>
        <v>45287218.51005961</v>
      </c>
      <c r="T134" s="2">
        <f>T133*(1+((1+VLOOKUP($B134,'IPCA Hist'!$B:$C,2,0))^12 - 1)+$T$2)^(1/252)</f>
        <v>228744124.2797175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f>AF133*(1+((1+VLOOKUP($B134,'IGPM Hist'!$B:$C,2,0))^12 - 1)+$AF$2)^(1/252)</f>
        <v>1601509.024527896</v>
      </c>
      <c r="AG134" s="2">
        <f>350000*VLOOKUP(A134,'CVRDA6 Hist'!$A:$B,2,0)</f>
        <v>12619151.300000001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f>BA133*(1+VLOOKUP(A134,'SELIC Hist'!$A:$C,3,0))^(1/252)</f>
        <v>16109914.631930141</v>
      </c>
      <c r="BB134" s="2">
        <f t="shared" si="21"/>
        <v>728556257.86200845</v>
      </c>
      <c r="BC134" s="2">
        <v>0</v>
      </c>
      <c r="BD134" s="2">
        <v>0</v>
      </c>
      <c r="BE134" s="2">
        <f t="shared" si="19"/>
        <v>253450.72516584396</v>
      </c>
      <c r="BF134" s="2">
        <f t="shared" si="23"/>
        <v>524724.78468894958</v>
      </c>
      <c r="BG134" s="2">
        <f t="shared" si="24"/>
        <v>524724.78468894958</v>
      </c>
      <c r="BH134" s="11">
        <f t="shared" si="25"/>
        <v>1.0477854094859835</v>
      </c>
      <c r="BI134" s="12">
        <f t="shared" si="26"/>
        <v>3.4800185126604433E-4</v>
      </c>
      <c r="BJ134" s="12">
        <f t="shared" si="27"/>
        <v>7.2074458433291078E-4</v>
      </c>
      <c r="BK134" s="12">
        <f t="shared" si="28"/>
        <v>7.2074458433291078E-4</v>
      </c>
      <c r="BL134" s="5">
        <f t="shared" si="29"/>
        <v>4.7785409485983532E-2</v>
      </c>
      <c r="BM134" s="19">
        <f t="shared" si="20"/>
        <v>4.6469977107335358E-2</v>
      </c>
      <c r="BN134" s="19" t="s">
        <v>53</v>
      </c>
      <c r="BO134" s="19" t="s">
        <v>53</v>
      </c>
    </row>
    <row r="135" spans="1:67" x14ac:dyDescent="0.25">
      <c r="A135" s="1">
        <v>45295</v>
      </c>
      <c r="B135" s="1" t="str">
        <f t="shared" si="22"/>
        <v>202401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f>I134*(1+((1+VLOOKUP($B135,'IPCA Hist'!$B:$C,2,0))^12 - 1)+$I$2)^(1/252)</f>
        <v>205035332.95309916</v>
      </c>
      <c r="J135" s="2">
        <f>J134*(1+((1+VLOOKUP($B135,'IPCA Hist'!$B:$C,2,0))^12 - 1)+$J$2)^(1/252)</f>
        <v>130760901.91104192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f>Q134*(1+((1+VLOOKUP($B135,'IPCA Hist'!$B:$C,2,0))^12 - 1)+$Q$2)^(1/252)</f>
        <v>44292210.549443185</v>
      </c>
      <c r="R135" s="2">
        <f>R134*(1+((1+VLOOKUP($B135,'IPCA Hist'!$B:$C,2,0))^12 - 1)+$R$2)^(1/252)</f>
        <v>44275223.679665394</v>
      </c>
      <c r="S135" s="2">
        <f>S134*(1+((1+VLOOKUP($B135,'IPCA Hist'!$B:$C,2,0))^12 - 1)+$S$2)^(1/252)</f>
        <v>45304704.475435808</v>
      </c>
      <c r="T135" s="2">
        <f>T134*(1+((1+VLOOKUP($B135,'IPCA Hist'!$B:$C,2,0))^12 - 1)+$T$2)^(1/252)</f>
        <v>228832362.87418717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f>AF134*(1+((1+VLOOKUP($B135,'IGPM Hist'!$B:$C,2,0))^12 - 1)+$AF$2)^(1/252)</f>
        <v>1601945.8305963271</v>
      </c>
      <c r="AG135" s="2">
        <f>350000*VLOOKUP(A135,'CVRDA6 Hist'!$A:$B,2,0)</f>
        <v>12898209.799999999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f>BA134*(1+VLOOKUP(A135,'SELIC Hist'!$A:$C,3,0))^(1/252)</f>
        <v>16116960.98652558</v>
      </c>
      <c r="BB135" s="2">
        <f t="shared" si="21"/>
        <v>729117853.05999446</v>
      </c>
      <c r="BC135" s="2">
        <v>0</v>
      </c>
      <c r="BD135" s="2">
        <v>0</v>
      </c>
      <c r="BE135" s="2">
        <f t="shared" si="19"/>
        <v>561595.19798600674</v>
      </c>
      <c r="BF135" s="2">
        <f t="shared" si="23"/>
        <v>1086319.9826749563</v>
      </c>
      <c r="BG135" s="2">
        <f t="shared" si="24"/>
        <v>1086319.9826749563</v>
      </c>
      <c r="BH135" s="11">
        <f t="shared" si="25"/>
        <v>1.0485930770451284</v>
      </c>
      <c r="BI135" s="12">
        <f t="shared" si="26"/>
        <v>7.7083298911473364E-4</v>
      </c>
      <c r="BJ135" s="12">
        <f t="shared" si="27"/>
        <v>1.492133147150021E-3</v>
      </c>
      <c r="BK135" s="12">
        <f t="shared" si="28"/>
        <v>1.492133147150021E-3</v>
      </c>
      <c r="BL135" s="5">
        <f t="shared" si="29"/>
        <v>4.8593077045128386E-2</v>
      </c>
      <c r="BM135" s="19">
        <f t="shared" si="20"/>
        <v>4.6858686723255438E-2</v>
      </c>
      <c r="BN135" s="19" t="s">
        <v>53</v>
      </c>
      <c r="BO135" s="19" t="s">
        <v>53</v>
      </c>
    </row>
    <row r="136" spans="1:67" x14ac:dyDescent="0.25">
      <c r="A136" s="1">
        <v>45296</v>
      </c>
      <c r="B136" s="1" t="str">
        <f t="shared" si="22"/>
        <v>202401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f>I135*(1+((1+VLOOKUP($B136,'IPCA Hist'!$B:$C,2,0))^12 - 1)+$I$2)^(1/252)</f>
        <v>205119065.56071708</v>
      </c>
      <c r="J136" s="2">
        <f>J135*(1+((1+VLOOKUP($B136,'IPCA Hist'!$B:$C,2,0))^12 - 1)+$J$2)^(1/252)</f>
        <v>130812002.2477106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f>Q135*(1+((1+VLOOKUP($B136,'IPCA Hist'!$B:$C,2,0))^12 - 1)+$Q$2)^(1/252)</f>
        <v>44309487.726862527</v>
      </c>
      <c r="R136" s="2">
        <f>R135*(1+((1+VLOOKUP($B136,'IPCA Hist'!$B:$C,2,0))^12 - 1)+$R$2)^(1/252)</f>
        <v>44292510.161417507</v>
      </c>
      <c r="S136" s="2">
        <f>S135*(1+((1+VLOOKUP($B136,'IPCA Hist'!$B:$C,2,0))^12 - 1)+$S$2)^(1/252)</f>
        <v>45322197.192363441</v>
      </c>
      <c r="T136" s="2">
        <f>T135*(1+((1+VLOOKUP($B136,'IPCA Hist'!$B:$C,2,0))^12 - 1)+$T$2)^(1/252)</f>
        <v>228920635.50690624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f>AF135*(1+((1+VLOOKUP($B136,'IGPM Hist'!$B:$C,2,0))^12 - 1)+$AF$2)^(1/252)</f>
        <v>1602382.7558021084</v>
      </c>
      <c r="AG136" s="2">
        <f>350000*VLOOKUP(A136,'CVRDA6 Hist'!$A:$B,2,0)</f>
        <v>12730289.949999999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f>BA135*(1+VLOOKUP(A136,'SELIC Hist'!$A:$C,3,0))^(1/252)</f>
        <v>16124010.42314313</v>
      </c>
      <c r="BB136" s="2">
        <f t="shared" si="21"/>
        <v>729232581.52492273</v>
      </c>
      <c r="BC136" s="2">
        <v>0</v>
      </c>
      <c r="BD136" s="2">
        <v>0</v>
      </c>
      <c r="BE136" s="2">
        <f t="shared" si="19"/>
        <v>114728.46492826939</v>
      </c>
      <c r="BF136" s="2">
        <f t="shared" si="23"/>
        <v>1201048.4476032257</v>
      </c>
      <c r="BG136" s="2">
        <f t="shared" si="24"/>
        <v>1201048.4476032257</v>
      </c>
      <c r="BH136" s="11">
        <f t="shared" si="25"/>
        <v>1.0487580757124342</v>
      </c>
      <c r="BI136" s="12">
        <f t="shared" si="26"/>
        <v>1.5735242861869558E-4</v>
      </c>
      <c r="BJ136" s="12">
        <f t="shared" si="27"/>
        <v>1.6497203665433169E-3</v>
      </c>
      <c r="BK136" s="12">
        <f t="shared" si="28"/>
        <v>1.6497203665433169E-3</v>
      </c>
      <c r="BL136" s="5">
        <f t="shared" si="29"/>
        <v>4.8758075712434179E-2</v>
      </c>
      <c r="BM136" s="19">
        <f t="shared" si="20"/>
        <v>4.6691829376499072E-2</v>
      </c>
      <c r="BN136" s="19" t="s">
        <v>53</v>
      </c>
      <c r="BO136" s="19" t="s">
        <v>53</v>
      </c>
    </row>
    <row r="137" spans="1:67" x14ac:dyDescent="0.25">
      <c r="A137" s="1">
        <v>45299</v>
      </c>
      <c r="B137" s="1" t="str">
        <f t="shared" si="22"/>
        <v>202401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f>I136*(1+((1+VLOOKUP($B137,'IPCA Hist'!$B:$C,2,0))^12 - 1)+$I$2)^(1/252)</f>
        <v>205202832.36317095</v>
      </c>
      <c r="J137" s="2">
        <f>J136*(1+((1+VLOOKUP($B137,'IPCA Hist'!$B:$C,2,0))^12 - 1)+$J$2)^(1/252)</f>
        <v>130863122.55399077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f>Q136*(1+((1+VLOOKUP($B137,'IPCA Hist'!$B:$C,2,0))^12 - 1)+$Q$2)^(1/252)</f>
        <v>44326771.643635266</v>
      </c>
      <c r="R137" s="2">
        <f>R136*(1+((1+VLOOKUP($B137,'IPCA Hist'!$B:$C,2,0))^12 - 1)+$R$2)^(1/252)</f>
        <v>44309803.392372146</v>
      </c>
      <c r="S137" s="2">
        <f>S136*(1+((1+VLOOKUP($B137,'IPCA Hist'!$B:$C,2,0))^12 - 1)+$S$2)^(1/252)</f>
        <v>45339696.663449369</v>
      </c>
      <c r="T137" s="2">
        <f>T136*(1+((1+VLOOKUP($B137,'IPCA Hist'!$B:$C,2,0))^12 - 1)+$T$2)^(1/252)</f>
        <v>229008942.19100508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f>AF136*(1+((1+VLOOKUP($B137,'IGPM Hist'!$B:$C,2,0))^12 - 1)+$AF$2)^(1/252)</f>
        <v>1602819.8001777341</v>
      </c>
      <c r="AG137" s="2">
        <f>350000*VLOOKUP(A137,'CVRDA6 Hist'!$A:$B,2,0)</f>
        <v>12616888.550000001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f>BA136*(1+VLOOKUP(A137,'SELIC Hist'!$A:$C,3,0))^(1/252)</f>
        <v>16131062.943130841</v>
      </c>
      <c r="BB137" s="2">
        <f t="shared" si="21"/>
        <v>729401940.100932</v>
      </c>
      <c r="BC137" s="2">
        <v>0</v>
      </c>
      <c r="BD137" s="2">
        <v>0</v>
      </c>
      <c r="BE137" s="2">
        <f t="shared" ref="BE137:BE200" si="30">BB137-BB136-BC137+BD137</f>
        <v>169358.57600927353</v>
      </c>
      <c r="BF137" s="2">
        <f t="shared" si="23"/>
        <v>1370407.0236124992</v>
      </c>
      <c r="BG137" s="2">
        <f t="shared" si="24"/>
        <v>1370407.0236124992</v>
      </c>
      <c r="BH137" s="11">
        <f t="shared" si="25"/>
        <v>1.0490016415908394</v>
      </c>
      <c r="BI137" s="12">
        <f t="shared" si="26"/>
        <v>2.3224219583695138E-4</v>
      </c>
      <c r="BJ137" s="12">
        <f t="shared" si="27"/>
        <v>1.8823456970606944E-3</v>
      </c>
      <c r="BK137" s="12">
        <f t="shared" si="28"/>
        <v>1.8823456970606944E-3</v>
      </c>
      <c r="BL137" s="5">
        <f t="shared" si="29"/>
        <v>4.9001641590839418E-2</v>
      </c>
      <c r="BM137" s="19">
        <f t="shared" si="20"/>
        <v>4.6605333332475185E-2</v>
      </c>
      <c r="BN137" s="19" t="s">
        <v>53</v>
      </c>
      <c r="BO137" s="19" t="s">
        <v>53</v>
      </c>
    </row>
    <row r="138" spans="1:67" x14ac:dyDescent="0.25">
      <c r="A138" s="1">
        <v>45300</v>
      </c>
      <c r="B138" s="1" t="str">
        <f t="shared" si="22"/>
        <v>202401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f>I137*(1+((1+VLOOKUP($B138,'IPCA Hist'!$B:$C,2,0))^12 - 1)+$I$2)^(1/252)</f>
        <v>205286633.37442535</v>
      </c>
      <c r="J138" s="2">
        <f>J137*(1+((1+VLOOKUP($B138,'IPCA Hist'!$B:$C,2,0))^12 - 1)+$J$2)^(1/252)</f>
        <v>130914262.83768637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f>Q137*(1+((1+VLOOKUP($B138,'IPCA Hist'!$B:$C,2,0))^12 - 1)+$Q$2)^(1/252)</f>
        <v>44344062.302390233</v>
      </c>
      <c r="R138" s="2">
        <f>R137*(1+((1+VLOOKUP($B138,'IPCA Hist'!$B:$C,2,0))^12 - 1)+$R$2)^(1/252)</f>
        <v>44327103.375164412</v>
      </c>
      <c r="S138" s="2">
        <f>S137*(1+((1+VLOOKUP($B138,'IPCA Hist'!$B:$C,2,0))^12 - 1)+$S$2)^(1/252)</f>
        <v>45357202.891301461</v>
      </c>
      <c r="T138" s="2">
        <f>T137*(1+((1+VLOOKUP($B138,'IPCA Hist'!$B:$C,2,0))^12 - 1)+$T$2)^(1/252)</f>
        <v>229097282.93961906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f>AF137*(1+((1+VLOOKUP($B138,'IGPM Hist'!$B:$C,2,0))^12 - 1)+$AF$2)^(1/252)</f>
        <v>1603256.9637557075</v>
      </c>
      <c r="AG138" s="2">
        <f>350000*VLOOKUP(A138,'CVRDA6 Hist'!$A:$B,2,0)</f>
        <v>12744485.949999999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f>BA137*(1+VLOOKUP(A138,'SELIC Hist'!$A:$C,3,0))^(1/252)</f>
        <v>16138118.54783736</v>
      </c>
      <c r="BB138" s="2">
        <f t="shared" si="21"/>
        <v>729812409.18217993</v>
      </c>
      <c r="BC138" s="2">
        <v>0</v>
      </c>
      <c r="BD138" s="2">
        <v>0</v>
      </c>
      <c r="BE138" s="2">
        <f t="shared" si="30"/>
        <v>410469.08124792576</v>
      </c>
      <c r="BF138" s="2">
        <f t="shared" si="23"/>
        <v>1780876.104860425</v>
      </c>
      <c r="BG138" s="2">
        <f t="shared" si="24"/>
        <v>1780876.104860425</v>
      </c>
      <c r="BH138" s="11">
        <f t="shared" si="25"/>
        <v>1.0495919645888723</v>
      </c>
      <c r="BI138" s="12">
        <f t="shared" si="26"/>
        <v>5.6274744922002462E-4</v>
      </c>
      <c r="BJ138" s="12">
        <f t="shared" si="27"/>
        <v>2.4461524315202432E-3</v>
      </c>
      <c r="BK138" s="12">
        <f t="shared" si="28"/>
        <v>2.4461524315202432E-3</v>
      </c>
      <c r="BL138" s="5">
        <f t="shared" si="29"/>
        <v>4.9591964588872273E-2</v>
      </c>
      <c r="BM138" s="19">
        <f t="shared" si="20"/>
        <v>4.6864633790942412E-2</v>
      </c>
      <c r="BN138" s="19" t="s">
        <v>53</v>
      </c>
      <c r="BO138" s="19" t="s">
        <v>53</v>
      </c>
    </row>
    <row r="139" spans="1:67" x14ac:dyDescent="0.25">
      <c r="A139" s="1">
        <v>45301</v>
      </c>
      <c r="B139" s="1" t="str">
        <f t="shared" si="22"/>
        <v>202401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f>I138*(1+((1+VLOOKUP($B139,'IPCA Hist'!$B:$C,2,0))^12 - 1)+$I$2)^(1/252)</f>
        <v>205370468.60845047</v>
      </c>
      <c r="J139" s="2">
        <f>J138*(1+((1+VLOOKUP($B139,'IPCA Hist'!$B:$C,2,0))^12 - 1)+$J$2)^(1/252)</f>
        <v>130965423.10660446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f>Q138*(1+((1+VLOOKUP($B139,'IPCA Hist'!$B:$C,2,0))^12 - 1)+$Q$2)^(1/252)</f>
        <v>44361359.705757298</v>
      </c>
      <c r="R139" s="2">
        <f>R138*(1+((1+VLOOKUP($B139,'IPCA Hist'!$B:$C,2,0))^12 - 1)+$R$2)^(1/252)</f>
        <v>44344410.112430446</v>
      </c>
      <c r="S139" s="2">
        <f>S138*(1+((1+VLOOKUP($B139,'IPCA Hist'!$B:$C,2,0))^12 - 1)+$S$2)^(1/252)</f>
        <v>45374715.87852858</v>
      </c>
      <c r="T139" s="2">
        <f>T138*(1+((1+VLOOKUP($B139,'IPCA Hist'!$B:$C,2,0))^12 - 1)+$T$2)^(1/252)</f>
        <v>229185657.76588866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f>AF138*(1+((1+VLOOKUP($B139,'IGPM Hist'!$B:$C,2,0))^12 - 1)+$AF$2)^(1/252)</f>
        <v>1603694.2465685403</v>
      </c>
      <c r="AG139" s="2">
        <f>350000*VLOOKUP(A139,'CVRDA6 Hist'!$A:$B,2,0)</f>
        <v>12703497.449999999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f>BA138*(1+VLOOKUP(A139,'SELIC Hist'!$A:$C,3,0))^(1/252)</f>
        <v>16145177.238611916</v>
      </c>
      <c r="BB139" s="2">
        <f t="shared" si="21"/>
        <v>730054404.11284053</v>
      </c>
      <c r="BC139" s="2">
        <v>0</v>
      </c>
      <c r="BD139" s="2">
        <v>0</v>
      </c>
      <c r="BE139" s="2">
        <f t="shared" si="30"/>
        <v>241994.93066060543</v>
      </c>
      <c r="BF139" s="2">
        <f t="shared" si="23"/>
        <v>2022871.0355210304</v>
      </c>
      <c r="BG139" s="2">
        <f t="shared" si="24"/>
        <v>2022871.0355210304</v>
      </c>
      <c r="BH139" s="11">
        <f t="shared" si="25"/>
        <v>1.0499399936597635</v>
      </c>
      <c r="BI139" s="12">
        <f t="shared" si="26"/>
        <v>3.3158511367559207E-4</v>
      </c>
      <c r="BJ139" s="12">
        <f t="shared" si="27"/>
        <v>2.7785486529279257E-3</v>
      </c>
      <c r="BK139" s="12">
        <f t="shared" si="28"/>
        <v>2.7785486529279257E-3</v>
      </c>
      <c r="BL139" s="5">
        <f t="shared" si="29"/>
        <v>4.9939993659763537E-2</v>
      </c>
      <c r="BM139" s="19">
        <f t="shared" si="20"/>
        <v>4.6882068689328094E-2</v>
      </c>
      <c r="BN139" s="19" t="s">
        <v>53</v>
      </c>
      <c r="BO139" s="19" t="s">
        <v>53</v>
      </c>
    </row>
    <row r="140" spans="1:67" x14ac:dyDescent="0.25">
      <c r="A140" s="1">
        <v>45302</v>
      </c>
      <c r="B140" s="1" t="str">
        <f t="shared" si="22"/>
        <v>202401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f>I139*(1+((1+VLOOKUP($B140,'IPCA Hist'!$B:$C,2,0))^12 - 1)+$I$2)^(1/252)</f>
        <v>205454338.07922229</v>
      </c>
      <c r="J140" s="2">
        <f>J139*(1+((1+VLOOKUP($B140,'IPCA Hist'!$B:$C,2,0))^12 - 1)+$J$2)^(1/252)</f>
        <v>131016603.36855507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f>Q139*(1+((1+VLOOKUP($B140,'IPCA Hist'!$B:$C,2,0))^12 - 1)+$Q$2)^(1/252)</f>
        <v>44378663.85636735</v>
      </c>
      <c r="R140" s="2">
        <f>R139*(1+((1+VLOOKUP($B140,'IPCA Hist'!$B:$C,2,0))^12 - 1)+$R$2)^(1/252)</f>
        <v>44361723.606807411</v>
      </c>
      <c r="S140" s="2">
        <f>S139*(1+((1+VLOOKUP($B140,'IPCA Hist'!$B:$C,2,0))^12 - 1)+$S$2)^(1/252)</f>
        <v>45392235.627740614</v>
      </c>
      <c r="T140" s="2">
        <f>T139*(1+((1+VLOOKUP($B140,'IPCA Hist'!$B:$C,2,0))^12 - 1)+$T$2)^(1/252)</f>
        <v>229274066.68295941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f>AF139*(1+((1+VLOOKUP($B140,'IGPM Hist'!$B:$C,2,0))^12 - 1)+$AF$2)^(1/252)</f>
        <v>1604131.6486487538</v>
      </c>
      <c r="AG140" s="2">
        <f>350000*VLOOKUP(A140,'CVRDA6 Hist'!$A:$B,2,0)</f>
        <v>12541416.65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f>BA139*(1+VLOOKUP(A140,'SELIC Hist'!$A:$C,3,0))^(1/252)</f>
        <v>16152239.016804334</v>
      </c>
      <c r="BB140" s="2">
        <f t="shared" si="21"/>
        <v>730175418.5371052</v>
      </c>
      <c r="BC140" s="2">
        <v>0</v>
      </c>
      <c r="BD140" s="2">
        <v>0</v>
      </c>
      <c r="BE140" s="2">
        <f t="shared" si="30"/>
        <v>121014.42426466942</v>
      </c>
      <c r="BF140" s="2">
        <f t="shared" si="23"/>
        <v>2143885.4597856998</v>
      </c>
      <c r="BG140" s="2">
        <f t="shared" si="24"/>
        <v>2143885.4597856998</v>
      </c>
      <c r="BH140" s="11">
        <f t="shared" si="25"/>
        <v>1.0501140325849854</v>
      </c>
      <c r="BI140" s="12">
        <f t="shared" si="26"/>
        <v>1.6576083040242828E-4</v>
      </c>
      <c r="BJ140" s="12">
        <f t="shared" si="27"/>
        <v>2.9447700578624225E-3</v>
      </c>
      <c r="BK140" s="12">
        <f t="shared" si="28"/>
        <v>2.9447700578624225E-3</v>
      </c>
      <c r="BL140" s="5">
        <f t="shared" si="29"/>
        <v>5.0114032584985369E-2</v>
      </c>
      <c r="BM140" s="19">
        <f t="shared" si="20"/>
        <v>4.6725949749877094E-2</v>
      </c>
      <c r="BN140" s="19" t="s">
        <v>53</v>
      </c>
      <c r="BO140" s="19" t="s">
        <v>53</v>
      </c>
    </row>
    <row r="141" spans="1:67" x14ac:dyDescent="0.25">
      <c r="A141" s="1">
        <v>45303</v>
      </c>
      <c r="B141" s="1" t="str">
        <f t="shared" si="22"/>
        <v>202401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f>I140*(1+((1+VLOOKUP($B141,'IPCA Hist'!$B:$C,2,0))^12 - 1)+$I$2)^(1/252)</f>
        <v>205538241.80072242</v>
      </c>
      <c r="J141" s="2">
        <f>J140*(1+((1+VLOOKUP($B141,'IPCA Hist'!$B:$C,2,0))^12 - 1)+$J$2)^(1/252)</f>
        <v>131067803.63135132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f>Q140*(1+((1+VLOOKUP($B141,'IPCA Hist'!$B:$C,2,0))^12 - 1)+$Q$2)^(1/252)</f>
        <v>44395974.756852299</v>
      </c>
      <c r="R141" s="2">
        <f>R140*(1+((1+VLOOKUP($B141,'IPCA Hist'!$B:$C,2,0))^12 - 1)+$R$2)^(1/252)</f>
        <v>44379043.860933505</v>
      </c>
      <c r="S141" s="2">
        <f>S140*(1+((1+VLOOKUP($B141,'IPCA Hist'!$B:$C,2,0))^12 - 1)+$S$2)^(1/252)</f>
        <v>45409762.141548447</v>
      </c>
      <c r="T141" s="2">
        <f>T140*(1+((1+VLOOKUP($B141,'IPCA Hist'!$B:$C,2,0))^12 - 1)+$T$2)^(1/252)</f>
        <v>229362509.70398194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f>AF140*(1+((1+VLOOKUP($B141,'IGPM Hist'!$B:$C,2,0))^12 - 1)+$AF$2)^(1/252)</f>
        <v>1604569.1700288777</v>
      </c>
      <c r="AG141" s="2">
        <f>350000*VLOOKUP(A141,'CVRDA6 Hist'!$A:$B,2,0)</f>
        <v>12394332.299999999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f>BA140*(1+VLOOKUP(A141,'SELIC Hist'!$A:$C,3,0))^(1/252)</f>
        <v>16159303.883765025</v>
      </c>
      <c r="BB141" s="2">
        <f t="shared" si="21"/>
        <v>730311541.24918365</v>
      </c>
      <c r="BC141" s="2">
        <v>0</v>
      </c>
      <c r="BD141" s="2">
        <v>0</v>
      </c>
      <c r="BE141" s="2">
        <f t="shared" si="30"/>
        <v>136122.71207845211</v>
      </c>
      <c r="BF141" s="2">
        <f t="shared" si="23"/>
        <v>2280008.171864152</v>
      </c>
      <c r="BG141" s="2">
        <f t="shared" si="24"/>
        <v>2280008.171864152</v>
      </c>
      <c r="BH141" s="11">
        <f t="shared" si="25"/>
        <v>1.0503097997478865</v>
      </c>
      <c r="BI141" s="12">
        <f t="shared" si="26"/>
        <v>1.8642467087048864E-4</v>
      </c>
      <c r="BJ141" s="12">
        <f t="shared" si="27"/>
        <v>3.1317437065216946E-3</v>
      </c>
      <c r="BK141" s="12">
        <f t="shared" si="28"/>
        <v>3.1317437065216946E-3</v>
      </c>
      <c r="BL141" s="5">
        <f t="shared" si="29"/>
        <v>5.0309799747886519E-2</v>
      </c>
      <c r="BM141" s="19">
        <f t="shared" si="20"/>
        <v>4.6591466347692068E-2</v>
      </c>
      <c r="BN141" s="19" t="s">
        <v>53</v>
      </c>
      <c r="BO141" s="19" t="s">
        <v>53</v>
      </c>
    </row>
    <row r="142" spans="1:67" x14ac:dyDescent="0.25">
      <c r="A142" s="1">
        <v>45306</v>
      </c>
      <c r="B142" s="1" t="str">
        <f t="shared" si="22"/>
        <v>202401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f>I141*(1+((1+VLOOKUP($B142,'IPCA Hist'!$B:$C,2,0))^12 - 1)+$I$2)^(1/252)</f>
        <v>205622179.78693825</v>
      </c>
      <c r="J142" s="2">
        <f>J141*(1+((1+VLOOKUP($B142,'IPCA Hist'!$B:$C,2,0))^12 - 1)+$J$2)^(1/252)</f>
        <v>131119023.90280941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f>Q141*(1+((1+VLOOKUP($B142,'IPCA Hist'!$B:$C,2,0))^12 - 1)+$Q$2)^(1/252)</f>
        <v>44413292.409845084</v>
      </c>
      <c r="R142" s="2">
        <f>R141*(1+((1+VLOOKUP($B142,'IPCA Hist'!$B:$C,2,0))^12 - 1)+$R$2)^(1/252)</f>
        <v>44396370.877447948</v>
      </c>
      <c r="S142" s="2">
        <f>S141*(1+((1+VLOOKUP($B142,'IPCA Hist'!$B:$C,2,0))^12 - 1)+$S$2)^(1/252)</f>
        <v>45427295.422563978</v>
      </c>
      <c r="T142" s="2">
        <f>T141*(1+((1+VLOOKUP($B142,'IPCA Hist'!$B:$C,2,0))^12 - 1)+$T$2)^(1/252)</f>
        <v>229450986.84211189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f>AF141*(1+((1+VLOOKUP($B142,'IGPM Hist'!$B:$C,2,0))^12 - 1)+$AF$2)^(1/252)</f>
        <v>1605006.8107414504</v>
      </c>
      <c r="AG142" s="2">
        <f>350000*VLOOKUP(A142,'CVRDA6 Hist'!$A:$B,2,0)</f>
        <v>12324725.000000002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f>BA141*(1+VLOOKUP(A142,'SELIC Hist'!$A:$C,3,0))^(1/252)</f>
        <v>16166371.840844994</v>
      </c>
      <c r="BB142" s="2">
        <f t="shared" si="21"/>
        <v>730525252.89330304</v>
      </c>
      <c r="BC142" s="2">
        <v>0</v>
      </c>
      <c r="BD142" s="2">
        <v>0</v>
      </c>
      <c r="BE142" s="2">
        <f t="shared" si="30"/>
        <v>213711.6441193819</v>
      </c>
      <c r="BF142" s="2">
        <f t="shared" si="23"/>
        <v>2493719.8159835339</v>
      </c>
      <c r="BG142" s="2">
        <f t="shared" si="24"/>
        <v>2493719.8159835339</v>
      </c>
      <c r="BH142" s="11">
        <f t="shared" si="25"/>
        <v>1.0506171527355648</v>
      </c>
      <c r="BI142" s="12">
        <f t="shared" si="26"/>
        <v>2.9263079117414215E-4</v>
      </c>
      <c r="BJ142" s="12">
        <f t="shared" si="27"/>
        <v>3.425290942334458E-3</v>
      </c>
      <c r="BK142" s="12">
        <f t="shared" si="28"/>
        <v>3.425290942334458E-3</v>
      </c>
      <c r="BL142" s="5">
        <f t="shared" si="29"/>
        <v>5.0617152735564774E-2</v>
      </c>
      <c r="BM142" s="19">
        <f t="shared" si="20"/>
        <v>4.6568109332972396E-2</v>
      </c>
      <c r="BN142" s="19" t="s">
        <v>53</v>
      </c>
      <c r="BO142" s="19" t="s">
        <v>53</v>
      </c>
    </row>
    <row r="143" spans="1:67" x14ac:dyDescent="0.25">
      <c r="A143" s="1">
        <v>45307</v>
      </c>
      <c r="B143" s="1" t="str">
        <f t="shared" si="22"/>
        <v>202401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f>I142*(1+((1+VLOOKUP($B143,'IPCA Hist'!$B:$C,2,0))^12 - 1)+$I$2)^(1/252)</f>
        <v>205706152.05186284</v>
      </c>
      <c r="J143" s="2">
        <f>J142*(1+((1+VLOOKUP($B143,'IPCA Hist'!$B:$C,2,0))^12 - 1)+$J$2)^(1/252)</f>
        <v>131170264.19074856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f>Q142*(1+((1+VLOOKUP($B143,'IPCA Hist'!$B:$C,2,0))^12 - 1)+$Q$2)^(1/252)</f>
        <v>44430616.817979679</v>
      </c>
      <c r="R143" s="2">
        <f>R142*(1+((1+VLOOKUP($B143,'IPCA Hist'!$B:$C,2,0))^12 - 1)+$R$2)^(1/252)</f>
        <v>44413704.658991002</v>
      </c>
      <c r="S143" s="2">
        <f>S142*(1+((1+VLOOKUP($B143,'IPCA Hist'!$B:$C,2,0))^12 - 1)+$S$2)^(1/252)</f>
        <v>45444835.473400109</v>
      </c>
      <c r="T143" s="2">
        <f>T142*(1+((1+VLOOKUP($B143,'IPCA Hist'!$B:$C,2,0))^12 - 1)+$T$2)^(1/252)</f>
        <v>229539498.11051005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f>AF142*(1+((1+VLOOKUP($B143,'IGPM Hist'!$B:$C,2,0))^12 - 1)+$AF$2)^(1/252)</f>
        <v>1605444.5708190196</v>
      </c>
      <c r="AG143" s="2">
        <f>350000*VLOOKUP(A143,'CVRDA6 Hist'!$A:$B,2,0)</f>
        <v>12559083.949999999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f>BA142*(1+VLOOKUP(A143,'SELIC Hist'!$A:$C,3,0))^(1/252)</f>
        <v>16173442.889395837</v>
      </c>
      <c r="BB143" s="2">
        <f t="shared" si="21"/>
        <v>731043042.71370721</v>
      </c>
      <c r="BC143" s="2">
        <v>0</v>
      </c>
      <c r="BD143" s="2">
        <v>0</v>
      </c>
      <c r="BE143" s="2">
        <f t="shared" si="30"/>
        <v>517789.82040417194</v>
      </c>
      <c r="BF143" s="2">
        <f t="shared" si="23"/>
        <v>3011509.6363877058</v>
      </c>
      <c r="BG143" s="2">
        <f t="shared" si="24"/>
        <v>3011509.6363877058</v>
      </c>
      <c r="BH143" s="11">
        <f t="shared" si="25"/>
        <v>1.0513618208557618</v>
      </c>
      <c r="BI143" s="12">
        <f t="shared" si="26"/>
        <v>7.0879113124888704E-4</v>
      </c>
      <c r="BJ143" s="12">
        <f t="shared" si="27"/>
        <v>4.1365098894252661E-3</v>
      </c>
      <c r="BK143" s="12">
        <f t="shared" si="28"/>
        <v>4.1365098894252661E-3</v>
      </c>
      <c r="BL143" s="5">
        <f t="shared" si="29"/>
        <v>5.1361820855761797E-2</v>
      </c>
      <c r="BM143" s="19">
        <f t="shared" si="20"/>
        <v>4.6980145528588535E-2</v>
      </c>
      <c r="BN143" s="19" t="s">
        <v>53</v>
      </c>
      <c r="BO143" s="19" t="s">
        <v>53</v>
      </c>
    </row>
    <row r="144" spans="1:67" x14ac:dyDescent="0.25">
      <c r="A144" s="1">
        <v>45308</v>
      </c>
      <c r="B144" s="1" t="str">
        <f t="shared" si="22"/>
        <v>202401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f>I143*(1+((1+VLOOKUP($B144,'IPCA Hist'!$B:$C,2,0))^12 - 1)+$I$2)^(1/252)</f>
        <v>205790158.60949498</v>
      </c>
      <c r="J144" s="2">
        <f>J143*(1+((1+VLOOKUP($B144,'IPCA Hist'!$B:$C,2,0))^12 - 1)+$J$2)^(1/252)</f>
        <v>131221524.50299104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f>Q143*(1+((1+VLOOKUP($B144,'IPCA Hist'!$B:$C,2,0))^12 - 1)+$Q$2)^(1/252)</f>
        <v>44447947.983891077</v>
      </c>
      <c r="R144" s="2">
        <f>R143*(1+((1+VLOOKUP($B144,'IPCA Hist'!$B:$C,2,0))^12 - 1)+$R$2)^(1/252)</f>
        <v>44431045.208203949</v>
      </c>
      <c r="S144" s="2">
        <f>S143*(1+((1+VLOOKUP($B144,'IPCA Hist'!$B:$C,2,0))^12 - 1)+$S$2)^(1/252)</f>
        <v>45462382.29667075</v>
      </c>
      <c r="T144" s="2">
        <f>T143*(1+((1+VLOOKUP($B144,'IPCA Hist'!$B:$C,2,0))^12 - 1)+$T$2)^(1/252)</f>
        <v>229628043.52234226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f>AF143*(1+((1+VLOOKUP($B144,'IGPM Hist'!$B:$C,2,0))^12 - 1)+$AF$2)^(1/252)</f>
        <v>1605882.4502941417</v>
      </c>
      <c r="AG144" s="2">
        <f>350000*VLOOKUP(A144,'CVRDA6 Hist'!$A:$B,2,0)</f>
        <v>12513450.949999999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f>BA143*(1+VLOOKUP(A144,'SELIC Hist'!$A:$C,3,0))^(1/252)</f>
        <v>16180517.030769739</v>
      </c>
      <c r="BB144" s="2">
        <f t="shared" si="21"/>
        <v>731280952.55465794</v>
      </c>
      <c r="BC144" s="2">
        <v>0</v>
      </c>
      <c r="BD144" s="2">
        <v>0</v>
      </c>
      <c r="BE144" s="2">
        <f t="shared" si="30"/>
        <v>237909.84095072746</v>
      </c>
      <c r="BF144" s="2">
        <f t="shared" si="23"/>
        <v>3249419.4773384333</v>
      </c>
      <c r="BG144" s="2">
        <f t="shared" si="24"/>
        <v>3249419.4773384333</v>
      </c>
      <c r="BH144" s="11">
        <f t="shared" si="25"/>
        <v>1.0517039748863275</v>
      </c>
      <c r="BI144" s="12">
        <f t="shared" si="26"/>
        <v>3.2543889627567602E-4</v>
      </c>
      <c r="BJ144" s="12">
        <f t="shared" si="27"/>
        <v>4.4632949669138888E-3</v>
      </c>
      <c r="BK144" s="12">
        <f t="shared" si="28"/>
        <v>4.4632949669138888E-3</v>
      </c>
      <c r="BL144" s="5">
        <f t="shared" si="29"/>
        <v>5.1703974886327497E-2</v>
      </c>
      <c r="BM144" s="19">
        <f t="shared" si="20"/>
        <v>4.6991097820092032E-2</v>
      </c>
      <c r="BN144" s="19" t="s">
        <v>53</v>
      </c>
      <c r="BO144" s="19" t="s">
        <v>53</v>
      </c>
    </row>
    <row r="145" spans="1:67" x14ac:dyDescent="0.25">
      <c r="A145" s="1">
        <v>45309</v>
      </c>
      <c r="B145" s="1" t="str">
        <f t="shared" si="22"/>
        <v>202401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f>I144*(1+((1+VLOOKUP($B145,'IPCA Hist'!$B:$C,2,0))^12 - 1)+$I$2)^(1/252)</f>
        <v>205874199.47383916</v>
      </c>
      <c r="J145" s="2">
        <f>J144*(1+((1+VLOOKUP($B145,'IPCA Hist'!$B:$C,2,0))^12 - 1)+$J$2)^(1/252)</f>
        <v>131272804.84736219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f>Q144*(1+((1+VLOOKUP($B145,'IPCA Hist'!$B:$C,2,0))^12 - 1)+$Q$2)^(1/252)</f>
        <v>44465285.910215303</v>
      </c>
      <c r="R145" s="2">
        <f>R144*(1+((1+VLOOKUP($B145,'IPCA Hist'!$B:$C,2,0))^12 - 1)+$R$2)^(1/252)</f>
        <v>44448392.527729109</v>
      </c>
      <c r="S145" s="2">
        <f>S144*(1+((1+VLOOKUP($B145,'IPCA Hist'!$B:$C,2,0))^12 - 1)+$S$2)^(1/252)</f>
        <v>45479935.894990824</v>
      </c>
      <c r="T145" s="2">
        <f>T144*(1+((1+VLOOKUP($B145,'IPCA Hist'!$B:$C,2,0))^12 - 1)+$T$2)^(1/252)</f>
        <v>229716623.09077942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f>AF144*(1+((1+VLOOKUP($B145,'IGPM Hist'!$B:$C,2,0))^12 - 1)+$AF$2)^(1/252)</f>
        <v>1606320.4491993818</v>
      </c>
      <c r="AG145" s="2">
        <f>350000*VLOOKUP(A145,'CVRDA6 Hist'!$A:$B,2,0)</f>
        <v>12561205.300000001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f>BA144*(1+VLOOKUP(A145,'SELIC Hist'!$A:$C,3,0))^(1/252)</f>
        <v>16187594.266319478</v>
      </c>
      <c r="BB145" s="2">
        <f t="shared" si="21"/>
        <v>731612361.76043487</v>
      </c>
      <c r="BC145" s="2">
        <v>0</v>
      </c>
      <c r="BD145" s="2">
        <v>0</v>
      </c>
      <c r="BE145" s="2">
        <f t="shared" si="30"/>
        <v>331409.20577692986</v>
      </c>
      <c r="BF145" s="2">
        <f t="shared" si="23"/>
        <v>3580828.6831153631</v>
      </c>
      <c r="BG145" s="2">
        <f t="shared" si="24"/>
        <v>3580828.6831153631</v>
      </c>
      <c r="BH145" s="11">
        <f t="shared" si="25"/>
        <v>1.0521805965976028</v>
      </c>
      <c r="BI145" s="12">
        <f t="shared" si="26"/>
        <v>4.5318998754062534E-4</v>
      </c>
      <c r="BJ145" s="12">
        <f t="shared" si="27"/>
        <v>4.9185076750448697E-3</v>
      </c>
      <c r="BK145" s="12">
        <f t="shared" si="28"/>
        <v>4.9185076750448697E-3</v>
      </c>
      <c r="BL145" s="5">
        <f t="shared" si="29"/>
        <v>5.2180596597602769E-2</v>
      </c>
      <c r="BM145" s="19">
        <f t="shared" si="20"/>
        <v>4.7135752042805956E-2</v>
      </c>
      <c r="BN145" s="19" t="s">
        <v>53</v>
      </c>
      <c r="BO145" s="19" t="s">
        <v>53</v>
      </c>
    </row>
    <row r="146" spans="1:67" x14ac:dyDescent="0.25">
      <c r="A146" s="1">
        <v>45310</v>
      </c>
      <c r="B146" s="1" t="str">
        <f t="shared" si="22"/>
        <v>202401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f>I145*(1+((1+VLOOKUP($B146,'IPCA Hist'!$B:$C,2,0))^12 - 1)+$I$2)^(1/252)</f>
        <v>205958274.65890563</v>
      </c>
      <c r="J146" s="2">
        <f>J145*(1+((1+VLOOKUP($B146,'IPCA Hist'!$B:$C,2,0))^12 - 1)+$J$2)^(1/252)</f>
        <v>131324105.23169042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f>Q145*(1+((1+VLOOKUP($B146,'IPCA Hist'!$B:$C,2,0))^12 - 1)+$Q$2)^(1/252)</f>
        <v>44482630.599589407</v>
      </c>
      <c r="R146" s="2">
        <f>R145*(1+((1+VLOOKUP($B146,'IPCA Hist'!$B:$C,2,0))^12 - 1)+$R$2)^(1/252)</f>
        <v>44465746.620209828</v>
      </c>
      <c r="S146" s="2">
        <f>S145*(1+((1+VLOOKUP($B146,'IPCA Hist'!$B:$C,2,0))^12 - 1)+$S$2)^(1/252)</f>
        <v>45497496.270976268</v>
      </c>
      <c r="T146" s="2">
        <f>T145*(1+((1+VLOOKUP($B146,'IPCA Hist'!$B:$C,2,0))^12 - 1)+$T$2)^(1/252)</f>
        <v>229805236.82899749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f>AF145*(1+((1+VLOOKUP($B146,'IGPM Hist'!$B:$C,2,0))^12 - 1)+$AF$2)^(1/252)</f>
        <v>1606758.5675673143</v>
      </c>
      <c r="AG146" s="2">
        <f>350000*VLOOKUP(A146,'CVRDA6 Hist'!$A:$B,2,0)</f>
        <v>12488171.850000001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f>BA145*(1+VLOOKUP(A146,'SELIC Hist'!$A:$C,3,0))^(1/252)</f>
        <v>16194674.597398421</v>
      </c>
      <c r="BB146" s="2">
        <f t="shared" si="21"/>
        <v>731823095.22533476</v>
      </c>
      <c r="BC146" s="2">
        <v>0</v>
      </c>
      <c r="BD146" s="2">
        <v>0</v>
      </c>
      <c r="BE146" s="2">
        <f t="shared" si="30"/>
        <v>210733.46489989758</v>
      </c>
      <c r="BF146" s="2">
        <f t="shared" si="23"/>
        <v>3791562.1480152607</v>
      </c>
      <c r="BG146" s="2">
        <f t="shared" si="24"/>
        <v>3791562.1480152607</v>
      </c>
      <c r="BH146" s="11">
        <f t="shared" si="25"/>
        <v>1.052483666466854</v>
      </c>
      <c r="BI146" s="12">
        <f t="shared" si="26"/>
        <v>2.8803978160341082E-4</v>
      </c>
      <c r="BJ146" s="12">
        <f t="shared" si="27"/>
        <v>5.2079641825248935E-3</v>
      </c>
      <c r="BK146" s="12">
        <f t="shared" si="28"/>
        <v>5.2079641825248935E-3</v>
      </c>
      <c r="BL146" s="5">
        <f t="shared" si="29"/>
        <v>5.2483666466853984E-2</v>
      </c>
      <c r="BM146" s="19">
        <f t="shared" si="20"/>
        <v>4.7107535697149761E-2</v>
      </c>
      <c r="BN146" s="19" t="s">
        <v>53</v>
      </c>
      <c r="BO146" s="19" t="s">
        <v>53</v>
      </c>
    </row>
    <row r="147" spans="1:67" x14ac:dyDescent="0.25">
      <c r="A147" s="1">
        <v>45313</v>
      </c>
      <c r="B147" s="1" t="str">
        <f t="shared" si="22"/>
        <v>202401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f>I146*(1+((1+VLOOKUP($B147,'IPCA Hist'!$B:$C,2,0))^12 - 1)+$I$2)^(1/252)</f>
        <v>206042384.17871031</v>
      </c>
      <c r="J147" s="2">
        <f>J146*(1+((1+VLOOKUP($B147,'IPCA Hist'!$B:$C,2,0))^12 - 1)+$J$2)^(1/252)</f>
        <v>131375425.6638072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f>Q146*(1+((1+VLOOKUP($B147,'IPCA Hist'!$B:$C,2,0))^12 - 1)+$Q$2)^(1/252)</f>
        <v>44499982.054651469</v>
      </c>
      <c r="R147" s="2">
        <f>R146*(1+((1+VLOOKUP($B147,'IPCA Hist'!$B:$C,2,0))^12 - 1)+$R$2)^(1/252)</f>
        <v>44483107.488290489</v>
      </c>
      <c r="S147" s="2">
        <f>S146*(1+((1+VLOOKUP($B147,'IPCA Hist'!$B:$C,2,0))^12 - 1)+$S$2)^(1/252)</f>
        <v>45515063.427244022</v>
      </c>
      <c r="T147" s="2">
        <f>T146*(1+((1+VLOOKUP($B147,'IPCA Hist'!$B:$C,2,0))^12 - 1)+$T$2)^(1/252)</f>
        <v>229893884.75017759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f>AF146*(1+((1+VLOOKUP($B147,'IGPM Hist'!$B:$C,2,0))^12 - 1)+$AF$2)^(1/252)</f>
        <v>1607196.805430522</v>
      </c>
      <c r="AG147" s="2">
        <f>350000*VLOOKUP(A147,'CVRDA6 Hist'!$A:$B,2,0)</f>
        <v>12416486.6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f>BA146*(1+VLOOKUP(A147,'SELIC Hist'!$A:$C,3,0))^(1/252)</f>
        <v>16201758.02536053</v>
      </c>
      <c r="BB147" s="2">
        <f t="shared" si="21"/>
        <v>732035288.99367225</v>
      </c>
      <c r="BC147" s="2">
        <v>0</v>
      </c>
      <c r="BD147" s="2">
        <v>0</v>
      </c>
      <c r="BE147" s="2">
        <f t="shared" si="30"/>
        <v>212193.76833748817</v>
      </c>
      <c r="BF147" s="2">
        <f t="shared" si="23"/>
        <v>4003755.9163527489</v>
      </c>
      <c r="BG147" s="2">
        <f t="shared" si="24"/>
        <v>4003755.9163527489</v>
      </c>
      <c r="BH147" s="11">
        <f t="shared" si="25"/>
        <v>1.0527888364960021</v>
      </c>
      <c r="BI147" s="12">
        <f t="shared" si="26"/>
        <v>2.8995227087236231E-4</v>
      </c>
      <c r="BJ147" s="12">
        <f t="shared" si="27"/>
        <v>5.4994265144385768E-3</v>
      </c>
      <c r="BK147" s="12">
        <f t="shared" si="28"/>
        <v>5.4994265144385768E-3</v>
      </c>
      <c r="BL147" s="5">
        <f t="shared" si="29"/>
        <v>5.2788836496002078E-2</v>
      </c>
      <c r="BM147" s="19">
        <f t="shared" si="20"/>
        <v>4.708131173865171E-2</v>
      </c>
      <c r="BN147" s="19" t="s">
        <v>53</v>
      </c>
      <c r="BO147" s="19" t="s">
        <v>53</v>
      </c>
    </row>
    <row r="148" spans="1:67" x14ac:dyDescent="0.25">
      <c r="A148" s="1">
        <v>45314</v>
      </c>
      <c r="B148" s="1" t="str">
        <f t="shared" si="22"/>
        <v>202401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f>I147*(1+((1+VLOOKUP($B148,'IPCA Hist'!$B:$C,2,0))^12 - 1)+$I$2)^(1/252)</f>
        <v>206126528.04727486</v>
      </c>
      <c r="J148" s="2">
        <f>J147*(1+((1+VLOOKUP($B148,'IPCA Hist'!$B:$C,2,0))^12 - 1)+$J$2)^(1/252)</f>
        <v>131426766.15154703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f>Q147*(1+((1+VLOOKUP($B148,'IPCA Hist'!$B:$C,2,0))^12 - 1)+$Q$2)^(1/252)</f>
        <v>44517340.278040603</v>
      </c>
      <c r="R148" s="2">
        <f>R147*(1+((1+VLOOKUP($B148,'IPCA Hist'!$B:$C,2,0))^12 - 1)+$R$2)^(1/252)</f>
        <v>44500475.134616509</v>
      </c>
      <c r="S148" s="2">
        <f>S147*(1+((1+VLOOKUP($B148,'IPCA Hist'!$B:$C,2,0))^12 - 1)+$S$2)^(1/252)</f>
        <v>45532637.366412036</v>
      </c>
      <c r="T148" s="2">
        <f>T147*(1+((1+VLOOKUP($B148,'IPCA Hist'!$B:$C,2,0))^12 - 1)+$T$2)^(1/252)</f>
        <v>229982566.86750585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f>AF147*(1+((1+VLOOKUP($B148,'IGPM Hist'!$B:$C,2,0))^12 - 1)+$AF$2)^(1/252)</f>
        <v>1607635.162821597</v>
      </c>
      <c r="AG148" s="2">
        <f>350000*VLOOKUP(A148,'CVRDA6 Hist'!$A:$B,2,0)</f>
        <v>12477778.6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f>BA147*(1+VLOOKUP(A148,'SELIC Hist'!$A:$C,3,0))^(1/252)</f>
        <v>16208844.551560359</v>
      </c>
      <c r="BB148" s="2">
        <f t="shared" si="21"/>
        <v>732380572.15977895</v>
      </c>
      <c r="BC148" s="2">
        <v>0</v>
      </c>
      <c r="BD148" s="2">
        <v>0</v>
      </c>
      <c r="BE148" s="2">
        <f t="shared" si="30"/>
        <v>345283.1661067009</v>
      </c>
      <c r="BF148" s="2">
        <f t="shared" si="23"/>
        <v>4349039.0824594498</v>
      </c>
      <c r="BG148" s="2">
        <f t="shared" si="24"/>
        <v>4349039.0824594498</v>
      </c>
      <c r="BH148" s="11">
        <f t="shared" si="25"/>
        <v>1.05328541127617</v>
      </c>
      <c r="BI148" s="12">
        <f t="shared" si="26"/>
        <v>4.71675575342001E-4</v>
      </c>
      <c r="BJ148" s="12">
        <f t="shared" si="27"/>
        <v>5.9736960349459078E-3</v>
      </c>
      <c r="BK148" s="12">
        <f t="shared" si="28"/>
        <v>5.9736960349459078E-3</v>
      </c>
      <c r="BL148" s="5">
        <f t="shared" si="29"/>
        <v>5.3285411276170036E-2</v>
      </c>
      <c r="BM148" s="19">
        <f t="shared" si="20"/>
        <v>4.7245297265802622E-2</v>
      </c>
      <c r="BN148" s="19" t="s">
        <v>53</v>
      </c>
      <c r="BO148" s="19" t="s">
        <v>53</v>
      </c>
    </row>
    <row r="149" spans="1:67" x14ac:dyDescent="0.25">
      <c r="A149" s="1">
        <v>45315</v>
      </c>
      <c r="B149" s="1" t="str">
        <f t="shared" si="22"/>
        <v>202401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f>I148*(1+((1+VLOOKUP($B149,'IPCA Hist'!$B:$C,2,0))^12 - 1)+$I$2)^(1/252)</f>
        <v>206210706.27862668</v>
      </c>
      <c r="J149" s="2">
        <f>J148*(1+((1+VLOOKUP($B149,'IPCA Hist'!$B:$C,2,0))^12 - 1)+$J$2)^(1/252)</f>
        <v>131478126.70274749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f>Q148*(1+((1+VLOOKUP($B149,'IPCA Hist'!$B:$C,2,0))^12 - 1)+$Q$2)^(1/252)</f>
        <v>44534705.272396944</v>
      </c>
      <c r="R149" s="2">
        <f>R148*(1+((1+VLOOKUP($B149,'IPCA Hist'!$B:$C,2,0))^12 - 1)+$R$2)^(1/252)</f>
        <v>44517849.561834328</v>
      </c>
      <c r="S149" s="2">
        <f>S148*(1+((1+VLOOKUP($B149,'IPCA Hist'!$B:$C,2,0))^12 - 1)+$S$2)^(1/252)</f>
        <v>45550218.091099277</v>
      </c>
      <c r="T149" s="2">
        <f>T148*(1+((1+VLOOKUP($B149,'IPCA Hist'!$B:$C,2,0))^12 - 1)+$T$2)^(1/252)</f>
        <v>230071283.19417354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f>AF148*(1+((1+VLOOKUP($B149,'IGPM Hist'!$B:$C,2,0))^12 - 1)+$AF$2)^(1/252)</f>
        <v>1608073.63977314</v>
      </c>
      <c r="AG149" s="2">
        <f>350000*VLOOKUP(A149,'CVRDA6 Hist'!$A:$B,2,0)</f>
        <v>12449747.1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f>BA148*(1+VLOOKUP(A149,'SELIC Hist'!$A:$C,3,0))^(1/252)</f>
        <v>16215934.177353054</v>
      </c>
      <c r="BB149" s="2">
        <f t="shared" si="21"/>
        <v>732636644.01800442</v>
      </c>
      <c r="BC149" s="2">
        <v>0</v>
      </c>
      <c r="BD149" s="2">
        <v>0</v>
      </c>
      <c r="BE149" s="2">
        <f t="shared" si="30"/>
        <v>256071.85822546482</v>
      </c>
      <c r="BF149" s="2">
        <f t="shared" si="23"/>
        <v>4605110.9406849146</v>
      </c>
      <c r="BG149" s="2">
        <f t="shared" si="24"/>
        <v>4605110.9406849146</v>
      </c>
      <c r="BH149" s="11">
        <f t="shared" si="25"/>
        <v>1.0536536853166896</v>
      </c>
      <c r="BI149" s="12">
        <f t="shared" si="26"/>
        <v>3.4964316089158842E-4</v>
      </c>
      <c r="BJ149" s="12">
        <f t="shared" si="27"/>
        <v>6.3254278578013245E-3</v>
      </c>
      <c r="BK149" s="12">
        <f t="shared" si="28"/>
        <v>6.3254278578013245E-3</v>
      </c>
      <c r="BL149" s="5">
        <f t="shared" si="29"/>
        <v>5.365368531668957E-2</v>
      </c>
      <c r="BM149" s="19">
        <f t="shared" si="20"/>
        <v>4.7281540519595877E-2</v>
      </c>
      <c r="BN149" s="19" t="s">
        <v>53</v>
      </c>
      <c r="BO149" s="19" t="s">
        <v>53</v>
      </c>
    </row>
    <row r="150" spans="1:67" x14ac:dyDescent="0.25">
      <c r="A150" s="1">
        <v>45316</v>
      </c>
      <c r="B150" s="1" t="str">
        <f t="shared" si="22"/>
        <v>202401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f>I149*(1+((1+VLOOKUP($B150,'IPCA Hist'!$B:$C,2,0))^12 - 1)+$I$2)^(1/252)</f>
        <v>206294918.88679892</v>
      </c>
      <c r="J150" s="2">
        <f>J149*(1+((1+VLOOKUP($B150,'IPCA Hist'!$B:$C,2,0))^12 - 1)+$J$2)^(1/252)</f>
        <v>131529507.32524924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f>Q149*(1+((1+VLOOKUP($B150,'IPCA Hist'!$B:$C,2,0))^12 - 1)+$Q$2)^(1/252)</f>
        <v>44552077.040361658</v>
      </c>
      <c r="R150" s="2">
        <f>R149*(1+((1+VLOOKUP($B150,'IPCA Hist'!$B:$C,2,0))^12 - 1)+$R$2)^(1/252)</f>
        <v>44535230.772591427</v>
      </c>
      <c r="S150" s="2">
        <f>S149*(1+((1+VLOOKUP($B150,'IPCA Hist'!$B:$C,2,0))^12 - 1)+$S$2)^(1/252)</f>
        <v>45567805.603925712</v>
      </c>
      <c r="T150" s="2">
        <f>T149*(1+((1+VLOOKUP($B150,'IPCA Hist'!$B:$C,2,0))^12 - 1)+$T$2)^(1/252)</f>
        <v>230160033.743377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f>AF149*(1+((1+VLOOKUP($B150,'IGPM Hist'!$B:$C,2,0))^12 - 1)+$AF$2)^(1/252)</f>
        <v>1608512.2363177608</v>
      </c>
      <c r="AG150" s="2">
        <f>350000*VLOOKUP(A150,'CVRDA6 Hist'!$A:$B,2,0)</f>
        <v>12400972.149999999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f>BA149*(1+VLOOKUP(A150,'SELIC Hist'!$A:$C,3,0))^(1/252)</f>
        <v>16223026.904094353</v>
      </c>
      <c r="BB150" s="2">
        <f t="shared" si="21"/>
        <v>732872084.66271603</v>
      </c>
      <c r="BC150" s="2">
        <v>0</v>
      </c>
      <c r="BD150" s="2">
        <v>0</v>
      </c>
      <c r="BE150" s="2">
        <f t="shared" si="30"/>
        <v>235440.64471161366</v>
      </c>
      <c r="BF150" s="2">
        <f t="shared" si="23"/>
        <v>4840551.5853965282</v>
      </c>
      <c r="BG150" s="2">
        <f t="shared" si="24"/>
        <v>4840551.5853965282</v>
      </c>
      <c r="BH150" s="11">
        <f t="shared" si="25"/>
        <v>1.0539922882312438</v>
      </c>
      <c r="BI150" s="12">
        <f t="shared" si="26"/>
        <v>3.2136072722277476E-4</v>
      </c>
      <c r="BJ150" s="12">
        <f t="shared" si="27"/>
        <v>6.6488213291204801E-3</v>
      </c>
      <c r="BK150" s="12">
        <f t="shared" si="28"/>
        <v>6.6488213291204801E-3</v>
      </c>
      <c r="BL150" s="5">
        <f t="shared" si="29"/>
        <v>5.3992288231243801E-2</v>
      </c>
      <c r="BM150" s="19">
        <f t="shared" si="20"/>
        <v>4.7288164354960305E-2</v>
      </c>
      <c r="BN150" s="19" t="s">
        <v>53</v>
      </c>
      <c r="BO150" s="19" t="s">
        <v>53</v>
      </c>
    </row>
    <row r="151" spans="1:67" x14ac:dyDescent="0.25">
      <c r="A151" s="1">
        <v>45317</v>
      </c>
      <c r="B151" s="1" t="str">
        <f t="shared" si="22"/>
        <v>202401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f>I150*(1+((1+VLOOKUP($B151,'IPCA Hist'!$B:$C,2,0))^12 - 1)+$I$2)^(1/252)</f>
        <v>206379165.8858304</v>
      </c>
      <c r="J151" s="2">
        <f>J150*(1+((1+VLOOKUP($B151,'IPCA Hist'!$B:$C,2,0))^12 - 1)+$J$2)^(1/252)</f>
        <v>131580908.02689597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f>Q150*(1+((1+VLOOKUP($B151,'IPCA Hist'!$B:$C,2,0))^12 - 1)+$Q$2)^(1/252)</f>
        <v>44569455.584576949</v>
      </c>
      <c r="R151" s="2">
        <f>R150*(1+((1+VLOOKUP($B151,'IPCA Hist'!$B:$C,2,0))^12 - 1)+$R$2)^(1/252)</f>
        <v>44552618.769536324</v>
      </c>
      <c r="S151" s="2">
        <f>S150*(1+((1+VLOOKUP($B151,'IPCA Hist'!$B:$C,2,0))^12 - 1)+$S$2)^(1/252)</f>
        <v>45585399.907512337</v>
      </c>
      <c r="T151" s="2">
        <f>T150*(1+((1+VLOOKUP($B151,'IPCA Hist'!$B:$C,2,0))^12 - 1)+$T$2)^(1/252)</f>
        <v>230248818.52831763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f>AF150*(1+((1+VLOOKUP($B151,'IGPM Hist'!$B:$C,2,0))^12 - 1)+$AF$2)^(1/252)</f>
        <v>1608950.952488078</v>
      </c>
      <c r="AG151" s="2">
        <f>350000*VLOOKUP(A151,'CVRDA6 Hist'!$A:$B,2,0)</f>
        <v>12428323.950000001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f>BA150*(1+VLOOKUP(A151,'SELIC Hist'!$A:$C,3,0))^(1/252)</f>
        <v>16230122.733140588</v>
      </c>
      <c r="BB151" s="2">
        <f t="shared" si="21"/>
        <v>733183764.33829832</v>
      </c>
      <c r="BC151" s="2">
        <v>0</v>
      </c>
      <c r="BD151" s="2">
        <v>0</v>
      </c>
      <c r="BE151" s="2">
        <f t="shared" si="30"/>
        <v>311679.6755822897</v>
      </c>
      <c r="BF151" s="2">
        <f t="shared" si="23"/>
        <v>5152231.2609788179</v>
      </c>
      <c r="BG151" s="2">
        <f t="shared" si="24"/>
        <v>5152231.2609788179</v>
      </c>
      <c r="BH151" s="11">
        <f t="shared" si="25"/>
        <v>1.0544405355875519</v>
      </c>
      <c r="BI151" s="12">
        <f t="shared" si="26"/>
        <v>4.2528523340568114E-4</v>
      </c>
      <c r="BJ151" s="12">
        <f t="shared" si="27"/>
        <v>7.0769342080569952E-3</v>
      </c>
      <c r="BK151" s="12">
        <f t="shared" si="28"/>
        <v>7.0769342080569952E-3</v>
      </c>
      <c r="BL151" s="5">
        <f t="shared" si="29"/>
        <v>5.4440535587551908E-2</v>
      </c>
      <c r="BM151" s="19">
        <f t="shared" si="20"/>
        <v>4.7403582528068089E-2</v>
      </c>
      <c r="BN151" s="19" t="s">
        <v>53</v>
      </c>
      <c r="BO151" s="19" t="s">
        <v>53</v>
      </c>
    </row>
    <row r="152" spans="1:67" x14ac:dyDescent="0.25">
      <c r="A152" s="1">
        <v>45320</v>
      </c>
      <c r="B152" s="1" t="str">
        <f t="shared" si="22"/>
        <v>202401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f>I151*(1+((1+VLOOKUP($B152,'IPCA Hist'!$B:$C,2,0))^12 - 1)+$I$2)^(1/252)</f>
        <v>206463447.28976572</v>
      </c>
      <c r="J152" s="2">
        <f>J151*(1+((1+VLOOKUP($B152,'IPCA Hist'!$B:$C,2,0))^12 - 1)+$J$2)^(1/252)</f>
        <v>131632328.81553446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f>Q151*(1+((1+VLOOKUP($B152,'IPCA Hist'!$B:$C,2,0))^12 - 1)+$Q$2)^(1/252)</f>
        <v>44586840.907686047</v>
      </c>
      <c r="R152" s="2">
        <f>R151*(1+((1+VLOOKUP($B152,'IPCA Hist'!$B:$C,2,0))^12 - 1)+$R$2)^(1/252)</f>
        <v>44570013.555318564</v>
      </c>
      <c r="S152" s="2">
        <f>S151*(1+((1+VLOOKUP($B152,'IPCA Hist'!$B:$C,2,0))^12 - 1)+$S$2)^(1/252)</f>
        <v>45603001.004481144</v>
      </c>
      <c r="T152" s="2">
        <f>T151*(1+((1+VLOOKUP($B152,'IPCA Hist'!$B:$C,2,0))^12 - 1)+$T$2)^(1/252)</f>
        <v>230337637.56220195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f>AF151*(1+((1+VLOOKUP($B152,'IGPM Hist'!$B:$C,2,0))^12 - 1)+$AF$2)^(1/252)</f>
        <v>1609389.788316719</v>
      </c>
      <c r="AG152" s="2">
        <f>350000*VLOOKUP(A152,'CVRDA6 Hist'!$A:$B,2,0)</f>
        <v>12507042.1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f>BA151*(1+VLOOKUP(A152,'SELIC Hist'!$A:$C,3,0))^(1/252)</f>
        <v>16237221.665848682</v>
      </c>
      <c r="BB152" s="2">
        <f t="shared" si="21"/>
        <v>733546922.68915331</v>
      </c>
      <c r="BC152" s="2">
        <v>0</v>
      </c>
      <c r="BD152" s="2">
        <v>0</v>
      </c>
      <c r="BE152" s="2">
        <f t="shared" si="30"/>
        <v>363158.35085499287</v>
      </c>
      <c r="BF152" s="2">
        <f t="shared" si="23"/>
        <v>5515389.6118338108</v>
      </c>
      <c r="BG152" s="2">
        <f t="shared" si="24"/>
        <v>5515389.6118338108</v>
      </c>
      <c r="BH152" s="11">
        <f t="shared" si="25"/>
        <v>1.0549628178646617</v>
      </c>
      <c r="BI152" s="12">
        <f t="shared" si="26"/>
        <v>4.953169567014637E-4</v>
      </c>
      <c r="BJ152" s="12">
        <f t="shared" si="27"/>
        <v>7.5757564902732E-3</v>
      </c>
      <c r="BK152" s="12">
        <f t="shared" si="28"/>
        <v>7.5757564902732E-3</v>
      </c>
      <c r="BL152" s="5">
        <f t="shared" si="29"/>
        <v>5.4962817864661728E-2</v>
      </c>
      <c r="BM152" s="19">
        <f t="shared" si="20"/>
        <v>4.7592331461916437E-2</v>
      </c>
      <c r="BN152" s="19" t="s">
        <v>53</v>
      </c>
      <c r="BO152" s="19" t="s">
        <v>53</v>
      </c>
    </row>
    <row r="153" spans="1:67" x14ac:dyDescent="0.25">
      <c r="A153" s="1">
        <v>45321</v>
      </c>
      <c r="B153" s="1" t="str">
        <f t="shared" si="22"/>
        <v>202401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f>I152*(1+((1+VLOOKUP($B153,'IPCA Hist'!$B:$C,2,0))^12 - 1)+$I$2)^(1/252)</f>
        <v>206547763.11265516</v>
      </c>
      <c r="J153" s="2">
        <f>J152*(1+((1+VLOOKUP($B153,'IPCA Hist'!$B:$C,2,0))^12 - 1)+$J$2)^(1/252)</f>
        <v>131683769.69901454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f>Q152*(1+((1+VLOOKUP($B153,'IPCA Hist'!$B:$C,2,0))^12 - 1)+$Q$2)^(1/252)</f>
        <v>44604233.012333207</v>
      </c>
      <c r="R153" s="2">
        <f>R152*(1+((1+VLOOKUP($B153,'IPCA Hist'!$B:$C,2,0))^12 - 1)+$R$2)^(1/252)</f>
        <v>44587415.132588729</v>
      </c>
      <c r="S153" s="2">
        <f>S152*(1+((1+VLOOKUP($B153,'IPCA Hist'!$B:$C,2,0))^12 - 1)+$S$2)^(1/252)</f>
        <v>45620608.897455141</v>
      </c>
      <c r="T153" s="2">
        <f>T152*(1+((1+VLOOKUP($B153,'IPCA Hist'!$B:$C,2,0))^12 - 1)+$T$2)^(1/252)</f>
        <v>230426490.85824159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f>AF152*(1+((1+VLOOKUP($B153,'IGPM Hist'!$B:$C,2,0))^12 - 1)+$AF$2)^(1/252)</f>
        <v>1609828.7438363202</v>
      </c>
      <c r="AG153" s="2">
        <f>350000*VLOOKUP(A153,'CVRDA6 Hist'!$A:$B,2,0)</f>
        <v>12541776.799999999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f>BA152*(1+VLOOKUP(A153,'SELIC Hist'!$A:$C,3,0))^(1/252)</f>
        <v>16244323.703576153</v>
      </c>
      <c r="BB153" s="2">
        <f t="shared" si="21"/>
        <v>733866209.95970082</v>
      </c>
      <c r="BC153" s="2">
        <v>0</v>
      </c>
      <c r="BD153" s="2">
        <v>0</v>
      </c>
      <c r="BE153" s="2">
        <f t="shared" si="30"/>
        <v>319287.27054750919</v>
      </c>
      <c r="BF153" s="2">
        <f t="shared" si="23"/>
        <v>5834676.88238132</v>
      </c>
      <c r="BG153" s="2">
        <f t="shared" si="24"/>
        <v>5834676.88238132</v>
      </c>
      <c r="BH153" s="11">
        <f t="shared" si="25"/>
        <v>1.0554220062113462</v>
      </c>
      <c r="BI153" s="12">
        <f t="shared" si="26"/>
        <v>4.3526495807122423E-4</v>
      </c>
      <c r="BJ153" s="12">
        <f t="shared" si="27"/>
        <v>8.0143189096755219E-3</v>
      </c>
      <c r="BK153" s="12">
        <f t="shared" si="28"/>
        <v>8.0143189096755219E-3</v>
      </c>
      <c r="BL153" s="5">
        <f t="shared" si="29"/>
        <v>5.5422006211346186E-2</v>
      </c>
      <c r="BM153" s="19">
        <f t="shared" si="20"/>
        <v>4.7718213872345538E-2</v>
      </c>
      <c r="BN153" s="19" t="s">
        <v>53</v>
      </c>
      <c r="BO153" s="19" t="s">
        <v>53</v>
      </c>
    </row>
    <row r="154" spans="1:67" x14ac:dyDescent="0.25">
      <c r="A154" s="1">
        <v>45322</v>
      </c>
      <c r="B154" s="1" t="str">
        <f t="shared" si="22"/>
        <v>202401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f>I153*(1+((1+VLOOKUP($B154,'IPCA Hist'!$B:$C,2,0))^12 - 1)+$I$2)^(1/252)</f>
        <v>206632113.36855483</v>
      </c>
      <c r="J154" s="2">
        <f>J153*(1+((1+VLOOKUP($B154,'IPCA Hist'!$B:$C,2,0))^12 - 1)+$J$2)^(1/252)</f>
        <v>131735230.68518914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f>Q153*(1+((1+VLOOKUP($B154,'IPCA Hist'!$B:$C,2,0))^12 - 1)+$Q$2)^(1/252)</f>
        <v>44621631.901163727</v>
      </c>
      <c r="R154" s="2">
        <f>R153*(1+((1+VLOOKUP($B154,'IPCA Hist'!$B:$C,2,0))^12 - 1)+$R$2)^(1/252)</f>
        <v>44604823.503998436</v>
      </c>
      <c r="S154" s="2">
        <f>S153*(1+((1+VLOOKUP($B154,'IPCA Hist'!$B:$C,2,0))^12 - 1)+$S$2)^(1/252)</f>
        <v>45638223.589058354</v>
      </c>
      <c r="T154" s="2">
        <f>T153*(1+((1+VLOOKUP($B154,'IPCA Hist'!$B:$C,2,0))^12 - 1)+$T$2)^(1/252)</f>
        <v>230515378.42965323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f>AF153*(1+((1+VLOOKUP($B154,'IGPM Hist'!$B:$C,2,0))^12 - 1)+$AF$2)^(1/252)</f>
        <v>1610267.8190795272</v>
      </c>
      <c r="AG154" s="2">
        <f>350000*VLOOKUP(A154,'CVRDA6 Hist'!$A:$B,2,0)</f>
        <v>12455243.85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f>BA153*(1+VLOOKUP(A154,'SELIC Hist'!$A:$C,3,0))^(1/252)</f>
        <v>16251139.398260241</v>
      </c>
      <c r="BB154" s="2">
        <f t="shared" si="21"/>
        <v>734064052.54495752</v>
      </c>
      <c r="BC154" s="2">
        <v>0</v>
      </c>
      <c r="BD154" s="2">
        <v>0</v>
      </c>
      <c r="BE154" s="2">
        <f t="shared" si="30"/>
        <v>197842.58525669575</v>
      </c>
      <c r="BF154" s="2">
        <f t="shared" si="23"/>
        <v>6032519.4676380157</v>
      </c>
      <c r="BG154" s="2">
        <f t="shared" si="24"/>
        <v>6032519.4676380157</v>
      </c>
      <c r="BH154" s="11">
        <f t="shared" si="25"/>
        <v>1.0557065368456933</v>
      </c>
      <c r="BI154" s="12">
        <f t="shared" si="26"/>
        <v>2.6958944637556215E-4</v>
      </c>
      <c r="BJ154" s="12">
        <f t="shared" si="27"/>
        <v>8.2860689318489111E-3</v>
      </c>
      <c r="BK154" s="12">
        <f t="shared" si="28"/>
        <v>8.2860689318489111E-3</v>
      </c>
      <c r="BL154" s="5">
        <f t="shared" si="29"/>
        <v>5.5706536845693266E-2</v>
      </c>
      <c r="BM154" s="19">
        <f t="shared" si="20"/>
        <v>4.7670574491524675E-2</v>
      </c>
      <c r="BN154" s="19" t="s">
        <v>53</v>
      </c>
      <c r="BO154" s="19" t="s">
        <v>53</v>
      </c>
    </row>
    <row r="155" spans="1:67" x14ac:dyDescent="0.25">
      <c r="A155" s="1">
        <v>45323</v>
      </c>
      <c r="B155" s="1" t="str">
        <f t="shared" si="22"/>
        <v>202402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f>I154*(1+((1+VLOOKUP($B155,'IPCA Hist'!$B:$C,2,0))^12 - 1)+$I$2)^(1/252)</f>
        <v>206754601.8279765</v>
      </c>
      <c r="J155" s="2">
        <f>J154*(1+((1+VLOOKUP($B155,'IPCA Hist'!$B:$C,2,0))^12 - 1)+$J$2)^(1/252)</f>
        <v>131811109.24012667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f>Q154*(1+((1+VLOOKUP($B155,'IPCA Hist'!$B:$C,2,0))^12 - 1)+$Q$2)^(1/252)</f>
        <v>44647302.992582329</v>
      </c>
      <c r="R155" s="2">
        <f>R154*(1+((1+VLOOKUP($B155,'IPCA Hist'!$B:$C,2,0))^12 - 1)+$R$2)^(1/252)</f>
        <v>44630500.245761007</v>
      </c>
      <c r="S155" s="2">
        <f>S154*(1+((1+VLOOKUP($B155,'IPCA Hist'!$B:$C,2,0))^12 - 1)+$S$2)^(1/252)</f>
        <v>45664307.014747493</v>
      </c>
      <c r="T155" s="2">
        <f>T154*(1+((1+VLOOKUP($B155,'IPCA Hist'!$B:$C,2,0))^12 - 1)+$T$2)^(1/252)</f>
        <v>230647044.6765787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f>AF154*(1+((1+VLOOKUP($B155,'IGPM Hist'!$B:$C,2,0))^12 - 1)+$AF$2)^(1/252)</f>
        <v>1610281.6073101046</v>
      </c>
      <c r="AG155" s="2">
        <f>350000*VLOOKUP(A155,'CVRDA6 Hist'!$A:$B,2,0)</f>
        <v>12238122.4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f>BA154*(1+VLOOKUP(A155,'SELIC Hist'!$A:$C,3,0))^(1/252)</f>
        <v>16257957.952632111</v>
      </c>
      <c r="BB155" s="2">
        <f t="shared" si="21"/>
        <v>734261227.9577148</v>
      </c>
      <c r="BC155" s="2">
        <v>0</v>
      </c>
      <c r="BD155" s="2">
        <v>0</v>
      </c>
      <c r="BE155" s="2">
        <f t="shared" si="30"/>
        <v>197175.41275727749</v>
      </c>
      <c r="BF155" s="2">
        <f t="shared" si="23"/>
        <v>197175.41275727749</v>
      </c>
      <c r="BG155" s="2">
        <f t="shared" si="24"/>
        <v>6229694.8803952932</v>
      </c>
      <c r="BH155" s="11">
        <f t="shared" si="25"/>
        <v>1.0559901079747132</v>
      </c>
      <c r="BI155" s="12">
        <f t="shared" si="26"/>
        <v>2.6860791244809334E-4</v>
      </c>
      <c r="BJ155" s="12">
        <f t="shared" si="27"/>
        <v>2.6860791244809334E-4</v>
      </c>
      <c r="BK155" s="12">
        <f t="shared" si="28"/>
        <v>8.5569025479752536E-3</v>
      </c>
      <c r="BL155" s="5">
        <f t="shared" si="29"/>
        <v>5.5990107974713155E-2</v>
      </c>
      <c r="BM155" s="19">
        <f t="shared" si="20"/>
        <v>4.7604357029051192E-2</v>
      </c>
      <c r="BN155" s="19" t="s">
        <v>53</v>
      </c>
      <c r="BO155" s="19" t="s">
        <v>53</v>
      </c>
    </row>
    <row r="156" spans="1:67" x14ac:dyDescent="0.25">
      <c r="A156" s="1">
        <v>45324</v>
      </c>
      <c r="B156" s="1" t="str">
        <f t="shared" si="22"/>
        <v>202402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f>I155*(1+((1+VLOOKUP($B156,'IPCA Hist'!$B:$C,2,0))^12 - 1)+$I$2)^(1/252)</f>
        <v>206877162.89674452</v>
      </c>
      <c r="J156" s="2">
        <f>J155*(1+((1+VLOOKUP($B156,'IPCA Hist'!$B:$C,2,0))^12 - 1)+$J$2)^(1/252)</f>
        <v>131887031.50057159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f>Q155*(1+((1+VLOOKUP($B156,'IPCA Hist'!$B:$C,2,0))^12 - 1)+$Q$2)^(1/252)</f>
        <v>44672988.852733195</v>
      </c>
      <c r="R156" s="2">
        <f>R155*(1+((1+VLOOKUP($B156,'IPCA Hist'!$B:$C,2,0))^12 - 1)+$R$2)^(1/252)</f>
        <v>44656191.768325649</v>
      </c>
      <c r="S156" s="2">
        <f>S155*(1+((1+VLOOKUP($B156,'IPCA Hist'!$B:$C,2,0))^12 - 1)+$S$2)^(1/252)</f>
        <v>45690405.347789332</v>
      </c>
      <c r="T156" s="2">
        <f>T155*(1+((1+VLOOKUP($B156,'IPCA Hist'!$B:$C,2,0))^12 - 1)+$T$2)^(1/252)</f>
        <v>230778786.1289013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f>AF155*(1+((1+VLOOKUP($B156,'IGPM Hist'!$B:$C,2,0))^12 - 1)+$AF$2)^(1/252)</f>
        <v>1610295.3956587466</v>
      </c>
      <c r="AG156" s="2">
        <f>350000*VLOOKUP(A156,'CVRDA6 Hist'!$A:$B,2,0)</f>
        <v>12286420.300000001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f>BA155*(1+VLOOKUP(A156,'SELIC Hist'!$A:$C,3,0))^(1/252)</f>
        <v>16264779.367891613</v>
      </c>
      <c r="BB156" s="2">
        <f t="shared" si="21"/>
        <v>734724061.55861592</v>
      </c>
      <c r="BC156" s="2">
        <v>0</v>
      </c>
      <c r="BD156" s="2">
        <v>0</v>
      </c>
      <c r="BE156" s="2">
        <f t="shared" si="30"/>
        <v>462833.60090112686</v>
      </c>
      <c r="BF156" s="2">
        <f t="shared" si="23"/>
        <v>660009.01365840435</v>
      </c>
      <c r="BG156" s="2">
        <f t="shared" si="24"/>
        <v>6692528.4812964201</v>
      </c>
      <c r="BH156" s="11">
        <f t="shared" si="25"/>
        <v>1.0566557398855105</v>
      </c>
      <c r="BI156" s="12">
        <f t="shared" si="26"/>
        <v>6.3033915353050141E-4</v>
      </c>
      <c r="BJ156" s="12">
        <f t="shared" si="27"/>
        <v>8.9911638006268113E-4</v>
      </c>
      <c r="BK156" s="12">
        <f t="shared" si="28"/>
        <v>9.1926354522147147E-3</v>
      </c>
      <c r="BL156" s="5">
        <f t="shared" si="29"/>
        <v>5.6655739885510537E-2</v>
      </c>
      <c r="BM156" s="19">
        <f t="shared" si="20"/>
        <v>4.7917552073739378E-2</v>
      </c>
      <c r="BN156" s="19" t="s">
        <v>53</v>
      </c>
      <c r="BO156" s="19" t="s">
        <v>53</v>
      </c>
    </row>
    <row r="157" spans="1:67" x14ac:dyDescent="0.25">
      <c r="A157" s="1">
        <v>45327</v>
      </c>
      <c r="B157" s="1" t="str">
        <f t="shared" si="22"/>
        <v>202402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f>I156*(1+((1+VLOOKUP($B157,'IPCA Hist'!$B:$C,2,0))^12 - 1)+$I$2)^(1/252)</f>
        <v>206999796.61790067</v>
      </c>
      <c r="J157" s="2">
        <f>J156*(1+((1+VLOOKUP($B157,'IPCA Hist'!$B:$C,2,0))^12 - 1)+$J$2)^(1/252)</f>
        <v>131962997.49169797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f>Q156*(1+((1+VLOOKUP($B157,'IPCA Hist'!$B:$C,2,0))^12 - 1)+$Q$2)^(1/252)</f>
        <v>44698689.490112863</v>
      </c>
      <c r="R157" s="2">
        <f>R156*(1+((1+VLOOKUP($B157,'IPCA Hist'!$B:$C,2,0))^12 - 1)+$R$2)^(1/252)</f>
        <v>44681898.080200918</v>
      </c>
      <c r="S157" s="2">
        <f>S156*(1+((1+VLOOKUP($B157,'IPCA Hist'!$B:$C,2,0))^12 - 1)+$S$2)^(1/252)</f>
        <v>45716518.596703805</v>
      </c>
      <c r="T157" s="2">
        <f>T156*(1+((1+VLOOKUP($B157,'IPCA Hist'!$B:$C,2,0))^12 - 1)+$T$2)^(1/252)</f>
        <v>230910602.829577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f>AF156*(1+((1+VLOOKUP($B157,'IGPM Hist'!$B:$C,2,0))^12 - 1)+$AF$2)^(1/252)</f>
        <v>1610309.1841254539</v>
      </c>
      <c r="AG157" s="2">
        <f>350000*VLOOKUP(A157,'CVRDA6 Hist'!$A:$B,2,0)</f>
        <v>12154411.15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f>BA156*(1+VLOOKUP(A157,'SELIC Hist'!$A:$C,3,0))^(1/252)</f>
        <v>16271603.645239102</v>
      </c>
      <c r="BB157" s="2">
        <f t="shared" si="21"/>
        <v>735006827.0855577</v>
      </c>
      <c r="BC157" s="2">
        <v>0</v>
      </c>
      <c r="BD157" s="2">
        <v>0</v>
      </c>
      <c r="BE157" s="2">
        <f t="shared" si="30"/>
        <v>282765.52694177628</v>
      </c>
      <c r="BF157" s="2">
        <f t="shared" si="23"/>
        <v>942774.54060018063</v>
      </c>
      <c r="BG157" s="2">
        <f t="shared" si="24"/>
        <v>6975294.0082381964</v>
      </c>
      <c r="BH157" s="11">
        <f t="shared" si="25"/>
        <v>1.0570624038736898</v>
      </c>
      <c r="BI157" s="12">
        <f t="shared" si="26"/>
        <v>3.8485948907385215E-4</v>
      </c>
      <c r="BJ157" s="12">
        <f t="shared" si="27"/>
        <v>1.2843219026070773E-3</v>
      </c>
      <c r="BK157" s="12">
        <f t="shared" si="28"/>
        <v>9.581032814272028E-3</v>
      </c>
      <c r="BL157" s="5">
        <f t="shared" si="29"/>
        <v>5.7062403873689771E-2</v>
      </c>
      <c r="BM157" s="19">
        <f t="shared" si="20"/>
        <v>4.7973681957147463E-2</v>
      </c>
      <c r="BN157" s="19" t="s">
        <v>53</v>
      </c>
      <c r="BO157" s="19" t="s">
        <v>53</v>
      </c>
    </row>
    <row r="158" spans="1:67" x14ac:dyDescent="0.25">
      <c r="A158" s="1">
        <v>45328</v>
      </c>
      <c r="B158" s="1" t="str">
        <f t="shared" si="22"/>
        <v>202402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f>I157*(1+((1+VLOOKUP($B158,'IPCA Hist'!$B:$C,2,0))^12 - 1)+$I$2)^(1/252)</f>
        <v>207122503.03451219</v>
      </c>
      <c r="J158" s="2">
        <f>J157*(1+((1+VLOOKUP($B158,'IPCA Hist'!$B:$C,2,0))^12 - 1)+$J$2)^(1/252)</f>
        <v>132039007.23869437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f>Q157*(1+((1+VLOOKUP($B158,'IPCA Hist'!$B:$C,2,0))^12 - 1)+$Q$2)^(1/252)</f>
        <v>44724404.91322276</v>
      </c>
      <c r="R158" s="2">
        <f>R157*(1+((1+VLOOKUP($B158,'IPCA Hist'!$B:$C,2,0))^12 - 1)+$R$2)^(1/252)</f>
        <v>44707619.189900279</v>
      </c>
      <c r="S158" s="2">
        <f>S157*(1+((1+VLOOKUP($B158,'IPCA Hist'!$B:$C,2,0))^12 - 1)+$S$2)^(1/252)</f>
        <v>45742646.770015724</v>
      </c>
      <c r="T158" s="2">
        <f>T157*(1+((1+VLOOKUP($B158,'IPCA Hist'!$B:$C,2,0))^12 - 1)+$T$2)^(1/252)</f>
        <v>231042494.82158631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f>AF157*(1+((1+VLOOKUP($B158,'IGPM Hist'!$B:$C,2,0))^12 - 1)+$AF$2)^(1/252)</f>
        <v>1610322.9727102278</v>
      </c>
      <c r="AG158" s="2">
        <f>350000*VLOOKUP(A158,'CVRDA6 Hist'!$A:$B,2,0)</f>
        <v>12174476.65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f>BA157*(1+VLOOKUP(A158,'SELIC Hist'!$A:$C,3,0))^(1/252)</f>
        <v>16278430.785875434</v>
      </c>
      <c r="BB158" s="2">
        <f t="shared" si="21"/>
        <v>735441906.37651742</v>
      </c>
      <c r="BC158" s="2">
        <v>0</v>
      </c>
      <c r="BD158" s="2">
        <v>0</v>
      </c>
      <c r="BE158" s="2">
        <f t="shared" si="30"/>
        <v>435079.29095971584</v>
      </c>
      <c r="BF158" s="2">
        <f t="shared" si="23"/>
        <v>1377853.8315598965</v>
      </c>
      <c r="BG158" s="2">
        <f t="shared" si="24"/>
        <v>7410373.2991979122</v>
      </c>
      <c r="BH158" s="11">
        <f t="shared" si="25"/>
        <v>1.0576881204578488</v>
      </c>
      <c r="BI158" s="12">
        <f t="shared" si="26"/>
        <v>5.9193911529353826E-4</v>
      </c>
      <c r="BJ158" s="12">
        <f t="shared" si="27"/>
        <v>1.877021258271494E-3</v>
      </c>
      <c r="BK158" s="12">
        <f t="shared" si="28"/>
        <v>1.0178643317653169E-2</v>
      </c>
      <c r="BL158" s="5">
        <f t="shared" si="29"/>
        <v>5.7688120457848768E-2</v>
      </c>
      <c r="BM158" s="19">
        <f t="shared" si="20"/>
        <v>4.8246755440352507E-2</v>
      </c>
      <c r="BN158" s="19" t="s">
        <v>53</v>
      </c>
      <c r="BO158" s="19" t="s">
        <v>53</v>
      </c>
    </row>
    <row r="159" spans="1:67" x14ac:dyDescent="0.25">
      <c r="A159" s="1">
        <v>45329</v>
      </c>
      <c r="B159" s="1" t="str">
        <f t="shared" si="22"/>
        <v>202402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f>I158*(1+((1+VLOOKUP($B159,'IPCA Hist'!$B:$C,2,0))^12 - 1)+$I$2)^(1/252)</f>
        <v>207245282.1896719</v>
      </c>
      <c r="J159" s="2">
        <f>J158*(1+((1+VLOOKUP($B159,'IPCA Hist'!$B:$C,2,0))^12 - 1)+$J$2)^(1/252)</f>
        <v>132115060.76676387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f>Q158*(1+((1+VLOOKUP($B159,'IPCA Hist'!$B:$C,2,0))^12 - 1)+$Q$2)^(1/252)</f>
        <v>44750135.130569205</v>
      </c>
      <c r="R159" s="2">
        <f>R158*(1+((1+VLOOKUP($B159,'IPCA Hist'!$B:$C,2,0))^12 - 1)+$R$2)^(1/252)</f>
        <v>44733355.105942085</v>
      </c>
      <c r="S159" s="2">
        <f>S158*(1+((1+VLOOKUP($B159,'IPCA Hist'!$B:$C,2,0))^12 - 1)+$S$2)^(1/252)</f>
        <v>45768789.876254767</v>
      </c>
      <c r="T159" s="2">
        <f>T158*(1+((1+VLOOKUP($B159,'IPCA Hist'!$B:$C,2,0))^12 - 1)+$T$2)^(1/252)</f>
        <v>231174462.14793429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f>AF158*(1+((1+VLOOKUP($B159,'IGPM Hist'!$B:$C,2,0))^12 - 1)+$AF$2)^(1/252)</f>
        <v>1610336.761413069</v>
      </c>
      <c r="AG159" s="2">
        <f>350000*VLOOKUP(A159,'CVRDA6 Hist'!$A:$B,2,0)</f>
        <v>11828293.4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f>BA158*(1+VLOOKUP(A159,'SELIC Hist'!$A:$C,3,0))^(1/252)</f>
        <v>16285260.791001972</v>
      </c>
      <c r="BB159" s="2">
        <f t="shared" si="21"/>
        <v>735510976.16955113</v>
      </c>
      <c r="BC159" s="2">
        <v>0</v>
      </c>
      <c r="BD159" s="2">
        <v>0</v>
      </c>
      <c r="BE159" s="2">
        <f t="shared" si="30"/>
        <v>69069.793033719063</v>
      </c>
      <c r="BF159" s="2">
        <f t="shared" si="23"/>
        <v>1446923.6245936155</v>
      </c>
      <c r="BG159" s="2">
        <f t="shared" si="24"/>
        <v>7479443.0922316313</v>
      </c>
      <c r="BH159" s="11">
        <f t="shared" si="25"/>
        <v>1.0577874543398873</v>
      </c>
      <c r="BI159" s="12">
        <f t="shared" si="26"/>
        <v>9.3916042089636775E-5</v>
      </c>
      <c r="BJ159" s="12">
        <f t="shared" si="27"/>
        <v>1.971113582768691E-3</v>
      </c>
      <c r="BK159" s="12">
        <f t="shared" si="28"/>
        <v>1.0273515297636981E-2</v>
      </c>
      <c r="BL159" s="5">
        <f t="shared" si="29"/>
        <v>5.7787454339887301E-2</v>
      </c>
      <c r="BM159" s="19">
        <f t="shared" si="20"/>
        <v>4.7998020359701243E-2</v>
      </c>
      <c r="BN159" s="19" t="s">
        <v>53</v>
      </c>
      <c r="BO159" s="19" t="s">
        <v>53</v>
      </c>
    </row>
    <row r="160" spans="1:67" x14ac:dyDescent="0.25">
      <c r="A160" s="1">
        <v>45330</v>
      </c>
      <c r="B160" s="1" t="str">
        <f t="shared" si="22"/>
        <v>202402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f>I159*(1+((1+VLOOKUP($B160,'IPCA Hist'!$B:$C,2,0))^12 - 1)+$I$2)^(1/252)</f>
        <v>207368134.1264981</v>
      </c>
      <c r="J160" s="2">
        <f>J159*(1+((1+VLOOKUP($B160,'IPCA Hist'!$B:$C,2,0))^12 - 1)+$J$2)^(1/252)</f>
        <v>132191158.10112403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f>Q159*(1+((1+VLOOKUP($B160,'IPCA Hist'!$B:$C,2,0))^12 - 1)+$Q$2)^(1/252)</f>
        <v>44775880.150663413</v>
      </c>
      <c r="R160" s="2">
        <f>R159*(1+((1+VLOOKUP($B160,'IPCA Hist'!$B:$C,2,0))^12 - 1)+$R$2)^(1/252)</f>
        <v>44759105.8368496</v>
      </c>
      <c r="S160" s="2">
        <f>S159*(1+((1+VLOOKUP($B160,'IPCA Hist'!$B:$C,2,0))^12 - 1)+$S$2)^(1/252)</f>
        <v>45794947.923955493</v>
      </c>
      <c r="T160" s="2">
        <f>T159*(1+((1+VLOOKUP($B160,'IPCA Hist'!$B:$C,2,0))^12 - 1)+$T$2)^(1/252)</f>
        <v>231306504.85165057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f>AF159*(1+((1+VLOOKUP($B160,'IGPM Hist'!$B:$C,2,0))^12 - 1)+$AF$2)^(1/252)</f>
        <v>1610350.5502339785</v>
      </c>
      <c r="AG160" s="2">
        <f>350000*VLOOKUP(A160,'CVRDA6 Hist'!$A:$B,2,0)</f>
        <v>11963849.1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f>BA159*(1+VLOOKUP(A160,'SELIC Hist'!$A:$C,3,0))^(1/252)</f>
        <v>16292093.661820581</v>
      </c>
      <c r="BB160" s="2">
        <f t="shared" si="21"/>
        <v>736062024.30279577</v>
      </c>
      <c r="BC160" s="2">
        <v>0</v>
      </c>
      <c r="BD160" s="2">
        <v>0</v>
      </c>
      <c r="BE160" s="2">
        <f t="shared" si="30"/>
        <v>551048.13324463367</v>
      </c>
      <c r="BF160" s="2">
        <f t="shared" si="23"/>
        <v>1997971.7578382492</v>
      </c>
      <c r="BG160" s="2">
        <f t="shared" si="24"/>
        <v>8030491.225476265</v>
      </c>
      <c r="BH160" s="11">
        <f t="shared" si="25"/>
        <v>1.0585799534608649</v>
      </c>
      <c r="BI160" s="12">
        <f t="shared" si="26"/>
        <v>7.4920450013471473E-4</v>
      </c>
      <c r="BJ160" s="12">
        <f t="shared" si="27"/>
        <v>2.7217948500699585E-3</v>
      </c>
      <c r="BK160" s="12">
        <f t="shared" si="28"/>
        <v>1.103041676166483E-2</v>
      </c>
      <c r="BL160" s="5">
        <f t="shared" si="29"/>
        <v>5.8579953460864864E-2</v>
      </c>
      <c r="BM160" s="19">
        <f t="shared" si="20"/>
        <v>4.8435856340887762E-2</v>
      </c>
      <c r="BN160" s="19" t="s">
        <v>53</v>
      </c>
      <c r="BO160" s="19" t="s">
        <v>53</v>
      </c>
    </row>
    <row r="161" spans="1:67" x14ac:dyDescent="0.25">
      <c r="A161" s="1">
        <v>45331</v>
      </c>
      <c r="B161" s="1" t="str">
        <f t="shared" si="22"/>
        <v>202402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f>I160*(1+((1+VLOOKUP($B161,'IPCA Hist'!$B:$C,2,0))^12 - 1)+$I$2)^(1/252)</f>
        <v>207491058.88813472</v>
      </c>
      <c r="J161" s="2">
        <f>J160*(1+((1+VLOOKUP($B161,'IPCA Hist'!$B:$C,2,0))^12 - 1)+$J$2)^(1/252)</f>
        <v>132267299.26700699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f>Q160*(1+((1+VLOOKUP($B161,'IPCA Hist'!$B:$C,2,0))^12 - 1)+$Q$2)^(1/252)</f>
        <v>44801639.982021488</v>
      </c>
      <c r="R161" s="2">
        <f>R160*(1+((1+VLOOKUP($B161,'IPCA Hist'!$B:$C,2,0))^12 - 1)+$R$2)^(1/252)</f>
        <v>44784871.391150996</v>
      </c>
      <c r="S161" s="2">
        <f>S160*(1+((1+VLOOKUP($B161,'IPCA Hist'!$B:$C,2,0))^12 - 1)+$S$2)^(1/252)</f>
        <v>45821120.921657331</v>
      </c>
      <c r="T161" s="2">
        <f>T160*(1+((1+VLOOKUP($B161,'IPCA Hist'!$B:$C,2,0))^12 - 1)+$T$2)^(1/252)</f>
        <v>231438622.97578934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f>AF160*(1+((1+VLOOKUP($B161,'IGPM Hist'!$B:$C,2,0))^12 - 1)+$AF$2)^(1/252)</f>
        <v>1610364.3391729577</v>
      </c>
      <c r="AG161" s="2">
        <f>350000*VLOOKUP(A161,'CVRDA6 Hist'!$A:$B,2,0)</f>
        <v>11978249.5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f>BA160*(1+VLOOKUP(A161,'SELIC Hist'!$A:$C,3,0))^(1/252)</f>
        <v>16298929.399533631</v>
      </c>
      <c r="BB161" s="2">
        <f t="shared" si="21"/>
        <v>736492156.66446745</v>
      </c>
      <c r="BC161" s="2">
        <v>0</v>
      </c>
      <c r="BD161" s="2">
        <v>0</v>
      </c>
      <c r="BE161" s="2">
        <f t="shared" si="30"/>
        <v>430132.36167168617</v>
      </c>
      <c r="BF161" s="2">
        <f t="shared" si="23"/>
        <v>2428104.1195099354</v>
      </c>
      <c r="BG161" s="2">
        <f t="shared" si="24"/>
        <v>8460623.5871479511</v>
      </c>
      <c r="BH161" s="11">
        <f t="shared" si="25"/>
        <v>1.0591985555356447</v>
      </c>
      <c r="BI161" s="12">
        <f t="shared" si="26"/>
        <v>5.8436972356923356E-4</v>
      </c>
      <c r="BJ161" s="12">
        <f t="shared" si="27"/>
        <v>3.3077551081432954E-3</v>
      </c>
      <c r="BK161" s="12">
        <f t="shared" si="28"/>
        <v>1.1621232326827879E-2</v>
      </c>
      <c r="BL161" s="5">
        <f t="shared" si="29"/>
        <v>5.9198555535644681E-2</v>
      </c>
      <c r="BM161" s="19">
        <f t="shared" si="20"/>
        <v>4.8701112247567124E-2</v>
      </c>
      <c r="BN161" s="19" t="s">
        <v>53</v>
      </c>
      <c r="BO161" s="19" t="s">
        <v>53</v>
      </c>
    </row>
    <row r="162" spans="1:67" x14ac:dyDescent="0.25">
      <c r="A162" s="1">
        <v>45336</v>
      </c>
      <c r="B162" s="1" t="str">
        <f t="shared" si="22"/>
        <v>202402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f>I161*(1+((1+VLOOKUP($B162,'IPCA Hist'!$B:$C,2,0))^12 - 1)+$I$2)^(1/252)</f>
        <v>207614056.51775122</v>
      </c>
      <c r="J162" s="2">
        <f>J161*(1+((1+VLOOKUP($B162,'IPCA Hist'!$B:$C,2,0))^12 - 1)+$J$2)^(1/252)</f>
        <v>132343484.28965938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f>Q161*(1+((1+VLOOKUP($B162,'IPCA Hist'!$B:$C,2,0))^12 - 1)+$Q$2)^(1/252)</f>
        <v>44827414.633164443</v>
      </c>
      <c r="R162" s="2">
        <f>R161*(1+((1+VLOOKUP($B162,'IPCA Hist'!$B:$C,2,0))^12 - 1)+$R$2)^(1/252)</f>
        <v>44810651.777379349</v>
      </c>
      <c r="S162" s="2">
        <f>S161*(1+((1+VLOOKUP($B162,'IPCA Hist'!$B:$C,2,0))^12 - 1)+$S$2)^(1/252)</f>
        <v>45847308.877904594</v>
      </c>
      <c r="T162" s="2">
        <f>T161*(1+((1+VLOOKUP($B162,'IPCA Hist'!$B:$C,2,0))^12 - 1)+$T$2)^(1/252)</f>
        <v>231570816.56342939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f>AF161*(1+((1+VLOOKUP($B162,'IGPM Hist'!$B:$C,2,0))^12 - 1)+$AF$2)^(1/252)</f>
        <v>1610378.1282300074</v>
      </c>
      <c r="AG162" s="2">
        <f>350000*VLOOKUP(A162,'CVRDA6 Hist'!$A:$B,2,0)</f>
        <v>12055329.300000001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f>BA161*(1+VLOOKUP(A162,'SELIC Hist'!$A:$C,3,0))^(1/252)</f>
        <v>16305768.005343996</v>
      </c>
      <c r="BB162" s="2">
        <f t="shared" si="21"/>
        <v>736985208.09286237</v>
      </c>
      <c r="BC162" s="2">
        <v>0</v>
      </c>
      <c r="BD162" s="2">
        <v>0</v>
      </c>
      <c r="BE162" s="2">
        <f t="shared" si="30"/>
        <v>493051.42839491367</v>
      </c>
      <c r="BF162" s="2">
        <f t="shared" si="23"/>
        <v>2921155.5479048491</v>
      </c>
      <c r="BG162" s="2">
        <f t="shared" si="24"/>
        <v>8953675.0155428648</v>
      </c>
      <c r="BH162" s="11">
        <f t="shared" si="25"/>
        <v>1.0599076457221932</v>
      </c>
      <c r="BI162" s="12">
        <f t="shared" si="26"/>
        <v>6.6945917065552862E-4</v>
      </c>
      <c r="BJ162" s="12">
        <f t="shared" si="27"/>
        <v>3.979428685790154E-3</v>
      </c>
      <c r="BK162" s="12">
        <f t="shared" si="28"/>
        <v>1.2298471438038971E-2</v>
      </c>
      <c r="BL162" s="5">
        <f t="shared" si="29"/>
        <v>5.9907645722193203E-2</v>
      </c>
      <c r="BM162" s="19">
        <f t="shared" si="20"/>
        <v>4.9055637571903343E-2</v>
      </c>
      <c r="BN162" s="19" t="s">
        <v>53</v>
      </c>
      <c r="BO162" s="19" t="s">
        <v>53</v>
      </c>
    </row>
    <row r="163" spans="1:67" s="17" customFormat="1" x14ac:dyDescent="0.25">
      <c r="A163" s="13">
        <v>45337</v>
      </c>
      <c r="B163" s="13" t="str">
        <f t="shared" si="22"/>
        <v>202402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f>I162*(1+((1+VLOOKUP($B163,'IPCA Hist'!$B:$C,2,0))^12 - 1)+$I$2)^(1/252) - 5828187.19549999</f>
        <v>201908939.86304265</v>
      </c>
      <c r="J163" s="14">
        <f>J162*(1+((1+VLOOKUP($B163,'IPCA Hist'!$B:$C,2,0))^12 - 1)+$J$2)^(1/252) - 3680960.33399999</f>
        <v>128738752.8603424</v>
      </c>
      <c r="K163" s="14">
        <v>0</v>
      </c>
      <c r="L163" s="14">
        <v>0</v>
      </c>
      <c r="M163" s="2">
        <v>0</v>
      </c>
      <c r="N163" s="14">
        <v>0</v>
      </c>
      <c r="O163" s="14">
        <v>0</v>
      </c>
      <c r="P163" s="14">
        <v>0</v>
      </c>
      <c r="Q163" s="14">
        <f>Q162*(1+((1+VLOOKUP($B163,'IPCA Hist'!$B:$C,2,0))^12 - 1)+$Q$2)^(1/252) - 1226807.27162791</f>
        <v>43626396.840990275</v>
      </c>
      <c r="R163" s="14">
        <f>R162*(1+((1+VLOOKUP($B163,'IPCA Hist'!$B:$C,2,0))^12 - 1)+$R$2)^(1/252) - 1226807.27162791</f>
        <v>43609639.732444741</v>
      </c>
      <c r="S163" s="14">
        <f>S162*(1+((1+VLOOKUP($B163,'IPCA Hist'!$B:$C,2,0))^12 - 1)+$S$2)^(1/252) - 1251343.41706047</f>
        <v>44622168.384186</v>
      </c>
      <c r="T163" s="14">
        <f>T162*(1+((1+VLOOKUP($B163,'IPCA Hist'!$B:$C,2,0))^12 - 1)+$T$2)^(1/252) - 6318057.44888374</f>
        <v>225385028.20879039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2">
        <v>0</v>
      </c>
      <c r="AD163" s="2">
        <v>0</v>
      </c>
      <c r="AE163" s="14">
        <v>0</v>
      </c>
      <c r="AF163" s="14">
        <f>AF162*(1+((1+VLOOKUP($B163,'IGPM Hist'!$B:$C,2,0))^12 - 1)+$AF$2)^(1/252)</f>
        <v>1610391.9174051285</v>
      </c>
      <c r="AG163" s="14">
        <f>350000*VLOOKUP(A163,'CVRDA6 Hist'!$A:$B,2,0)</f>
        <v>11924761.800000001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2">
        <v>0</v>
      </c>
      <c r="AQ163" s="2">
        <v>0</v>
      </c>
      <c r="AR163" s="2">
        <v>0</v>
      </c>
      <c r="AS163" s="14">
        <v>0</v>
      </c>
      <c r="AT163" s="14">
        <v>0</v>
      </c>
      <c r="AU163" s="2">
        <v>0</v>
      </c>
      <c r="AV163" s="14">
        <v>0</v>
      </c>
      <c r="AW163" s="14">
        <v>0</v>
      </c>
      <c r="AX163" s="2">
        <v>0</v>
      </c>
      <c r="AY163" s="2">
        <v>0</v>
      </c>
      <c r="AZ163" s="14">
        <v>0</v>
      </c>
      <c r="BA163" s="14">
        <f>BA162*(1+VLOOKUP(A163,'SELIC Hist'!$A:$C,3,0))^(1/252) + 19532162.9387</f>
        <v>35844772.419155054</v>
      </c>
      <c r="BB163" s="14">
        <f t="shared" si="21"/>
        <v>737270852.02635658</v>
      </c>
      <c r="BC163" s="14">
        <v>0</v>
      </c>
      <c r="BD163" s="14">
        <v>0</v>
      </c>
      <c r="BE163" s="2">
        <f t="shared" si="30"/>
        <v>285643.93349421024</v>
      </c>
      <c r="BF163" s="2">
        <f t="shared" si="23"/>
        <v>3206799.4813990593</v>
      </c>
      <c r="BG163" s="2">
        <f t="shared" si="24"/>
        <v>9239318.949037075</v>
      </c>
      <c r="BH163" s="15">
        <f t="shared" si="25"/>
        <v>1.0603184493390638</v>
      </c>
      <c r="BI163" s="16">
        <f t="shared" si="26"/>
        <v>3.8758435089003562E-4</v>
      </c>
      <c r="BJ163" s="16">
        <f t="shared" si="27"/>
        <v>4.368555400964258E-3</v>
      </c>
      <c r="BK163" s="16">
        <f t="shared" si="28"/>
        <v>1.2690822483998332E-2</v>
      </c>
      <c r="BL163" s="5">
        <f t="shared" si="29"/>
        <v>6.0318449339063829E-2</v>
      </c>
      <c r="BM163" s="19">
        <f t="shared" si="20"/>
        <v>4.9114676769674626E-2</v>
      </c>
      <c r="BN163" s="19" t="s">
        <v>53</v>
      </c>
      <c r="BO163" s="19" t="s">
        <v>53</v>
      </c>
    </row>
    <row r="164" spans="1:67" x14ac:dyDescent="0.25">
      <c r="A164" s="1">
        <v>45338</v>
      </c>
      <c r="B164" s="1" t="str">
        <f t="shared" si="22"/>
        <v>202402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f>I163*(1+((1+VLOOKUP($B164,'IPCA Hist'!$B:$C,2,0))^12 - 1)+$I$2)^(1/252)</f>
        <v>202028628.49509558</v>
      </c>
      <c r="J164" s="2">
        <f>J163*(1+((1+VLOOKUP($B164,'IPCA Hist'!$B:$C,2,0))^12 - 1)+$J$2)^(1/252)</f>
        <v>128812905.46538733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f>Q163*(1+((1+VLOOKUP($B164,'IPCA Hist'!$B:$C,2,0))^12 - 1)+$Q$2)^(1/252)</f>
        <v>43651495.367732868</v>
      </c>
      <c r="R164" s="2">
        <f>R163*(1+((1+VLOOKUP($B164,'IPCA Hist'!$B:$C,2,0))^12 - 1)+$R$2)^(1/252)</f>
        <v>43634743.597224489</v>
      </c>
      <c r="S164" s="2">
        <f>S163*(1+((1+VLOOKUP($B164,'IPCA Hist'!$B:$C,2,0))^12 - 1)+$S$2)^(1/252)</f>
        <v>44647671.1080347</v>
      </c>
      <c r="T164" s="2">
        <f>T163*(1+((1+VLOOKUP($B164,'IPCA Hist'!$B:$C,2,0))^12 - 1)+$T$2)^(1/252)</f>
        <v>225513764.09174797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f>AF163*(1+((1+VLOOKUP($B164,'IGPM Hist'!$B:$C,2,0))^12 - 1)+$AF$2)^(1/252)</f>
        <v>1610405.706698322</v>
      </c>
      <c r="AG164" s="2">
        <f>350000*VLOOKUP(A164,'CVRDA6 Hist'!$A:$B,2,0)</f>
        <v>11902763.949999999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f>BA163*(1+VLOOKUP(A164,'SELIC Hist'!$A:$C,3,0))^(1/252)</f>
        <v>35859811.951073259</v>
      </c>
      <c r="BB164" s="2">
        <f t="shared" si="21"/>
        <v>737662189.73299456</v>
      </c>
      <c r="BC164" s="2">
        <v>0</v>
      </c>
      <c r="BD164" s="2">
        <v>0</v>
      </c>
      <c r="BE164" s="2">
        <f t="shared" si="30"/>
        <v>391337.70663797855</v>
      </c>
      <c r="BF164" s="2">
        <f t="shared" si="23"/>
        <v>3598137.1880370378</v>
      </c>
      <c r="BG164" s="2">
        <f t="shared" si="24"/>
        <v>9630656.6556750536</v>
      </c>
      <c r="BH164" s="11">
        <f t="shared" si="25"/>
        <v>1.0608812582296228</v>
      </c>
      <c r="BI164" s="12">
        <f t="shared" si="26"/>
        <v>5.3079232084440875E-4</v>
      </c>
      <c r="BJ164" s="12">
        <f t="shared" si="27"/>
        <v>4.9016665174685947E-3</v>
      </c>
      <c r="BK164" s="12">
        <f t="shared" si="28"/>
        <v>1.3228350995962534E-2</v>
      </c>
      <c r="BL164" s="5">
        <f t="shared" si="29"/>
        <v>6.0881258229622759E-2</v>
      </c>
      <c r="BM164" s="19">
        <f t="shared" si="20"/>
        <v>4.9323909577446923E-2</v>
      </c>
      <c r="BN164" s="19" t="s">
        <v>53</v>
      </c>
      <c r="BO164" s="19" t="s">
        <v>53</v>
      </c>
    </row>
    <row r="165" spans="1:67" x14ac:dyDescent="0.25">
      <c r="A165" s="1">
        <v>45341</v>
      </c>
      <c r="B165" s="1" t="str">
        <f t="shared" si="22"/>
        <v>202402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f>I164*(1+((1+VLOOKUP($B165,'IPCA Hist'!$B:$C,2,0))^12 - 1)+$I$2)^(1/252)</f>
        <v>202148388.07679862</v>
      </c>
      <c r="J165" s="2">
        <f>J164*(1+((1+VLOOKUP($B165,'IPCA Hist'!$B:$C,2,0))^12 - 1)+$J$2)^(1/252)</f>
        <v>128887100.78180481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f>Q164*(1+((1+VLOOKUP($B165,'IPCA Hist'!$B:$C,2,0))^12 - 1)+$Q$2)^(1/252)</f>
        <v>43676608.333807841</v>
      </c>
      <c r="R165" s="2">
        <f>R164*(1+((1+VLOOKUP($B165,'IPCA Hist'!$B:$C,2,0))^12 - 1)+$R$2)^(1/252)</f>
        <v>43659861.913029991</v>
      </c>
      <c r="S165" s="2">
        <f>S164*(1+((1+VLOOKUP($B165,'IPCA Hist'!$B:$C,2,0))^12 - 1)+$S$2)^(1/252)</f>
        <v>44673188.407349974</v>
      </c>
      <c r="T165" s="2">
        <f>T164*(1+((1+VLOOKUP($B165,'IPCA Hist'!$B:$C,2,0))^12 - 1)+$T$2)^(1/252)</f>
        <v>225642573.50633138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f>AF164*(1+((1+VLOOKUP($B165,'IGPM Hist'!$B:$C,2,0))^12 - 1)+$AF$2)^(1/252)</f>
        <v>1610419.496109589</v>
      </c>
      <c r="AG165" s="2">
        <f>350000*VLOOKUP(A165,'CVRDA6 Hist'!$A:$B,2,0)</f>
        <v>11958095.799999999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f>BA164*(1+VLOOKUP(A165,'SELIC Hist'!$A:$C,3,0))^(1/252)</f>
        <v>35874857.793186925</v>
      </c>
      <c r="BB165" s="2">
        <f t="shared" si="21"/>
        <v>738131094.10841906</v>
      </c>
      <c r="BC165" s="2">
        <v>0</v>
      </c>
      <c r="BD165" s="2">
        <v>0</v>
      </c>
      <c r="BE165" s="2">
        <f t="shared" si="30"/>
        <v>468904.37542450428</v>
      </c>
      <c r="BF165" s="2">
        <f t="shared" si="23"/>
        <v>4067041.5634615421</v>
      </c>
      <c r="BG165" s="2">
        <f t="shared" si="24"/>
        <v>10099561.031099558</v>
      </c>
      <c r="BH165" s="11">
        <f t="shared" si="25"/>
        <v>1.0615556209266857</v>
      </c>
      <c r="BI165" s="12">
        <f t="shared" si="26"/>
        <v>6.3566274908866127E-4</v>
      </c>
      <c r="BJ165" s="12">
        <f t="shared" si="27"/>
        <v>5.5404450733709254E-3</v>
      </c>
      <c r="BK165" s="12">
        <f t="shared" si="28"/>
        <v>1.3872422515011307E-2</v>
      </c>
      <c r="BL165" s="5">
        <f t="shared" si="29"/>
        <v>6.155562092668565E-2</v>
      </c>
      <c r="BM165" s="19">
        <f t="shared" si="20"/>
        <v>4.9643189178211422E-2</v>
      </c>
      <c r="BN165" s="19" t="s">
        <v>53</v>
      </c>
      <c r="BO165" s="19" t="s">
        <v>53</v>
      </c>
    </row>
    <row r="166" spans="1:67" x14ac:dyDescent="0.25">
      <c r="A166" s="1">
        <v>45342</v>
      </c>
      <c r="B166" s="1" t="str">
        <f t="shared" si="22"/>
        <v>202402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f>I165*(1+((1+VLOOKUP($B166,'IPCA Hist'!$B:$C,2,0))^12 - 1)+$I$2)^(1/252)</f>
        <v>202268218.6502097</v>
      </c>
      <c r="J166" s="2">
        <f>J165*(1+((1+VLOOKUP($B166,'IPCA Hist'!$B:$C,2,0))^12 - 1)+$J$2)^(1/252)</f>
        <v>128961338.83419628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f>Q165*(1+((1+VLOOKUP($B166,'IPCA Hist'!$B:$C,2,0))^12 - 1)+$Q$2)^(1/252)</f>
        <v>43701735.747522227</v>
      </c>
      <c r="R166" s="2">
        <f>R165*(1+((1+VLOOKUP($B166,'IPCA Hist'!$B:$C,2,0))^12 - 1)+$R$2)^(1/252)</f>
        <v>43684994.68817997</v>
      </c>
      <c r="S166" s="2">
        <f>S165*(1+((1+VLOOKUP($B166,'IPCA Hist'!$B:$C,2,0))^12 - 1)+$S$2)^(1/252)</f>
        <v>44698720.290462077</v>
      </c>
      <c r="T166" s="2">
        <f>T165*(1+((1+VLOOKUP($B166,'IPCA Hist'!$B:$C,2,0))^12 - 1)+$T$2)^(1/252)</f>
        <v>225771456.49454057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f>AF165*(1+((1+VLOOKUP($B166,'IGPM Hist'!$B:$C,2,0))^12 - 1)+$AF$2)^(1/252)</f>
        <v>1610433.2856389305</v>
      </c>
      <c r="AG166" s="2">
        <f>350000*VLOOKUP(A166,'CVRDA6 Hist'!$A:$B,2,0)</f>
        <v>12243700.700000001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f>BA165*(1+VLOOKUP(A166,'SELIC Hist'!$A:$C,3,0))^(1/252)</f>
        <v>35889909.948143646</v>
      </c>
      <c r="BB166" s="2">
        <f t="shared" si="21"/>
        <v>738830508.63889337</v>
      </c>
      <c r="BC166" s="2">
        <v>0</v>
      </c>
      <c r="BD166" s="2">
        <v>0</v>
      </c>
      <c r="BE166" s="2">
        <f t="shared" si="30"/>
        <v>699414.53047430515</v>
      </c>
      <c r="BF166" s="2">
        <f t="shared" si="23"/>
        <v>4766456.0939358473</v>
      </c>
      <c r="BG166" s="2">
        <f t="shared" si="24"/>
        <v>10798975.561573863</v>
      </c>
      <c r="BH166" s="11">
        <f t="shared" si="25"/>
        <v>1.0625614956718481</v>
      </c>
      <c r="BI166" s="12">
        <f t="shared" si="26"/>
        <v>9.4754784896178279E-4</v>
      </c>
      <c r="BJ166" s="12">
        <f t="shared" si="27"/>
        <v>6.4932427591442021E-3</v>
      </c>
      <c r="BK166" s="12">
        <f t="shared" si="28"/>
        <v>1.4833115148087161E-2</v>
      </c>
      <c r="BL166" s="5">
        <f t="shared" si="29"/>
        <v>6.25614956718481E-2</v>
      </c>
      <c r="BM166" s="19">
        <f t="shared" si="20"/>
        <v>5.0286386513453962E-2</v>
      </c>
      <c r="BN166" s="19" t="s">
        <v>53</v>
      </c>
      <c r="BO166" s="19" t="s">
        <v>53</v>
      </c>
    </row>
    <row r="167" spans="1:67" x14ac:dyDescent="0.25">
      <c r="A167" s="1">
        <v>45343</v>
      </c>
      <c r="B167" s="1" t="str">
        <f t="shared" si="22"/>
        <v>202402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f>I166*(1+((1+VLOOKUP($B167,'IPCA Hist'!$B:$C,2,0))^12 - 1)+$I$2)^(1/252)</f>
        <v>202388120.25741166</v>
      </c>
      <c r="J167" s="2">
        <f>J166*(1+((1+VLOOKUP($B167,'IPCA Hist'!$B:$C,2,0))^12 - 1)+$J$2)^(1/252)</f>
        <v>129035619.64717737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f>Q166*(1+((1+VLOOKUP($B167,'IPCA Hist'!$B:$C,2,0))^12 - 1)+$Q$2)^(1/252)</f>
        <v>43726877.61718785</v>
      </c>
      <c r="R167" s="2">
        <f>R166*(1+((1+VLOOKUP($B167,'IPCA Hist'!$B:$C,2,0))^12 - 1)+$R$2)^(1/252)</f>
        <v>43710141.930997938</v>
      </c>
      <c r="S167" s="2">
        <f>S166*(1+((1+VLOOKUP($B167,'IPCA Hist'!$B:$C,2,0))^12 - 1)+$S$2)^(1/252)</f>
        <v>44724266.765706025</v>
      </c>
      <c r="T167" s="2">
        <f>T166*(1+((1+VLOOKUP($B167,'IPCA Hist'!$B:$C,2,0))^12 - 1)+$T$2)^(1/252)</f>
        <v>225900413.09839946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f>AF166*(1+((1+VLOOKUP($B167,'IGPM Hist'!$B:$C,2,0))^12 - 1)+$AF$2)^(1/252)</f>
        <v>1610447.0752863477</v>
      </c>
      <c r="AG167" s="2">
        <f>350000*VLOOKUP(A167,'CVRDA6 Hist'!$A:$B,2,0)</f>
        <v>12000233.35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f>BA166*(1+VLOOKUP(A167,'SELIC Hist'!$A:$C,3,0))^(1/252)</f>
        <v>35904968.418592133</v>
      </c>
      <c r="BB167" s="2">
        <f t="shared" si="21"/>
        <v>739001088.16075885</v>
      </c>
      <c r="BC167" s="2">
        <v>0</v>
      </c>
      <c r="BD167" s="2">
        <v>0</v>
      </c>
      <c r="BE167" s="2">
        <f t="shared" si="30"/>
        <v>170579.5218654871</v>
      </c>
      <c r="BF167" s="2">
        <f t="shared" si="23"/>
        <v>4937035.6158013344</v>
      </c>
      <c r="BG167" s="2">
        <f t="shared" si="24"/>
        <v>10969555.08343935</v>
      </c>
      <c r="BH167" s="11">
        <f t="shared" si="25"/>
        <v>1.0628068174740275</v>
      </c>
      <c r="BI167" s="12">
        <f t="shared" si="26"/>
        <v>2.3087774512697834E-4</v>
      </c>
      <c r="BJ167" s="12">
        <f t="shared" si="27"/>
        <v>6.7256196495180109E-3</v>
      </c>
      <c r="BK167" s="12">
        <f t="shared" si="28"/>
        <v>1.5067417529392779E-2</v>
      </c>
      <c r="BL167" s="5">
        <f t="shared" si="29"/>
        <v>6.2806817474027499E-2</v>
      </c>
      <c r="BM167" s="19">
        <f t="shared" si="20"/>
        <v>5.0177518851622915E-2</v>
      </c>
      <c r="BN167" s="19" t="s">
        <v>53</v>
      </c>
      <c r="BO167" s="19" t="s">
        <v>53</v>
      </c>
    </row>
    <row r="168" spans="1:67" x14ac:dyDescent="0.25">
      <c r="A168" s="1">
        <v>45344</v>
      </c>
      <c r="B168" s="1" t="str">
        <f t="shared" si="22"/>
        <v>202402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f>I167*(1+((1+VLOOKUP($B168,'IPCA Hist'!$B:$C,2,0))^12 - 1)+$I$2)^(1/252)</f>
        <v>202508092.94051227</v>
      </c>
      <c r="J168" s="2">
        <f>J167*(1+((1+VLOOKUP($B168,'IPCA Hist'!$B:$C,2,0))^12 - 1)+$J$2)^(1/252)</f>
        <v>129109943.24537787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f>Q167*(1+((1+VLOOKUP($B168,'IPCA Hist'!$B:$C,2,0))^12 - 1)+$Q$2)^(1/252)</f>
        <v>43752033.951121293</v>
      </c>
      <c r="R168" s="2">
        <f>R167*(1+((1+VLOOKUP($B168,'IPCA Hist'!$B:$C,2,0))^12 - 1)+$R$2)^(1/252)</f>
        <v>43735303.649812207</v>
      </c>
      <c r="S168" s="2">
        <f>S167*(1+((1+VLOOKUP($B168,'IPCA Hist'!$B:$C,2,0))^12 - 1)+$S$2)^(1/252)</f>
        <v>44749827.841421604</v>
      </c>
      <c r="T168" s="2">
        <f>T167*(1+((1+VLOOKUP($B168,'IPCA Hist'!$B:$C,2,0))^12 - 1)+$T$2)^(1/252)</f>
        <v>226029443.359956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f>AF167*(1+((1+VLOOKUP($B168,'IGPM Hist'!$B:$C,2,0))^12 - 1)+$AF$2)^(1/252)</f>
        <v>1610460.8650518414</v>
      </c>
      <c r="AG168" s="2">
        <f>350000*VLOOKUP(A168,'CVRDA6 Hist'!$A:$B,2,0)</f>
        <v>11828395.25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f>BA167*(1+VLOOKUP(A168,'SELIC Hist'!$A:$C,3,0))^(1/252)</f>
        <v>35920033.207182199</v>
      </c>
      <c r="BB168" s="2">
        <f t="shared" si="21"/>
        <v>739243534.3104353</v>
      </c>
      <c r="BC168" s="2">
        <v>0</v>
      </c>
      <c r="BD168" s="2">
        <v>0</v>
      </c>
      <c r="BE168" s="2">
        <f t="shared" si="30"/>
        <v>242446.14967644215</v>
      </c>
      <c r="BF168" s="2">
        <f t="shared" si="23"/>
        <v>5179481.7654777765</v>
      </c>
      <c r="BG168" s="2">
        <f t="shared" si="24"/>
        <v>11212001.233115792</v>
      </c>
      <c r="BH168" s="11">
        <f t="shared" si="25"/>
        <v>1.063155495473119</v>
      </c>
      <c r="BI168" s="12">
        <f t="shared" si="26"/>
        <v>3.2807279117785804E-4</v>
      </c>
      <c r="BJ168" s="12">
        <f t="shared" si="27"/>
        <v>7.0558989335067768E-3</v>
      </c>
      <c r="BK168" s="12">
        <f t="shared" si="28"/>
        <v>1.5400433530295299E-2</v>
      </c>
      <c r="BL168" s="5">
        <f t="shared" si="29"/>
        <v>6.315549547311905E-2</v>
      </c>
      <c r="BM168" s="19">
        <f t="shared" si="20"/>
        <v>4.8183114025819318E-2</v>
      </c>
      <c r="BN168" s="19" t="s">
        <v>53</v>
      </c>
      <c r="BO168" s="19" t="s">
        <v>53</v>
      </c>
    </row>
    <row r="169" spans="1:67" x14ac:dyDescent="0.25">
      <c r="A169" s="1">
        <v>45345</v>
      </c>
      <c r="B169" s="1" t="str">
        <f t="shared" si="22"/>
        <v>202402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f>I168*(1+((1+VLOOKUP($B169,'IPCA Hist'!$B:$C,2,0))^12 - 1)+$I$2)^(1/252)</f>
        <v>202628136.74164429</v>
      </c>
      <c r="J169" s="2">
        <f>J168*(1+((1+VLOOKUP($B169,'IPCA Hist'!$B:$C,2,0))^12 - 1)+$J$2)^(1/252)</f>
        <v>129184309.65344176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f>Q168*(1+((1+VLOOKUP($B169,'IPCA Hist'!$B:$C,2,0))^12 - 1)+$Q$2)^(1/252)</f>
        <v>43777204.757643946</v>
      </c>
      <c r="R169" s="2">
        <f>R168*(1+((1+VLOOKUP($B169,'IPCA Hist'!$B:$C,2,0))^12 - 1)+$R$2)^(1/252)</f>
        <v>43760479.85295587</v>
      </c>
      <c r="S169" s="2">
        <f>S168*(1+((1+VLOOKUP($B169,'IPCA Hist'!$B:$C,2,0))^12 - 1)+$S$2)^(1/252)</f>
        <v>44775403.52595336</v>
      </c>
      <c r="T169" s="2">
        <f>T168*(1+((1+VLOOKUP($B169,'IPCA Hist'!$B:$C,2,0))^12 - 1)+$T$2)^(1/252)</f>
        <v>226158547.32128212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f>AF168*(1+((1+VLOOKUP($B169,'IGPM Hist'!$B:$C,2,0))^12 - 1)+$AF$2)^(1/252)</f>
        <v>1610474.6549354126</v>
      </c>
      <c r="AG169" s="2">
        <f>350000*VLOOKUP(A169,'CVRDA6 Hist'!$A:$B,2,0)</f>
        <v>11828963.300000001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f>BA168*(1+VLOOKUP(A169,'SELIC Hist'!$A:$C,3,0))^(1/252)</f>
        <v>35935104.316564769</v>
      </c>
      <c r="BB169" s="2">
        <f t="shared" si="21"/>
        <v>739658624.12442148</v>
      </c>
      <c r="BC169" s="2">
        <v>0</v>
      </c>
      <c r="BD169" s="2">
        <v>0</v>
      </c>
      <c r="BE169" s="2">
        <f t="shared" si="30"/>
        <v>415089.81398618221</v>
      </c>
      <c r="BF169" s="2">
        <f t="shared" si="23"/>
        <v>5594571.5794639587</v>
      </c>
      <c r="BG169" s="2">
        <f t="shared" si="24"/>
        <v>11627091.047101974</v>
      </c>
      <c r="BH169" s="11">
        <f t="shared" si="25"/>
        <v>1.0637524638554883</v>
      </c>
      <c r="BI169" s="12">
        <f t="shared" si="26"/>
        <v>5.615061812793698E-4</v>
      </c>
      <c r="BJ169" s="12">
        <f t="shared" si="27"/>
        <v>7.6213670456517502E-3</v>
      </c>
      <c r="BK169" s="12">
        <f t="shared" si="28"/>
        <v>1.597058715019628E-2</v>
      </c>
      <c r="BL169" s="5">
        <f t="shared" si="29"/>
        <v>6.3752463855488273E-2</v>
      </c>
      <c r="BM169" s="19">
        <f t="shared" si="20"/>
        <v>4.844464981394947E-2</v>
      </c>
      <c r="BN169" s="19" t="s">
        <v>53</v>
      </c>
      <c r="BO169" s="19" t="s">
        <v>53</v>
      </c>
    </row>
    <row r="170" spans="1:67" x14ac:dyDescent="0.25">
      <c r="A170" s="1">
        <v>45348</v>
      </c>
      <c r="B170" s="1" t="str">
        <f t="shared" si="22"/>
        <v>202402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f>I169*(1+((1+VLOOKUP($B170,'IPCA Hist'!$B:$C,2,0))^12 - 1)+$I$2)^(1/252)</f>
        <v>202748251.70296541</v>
      </c>
      <c r="J170" s="2">
        <f>J169*(1+((1+VLOOKUP($B170,'IPCA Hist'!$B:$C,2,0))^12 - 1)+$J$2)^(1/252)</f>
        <v>129258718.89602721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f>Q169*(1+((1+VLOOKUP($B170,'IPCA Hist'!$B:$C,2,0))^12 - 1)+$Q$2)^(1/252)</f>
        <v>43802390.045081966</v>
      </c>
      <c r="R170" s="2">
        <f>R169*(1+((1+VLOOKUP($B170,'IPCA Hist'!$B:$C,2,0))^12 - 1)+$R$2)^(1/252)</f>
        <v>43785670.548766829</v>
      </c>
      <c r="S170" s="2">
        <f>S169*(1+((1+VLOOKUP($B170,'IPCA Hist'!$B:$C,2,0))^12 - 1)+$S$2)^(1/252)</f>
        <v>44800993.827650607</v>
      </c>
      <c r="T170" s="2">
        <f>T169*(1+((1+VLOOKUP($B170,'IPCA Hist'!$B:$C,2,0))^12 - 1)+$T$2)^(1/252)</f>
        <v>226287725.02447382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f>AF169*(1+((1+VLOOKUP($B170,'IGPM Hist'!$B:$C,2,0))^12 - 1)+$AF$2)^(1/252)</f>
        <v>1610488.4449370622</v>
      </c>
      <c r="AG170" s="2">
        <f>350000*VLOOKUP(A170,'CVRDA6 Hist'!$A:$B,2,0)</f>
        <v>12040732.899999999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f>BA169*(1+VLOOKUP(A170,'SELIC Hist'!$A:$C,3,0))^(1/252)</f>
        <v>35950181.749391884</v>
      </c>
      <c r="BB170" s="2">
        <f t="shared" si="21"/>
        <v>740285153.13929486</v>
      </c>
      <c r="BC170" s="2">
        <v>0</v>
      </c>
      <c r="BD170" s="2">
        <v>0</v>
      </c>
      <c r="BE170" s="2">
        <f t="shared" si="30"/>
        <v>626529.01487338543</v>
      </c>
      <c r="BF170" s="2">
        <f t="shared" si="23"/>
        <v>6221100.5943373442</v>
      </c>
      <c r="BG170" s="2">
        <f t="shared" si="24"/>
        <v>12253620.06197536</v>
      </c>
      <c r="BH170" s="11">
        <f t="shared" si="25"/>
        <v>1.0646535170731635</v>
      </c>
      <c r="BI170" s="12">
        <f t="shared" si="26"/>
        <v>8.4705159169207178E-4</v>
      </c>
      <c r="BJ170" s="12">
        <f t="shared" si="27"/>
        <v>8.4748743284306371E-3</v>
      </c>
      <c r="BK170" s="12">
        <f t="shared" si="28"/>
        <v>1.6831166653154206E-2</v>
      </c>
      <c r="BL170" s="5">
        <f t="shared" si="29"/>
        <v>6.4653517073163469E-2</v>
      </c>
      <c r="BM170" s="19">
        <f t="shared" si="20"/>
        <v>4.900553420611975E-2</v>
      </c>
      <c r="BN170" s="19" t="s">
        <v>53</v>
      </c>
      <c r="BO170" s="19" t="s">
        <v>53</v>
      </c>
    </row>
    <row r="171" spans="1:67" x14ac:dyDescent="0.25">
      <c r="A171" s="1">
        <v>45349</v>
      </c>
      <c r="B171" s="1" t="str">
        <f t="shared" si="22"/>
        <v>202402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f>I170*(1+((1+VLOOKUP($B171,'IPCA Hist'!$B:$C,2,0))^12 - 1)+$I$2)^(1/252)</f>
        <v>202868437.86665836</v>
      </c>
      <c r="J171" s="2">
        <f>J170*(1+((1+VLOOKUP($B171,'IPCA Hist'!$B:$C,2,0))^12 - 1)+$J$2)^(1/252)</f>
        <v>129333170.99780661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f>Q170*(1+((1+VLOOKUP($B171,'IPCA Hist'!$B:$C,2,0))^12 - 1)+$Q$2)^(1/252)</f>
        <v>43827589.821766317</v>
      </c>
      <c r="R171" s="2">
        <f>R170*(1+((1+VLOOKUP($B171,'IPCA Hist'!$B:$C,2,0))^12 - 1)+$R$2)^(1/252)</f>
        <v>43810875.745587774</v>
      </c>
      <c r="S171" s="2">
        <f>S170*(1+((1+VLOOKUP($B171,'IPCA Hist'!$B:$C,2,0))^12 - 1)+$S$2)^(1/252)</f>
        <v>44826598.754867427</v>
      </c>
      <c r="T171" s="2">
        <f>T170*(1+((1+VLOOKUP($B171,'IPCA Hist'!$B:$C,2,0))^12 - 1)+$T$2)^(1/252)</f>
        <v>226416976.51165113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f>AF170*(1+((1+VLOOKUP($B171,'IGPM Hist'!$B:$C,2,0))^12 - 1)+$AF$2)^(1/252)</f>
        <v>1610502.2350567915</v>
      </c>
      <c r="AG171" s="2">
        <f>350000*VLOOKUP(A171,'CVRDA6 Hist'!$A:$B,2,0)</f>
        <v>11904176.899999999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f>BA170*(1+VLOOKUP(A171,'SELIC Hist'!$A:$C,3,0))^(1/252)</f>
        <v>35965265.508316696</v>
      </c>
      <c r="BB171" s="2">
        <f t="shared" si="21"/>
        <v>740563594.34171104</v>
      </c>
      <c r="BC171" s="2">
        <v>0</v>
      </c>
      <c r="BD171" s="2">
        <v>0</v>
      </c>
      <c r="BE171" s="2">
        <f t="shared" si="30"/>
        <v>278441.20241618156</v>
      </c>
      <c r="BF171" s="2">
        <f t="shared" si="23"/>
        <v>6499541.7967535257</v>
      </c>
      <c r="BG171" s="2">
        <f t="shared" si="24"/>
        <v>12532061.264391541</v>
      </c>
      <c r="BH171" s="11">
        <f t="shared" si="25"/>
        <v>1.0650539619614519</v>
      </c>
      <c r="BI171" s="12">
        <f t="shared" si="26"/>
        <v>3.7612695761279902E-4</v>
      </c>
      <c r="BJ171" s="12">
        <f t="shared" si="27"/>
        <v>8.8541889147406572E-3</v>
      </c>
      <c r="BK171" s="12">
        <f t="shared" si="28"/>
        <v>1.7213624266273264E-2</v>
      </c>
      <c r="BL171" s="5">
        <f t="shared" si="29"/>
        <v>6.5053961961451856E-2</v>
      </c>
      <c r="BM171" s="19">
        <f t="shared" si="20"/>
        <v>4.9072868286379689E-2</v>
      </c>
      <c r="BN171" s="19" t="s">
        <v>53</v>
      </c>
      <c r="BO171" s="19" t="s">
        <v>53</v>
      </c>
    </row>
    <row r="172" spans="1:67" x14ac:dyDescent="0.25">
      <c r="A172" s="1">
        <v>45350</v>
      </c>
      <c r="B172" s="1" t="str">
        <f t="shared" si="22"/>
        <v>202402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f>I171*(1+((1+VLOOKUP($B172,'IPCA Hist'!$B:$C,2,0))^12 - 1)+$I$2)^(1/252)</f>
        <v>202988695.27493083</v>
      </c>
      <c r="J172" s="2">
        <f>J171*(1+((1+VLOOKUP($B172,'IPCA Hist'!$B:$C,2,0))^12 - 1)+$J$2)^(1/252)</f>
        <v>129407665.98346654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f>Q171*(1+((1+VLOOKUP($B172,'IPCA Hist'!$B:$C,2,0))^12 - 1)+$Q$2)^(1/252)</f>
        <v>43852804.096032746</v>
      </c>
      <c r="R172" s="2">
        <f>R171*(1+((1+VLOOKUP($B172,'IPCA Hist'!$B:$C,2,0))^12 - 1)+$R$2)^(1/252)</f>
        <v>43836095.451766208</v>
      </c>
      <c r="S172" s="2">
        <f>S171*(1+((1+VLOOKUP($B172,'IPCA Hist'!$B:$C,2,0))^12 - 1)+$S$2)^(1/252)</f>
        <v>44852218.315962695</v>
      </c>
      <c r="T172" s="2">
        <f>T171*(1+((1+VLOOKUP($B172,'IPCA Hist'!$B:$C,2,0))^12 - 1)+$T$2)^(1/252)</f>
        <v>226546301.82495815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f>AF171*(1+((1+VLOOKUP($B172,'IGPM Hist'!$B:$C,2,0))^12 - 1)+$AF$2)^(1/252)</f>
        <v>1610516.0252946012</v>
      </c>
      <c r="AG172" s="2">
        <f>350000*VLOOKUP(A172,'CVRDA6 Hist'!$A:$B,2,0)</f>
        <v>11479999.999999998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f>BA171*(1+VLOOKUP(A172,'SELIC Hist'!$A:$C,3,0))^(1/252)</f>
        <v>35980355.595993467</v>
      </c>
      <c r="BB172" s="2">
        <f t="shared" si="21"/>
        <v>740554652.56840515</v>
      </c>
      <c r="BC172" s="2">
        <v>0</v>
      </c>
      <c r="BD172" s="2">
        <v>0</v>
      </c>
      <c r="BE172" s="2">
        <f t="shared" si="30"/>
        <v>-8941.7733058929443</v>
      </c>
      <c r="BF172" s="2">
        <f t="shared" si="23"/>
        <v>6490600.0234476328</v>
      </c>
      <c r="BG172" s="2">
        <f t="shared" si="24"/>
        <v>12523119.491085649</v>
      </c>
      <c r="BH172" s="11">
        <f t="shared" si="25"/>
        <v>1.0650411022001036</v>
      </c>
      <c r="BI172" s="12">
        <f t="shared" si="26"/>
        <v>-1.2074281498852812E-5</v>
      </c>
      <c r="BJ172" s="12">
        <f t="shared" si="27"/>
        <v>8.8420077252724383E-3</v>
      </c>
      <c r="BK172" s="12">
        <f t="shared" si="28"/>
        <v>1.7201342142629361E-2</v>
      </c>
      <c r="BL172" s="5">
        <f t="shared" si="29"/>
        <v>6.5041102200103618E-2</v>
      </c>
      <c r="BM172" s="19">
        <f t="shared" si="20"/>
        <v>4.8733080431859754E-2</v>
      </c>
      <c r="BN172" s="19" t="s">
        <v>53</v>
      </c>
      <c r="BO172" s="19" t="s">
        <v>53</v>
      </c>
    </row>
    <row r="173" spans="1:67" x14ac:dyDescent="0.25">
      <c r="A173" s="1">
        <v>45351</v>
      </c>
      <c r="B173" s="1" t="str">
        <f t="shared" si="22"/>
        <v>202402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f>I172*(1+((1+VLOOKUP($B173,'IPCA Hist'!$B:$C,2,0))^12 - 1)+$I$2)^(1/252)</f>
        <v>203109023.97001559</v>
      </c>
      <c r="J173" s="2">
        <f>J172*(1+((1+VLOOKUP($B173,'IPCA Hist'!$B:$C,2,0))^12 - 1)+$J$2)^(1/252)</f>
        <v>129482203.87770781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f>Q172*(1+((1+VLOOKUP($B173,'IPCA Hist'!$B:$C,2,0))^12 - 1)+$Q$2)^(1/252)</f>
        <v>43878032.876221798</v>
      </c>
      <c r="R173" s="2">
        <f>R172*(1+((1+VLOOKUP($B173,'IPCA Hist'!$B:$C,2,0))^12 - 1)+$R$2)^(1/252)</f>
        <v>43861329.675654426</v>
      </c>
      <c r="S173" s="2">
        <f>S172*(1+((1+VLOOKUP($B173,'IPCA Hist'!$B:$C,2,0))^12 - 1)+$S$2)^(1/252)</f>
        <v>44877852.519300044</v>
      </c>
      <c r="T173" s="2">
        <f>T172*(1+((1+VLOOKUP($B173,'IPCA Hist'!$B:$C,2,0))^12 - 1)+$T$2)^(1/252)</f>
        <v>226675701.00656304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f>AF172*(1+((1+VLOOKUP($B173,'IGPM Hist'!$B:$C,2,0))^12 - 1)+$AF$2)^(1/252)</f>
        <v>1610529.8156504927</v>
      </c>
      <c r="AG173" s="2">
        <f>350000*VLOOKUP(A173,'CVRDA6 Hist'!$A:$B,2,0)</f>
        <v>11910593.1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f>BA172*(1+VLOOKUP(A173,'SELIC Hist'!$A:$C,3,0))^(1/252)</f>
        <v>35995452.015077583</v>
      </c>
      <c r="BB173" s="2">
        <f t="shared" si="21"/>
        <v>741400718.85619068</v>
      </c>
      <c r="BC173" s="2">
        <v>0</v>
      </c>
      <c r="BD173" s="2">
        <v>0</v>
      </c>
      <c r="BE173" s="2">
        <f t="shared" si="30"/>
        <v>846066.28778553009</v>
      </c>
      <c r="BF173" s="2">
        <f t="shared" si="23"/>
        <v>7336666.3112331629</v>
      </c>
      <c r="BG173" s="2">
        <f t="shared" si="24"/>
        <v>13369185.778871179</v>
      </c>
      <c r="BH173" s="11">
        <f t="shared" si="25"/>
        <v>1.066257886631276</v>
      </c>
      <c r="BI173" s="12">
        <f t="shared" si="26"/>
        <v>1.1424765003518189E-3</v>
      </c>
      <c r="BJ173" s="12">
        <f t="shared" si="27"/>
        <v>9.9945860116663621E-3</v>
      </c>
      <c r="BK173" s="12">
        <f t="shared" si="28"/>
        <v>1.8363470772153612E-2</v>
      </c>
      <c r="BL173" s="5">
        <f t="shared" si="29"/>
        <v>6.6257886631275964E-2</v>
      </c>
      <c r="BM173" s="19">
        <f t="shared" si="20"/>
        <v>4.9603838809360701E-2</v>
      </c>
      <c r="BN173" s="19" t="s">
        <v>53</v>
      </c>
      <c r="BO173" s="19" t="s">
        <v>53</v>
      </c>
    </row>
    <row r="174" spans="1:67" x14ac:dyDescent="0.25">
      <c r="A174" s="1">
        <v>45352</v>
      </c>
      <c r="B174" s="1" t="str">
        <f t="shared" si="22"/>
        <v>202403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f>I173*(1+((1+VLOOKUP($B174,'IPCA Hist'!$B:$C,2,0))^12 - 1)+$I$2)^(1/252)</f>
        <v>203168191.3324742</v>
      </c>
      <c r="J174" s="2">
        <f>J173*(1+((1+VLOOKUP($B174,'IPCA Hist'!$B:$C,2,0))^12 - 1)+$J$2)^(1/252)</f>
        <v>129517577.59443726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f>Q173*(1+((1+VLOOKUP($B174,'IPCA Hist'!$B:$C,2,0))^12 - 1)+$Q$2)^(1/252)</f>
        <v>43889987.557193778</v>
      </c>
      <c r="R174" s="2">
        <f>R173*(1+((1+VLOOKUP($B174,'IPCA Hist'!$B:$C,2,0))^12 - 1)+$R$2)^(1/252)</f>
        <v>43873296.059998073</v>
      </c>
      <c r="S174" s="2">
        <f>S173*(1+((1+VLOOKUP($B174,'IPCA Hist'!$B:$C,2,0))^12 - 1)+$S$2)^(1/252)</f>
        <v>44889896.561557129</v>
      </c>
      <c r="T174" s="2">
        <f>T173*(1+((1+VLOOKUP($B174,'IPCA Hist'!$B:$C,2,0))^12 - 1)+$T$2)^(1/252)</f>
        <v>226736450.74245626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f>AF173*(1+((1+VLOOKUP($B174,'IGPM Hist'!$B:$C,2,0))^12 - 1)+$AF$2)^(1/252)</f>
        <v>1610580.0291159053</v>
      </c>
      <c r="AG174" s="2">
        <f>350000*VLOOKUP(A174,'CVRDA6 Hist'!$A:$B,2,0)</f>
        <v>11685139.550000001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f>BA173*(1+VLOOKUP(A174,'SELIC Hist'!$A:$C,3,0))^(1/252)</f>
        <v>36010554.768225536</v>
      </c>
      <c r="BB174" s="2">
        <f t="shared" si="21"/>
        <v>741381674.19545805</v>
      </c>
      <c r="BC174" s="2">
        <v>0</v>
      </c>
      <c r="BD174" s="2">
        <v>0</v>
      </c>
      <c r="BE174" s="2">
        <f t="shared" si="30"/>
        <v>-19044.660732626915</v>
      </c>
      <c r="BF174" s="2">
        <f t="shared" si="23"/>
        <v>-19044.660732626915</v>
      </c>
      <c r="BG174" s="2">
        <f t="shared" si="24"/>
        <v>13350141.118138552</v>
      </c>
      <c r="BH174" s="11">
        <f t="shared" si="25"/>
        <v>1.0662304972328198</v>
      </c>
      <c r="BI174" s="12">
        <f t="shared" si="26"/>
        <v>-2.5687405269869679E-5</v>
      </c>
      <c r="BJ174" s="12">
        <f t="shared" si="27"/>
        <v>-2.5687405269869679E-5</v>
      </c>
      <c r="BK174" s="12">
        <f t="shared" si="28"/>
        <v>1.8337311656967836E-2</v>
      </c>
      <c r="BL174" s="5">
        <f t="shared" si="29"/>
        <v>6.6230497232819818E-2</v>
      </c>
      <c r="BM174" s="19">
        <f t="shared" si="20"/>
        <v>4.9249591324566522E-2</v>
      </c>
      <c r="BN174" s="19" t="s">
        <v>53</v>
      </c>
      <c r="BO174" s="19" t="s">
        <v>53</v>
      </c>
    </row>
    <row r="175" spans="1:67" x14ac:dyDescent="0.25">
      <c r="A175" s="1">
        <v>45355</v>
      </c>
      <c r="B175" s="1" t="str">
        <f t="shared" si="22"/>
        <v>202403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f>I174*(1+((1+VLOOKUP($B175,'IPCA Hist'!$B:$C,2,0))^12 - 1)+$I$2)^(1/252)</f>
        <v>203227375.93088183</v>
      </c>
      <c r="J175" s="2">
        <f>J174*(1+((1+VLOOKUP($B175,'IPCA Hist'!$B:$C,2,0))^12 - 1)+$J$2)^(1/252)</f>
        <v>129552960.97504172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f>Q174*(1+((1+VLOOKUP($B175,'IPCA Hist'!$B:$C,2,0))^12 - 1)+$Q$2)^(1/252)</f>
        <v>43901945.495248802</v>
      </c>
      <c r="R175" s="2">
        <f>R174*(1+((1+VLOOKUP($B175,'IPCA Hist'!$B:$C,2,0))^12 - 1)+$R$2)^(1/252)</f>
        <v>43885265.709047906</v>
      </c>
      <c r="S175" s="2">
        <f>S174*(1+((1+VLOOKUP($B175,'IPCA Hist'!$B:$C,2,0))^12 - 1)+$S$2)^(1/252)</f>
        <v>44901943.836120255</v>
      </c>
      <c r="T175" s="2">
        <f>T174*(1+((1+VLOOKUP($B175,'IPCA Hist'!$B:$C,2,0))^12 - 1)+$T$2)^(1/252)</f>
        <v>226797216.75945237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f>AF174*(1+((1+VLOOKUP($B175,'IGPM Hist'!$B:$C,2,0))^12 - 1)+$AF$2)^(1/252)</f>
        <v>1610630.2441468849</v>
      </c>
      <c r="AG175" s="2">
        <f>350000*VLOOKUP(A175,'CVRDA6 Hist'!$A:$B,2,0)</f>
        <v>11160017.050000001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f>BA174*(1+VLOOKUP(A175,'SELIC Hist'!$A:$C,3,0))^(1/252)</f>
        <v>36025663.858094931</v>
      </c>
      <c r="BB175" s="2">
        <f t="shared" si="21"/>
        <v>741063019.85803473</v>
      </c>
      <c r="BC175" s="2">
        <v>0</v>
      </c>
      <c r="BD175" s="2">
        <v>0</v>
      </c>
      <c r="BE175" s="2">
        <f t="shared" si="30"/>
        <v>-318654.33742332458</v>
      </c>
      <c r="BF175" s="2">
        <f t="shared" si="23"/>
        <v>-337698.9981559515</v>
      </c>
      <c r="BG175" s="2">
        <f t="shared" si="24"/>
        <v>13031486.780715227</v>
      </c>
      <c r="BH175" s="11">
        <f t="shared" si="25"/>
        <v>1.0657722191495302</v>
      </c>
      <c r="BI175" s="12">
        <f t="shared" si="26"/>
        <v>-4.2981145678999688E-4</v>
      </c>
      <c r="BJ175" s="12">
        <f t="shared" si="27"/>
        <v>-4.5548782131876742E-4</v>
      </c>
      <c r="BK175" s="12">
        <f t="shared" si="28"/>
        <v>1.7899618613540946E-2</v>
      </c>
      <c r="BL175" s="5">
        <f t="shared" si="29"/>
        <v>6.5772219149530242E-2</v>
      </c>
      <c r="BM175" s="19">
        <f t="shared" si="20"/>
        <v>4.8471566767843699E-2</v>
      </c>
      <c r="BN175" s="19" t="s">
        <v>53</v>
      </c>
      <c r="BO175" s="19" t="s">
        <v>53</v>
      </c>
    </row>
    <row r="176" spans="1:67" x14ac:dyDescent="0.25">
      <c r="A176" s="1">
        <v>45356</v>
      </c>
      <c r="B176" s="1" t="str">
        <f t="shared" si="22"/>
        <v>202403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f>I175*(1+((1+VLOOKUP($B176,'IPCA Hist'!$B:$C,2,0))^12 - 1)+$I$2)^(1/252)</f>
        <v>203286577.77025944</v>
      </c>
      <c r="J176" s="2">
        <f>J175*(1+((1+VLOOKUP($B176,'IPCA Hist'!$B:$C,2,0))^12 - 1)+$J$2)^(1/252)</f>
        <v>129588354.0221613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f>Q175*(1+((1+VLOOKUP($B176,'IPCA Hist'!$B:$C,2,0))^12 - 1)+$Q$2)^(1/252)</f>
        <v>43913906.691274278</v>
      </c>
      <c r="R176" s="2">
        <f>R175*(1+((1+VLOOKUP($B176,'IPCA Hist'!$B:$C,2,0))^12 - 1)+$R$2)^(1/252)</f>
        <v>43897238.623694606</v>
      </c>
      <c r="S176" s="2">
        <f>S175*(1+((1+VLOOKUP($B176,'IPCA Hist'!$B:$C,2,0))^12 - 1)+$S$2)^(1/252)</f>
        <v>44913994.343856893</v>
      </c>
      <c r="T176" s="2">
        <f>T175*(1+((1+VLOOKUP($B176,'IPCA Hist'!$B:$C,2,0))^12 - 1)+$T$2)^(1/252)</f>
        <v>226857999.06191477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f>AF175*(1+((1+VLOOKUP($B176,'IGPM Hist'!$B:$C,2,0))^12 - 1)+$AF$2)^(1/252)</f>
        <v>1610680.4607434801</v>
      </c>
      <c r="AG176" s="2">
        <f>350000*VLOOKUP(A176,'CVRDA6 Hist'!$A:$B,2,0)</f>
        <v>11730617.5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f>BA175*(1+VLOOKUP(A176,'SELIC Hist'!$A:$C,3,0))^(1/252)</f>
        <v>36040779.287344493</v>
      </c>
      <c r="BB176" s="2">
        <f t="shared" si="21"/>
        <v>741840147.76124918</v>
      </c>
      <c r="BC176" s="2">
        <v>0</v>
      </c>
      <c r="BD176" s="2">
        <v>0</v>
      </c>
      <c r="BE176" s="2">
        <f t="shared" si="30"/>
        <v>777127.90321445465</v>
      </c>
      <c r="BF176" s="2">
        <f t="shared" si="23"/>
        <v>439428.90505850315</v>
      </c>
      <c r="BG176" s="2">
        <f t="shared" si="24"/>
        <v>13808614.683929682</v>
      </c>
      <c r="BH176" s="11">
        <f t="shared" si="25"/>
        <v>1.0668898586859499</v>
      </c>
      <c r="BI176" s="12">
        <f t="shared" si="26"/>
        <v>1.0486664189008899E-3</v>
      </c>
      <c r="BJ176" s="12">
        <f t="shared" si="27"/>
        <v>5.9270094279972874E-4</v>
      </c>
      <c r="BK176" s="12">
        <f t="shared" si="28"/>
        <v>1.8967055761393015E-2</v>
      </c>
      <c r="BL176" s="5">
        <f t="shared" si="29"/>
        <v>6.6889858685949877E-2</v>
      </c>
      <c r="BM176" s="19">
        <f t="shared" si="20"/>
        <v>4.9243775896253394E-2</v>
      </c>
      <c r="BN176" s="19" t="s">
        <v>53</v>
      </c>
      <c r="BO176" s="19" t="s">
        <v>53</v>
      </c>
    </row>
    <row r="177" spans="1:67" x14ac:dyDescent="0.25">
      <c r="A177" s="1">
        <v>45357</v>
      </c>
      <c r="B177" s="1" t="str">
        <f t="shared" si="22"/>
        <v>202403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f>I176*(1+((1+VLOOKUP($B177,'IPCA Hist'!$B:$C,2,0))^12 - 1)+$I$2)^(1/252)</f>
        <v>203345796.85562947</v>
      </c>
      <c r="J177" s="2">
        <f>J176*(1+((1+VLOOKUP($B177,'IPCA Hist'!$B:$C,2,0))^12 - 1)+$J$2)^(1/252)</f>
        <v>129623756.73843686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f>Q176*(1+((1+VLOOKUP($B177,'IPCA Hist'!$B:$C,2,0))^12 - 1)+$Q$2)^(1/252)</f>
        <v>43925871.146157846</v>
      </c>
      <c r="R177" s="2">
        <f>R176*(1+((1+VLOOKUP($B177,'IPCA Hist'!$B:$C,2,0))^12 - 1)+$R$2)^(1/252)</f>
        <v>43909214.804829113</v>
      </c>
      <c r="S177" s="2">
        <f>S176*(1+((1+VLOOKUP($B177,'IPCA Hist'!$B:$C,2,0))^12 - 1)+$S$2)^(1/252)</f>
        <v>44926048.085634738</v>
      </c>
      <c r="T177" s="2">
        <f>T176*(1+((1+VLOOKUP($B177,'IPCA Hist'!$B:$C,2,0))^12 - 1)+$T$2)^(1/252)</f>
        <v>226918797.65420797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f>AF176*(1+((1+VLOOKUP($B177,'IGPM Hist'!$B:$C,2,0))^12 - 1)+$AF$2)^(1/252)</f>
        <v>1610730.6789057399</v>
      </c>
      <c r="AG177" s="2">
        <f>350000*VLOOKUP(A177,'CVRDA6 Hist'!$A:$B,2,0)</f>
        <v>11908400.700000001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f>BA176*(1+VLOOKUP(A177,'SELIC Hist'!$A:$C,3,0))^(1/252)</f>
        <v>36055901.058634058</v>
      </c>
      <c r="BB177" s="2">
        <f t="shared" si="21"/>
        <v>742224517.72243583</v>
      </c>
      <c r="BC177" s="2">
        <v>0</v>
      </c>
      <c r="BD177" s="2">
        <v>0</v>
      </c>
      <c r="BE177" s="2">
        <f t="shared" si="30"/>
        <v>384369.96118664742</v>
      </c>
      <c r="BF177" s="2">
        <f t="shared" si="23"/>
        <v>823798.86624515057</v>
      </c>
      <c r="BG177" s="2">
        <f t="shared" si="24"/>
        <v>14192984.645116329</v>
      </c>
      <c r="BH177" s="11">
        <f t="shared" si="25"/>
        <v>1.0674426467964493</v>
      </c>
      <c r="BI177" s="12">
        <f t="shared" si="26"/>
        <v>5.1813043867543485E-4</v>
      </c>
      <c r="BJ177" s="12">
        <f t="shared" si="27"/>
        <v>1.1111384778745848E-3</v>
      </c>
      <c r="BK177" s="12">
        <f t="shared" si="28"/>
        <v>1.9495013608990419E-2</v>
      </c>
      <c r="BL177" s="5">
        <f t="shared" si="29"/>
        <v>6.744264679644929E-2</v>
      </c>
      <c r="BM177" s="19">
        <f t="shared" si="20"/>
        <v>4.9460063910742758E-2</v>
      </c>
      <c r="BN177" s="19" t="s">
        <v>53</v>
      </c>
      <c r="BO177" s="19" t="s">
        <v>53</v>
      </c>
    </row>
    <row r="178" spans="1:67" x14ac:dyDescent="0.25">
      <c r="A178" s="1">
        <v>45358</v>
      </c>
      <c r="B178" s="1" t="str">
        <f t="shared" si="22"/>
        <v>202403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f>I177*(1+((1+VLOOKUP($B178,'IPCA Hist'!$B:$C,2,0))^12 - 1)+$I$2)^(1/252)</f>
        <v>203405033.19201583</v>
      </c>
      <c r="J178" s="2">
        <f>J177*(1+((1+VLOOKUP($B178,'IPCA Hist'!$B:$C,2,0))^12 - 1)+$J$2)^(1/252)</f>
        <v>129659169.12650992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f>Q177*(1+((1+VLOOKUP($B178,'IPCA Hist'!$B:$C,2,0))^12 - 1)+$Q$2)^(1/252)</f>
        <v>43937838.860787392</v>
      </c>
      <c r="R178" s="2">
        <f>R177*(1+((1+VLOOKUP($B178,'IPCA Hist'!$B:$C,2,0))^12 - 1)+$R$2)^(1/252)</f>
        <v>43921194.253342591</v>
      </c>
      <c r="S178" s="2">
        <f>S177*(1+((1+VLOOKUP($B178,'IPCA Hist'!$B:$C,2,0))^12 - 1)+$S$2)^(1/252)</f>
        <v>44938105.062321723</v>
      </c>
      <c r="T178" s="2">
        <f>T177*(1+((1+VLOOKUP($B178,'IPCA Hist'!$B:$C,2,0))^12 - 1)+$T$2)^(1/252)</f>
        <v>226979612.54069775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f>AF177*(1+((1+VLOOKUP($B178,'IGPM Hist'!$B:$C,2,0))^12 - 1)+$AF$2)^(1/252)</f>
        <v>1610780.8986337129</v>
      </c>
      <c r="AG178" s="2">
        <f>350000*VLOOKUP(A178,'CVRDA6 Hist'!$A:$B,2,0)</f>
        <v>12156733.049999999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f>BA177*(1+VLOOKUP(A178,'SELIC Hist'!$A:$C,3,0))^(1/252)</f>
        <v>36071029.174624585</v>
      </c>
      <c r="BB178" s="2">
        <f t="shared" si="21"/>
        <v>742679496.1589334</v>
      </c>
      <c r="BC178" s="2">
        <v>0</v>
      </c>
      <c r="BD178" s="2">
        <v>0</v>
      </c>
      <c r="BE178" s="2">
        <f t="shared" si="30"/>
        <v>454978.43649756908</v>
      </c>
      <c r="BF178" s="2">
        <f t="shared" si="23"/>
        <v>1278777.3027427197</v>
      </c>
      <c r="BG178" s="2">
        <f t="shared" si="24"/>
        <v>14647963.081613898</v>
      </c>
      <c r="BH178" s="11">
        <f t="shared" si="25"/>
        <v>1.0680969816707278</v>
      </c>
      <c r="BI178" s="12">
        <f t="shared" si="26"/>
        <v>6.1299300364492382E-4</v>
      </c>
      <c r="BJ178" s="12">
        <f t="shared" si="27"/>
        <v>1.7248126016324861E-3</v>
      </c>
      <c r="BK178" s="12">
        <f t="shared" si="28"/>
        <v>2.011995691958357E-2</v>
      </c>
      <c r="BL178" s="5">
        <f t="shared" si="29"/>
        <v>6.8096981670727752E-2</v>
      </c>
      <c r="BM178" s="19">
        <f t="shared" si="20"/>
        <v>4.9761694520693789E-2</v>
      </c>
      <c r="BN178" s="19" t="s">
        <v>53</v>
      </c>
      <c r="BO178" s="19" t="s">
        <v>53</v>
      </c>
    </row>
    <row r="179" spans="1:67" x14ac:dyDescent="0.25">
      <c r="A179" s="1">
        <v>45359</v>
      </c>
      <c r="B179" s="1" t="str">
        <f t="shared" si="22"/>
        <v>202403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f>I178*(1+((1+VLOOKUP($B179,'IPCA Hist'!$B:$C,2,0))^12 - 1)+$I$2)^(1/252)</f>
        <v>203464286.78444389</v>
      </c>
      <c r="J179" s="2">
        <f>J178*(1+((1+VLOOKUP($B179,'IPCA Hist'!$B:$C,2,0))^12 - 1)+$J$2)^(1/252)</f>
        <v>129694591.18902276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f>Q178*(1+((1+VLOOKUP($B179,'IPCA Hist'!$B:$C,2,0))^12 - 1)+$Q$2)^(1/252)</f>
        <v>43949809.836051039</v>
      </c>
      <c r="R179" s="2">
        <f>R178*(1+((1+VLOOKUP($B179,'IPCA Hist'!$B:$C,2,0))^12 - 1)+$R$2)^(1/252)</f>
        <v>43933176.970126465</v>
      </c>
      <c r="S179" s="2">
        <f>S178*(1+((1+VLOOKUP($B179,'IPCA Hist'!$B:$C,2,0))^12 - 1)+$S$2)^(1/252)</f>
        <v>44950165.27478601</v>
      </c>
      <c r="T179" s="2">
        <f>T178*(1+((1+VLOOKUP($B179,'IPCA Hist'!$B:$C,2,0))^12 - 1)+$T$2)^(1/252)</f>
        <v>227040443.72575095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f>AF178*(1+((1+VLOOKUP($B179,'IGPM Hist'!$B:$C,2,0))^12 - 1)+$AF$2)^(1/252)</f>
        <v>1610831.119927448</v>
      </c>
      <c r="AG179" s="2">
        <f>350000*VLOOKUP(A179,'CVRDA6 Hist'!$A:$B,2,0)</f>
        <v>11665713.85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f>BA178*(1+VLOOKUP(A179,'SELIC Hist'!$A:$C,3,0))^(1/252)</f>
        <v>36086163.637978137</v>
      </c>
      <c r="BB179" s="2">
        <f t="shared" si="21"/>
        <v>742395182.38808656</v>
      </c>
      <c r="BC179" s="2">
        <v>0</v>
      </c>
      <c r="BD179" s="2">
        <v>0</v>
      </c>
      <c r="BE179" s="2">
        <f t="shared" si="30"/>
        <v>-284313.77084684372</v>
      </c>
      <c r="BF179" s="2">
        <f t="shared" si="23"/>
        <v>994463.53189587593</v>
      </c>
      <c r="BG179" s="2">
        <f t="shared" si="24"/>
        <v>14363649.310767055</v>
      </c>
      <c r="BH179" s="11">
        <f t="shared" si="25"/>
        <v>1.0676880910495923</v>
      </c>
      <c r="BI179" s="12">
        <f t="shared" si="26"/>
        <v>-3.8282162402136777E-4</v>
      </c>
      <c r="BJ179" s="12">
        <f t="shared" si="27"/>
        <v>1.3413306820497795E-3</v>
      </c>
      <c r="BK179" s="12">
        <f t="shared" si="28"/>
        <v>1.9729432940978953E-2</v>
      </c>
      <c r="BL179" s="5">
        <f t="shared" si="29"/>
        <v>6.7688091049592281E-2</v>
      </c>
      <c r="BM179" s="19">
        <f t="shared" si="20"/>
        <v>4.9018382338444022E-2</v>
      </c>
      <c r="BN179" s="19" t="s">
        <v>53</v>
      </c>
      <c r="BO179" s="19" t="s">
        <v>53</v>
      </c>
    </row>
    <row r="180" spans="1:67" x14ac:dyDescent="0.25">
      <c r="A180" s="1">
        <v>45362</v>
      </c>
      <c r="B180" s="1" t="str">
        <f t="shared" si="22"/>
        <v>202403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f>I179*(1+((1+VLOOKUP($B180,'IPCA Hist'!$B:$C,2,0))^12 - 1)+$I$2)^(1/252)</f>
        <v>203523557.63794047</v>
      </c>
      <c r="J180" s="2">
        <f>J179*(1+((1+VLOOKUP($B180,'IPCA Hist'!$B:$C,2,0))^12 - 1)+$J$2)^(1/252)</f>
        <v>129730022.92861839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f>Q179*(1+((1+VLOOKUP($B180,'IPCA Hist'!$B:$C,2,0))^12 - 1)+$Q$2)^(1/252)</f>
        <v>43961784.072837159</v>
      </c>
      <c r="R180" s="2">
        <f>R179*(1+((1+VLOOKUP($B180,'IPCA Hist'!$B:$C,2,0))^12 - 1)+$R$2)^(1/252)</f>
        <v>43945162.95607239</v>
      </c>
      <c r="S180" s="2">
        <f>S179*(1+((1+VLOOKUP($B180,'IPCA Hist'!$B:$C,2,0))^12 - 1)+$S$2)^(1/252)</f>
        <v>44962228.723896004</v>
      </c>
      <c r="T180" s="2">
        <f>T179*(1+((1+VLOOKUP($B180,'IPCA Hist'!$B:$C,2,0))^12 - 1)+$T$2)^(1/252)</f>
        <v>227101291.21373564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f>AF179*(1+((1+VLOOKUP($B180,'IGPM Hist'!$B:$C,2,0))^12 - 1)+$AF$2)^(1/252)</f>
        <v>1610881.3427869941</v>
      </c>
      <c r="AG180" s="2">
        <f>350000*VLOOKUP(A180,'CVRDA6 Hist'!$A:$B,2,0)</f>
        <v>11857223.700000001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f>BA179*(1+VLOOKUP(A180,'SELIC Hist'!$A:$C,3,0))^(1/252)</f>
        <v>36101304.451357909</v>
      </c>
      <c r="BB180" s="2">
        <f t="shared" si="21"/>
        <v>742793457.02724516</v>
      </c>
      <c r="BC180" s="2">
        <v>0</v>
      </c>
      <c r="BD180" s="2">
        <v>0</v>
      </c>
      <c r="BE180" s="2">
        <f t="shared" si="30"/>
        <v>398274.63915860653</v>
      </c>
      <c r="BF180" s="2">
        <f t="shared" si="23"/>
        <v>1392738.1710544825</v>
      </c>
      <c r="BG180" s="2">
        <f t="shared" si="24"/>
        <v>14761923.949925661</v>
      </c>
      <c r="BH180" s="11">
        <f t="shared" si="25"/>
        <v>1.068260876406077</v>
      </c>
      <c r="BI180" s="12">
        <f t="shared" si="26"/>
        <v>5.3647255344180245E-4</v>
      </c>
      <c r="BJ180" s="12">
        <f t="shared" si="27"/>
        <v>1.8785228225874917E-3</v>
      </c>
      <c r="BK180" s="12">
        <f t="shared" si="28"/>
        <v>2.0276489793688457E-2</v>
      </c>
      <c r="BL180" s="5">
        <f t="shared" si="29"/>
        <v>6.8260876406077031E-2</v>
      </c>
      <c r="BM180" s="19">
        <f t="shared" si="20"/>
        <v>4.9239637611845133E-2</v>
      </c>
      <c r="BN180" s="19" t="s">
        <v>53</v>
      </c>
      <c r="BO180" s="19" t="s">
        <v>53</v>
      </c>
    </row>
    <row r="181" spans="1:67" x14ac:dyDescent="0.25">
      <c r="A181" s="1">
        <v>45363</v>
      </c>
      <c r="B181" s="1" t="str">
        <f t="shared" si="22"/>
        <v>202403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f>I180*(1+((1+VLOOKUP($B181,'IPCA Hist'!$B:$C,2,0))^12 - 1)+$I$2)^(1/252)</f>
        <v>203582845.75753385</v>
      </c>
      <c r="J181" s="2">
        <f>J180*(1+((1+VLOOKUP($B181,'IPCA Hist'!$B:$C,2,0))^12 - 1)+$J$2)^(1/252)</f>
        <v>129765464.3479405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f>Q180*(1+((1+VLOOKUP($B181,'IPCA Hist'!$B:$C,2,0))^12 - 1)+$Q$2)^(1/252)</f>
        <v>43973761.572034359</v>
      </c>
      <c r="R181" s="2">
        <f>R180*(1+((1+VLOOKUP($B181,'IPCA Hist'!$B:$C,2,0))^12 - 1)+$R$2)^(1/252)</f>
        <v>43957152.212072268</v>
      </c>
      <c r="S181" s="2">
        <f>S180*(1+((1+VLOOKUP($B181,'IPCA Hist'!$B:$C,2,0))^12 - 1)+$S$2)^(1/252)</f>
        <v>44974295.41052033</v>
      </c>
      <c r="T181" s="2">
        <f>T180*(1+((1+VLOOKUP($B181,'IPCA Hist'!$B:$C,2,0))^12 - 1)+$T$2)^(1/252)</f>
        <v>227162155.00902107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f>AF180*(1+((1+VLOOKUP($B181,'IGPM Hist'!$B:$C,2,0))^12 - 1)+$AF$2)^(1/252)</f>
        <v>1610931.5672123998</v>
      </c>
      <c r="AG181" s="2">
        <f>350000*VLOOKUP(A181,'CVRDA6 Hist'!$A:$B,2,0)</f>
        <v>11596915.4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f>BA180*(1+VLOOKUP(A181,'SELIC Hist'!$A:$C,3,0))^(1/252)</f>
        <v>36116451.617428206</v>
      </c>
      <c r="BB181" s="2">
        <f t="shared" si="21"/>
        <v>742739972.89376283</v>
      </c>
      <c r="BC181" s="2">
        <v>0</v>
      </c>
      <c r="BD181" s="2">
        <v>0</v>
      </c>
      <c r="BE181" s="2">
        <f t="shared" si="30"/>
        <v>-53484.133482336998</v>
      </c>
      <c r="BF181" s="2">
        <f t="shared" si="23"/>
        <v>1339254.0375721455</v>
      </c>
      <c r="BG181" s="2">
        <f t="shared" si="24"/>
        <v>14708439.816443324</v>
      </c>
      <c r="BH181" s="11">
        <f t="shared" si="25"/>
        <v>1.0681839573018939</v>
      </c>
      <c r="BI181" s="12">
        <f t="shared" si="26"/>
        <v>-7.2004044968765335E-5</v>
      </c>
      <c r="BJ181" s="12">
        <f t="shared" si="27"/>
        <v>1.8063835163768527E-3</v>
      </c>
      <c r="BK181" s="12">
        <f t="shared" si="28"/>
        <v>2.0203025759436777E-2</v>
      </c>
      <c r="BL181" s="5">
        <f t="shared" si="29"/>
        <v>6.8183957301893861E-2</v>
      </c>
      <c r="BM181" s="19">
        <f t="shared" si="20"/>
        <v>4.8822707946973187E-2</v>
      </c>
      <c r="BN181" s="19" t="s">
        <v>53</v>
      </c>
      <c r="BO181" s="19" t="s">
        <v>53</v>
      </c>
    </row>
    <row r="182" spans="1:67" x14ac:dyDescent="0.25">
      <c r="A182" s="1">
        <v>45364</v>
      </c>
      <c r="B182" s="1" t="str">
        <f t="shared" si="22"/>
        <v>202403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f>I181*(1+((1+VLOOKUP($B182,'IPCA Hist'!$B:$C,2,0))^12 - 1)+$I$2)^(1/252)</f>
        <v>203642151.1482538</v>
      </c>
      <c r="J182" s="2">
        <f>J181*(1+((1+VLOOKUP($B182,'IPCA Hist'!$B:$C,2,0))^12 - 1)+$J$2)^(1/252)</f>
        <v>129800915.44963355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f>Q181*(1+((1+VLOOKUP($B182,'IPCA Hist'!$B:$C,2,0))^12 - 1)+$Q$2)^(1/252)</f>
        <v>43985742.334531493</v>
      </c>
      <c r="R182" s="2">
        <f>R181*(1+((1+VLOOKUP($B182,'IPCA Hist'!$B:$C,2,0))^12 - 1)+$R$2)^(1/252)</f>
        <v>43969144.739018247</v>
      </c>
      <c r="S182" s="2">
        <f>S181*(1+((1+VLOOKUP($B182,'IPCA Hist'!$B:$C,2,0))^12 - 1)+$S$2)^(1/252)</f>
        <v>44986365.33552786</v>
      </c>
      <c r="T182" s="2">
        <f>T181*(1+((1+VLOOKUP($B182,'IPCA Hist'!$B:$C,2,0))^12 - 1)+$T$2)^(1/252)</f>
        <v>227223035.11597764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f>AF181*(1+((1+VLOOKUP($B182,'IGPM Hist'!$B:$C,2,0))^12 - 1)+$AF$2)^(1/252)</f>
        <v>1610981.7932037143</v>
      </c>
      <c r="AG182" s="2">
        <f>350000*VLOOKUP(A182,'CVRDA6 Hist'!$A:$B,2,0)</f>
        <v>11884769.049999999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f>BA181*(1+VLOOKUP(A182,'SELIC Hist'!$A:$C,3,0))^(1/252)</f>
        <v>36131605.138854451</v>
      </c>
      <c r="BB182" s="2">
        <f t="shared" si="21"/>
        <v>743234710.10500073</v>
      </c>
      <c r="BC182" s="2">
        <v>0</v>
      </c>
      <c r="BD182" s="2">
        <v>0</v>
      </c>
      <c r="BE182" s="2">
        <f t="shared" si="30"/>
        <v>494737.21123790741</v>
      </c>
      <c r="BF182" s="2">
        <f t="shared" si="23"/>
        <v>1833991.2488100529</v>
      </c>
      <c r="BG182" s="2">
        <f t="shared" si="24"/>
        <v>15203177.027681231</v>
      </c>
      <c r="BH182" s="11">
        <f t="shared" si="25"/>
        <v>1.0688954719253303</v>
      </c>
      <c r="BI182" s="12">
        <f t="shared" si="26"/>
        <v>6.6609746249479684E-4</v>
      </c>
      <c r="BJ182" s="12">
        <f t="shared" si="27"/>
        <v>2.4736842063481923E-3</v>
      </c>
      <c r="BK182" s="12">
        <f t="shared" si="28"/>
        <v>2.0882580406124562E-2</v>
      </c>
      <c r="BL182" s="5">
        <f t="shared" si="29"/>
        <v>6.8895471925330298E-2</v>
      </c>
      <c r="BM182" s="19">
        <f t="shared" si="20"/>
        <v>4.9179828109687795E-2</v>
      </c>
      <c r="BN182" s="19" t="s">
        <v>53</v>
      </c>
      <c r="BO182" s="19" t="s">
        <v>53</v>
      </c>
    </row>
    <row r="183" spans="1:67" x14ac:dyDescent="0.25">
      <c r="A183" s="1">
        <v>45365</v>
      </c>
      <c r="B183" s="1" t="str">
        <f t="shared" si="22"/>
        <v>202403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f>I182*(1+((1+VLOOKUP($B183,'IPCA Hist'!$B:$C,2,0))^12 - 1)+$I$2)^(1/252)</f>
        <v>203701473.81513155</v>
      </c>
      <c r="J183" s="2">
        <f>J182*(1+((1+VLOOKUP($B183,'IPCA Hist'!$B:$C,2,0))^12 - 1)+$J$2)^(1/252)</f>
        <v>129836376.23634271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f>Q182*(1+((1+VLOOKUP($B183,'IPCA Hist'!$B:$C,2,0))^12 - 1)+$Q$2)^(1/252)</f>
        <v>43997726.361217655</v>
      </c>
      <c r="R183" s="2">
        <f>R182*(1+((1+VLOOKUP($B183,'IPCA Hist'!$B:$C,2,0))^12 - 1)+$R$2)^(1/252)</f>
        <v>43981140.537802719</v>
      </c>
      <c r="S183" s="2">
        <f>S182*(1+((1+VLOOKUP($B183,'IPCA Hist'!$B:$C,2,0))^12 - 1)+$S$2)^(1/252)</f>
        <v>44998438.499787681</v>
      </c>
      <c r="T183" s="2">
        <f>T182*(1+((1+VLOOKUP($B183,'IPCA Hist'!$B:$C,2,0))^12 - 1)+$T$2)^(1/252)</f>
        <v>227283931.53897691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f>AF182*(1+((1+VLOOKUP($B183,'IGPM Hist'!$B:$C,2,0))^12 - 1)+$AF$2)^(1/252)</f>
        <v>1611032.020760986</v>
      </c>
      <c r="AG183" s="2">
        <f>350000*VLOOKUP(A183,'CVRDA6 Hist'!$A:$B,2,0)</f>
        <v>11961350.800000001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f>BA182*(1+VLOOKUP(A183,'SELIC Hist'!$A:$C,3,0))^(1/252)</f>
        <v>36146765.018303186</v>
      </c>
      <c r="BB183" s="2">
        <f t="shared" si="21"/>
        <v>743518234.82832336</v>
      </c>
      <c r="BC183" s="2">
        <v>0</v>
      </c>
      <c r="BD183" s="2">
        <v>0</v>
      </c>
      <c r="BE183" s="2">
        <f t="shared" si="30"/>
        <v>283524.72332262993</v>
      </c>
      <c r="BF183" s="2">
        <f t="shared" si="23"/>
        <v>2117515.9721326828</v>
      </c>
      <c r="BG183" s="2">
        <f t="shared" si="24"/>
        <v>15486701.751003861</v>
      </c>
      <c r="BH183" s="11">
        <f t="shared" si="25"/>
        <v>1.0693032277645262</v>
      </c>
      <c r="BI183" s="12">
        <f t="shared" si="26"/>
        <v>3.8147400742705173E-4</v>
      </c>
      <c r="BJ183" s="12">
        <f t="shared" si="27"/>
        <v>2.8561018600026244E-3</v>
      </c>
      <c r="BK183" s="12">
        <f t="shared" si="28"/>
        <v>2.1272020575184625E-2</v>
      </c>
      <c r="BL183" s="5">
        <f t="shared" si="29"/>
        <v>6.9303227764526243E-2</v>
      </c>
      <c r="BM183" s="19">
        <f t="shared" si="20"/>
        <v>4.9238544273516149E-2</v>
      </c>
      <c r="BN183" s="19" t="s">
        <v>53</v>
      </c>
      <c r="BO183" s="19" t="s">
        <v>53</v>
      </c>
    </row>
    <row r="184" spans="1:67" x14ac:dyDescent="0.25">
      <c r="A184" s="1">
        <v>45366</v>
      </c>
      <c r="B184" s="1" t="str">
        <f t="shared" si="22"/>
        <v>202403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f>I183*(1+((1+VLOOKUP($B184,'IPCA Hist'!$B:$C,2,0))^12 - 1)+$I$2)^(1/252)</f>
        <v>203760813.76319981</v>
      </c>
      <c r="J184" s="2">
        <f>J183*(1+((1+VLOOKUP($B184,'IPCA Hist'!$B:$C,2,0))^12 - 1)+$J$2)^(1/252)</f>
        <v>129871846.71071385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f>Q183*(1+((1+VLOOKUP($B184,'IPCA Hist'!$B:$C,2,0))^12 - 1)+$Q$2)^(1/252)</f>
        <v>44009713.652982183</v>
      </c>
      <c r="R184" s="2">
        <f>R183*(1+((1+VLOOKUP($B184,'IPCA Hist'!$B:$C,2,0))^12 - 1)+$R$2)^(1/252)</f>
        <v>43993139.609318316</v>
      </c>
      <c r="S184" s="2">
        <f>S183*(1+((1+VLOOKUP($B184,'IPCA Hist'!$B:$C,2,0))^12 - 1)+$S$2)^(1/252)</f>
        <v>45010514.904169135</v>
      </c>
      <c r="T184" s="2">
        <f>T183*(1+((1+VLOOKUP($B184,'IPCA Hist'!$B:$C,2,0))^12 - 1)+$T$2)^(1/252)</f>
        <v>227344844.28239164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f>AF183*(1+((1+VLOOKUP($B184,'IGPM Hist'!$B:$C,2,0))^12 - 1)+$AF$2)^(1/252)</f>
        <v>1611082.2498842641</v>
      </c>
      <c r="AG184" s="2">
        <f>350000*VLOOKUP(A184,'CVRDA6 Hist'!$A:$B,2,0)</f>
        <v>11543111.299999999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f>BA183*(1+VLOOKUP(A184,'SELIC Hist'!$A:$C,3,0))^(1/252)</f>
        <v>36161931.258442067</v>
      </c>
      <c r="BB184" s="2">
        <f t="shared" si="21"/>
        <v>743306997.73110116</v>
      </c>
      <c r="BC184" s="2">
        <v>0</v>
      </c>
      <c r="BD184" s="2">
        <v>0</v>
      </c>
      <c r="BE184" s="2">
        <f t="shared" si="30"/>
        <v>-211237.09722220898</v>
      </c>
      <c r="BF184" s="2">
        <f t="shared" si="23"/>
        <v>1906278.8749104738</v>
      </c>
      <c r="BG184" s="2">
        <f t="shared" si="24"/>
        <v>15275464.653781652</v>
      </c>
      <c r="BH184" s="11">
        <f t="shared" si="25"/>
        <v>1.068999433587998</v>
      </c>
      <c r="BI184" s="12">
        <f t="shared" si="26"/>
        <v>-2.8410479706808545E-4</v>
      </c>
      <c r="BJ184" s="12">
        <f t="shared" si="27"/>
        <v>2.5711856306951386E-3</v>
      </c>
      <c r="BK184" s="12">
        <f t="shared" si="28"/>
        <v>2.0981872295027904E-2</v>
      </c>
      <c r="BL184" s="5">
        <f t="shared" si="29"/>
        <v>6.8999433587997983E-2</v>
      </c>
      <c r="BM184" s="19">
        <f t="shared" si="20"/>
        <v>4.8599138445750478E-2</v>
      </c>
      <c r="BN184" s="19" t="s">
        <v>53</v>
      </c>
      <c r="BO184" s="19" t="s">
        <v>53</v>
      </c>
    </row>
    <row r="185" spans="1:67" x14ac:dyDescent="0.25">
      <c r="A185" s="1">
        <v>45369</v>
      </c>
      <c r="B185" s="1" t="str">
        <f t="shared" si="22"/>
        <v>202403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f>I184*(1+((1+VLOOKUP($B185,'IPCA Hist'!$B:$C,2,0))^12 - 1)+$I$2)^(1/252)</f>
        <v>203820170.9974927</v>
      </c>
      <c r="J185" s="2">
        <f>J184*(1+((1+VLOOKUP($B185,'IPCA Hist'!$B:$C,2,0))^12 - 1)+$J$2)^(1/252)</f>
        <v>129907326.87539358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f>Q184*(1+((1+VLOOKUP($B185,'IPCA Hist'!$B:$C,2,0))^12 - 1)+$Q$2)^(1/252)</f>
        <v>44021704.210714653</v>
      </c>
      <c r="R185" s="2">
        <f>R184*(1+((1+VLOOKUP($B185,'IPCA Hist'!$B:$C,2,0))^12 - 1)+$R$2)^(1/252)</f>
        <v>44005141.954457909</v>
      </c>
      <c r="S185" s="2">
        <f>S184*(1+((1+VLOOKUP($B185,'IPCA Hist'!$B:$C,2,0))^12 - 1)+$S$2)^(1/252)</f>
        <v>45022594.549541779</v>
      </c>
      <c r="T185" s="2">
        <f>T184*(1+((1+VLOOKUP($B185,'IPCA Hist'!$B:$C,2,0))^12 - 1)+$T$2)^(1/252)</f>
        <v>227405773.35059574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f>AF184*(1+((1+VLOOKUP($B185,'IGPM Hist'!$B:$C,2,0))^12 - 1)+$AF$2)^(1/252)</f>
        <v>1611132.4805735971</v>
      </c>
      <c r="AG185" s="2">
        <f>350000*VLOOKUP(A185,'CVRDA6 Hist'!$A:$B,2,0)</f>
        <v>11484536.35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f>BA184*(1+VLOOKUP(A185,'SELIC Hist'!$A:$C,3,0))^(1/252)</f>
        <v>36177103.861939877</v>
      </c>
      <c r="BB185" s="2">
        <f t="shared" si="21"/>
        <v>743455484.63071001</v>
      </c>
      <c r="BC185" s="2">
        <v>0</v>
      </c>
      <c r="BD185" s="2">
        <v>0</v>
      </c>
      <c r="BE185" s="2">
        <f t="shared" si="30"/>
        <v>148486.89960885048</v>
      </c>
      <c r="BF185" s="2">
        <f t="shared" si="23"/>
        <v>2054765.7745193243</v>
      </c>
      <c r="BG185" s="2">
        <f t="shared" si="24"/>
        <v>15423951.553390503</v>
      </c>
      <c r="BH185" s="11">
        <f t="shared" si="25"/>
        <v>1.0692129825147021</v>
      </c>
      <c r="BI185" s="12">
        <f t="shared" si="26"/>
        <v>1.9976523840359306E-4</v>
      </c>
      <c r="BJ185" s="12">
        <f t="shared" si="27"/>
        <v>2.7714645026091222E-3</v>
      </c>
      <c r="BK185" s="12">
        <f t="shared" si="28"/>
        <v>2.118582898215271E-2</v>
      </c>
      <c r="BL185" s="5">
        <f t="shared" si="29"/>
        <v>6.9212982514702093E-2</v>
      </c>
      <c r="BM185" s="19">
        <f t="shared" si="20"/>
        <v>4.8467341301836608E-2</v>
      </c>
      <c r="BN185" s="19" t="s">
        <v>53</v>
      </c>
      <c r="BO185" s="19" t="s">
        <v>53</v>
      </c>
    </row>
    <row r="186" spans="1:67" x14ac:dyDescent="0.25">
      <c r="A186" s="1">
        <v>45370</v>
      </c>
      <c r="B186" s="1" t="str">
        <f t="shared" si="22"/>
        <v>202403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f>I185*(1+((1+VLOOKUP($B186,'IPCA Hist'!$B:$C,2,0))^12 - 1)+$I$2)^(1/252)</f>
        <v>203879545.52304587</v>
      </c>
      <c r="J186" s="2">
        <f>J185*(1+((1+VLOOKUP($B186,'IPCA Hist'!$B:$C,2,0))^12 - 1)+$J$2)^(1/252)</f>
        <v>129942816.73302923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f>Q185*(1+((1+VLOOKUP($B186,'IPCA Hist'!$B:$C,2,0))^12 - 1)+$Q$2)^(1/252)</f>
        <v>44033698.035304882</v>
      </c>
      <c r="R186" s="2">
        <f>R185*(1+((1+VLOOKUP($B186,'IPCA Hist'!$B:$C,2,0))^12 - 1)+$R$2)^(1/252)</f>
        <v>44017147.574114621</v>
      </c>
      <c r="S186" s="2">
        <f>S185*(1+((1+VLOOKUP($B186,'IPCA Hist'!$B:$C,2,0))^12 - 1)+$S$2)^(1/252)</f>
        <v>45034677.436775409</v>
      </c>
      <c r="T186" s="2">
        <f>T185*(1+((1+VLOOKUP($B186,'IPCA Hist'!$B:$C,2,0))^12 - 1)+$T$2)^(1/252)</f>
        <v>227466718.74796432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f>AF185*(1+((1+VLOOKUP($B186,'IGPM Hist'!$B:$C,2,0))^12 - 1)+$AF$2)^(1/252)</f>
        <v>1611182.7128290341</v>
      </c>
      <c r="AG186" s="2">
        <f>350000*VLOOKUP(A186,'CVRDA6 Hist'!$A:$B,2,0)</f>
        <v>11752746.6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f>BA185*(1+VLOOKUP(A186,'SELIC Hist'!$A:$C,3,0))^(1/252)</f>
        <v>36192282.831466518</v>
      </c>
      <c r="BB186" s="2">
        <f t="shared" si="21"/>
        <v>743930816.19452989</v>
      </c>
      <c r="BC186" s="2">
        <v>0</v>
      </c>
      <c r="BD186" s="2">
        <v>0</v>
      </c>
      <c r="BE186" s="2">
        <f t="shared" si="30"/>
        <v>475331.56381988525</v>
      </c>
      <c r="BF186" s="2">
        <f t="shared" si="23"/>
        <v>2530097.3383392096</v>
      </c>
      <c r="BG186" s="2">
        <f t="shared" si="24"/>
        <v>15899283.117210388</v>
      </c>
      <c r="BH186" s="11">
        <f t="shared" si="25"/>
        <v>1.0698965885806224</v>
      </c>
      <c r="BI186" s="12">
        <f t="shared" si="26"/>
        <v>6.3935443835760886E-4</v>
      </c>
      <c r="BJ186" s="12">
        <f t="shared" si="27"/>
        <v>3.4125908890971779E-3</v>
      </c>
      <c r="BK186" s="12">
        <f t="shared" si="28"/>
        <v>2.1838728674300256E-2</v>
      </c>
      <c r="BL186" s="5">
        <f t="shared" si="29"/>
        <v>6.9896588580622421E-2</v>
      </c>
      <c r="BM186" s="19">
        <f t="shared" si="20"/>
        <v>4.8796304096888843E-2</v>
      </c>
      <c r="BN186" s="19" t="s">
        <v>53</v>
      </c>
      <c r="BO186" s="19" t="s">
        <v>53</v>
      </c>
    </row>
    <row r="187" spans="1:67" x14ac:dyDescent="0.25">
      <c r="A187" s="1">
        <v>45371</v>
      </c>
      <c r="B187" s="1" t="str">
        <f t="shared" si="22"/>
        <v>202403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f>I186*(1+((1+VLOOKUP($B187,'IPCA Hist'!$B:$C,2,0))^12 - 1)+$I$2)^(1/252)</f>
        <v>203938937.34489638</v>
      </c>
      <c r="J187" s="2">
        <f>J186*(1+((1+VLOOKUP($B187,'IPCA Hist'!$B:$C,2,0))^12 - 1)+$J$2)^(1/252)</f>
        <v>129978316.28626886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f>Q186*(1+((1+VLOOKUP($B187,'IPCA Hist'!$B:$C,2,0))^12 - 1)+$Q$2)^(1/252)</f>
        <v>44045695.127642944</v>
      </c>
      <c r="R187" s="2">
        <f>R186*(1+((1+VLOOKUP($B187,'IPCA Hist'!$B:$C,2,0))^12 - 1)+$R$2)^(1/252)</f>
        <v>44029156.469181821</v>
      </c>
      <c r="S187" s="2">
        <f>S186*(1+((1+VLOOKUP($B187,'IPCA Hist'!$B:$C,2,0))^12 - 1)+$S$2)^(1/252)</f>
        <v>45046763.566740058</v>
      </c>
      <c r="T187" s="2">
        <f>T186*(1+((1+VLOOKUP($B187,'IPCA Hist'!$B:$C,2,0))^12 - 1)+$T$2)^(1/252)</f>
        <v>227527680.47887361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f>AF186*(1+((1+VLOOKUP($B187,'IGPM Hist'!$B:$C,2,0))^12 - 1)+$AF$2)^(1/252)</f>
        <v>1611232.9466506238</v>
      </c>
      <c r="AG187" s="2">
        <f>350000*VLOOKUP(A187,'CVRDA6 Hist'!$A:$B,2,0)</f>
        <v>11695608.4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f>BA186*(1+VLOOKUP(A187,'SELIC Hist'!$A:$C,3,0))^(1/252)</f>
        <v>36206820.381652743</v>
      </c>
      <c r="BB187" s="2">
        <f t="shared" si="21"/>
        <v>744080211.00190699</v>
      </c>
      <c r="BC187" s="2">
        <v>0</v>
      </c>
      <c r="BD187" s="2">
        <v>0</v>
      </c>
      <c r="BE187" s="2">
        <f t="shared" si="30"/>
        <v>149394.80737709999</v>
      </c>
      <c r="BF187" s="2">
        <f t="shared" si="23"/>
        <v>2679492.1457163095</v>
      </c>
      <c r="BG187" s="2">
        <f t="shared" si="24"/>
        <v>16048677.924587488</v>
      </c>
      <c r="BH187" s="11">
        <f t="shared" si="25"/>
        <v>1.0701114432301206</v>
      </c>
      <c r="BI187" s="12">
        <f t="shared" si="26"/>
        <v>2.0081814615680038E-4</v>
      </c>
      <c r="BJ187" s="12">
        <f t="shared" si="27"/>
        <v>3.614094345429919E-3</v>
      </c>
      <c r="BK187" s="12">
        <f t="shared" si="28"/>
        <v>2.2043932433463809E-2</v>
      </c>
      <c r="BL187" s="5">
        <f t="shared" si="29"/>
        <v>7.011144323012064E-2</v>
      </c>
      <c r="BM187" s="19">
        <f t="shared" si="20"/>
        <v>4.8665582945949915E-2</v>
      </c>
      <c r="BN187" s="19" t="s">
        <v>53</v>
      </c>
      <c r="BO187" s="19" t="s">
        <v>53</v>
      </c>
    </row>
    <row r="188" spans="1:67" x14ac:dyDescent="0.25">
      <c r="A188" s="1">
        <v>45372</v>
      </c>
      <c r="B188" s="1" t="str">
        <f t="shared" si="22"/>
        <v>202403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f>I187*(1+((1+VLOOKUP($B188,'IPCA Hist'!$B:$C,2,0))^12 - 1)+$I$2)^(1/252)</f>
        <v>203998346.46808282</v>
      </c>
      <c r="J188" s="2">
        <f>J187*(1+((1+VLOOKUP($B188,'IPCA Hist'!$B:$C,2,0))^12 - 1)+$J$2)^(1/252)</f>
        <v>130013825.53776124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f>Q187*(1+((1+VLOOKUP($B188,'IPCA Hist'!$B:$C,2,0))^12 - 1)+$Q$2)^(1/252)</f>
        <v>44057695.488619134</v>
      </c>
      <c r="R188" s="2">
        <f>R187*(1+((1+VLOOKUP($B188,'IPCA Hist'!$B:$C,2,0))^12 - 1)+$R$2)^(1/252)</f>
        <v>44041168.640553117</v>
      </c>
      <c r="S188" s="2">
        <f>S187*(1+((1+VLOOKUP($B188,'IPCA Hist'!$B:$C,2,0))^12 - 1)+$S$2)^(1/252)</f>
        <v>45058852.940305993</v>
      </c>
      <c r="T188" s="2">
        <f>T187*(1+((1+VLOOKUP($B188,'IPCA Hist'!$B:$C,2,0))^12 - 1)+$T$2)^(1/252)</f>
        <v>227588658.54770106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f>AF187*(1+((1+VLOOKUP($B188,'IGPM Hist'!$B:$C,2,0))^12 - 1)+$AF$2)^(1/252)</f>
        <v>1611283.182038415</v>
      </c>
      <c r="AG188" s="2">
        <f>350000*VLOOKUP(A188,'CVRDA6 Hist'!$A:$B,2,0)</f>
        <v>11709271.35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f>BA187*(1+VLOOKUP(A188,'SELIC Hist'!$A:$C,3,0))^(1/252)</f>
        <v>36221363.771215461</v>
      </c>
      <c r="BB188" s="2">
        <f t="shared" si="21"/>
        <v>744300465.92627728</v>
      </c>
      <c r="BC188" s="2">
        <v>0</v>
      </c>
      <c r="BD188" s="2">
        <v>0</v>
      </c>
      <c r="BE188" s="2">
        <f t="shared" si="30"/>
        <v>220254.92437028885</v>
      </c>
      <c r="BF188" s="2">
        <f t="shared" si="23"/>
        <v>2899747.0700865984</v>
      </c>
      <c r="BG188" s="2">
        <f t="shared" si="24"/>
        <v>16268932.848957777</v>
      </c>
      <c r="BH188" s="11">
        <f t="shared" si="25"/>
        <v>1.0704282065461064</v>
      </c>
      <c r="BI188" s="12">
        <f t="shared" si="26"/>
        <v>2.9600965206921792E-4</v>
      </c>
      <c r="BJ188" s="12">
        <f t="shared" si="27"/>
        <v>3.9111738043089428E-3</v>
      </c>
      <c r="BK188" s="12">
        <f t="shared" si="28"/>
        <v>2.234646730230283E-2</v>
      </c>
      <c r="BL188" s="5">
        <f t="shared" si="29"/>
        <v>7.0428206546106376E-2</v>
      </c>
      <c r="BM188" s="19">
        <f t="shared" si="20"/>
        <v>4.8634668085789201E-2</v>
      </c>
      <c r="BN188" s="19" t="s">
        <v>53</v>
      </c>
      <c r="BO188" s="19" t="s">
        <v>53</v>
      </c>
    </row>
    <row r="189" spans="1:67" x14ac:dyDescent="0.25">
      <c r="A189" s="1">
        <v>45373</v>
      </c>
      <c r="B189" s="1" t="str">
        <f t="shared" si="22"/>
        <v>202403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f>I188*(1+((1+VLOOKUP($B189,'IPCA Hist'!$B:$C,2,0))^12 - 1)+$I$2)^(1/252)</f>
        <v>204057772.89764518</v>
      </c>
      <c r="J189" s="2">
        <f>J188*(1+((1+VLOOKUP($B189,'IPCA Hist'!$B:$C,2,0))^12 - 1)+$J$2)^(1/252)</f>
        <v>130049344.49015588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f>Q188*(1+((1+VLOOKUP($B189,'IPCA Hist'!$B:$C,2,0))^12 - 1)+$Q$2)^(1/252)</f>
        <v>44069699.11912401</v>
      </c>
      <c r="R189" s="2">
        <f>R188*(1+((1+VLOOKUP($B189,'IPCA Hist'!$B:$C,2,0))^12 - 1)+$R$2)^(1/252)</f>
        <v>44053184.089122355</v>
      </c>
      <c r="S189" s="2">
        <f>S188*(1+((1+VLOOKUP($B189,'IPCA Hist'!$B:$C,2,0))^12 - 1)+$S$2)^(1/252)</f>
        <v>45070945.558343709</v>
      </c>
      <c r="T189" s="2">
        <f>T188*(1+((1+VLOOKUP($B189,'IPCA Hist'!$B:$C,2,0))^12 - 1)+$T$2)^(1/252)</f>
        <v>227649652.95882529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f>AF188*(1+((1+VLOOKUP($B189,'IGPM Hist'!$B:$C,2,0))^12 - 1)+$AF$2)^(1/252)</f>
        <v>1611333.4189924565</v>
      </c>
      <c r="AG189" s="2">
        <f>350000*VLOOKUP(A189,'CVRDA6 Hist'!$A:$B,2,0)</f>
        <v>11762587.9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f>BA188*(1+VLOOKUP(A189,'SELIC Hist'!$A:$C,3,0))^(1/252)</f>
        <v>36235913.002500199</v>
      </c>
      <c r="BB189" s="2">
        <f t="shared" si="21"/>
        <v>744560433.43470895</v>
      </c>
      <c r="BC189" s="2">
        <v>0</v>
      </c>
      <c r="BD189" s="2">
        <v>0</v>
      </c>
      <c r="BE189" s="2">
        <f t="shared" si="30"/>
        <v>259967.50843167305</v>
      </c>
      <c r="BF189" s="2">
        <f t="shared" si="23"/>
        <v>3159714.5785182714</v>
      </c>
      <c r="BG189" s="2">
        <f t="shared" si="24"/>
        <v>16528900.35738945</v>
      </c>
      <c r="BH189" s="11">
        <f t="shared" si="25"/>
        <v>1.0708020831813501</v>
      </c>
      <c r="BI189" s="12">
        <f t="shared" si="26"/>
        <v>3.4927763763814568E-4</v>
      </c>
      <c r="BJ189" s="12">
        <f t="shared" si="27"/>
        <v>4.261817527493772E-3</v>
      </c>
      <c r="BK189" s="12">
        <f t="shared" si="28"/>
        <v>2.27035500612498E-2</v>
      </c>
      <c r="BL189" s="5">
        <f t="shared" si="29"/>
        <v>7.0802083181350062E-2</v>
      </c>
      <c r="BM189" s="19">
        <f t="shared" si="20"/>
        <v>4.8659593040757176E-2</v>
      </c>
      <c r="BN189" s="19" t="s">
        <v>53</v>
      </c>
      <c r="BO189" s="19" t="s">
        <v>53</v>
      </c>
    </row>
    <row r="190" spans="1:67" x14ac:dyDescent="0.25">
      <c r="A190" s="1">
        <v>45376</v>
      </c>
      <c r="B190" s="1" t="str">
        <f t="shared" si="22"/>
        <v>202403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f>I189*(1+((1+VLOOKUP($B190,'IPCA Hist'!$B:$C,2,0))^12 - 1)+$I$2)^(1/252)</f>
        <v>204117216.63862497</v>
      </c>
      <c r="J190" s="2">
        <f>J189*(1+((1+VLOOKUP($B190,'IPCA Hist'!$B:$C,2,0))^12 - 1)+$J$2)^(1/252)</f>
        <v>130084873.14610299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f>Q189*(1+((1+VLOOKUP($B190,'IPCA Hist'!$B:$C,2,0))^12 - 1)+$Q$2)^(1/252)</f>
        <v>44081706.020048358</v>
      </c>
      <c r="R190" s="2">
        <f>R189*(1+((1+VLOOKUP($B190,'IPCA Hist'!$B:$C,2,0))^12 - 1)+$R$2)^(1/252)</f>
        <v>44065202.815783627</v>
      </c>
      <c r="S190" s="2">
        <f>S189*(1+((1+VLOOKUP($B190,'IPCA Hist'!$B:$C,2,0))^12 - 1)+$S$2)^(1/252)</f>
        <v>45083041.421723932</v>
      </c>
      <c r="T190" s="2">
        <f>T189*(1+((1+VLOOKUP($B190,'IPCA Hist'!$B:$C,2,0))^12 - 1)+$T$2)^(1/252)</f>
        <v>227710663.71662608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f>AF189*(1+((1+VLOOKUP($B190,'IGPM Hist'!$B:$C,2,0))^12 - 1)+$AF$2)^(1/252)</f>
        <v>1611383.6575127973</v>
      </c>
      <c r="AG190" s="2">
        <f>350000*VLOOKUP(A190,'CVRDA6 Hist'!$A:$B,2,0)</f>
        <v>11822768.300000001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f>BA189*(1+VLOOKUP(A190,'SELIC Hist'!$A:$C,3,0))^(1/252)</f>
        <v>36250468.077853434</v>
      </c>
      <c r="BB190" s="2">
        <f t="shared" si="21"/>
        <v>744827323.79427612</v>
      </c>
      <c r="BC190" s="2">
        <v>0</v>
      </c>
      <c r="BD190" s="2">
        <v>0</v>
      </c>
      <c r="BE190" s="2">
        <f t="shared" si="30"/>
        <v>266890.35956716537</v>
      </c>
      <c r="BF190" s="2">
        <f t="shared" si="23"/>
        <v>3426604.9380854368</v>
      </c>
      <c r="BG190" s="2">
        <f t="shared" si="24"/>
        <v>16795790.716956615</v>
      </c>
      <c r="BH190" s="11">
        <f t="shared" si="25"/>
        <v>1.0711859160311392</v>
      </c>
      <c r="BI190" s="12">
        <f t="shared" si="26"/>
        <v>3.5845358896646751E-4</v>
      </c>
      <c r="BJ190" s="12">
        <f t="shared" si="27"/>
        <v>4.6217987802485982E-3</v>
      </c>
      <c r="BK190" s="12">
        <f t="shared" si="28"/>
        <v>2.3070141819218071E-2</v>
      </c>
      <c r="BL190" s="5">
        <f t="shared" si="29"/>
        <v>7.1185916031139218E-2</v>
      </c>
      <c r="BM190" s="19">
        <f t="shared" si="20"/>
        <v>4.8695079983881895E-2</v>
      </c>
      <c r="BN190" s="19" t="s">
        <v>53</v>
      </c>
      <c r="BO190" s="19" t="s">
        <v>53</v>
      </c>
    </row>
    <row r="191" spans="1:67" x14ac:dyDescent="0.25">
      <c r="A191" s="1">
        <v>45377</v>
      </c>
      <c r="B191" s="1" t="str">
        <f t="shared" si="22"/>
        <v>202403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f>I190*(1+((1+VLOOKUP($B191,'IPCA Hist'!$B:$C,2,0))^12 - 1)+$I$2)^(1/252)</f>
        <v>204176677.69606516</v>
      </c>
      <c r="J191" s="2">
        <f>J190*(1+((1+VLOOKUP($B191,'IPCA Hist'!$B:$C,2,0))^12 - 1)+$J$2)^(1/252)</f>
        <v>130120411.50825354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f>Q190*(1+((1+VLOOKUP($B191,'IPCA Hist'!$B:$C,2,0))^12 - 1)+$Q$2)^(1/252)</f>
        <v>44093716.192283213</v>
      </c>
      <c r="R191" s="2">
        <f>R190*(1+((1+VLOOKUP($B191,'IPCA Hist'!$B:$C,2,0))^12 - 1)+$R$2)^(1/252)</f>
        <v>44077224.821431279</v>
      </c>
      <c r="S191" s="2">
        <f>S190*(1+((1+VLOOKUP($B191,'IPCA Hist'!$B:$C,2,0))^12 - 1)+$S$2)^(1/252)</f>
        <v>45095140.531317636</v>
      </c>
      <c r="T191" s="2">
        <f>T190*(1+((1+VLOOKUP($B191,'IPCA Hist'!$B:$C,2,0))^12 - 1)+$T$2)^(1/252)</f>
        <v>227771690.82548437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f>AF190*(1+((1+VLOOKUP($B191,'IGPM Hist'!$B:$C,2,0))^12 - 1)+$AF$2)^(1/252)</f>
        <v>1611433.8975994859</v>
      </c>
      <c r="AG191" s="2">
        <f>350000*VLOOKUP(A191,'CVRDA6 Hist'!$A:$B,2,0)</f>
        <v>11746395.850000001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f>BA190*(1+VLOOKUP(A191,'SELIC Hist'!$A:$C,3,0))^(1/252)</f>
        <v>36265028.999622583</v>
      </c>
      <c r="BB191" s="2">
        <f t="shared" si="21"/>
        <v>744957720.32205725</v>
      </c>
      <c r="BC191" s="2">
        <v>0</v>
      </c>
      <c r="BD191" s="2">
        <v>0</v>
      </c>
      <c r="BE191" s="2">
        <f t="shared" si="30"/>
        <v>130396.52778112888</v>
      </c>
      <c r="BF191" s="2">
        <f t="shared" si="23"/>
        <v>3557001.4658665657</v>
      </c>
      <c r="BG191" s="2">
        <f t="shared" si="24"/>
        <v>16926187.244737744</v>
      </c>
      <c r="BH191" s="11">
        <f t="shared" si="25"/>
        <v>1.0713734479859913</v>
      </c>
      <c r="BI191" s="12">
        <f t="shared" si="26"/>
        <v>1.7506947397794015E-4</v>
      </c>
      <c r="BJ191" s="12">
        <f t="shared" si="27"/>
        <v>4.7976773901077241E-3</v>
      </c>
      <c r="BK191" s="12">
        <f t="shared" si="28"/>
        <v>2.3249250170788827E-2</v>
      </c>
      <c r="BL191" s="5">
        <f t="shared" si="29"/>
        <v>7.1373447985991323E-2</v>
      </c>
      <c r="BM191" s="19">
        <f t="shared" si="20"/>
        <v>4.8538315232489859E-2</v>
      </c>
      <c r="BN191" s="19" t="s">
        <v>53</v>
      </c>
      <c r="BO191" s="19" t="s">
        <v>53</v>
      </c>
    </row>
    <row r="192" spans="1:67" x14ac:dyDescent="0.25">
      <c r="A192" s="1">
        <v>45378</v>
      </c>
      <c r="B192" s="1" t="str">
        <f t="shared" si="22"/>
        <v>202403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f>I191*(1+((1+VLOOKUP($B192,'IPCA Hist'!$B:$C,2,0))^12 - 1)+$I$2)^(1/252)</f>
        <v>204236156.07501015</v>
      </c>
      <c r="J192" s="2">
        <f>J191*(1+((1+VLOOKUP($B192,'IPCA Hist'!$B:$C,2,0))^12 - 1)+$J$2)^(1/252)</f>
        <v>130155959.57925919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f>Q191*(1+((1+VLOOKUP($B192,'IPCA Hist'!$B:$C,2,0))^12 - 1)+$Q$2)^(1/252)</f>
        <v>44105729.636719853</v>
      </c>
      <c r="R192" s="2">
        <f>R191*(1+((1+VLOOKUP($B192,'IPCA Hist'!$B:$C,2,0))^12 - 1)+$R$2)^(1/252)</f>
        <v>44089250.106959894</v>
      </c>
      <c r="S192" s="2">
        <f>S191*(1+((1+VLOOKUP($B192,'IPCA Hist'!$B:$C,2,0))^12 - 1)+$S$2)^(1/252)</f>
        <v>45107242.887996018</v>
      </c>
      <c r="T192" s="2">
        <f>T191*(1+((1+VLOOKUP($B192,'IPCA Hist'!$B:$C,2,0))^12 - 1)+$T$2)^(1/252)</f>
        <v>227832734.28978229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f>AF191*(1+((1+VLOOKUP($B192,'IGPM Hist'!$B:$C,2,0))^12 - 1)+$AF$2)^(1/252)</f>
        <v>1611484.1392525716</v>
      </c>
      <c r="AG192" s="2">
        <f>350000*VLOOKUP(A192,'CVRDA6 Hist'!$A:$B,2,0)</f>
        <v>11578016.799999999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f>BA191*(1+VLOOKUP(A192,'SELIC Hist'!$A:$C,3,0))^(1/252)</f>
        <v>36279595.770156011</v>
      </c>
      <c r="BB192" s="2">
        <f t="shared" si="21"/>
        <v>744996169.28513587</v>
      </c>
      <c r="BC192" s="2">
        <v>0</v>
      </c>
      <c r="BD192" s="2">
        <v>0</v>
      </c>
      <c r="BE192" s="2">
        <f t="shared" si="30"/>
        <v>38448.96307861805</v>
      </c>
      <c r="BF192" s="2">
        <f t="shared" si="23"/>
        <v>3595450.4289451838</v>
      </c>
      <c r="BG192" s="2">
        <f t="shared" si="24"/>
        <v>16964636.207816362</v>
      </c>
      <c r="BH192" s="11">
        <f t="shared" si="25"/>
        <v>1.0714287440075256</v>
      </c>
      <c r="BI192" s="12">
        <f t="shared" si="26"/>
        <v>5.1612275475232394E-5</v>
      </c>
      <c r="BJ192" s="12">
        <f t="shared" si="27"/>
        <v>4.8495372846300011E-3</v>
      </c>
      <c r="BK192" s="12">
        <f t="shared" si="28"/>
        <v>2.3302062392968503E-2</v>
      </c>
      <c r="BL192" s="5">
        <f t="shared" si="29"/>
        <v>7.1428744007525635E-2</v>
      </c>
      <c r="BM192" s="19">
        <f t="shared" si="20"/>
        <v>4.8252165036989592E-2</v>
      </c>
      <c r="BN192" s="19" t="s">
        <v>53</v>
      </c>
      <c r="BO192" s="19" t="s">
        <v>53</v>
      </c>
    </row>
    <row r="193" spans="1:67" x14ac:dyDescent="0.25">
      <c r="A193" s="1">
        <v>45379</v>
      </c>
      <c r="B193" s="1" t="str">
        <f t="shared" si="22"/>
        <v>202403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f>I192*(1+((1+VLOOKUP($B193,'IPCA Hist'!$B:$C,2,0))^12 - 1)+$I$2)^(1/252)</f>
        <v>204295651.78050587</v>
      </c>
      <c r="J193" s="2">
        <f>J192*(1+((1+VLOOKUP($B193,'IPCA Hist'!$B:$C,2,0))^12 - 1)+$J$2)^(1/252)</f>
        <v>130191517.36177233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f>Q192*(1+((1+VLOOKUP($B193,'IPCA Hist'!$B:$C,2,0))^12 - 1)+$Q$2)^(1/252)</f>
        <v>44117746.354249798</v>
      </c>
      <c r="R193" s="2">
        <f>R192*(1+((1+VLOOKUP($B193,'IPCA Hist'!$B:$C,2,0))^12 - 1)+$R$2)^(1/252)</f>
        <v>44101278.673264302</v>
      </c>
      <c r="S193" s="2">
        <f>S192*(1+((1+VLOOKUP($B193,'IPCA Hist'!$B:$C,2,0))^12 - 1)+$S$2)^(1/252)</f>
        <v>45119348.492630504</v>
      </c>
      <c r="T193" s="2">
        <f>T192*(1+((1+VLOOKUP($B193,'IPCA Hist'!$B:$C,2,0))^12 - 1)+$T$2)^(1/252)</f>
        <v>227893794.11390316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f>AF192*(1+((1+VLOOKUP($B193,'IGPM Hist'!$B:$C,2,0))^12 - 1)+$AF$2)^(1/252)</f>
        <v>1611534.382472103</v>
      </c>
      <c r="AG193" s="2">
        <f>350000*VLOOKUP(A193,'CVRDA6 Hist'!$A:$B,2,0)</f>
        <v>11673106.550000001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f>BA192*(1+VLOOKUP(A193,'SELIC Hist'!$A:$C,3,0))^(1/252)</f>
        <v>36294168.391803026</v>
      </c>
      <c r="BB193" s="2">
        <f t="shared" si="21"/>
        <v>745298146.10060108</v>
      </c>
      <c r="BC193" s="2">
        <v>0</v>
      </c>
      <c r="BD193" s="2">
        <v>0</v>
      </c>
      <c r="BE193" s="2">
        <f t="shared" si="30"/>
        <v>301976.81546521187</v>
      </c>
      <c r="BF193" s="2">
        <f t="shared" si="23"/>
        <v>3897427.2444103956</v>
      </c>
      <c r="BG193" s="2">
        <f t="shared" si="24"/>
        <v>17266613.023281574</v>
      </c>
      <c r="BH193" s="11">
        <f t="shared" si="25"/>
        <v>1.0718630370327149</v>
      </c>
      <c r="BI193" s="12">
        <f t="shared" si="26"/>
        <v>4.0534009155379636E-4</v>
      </c>
      <c r="BJ193" s="12">
        <f t="shared" si="27"/>
        <v>5.2568430880708394E-3</v>
      </c>
      <c r="BK193" s="12">
        <f t="shared" si="28"/>
        <v>2.3716847744626124E-2</v>
      </c>
      <c r="BL193" s="5">
        <f t="shared" si="29"/>
        <v>7.1863037032714905E-2</v>
      </c>
      <c r="BM193" s="19">
        <f t="shared" si="20"/>
        <v>4.8336767277265658E-2</v>
      </c>
      <c r="BN193" s="19" t="s">
        <v>53</v>
      </c>
      <c r="BO193" s="19" t="s">
        <v>53</v>
      </c>
    </row>
    <row r="194" spans="1:67" x14ac:dyDescent="0.25">
      <c r="A194" s="1">
        <v>45383</v>
      </c>
      <c r="B194" s="1" t="str">
        <f t="shared" si="22"/>
        <v>202404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f>I193*(1+((1+VLOOKUP($B194,'IPCA Hist'!$B:$C,2,0))^12 - 1)+$I$2)^(1/252)</f>
        <v>204375404.04426324</v>
      </c>
      <c r="J194" s="2">
        <f>J193*(1+((1+VLOOKUP($B194,'IPCA Hist'!$B:$C,2,0))^12 - 1)+$J$2)^(1/252)</f>
        <v>130240040.74351501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f>Q193*(1+((1+VLOOKUP($B194,'IPCA Hist'!$B:$C,2,0))^12 - 1)+$Q$2)^(1/252)</f>
        <v>44134157.487753257</v>
      </c>
      <c r="R194" s="2">
        <f>R193*(1+((1+VLOOKUP($B194,'IPCA Hist'!$B:$C,2,0))^12 - 1)+$R$2)^(1/252)</f>
        <v>44117699.621072039</v>
      </c>
      <c r="S194" s="2">
        <f>S193*(1+((1+VLOOKUP($B194,'IPCA Hist'!$B:$C,2,0))^12 - 1)+$S$2)^(1/252)</f>
        <v>45135952.721228778</v>
      </c>
      <c r="T194" s="2">
        <f>T193*(1+((1+VLOOKUP($B194,'IPCA Hist'!$B:$C,2,0))^12 - 1)+$T$2)^(1/252)</f>
        <v>227977578.12758839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f>AF193*(1+((1+VLOOKUP($B194,'IGPM Hist'!$B:$C,2,0))^12 - 1)+$AF$2)^(1/252)</f>
        <v>1612145.2869027527</v>
      </c>
      <c r="AG194" s="2">
        <f>350000*VLOOKUP(A194,'CVRDA6 Hist'!$A:$B,2,0)</f>
        <v>10692500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f>BA193*(1+VLOOKUP(A194,'SELIC Hist'!$A:$C,3,0))^(1/252)</f>
        <v>36308746.86691387</v>
      </c>
      <c r="BB194" s="2">
        <f t="shared" si="21"/>
        <v>744594224.89923739</v>
      </c>
      <c r="BC194" s="2">
        <v>0</v>
      </c>
      <c r="BD194" s="2">
        <v>0</v>
      </c>
      <c r="BE194" s="2">
        <f t="shared" si="30"/>
        <v>-703921.20136368275</v>
      </c>
      <c r="BF194" s="2">
        <f t="shared" si="23"/>
        <v>-703921.20136368275</v>
      </c>
      <c r="BG194" s="2">
        <f t="shared" si="24"/>
        <v>16562691.821917892</v>
      </c>
      <c r="BH194" s="11">
        <f t="shared" si="25"/>
        <v>1.0708506809431781</v>
      </c>
      <c r="BI194" s="12">
        <f t="shared" si="26"/>
        <v>-9.4448269467273249E-4</v>
      </c>
      <c r="BJ194" s="12">
        <f t="shared" si="27"/>
        <v>-9.4448269467273249E-4</v>
      </c>
      <c r="BK194" s="12">
        <f t="shared" si="28"/>
        <v>2.2749964897686326E-2</v>
      </c>
      <c r="BL194" s="5">
        <f t="shared" si="29"/>
        <v>7.0850680943178146E-2</v>
      </c>
      <c r="BM194" s="19">
        <f t="shared" ref="BM194:BM257" si="31">BH194/BH68 - 1</f>
        <v>4.7006765400022132E-2</v>
      </c>
      <c r="BN194" s="19" t="s">
        <v>53</v>
      </c>
      <c r="BO194" s="19" t="s">
        <v>53</v>
      </c>
    </row>
    <row r="195" spans="1:67" x14ac:dyDescent="0.25">
      <c r="A195" s="1">
        <v>45384</v>
      </c>
      <c r="B195" s="1" t="str">
        <f t="shared" si="22"/>
        <v>202404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f>I194*(1+((1+VLOOKUP($B195,'IPCA Hist'!$B:$C,2,0))^12 - 1)+$I$2)^(1/252)</f>
        <v>204455187.44144669</v>
      </c>
      <c r="J195" s="2">
        <f>J194*(1+((1+VLOOKUP($B195,'IPCA Hist'!$B:$C,2,0))^12 - 1)+$J$2)^(1/252)</f>
        <v>130288582.21029599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f>Q194*(1+((1+VLOOKUP($B195,'IPCA Hist'!$B:$C,2,0))^12 - 1)+$Q$2)^(1/252)</f>
        <v>44150574.725949839</v>
      </c>
      <c r="R195" s="2">
        <f>R194*(1+((1+VLOOKUP($B195,'IPCA Hist'!$B:$C,2,0))^12 - 1)+$R$2)^(1/252)</f>
        <v>44134126.683158889</v>
      </c>
      <c r="S195" s="2">
        <f>S194*(1+((1+VLOOKUP($B195,'IPCA Hist'!$B:$C,2,0))^12 - 1)+$S$2)^(1/252)</f>
        <v>45152563.060296655</v>
      </c>
      <c r="T195" s="2">
        <f>T194*(1+((1+VLOOKUP($B195,'IPCA Hist'!$B:$C,2,0))^12 - 1)+$T$2)^(1/252)</f>
        <v>228061392.94404724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f>AF194*(1+((1+VLOOKUP($B195,'IGPM Hist'!$B:$C,2,0))^12 - 1)+$AF$2)^(1/252)</f>
        <v>1612756.4229165616</v>
      </c>
      <c r="AG195" s="2">
        <f>350000*VLOOKUP(A195,'CVRDA6 Hist'!$A:$B,2,0)</f>
        <v>10967309.5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f>BA194*(1+VLOOKUP(A195,'SELIC Hist'!$A:$C,3,0))^(1/252) + 689677.45</f>
        <v>37013008.64783974</v>
      </c>
      <c r="BB195" s="2">
        <f t="shared" ref="BB195:BB258" si="32">SUM(C195:BA195)</f>
        <v>745835501.63595164</v>
      </c>
      <c r="BC195" s="2">
        <v>0</v>
      </c>
      <c r="BD195" s="2">
        <v>0</v>
      </c>
      <c r="BE195" s="2">
        <f t="shared" si="30"/>
        <v>1241276.7367142439</v>
      </c>
      <c r="BF195" s="2">
        <f t="shared" si="23"/>
        <v>537355.53535056114</v>
      </c>
      <c r="BG195" s="2">
        <f t="shared" si="24"/>
        <v>17803968.558632135</v>
      </c>
      <c r="BH195" s="11">
        <f t="shared" si="25"/>
        <v>1.0726358439142303</v>
      </c>
      <c r="BI195" s="12">
        <f t="shared" si="26"/>
        <v>1.6670512545033933E-3</v>
      </c>
      <c r="BJ195" s="12">
        <f t="shared" si="27"/>
        <v>7.2099405876957512E-4</v>
      </c>
      <c r="BK195" s="12">
        <f t="shared" si="28"/>
        <v>2.4454941509712391E-2</v>
      </c>
      <c r="BL195" s="5">
        <f t="shared" si="29"/>
        <v>7.263584391423028E-2</v>
      </c>
      <c r="BM195" s="19">
        <f t="shared" si="31"/>
        <v>5.2368898996254076E-2</v>
      </c>
      <c r="BN195" s="19" t="s">
        <v>53</v>
      </c>
      <c r="BO195" s="19" t="s">
        <v>53</v>
      </c>
    </row>
    <row r="196" spans="1:67" x14ac:dyDescent="0.25">
      <c r="A196" s="1">
        <v>45385</v>
      </c>
      <c r="B196" s="1" t="str">
        <f t="shared" ref="B196:B259" si="33">_xlfn.CONCAT(TEXT(YEAR(A196),"0000"),TEXT(MONTH(A196),"00"))</f>
        <v>202404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f>I195*(1+((1+VLOOKUP($B196,'IPCA Hist'!$B:$C,2,0))^12 - 1)+$I$2)^(1/252)</f>
        <v>204535001.98421001</v>
      </c>
      <c r="J196" s="2">
        <f>J195*(1+((1+VLOOKUP($B196,'IPCA Hist'!$B:$C,2,0))^12 - 1)+$J$2)^(1/252)</f>
        <v>130337141.76885569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f>Q195*(1+((1+VLOOKUP($B196,'IPCA Hist'!$B:$C,2,0))^12 - 1)+$Q$2)^(1/252)</f>
        <v>44166998.071110405</v>
      </c>
      <c r="R196" s="2">
        <f>R195*(1+((1+VLOOKUP($B196,'IPCA Hist'!$B:$C,2,0))^12 - 1)+$R$2)^(1/252)</f>
        <v>44150559.861801475</v>
      </c>
      <c r="S196" s="2">
        <f>S195*(1+((1+VLOOKUP($B196,'IPCA Hist'!$B:$C,2,0))^12 - 1)+$S$2)^(1/252)</f>
        <v>45169179.51208283</v>
      </c>
      <c r="T196" s="2">
        <f>T195*(1+((1+VLOOKUP($B196,'IPCA Hist'!$B:$C,2,0))^12 - 1)+$T$2)^(1/252)</f>
        <v>228145238.57460418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f>AF195*(1+((1+VLOOKUP($B196,'IGPM Hist'!$B:$C,2,0))^12 - 1)+$AF$2)^(1/252)</f>
        <v>1613367.7906013187</v>
      </c>
      <c r="AG196" s="2">
        <f>350000*VLOOKUP(A196,'CVRDA6 Hist'!$A:$B,2,0)</f>
        <v>10994753.35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f>BA195*(1+VLOOKUP(A196,'SELIC Hist'!$A:$C,3,0))^(1/252)</f>
        <v>37027875.863407955</v>
      </c>
      <c r="BB196" s="2">
        <f t="shared" si="32"/>
        <v>746140116.77667391</v>
      </c>
      <c r="BC196" s="2">
        <v>0</v>
      </c>
      <c r="BD196" s="2">
        <v>0</v>
      </c>
      <c r="BE196" s="2">
        <f t="shared" si="30"/>
        <v>304615.14072227478</v>
      </c>
      <c r="BF196" s="2">
        <f t="shared" si="23"/>
        <v>841970.67607283592</v>
      </c>
      <c r="BG196" s="2">
        <f t="shared" si="24"/>
        <v>18108583.69935441</v>
      </c>
      <c r="BH196" s="11">
        <f t="shared" si="25"/>
        <v>1.0730739312911666</v>
      </c>
      <c r="BI196" s="12">
        <f t="shared" si="26"/>
        <v>4.0842134767538063E-4</v>
      </c>
      <c r="BJ196" s="12">
        <f t="shared" si="27"/>
        <v>1.1297098758100699E-3</v>
      </c>
      <c r="BK196" s="12">
        <f t="shared" si="28"/>
        <v>2.487335077755648E-2</v>
      </c>
      <c r="BL196" s="5">
        <f t="shared" si="29"/>
        <v>7.3073931291166572E-2</v>
      </c>
      <c r="BM196" s="19">
        <f t="shared" si="31"/>
        <v>5.0181366763701885E-2</v>
      </c>
      <c r="BN196" s="19" t="s">
        <v>53</v>
      </c>
      <c r="BO196" s="19" t="s">
        <v>53</v>
      </c>
    </row>
    <row r="197" spans="1:67" x14ac:dyDescent="0.25">
      <c r="A197" s="1">
        <v>45386</v>
      </c>
      <c r="B197" s="1" t="str">
        <f t="shared" si="33"/>
        <v>202404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f>I196*(1+((1+VLOOKUP($B197,'IPCA Hist'!$B:$C,2,0))^12 - 1)+$I$2)^(1/252)</f>
        <v>204614847.68471169</v>
      </c>
      <c r="J197" s="2">
        <f>J196*(1+((1+VLOOKUP($B197,'IPCA Hist'!$B:$C,2,0))^12 - 1)+$J$2)^(1/252)</f>
        <v>130385719.42593704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f>Q196*(1+((1+VLOOKUP($B197,'IPCA Hist'!$B:$C,2,0))^12 - 1)+$Q$2)^(1/252)</f>
        <v>44183427.525506645</v>
      </c>
      <c r="R197" s="2">
        <f>R196*(1+((1+VLOOKUP($B197,'IPCA Hist'!$B:$C,2,0))^12 - 1)+$R$2)^(1/252)</f>
        <v>44166999.159277275</v>
      </c>
      <c r="S197" s="2">
        <f>S196*(1+((1+VLOOKUP($B197,'IPCA Hist'!$B:$C,2,0))^12 - 1)+$S$2)^(1/252)</f>
        <v>45185802.078836821</v>
      </c>
      <c r="T197" s="2">
        <f>T196*(1+((1+VLOOKUP($B197,'IPCA Hist'!$B:$C,2,0))^12 - 1)+$T$2)^(1/252)</f>
        <v>228229115.03058788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f>AF196*(1+((1+VLOOKUP($B197,'IGPM Hist'!$B:$C,2,0))^12 - 1)+$AF$2)^(1/252)</f>
        <v>1613979.3900448466</v>
      </c>
      <c r="AG197" s="2">
        <f>350000*VLOOKUP(A197,'CVRDA6 Hist'!$A:$B,2,0)</f>
        <v>11027499.35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f>BA196*(1+VLOOKUP(A197,'SELIC Hist'!$A:$C,3,0))^(1/252)</f>
        <v>37042749.05077114</v>
      </c>
      <c r="BB197" s="2">
        <f t="shared" si="32"/>
        <v>746450138.69567323</v>
      </c>
      <c r="BC197" s="2">
        <v>0</v>
      </c>
      <c r="BD197" s="2">
        <v>0</v>
      </c>
      <c r="BE197" s="2">
        <f t="shared" si="30"/>
        <v>310021.91899931431</v>
      </c>
      <c r="BF197" s="2">
        <f t="shared" ref="BF197:BF260" si="34">IF(MONTH(A197)=MONTH(A196),BE197+BF196,BE197)</f>
        <v>1151992.5950721502</v>
      </c>
      <c r="BG197" s="2">
        <f t="shared" ref="BG197:BG260" si="35">IF(YEAR(A197)=YEAR(A196),BE197+BG196,BE197)</f>
        <v>18418605.618353724</v>
      </c>
      <c r="BH197" s="11">
        <f t="shared" ref="BH197:BH260" si="36">(1+(BB197-BB196-BC197+BD197)/BB196)*BH196</f>
        <v>1.073519794517023</v>
      </c>
      <c r="BI197" s="12">
        <f t="shared" ref="BI197:BI260" si="37">BH197/BH196 - 1</f>
        <v>4.1550093880293737E-4</v>
      </c>
      <c r="BJ197" s="12">
        <f t="shared" ref="BJ197:BJ260" si="38">IF(MONTH(A197)=MONTH(A196),(1+BI197)*(1+BJ196) - 1,BI197)</f>
        <v>1.5456802101270206E-3</v>
      </c>
      <c r="BK197" s="12">
        <f t="shared" ref="BK197:BK260" si="39">IF(YEAR(A197)=YEAR(A196),(1+BI197)*(1+BK196) - 1,BI197)</f>
        <v>2.5299186616958735E-2</v>
      </c>
      <c r="BL197" s="5">
        <f t="shared" ref="BL197:BL260" si="40">(1+BI197)*(1+BL196) - 1</f>
        <v>7.3519794517022952E-2</v>
      </c>
      <c r="BM197" s="19">
        <f t="shared" si="31"/>
        <v>4.979894755710923E-2</v>
      </c>
      <c r="BN197" s="19" t="s">
        <v>53</v>
      </c>
      <c r="BO197" s="19" t="s">
        <v>53</v>
      </c>
    </row>
    <row r="198" spans="1:67" x14ac:dyDescent="0.25">
      <c r="A198" s="1">
        <v>45387</v>
      </c>
      <c r="B198" s="1" t="str">
        <f t="shared" si="33"/>
        <v>202404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f>I197*(1+((1+VLOOKUP($B198,'IPCA Hist'!$B:$C,2,0))^12 - 1)+$I$2)^(1/252)</f>
        <v>204694724.55511498</v>
      </c>
      <c r="J198" s="2">
        <f>J197*(1+((1+VLOOKUP($B198,'IPCA Hist'!$B:$C,2,0))^12 - 1)+$J$2)^(1/252)</f>
        <v>130434315.18828551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f>Q197*(1+((1+VLOOKUP($B198,'IPCA Hist'!$B:$C,2,0))^12 - 1)+$Q$2)^(1/252)</f>
        <v>44199863.091411106</v>
      </c>
      <c r="R198" s="2">
        <f>R197*(1+((1+VLOOKUP($B198,'IPCA Hist'!$B:$C,2,0))^12 - 1)+$R$2)^(1/252)</f>
        <v>44183444.577864617</v>
      </c>
      <c r="S198" s="2">
        <f>S197*(1+((1+VLOOKUP($B198,'IPCA Hist'!$B:$C,2,0))^12 - 1)+$S$2)^(1/252)</f>
        <v>45202430.762808979</v>
      </c>
      <c r="T198" s="2">
        <f>T197*(1+((1+VLOOKUP($B198,'IPCA Hist'!$B:$C,2,0))^12 - 1)+$T$2)^(1/252)</f>
        <v>228313022.32333115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f>AF197*(1+((1+VLOOKUP($B198,'IGPM Hist'!$B:$C,2,0))^12 - 1)+$AF$2)^(1/252)</f>
        <v>1614591.2213350006</v>
      </c>
      <c r="AG198" s="2">
        <f>350000*VLOOKUP(A198,'CVRDA6 Hist'!$A:$B,2,0)</f>
        <v>10846820.949999999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f>BA197*(1+VLOOKUP(A198,'SELIC Hist'!$A:$C,3,0))^(1/252)</f>
        <v>37057628.212328009</v>
      </c>
      <c r="BB198" s="2">
        <f t="shared" si="32"/>
        <v>746546840.88247943</v>
      </c>
      <c r="BC198" s="2">
        <v>0</v>
      </c>
      <c r="BD198" s="2">
        <v>0</v>
      </c>
      <c r="BE198" s="2">
        <f t="shared" si="30"/>
        <v>96702.186806201935</v>
      </c>
      <c r="BF198" s="2">
        <f t="shared" si="34"/>
        <v>1248694.7818783522</v>
      </c>
      <c r="BG198" s="2">
        <f t="shared" si="35"/>
        <v>18515307.805159926</v>
      </c>
      <c r="BH198" s="11">
        <f t="shared" si="36"/>
        <v>1.0736588683899153</v>
      </c>
      <c r="BI198" s="12">
        <f t="shared" si="37"/>
        <v>1.2954942573273343E-4</v>
      </c>
      <c r="BJ198" s="12">
        <f t="shared" si="38"/>
        <v>1.6754298778434151E-3</v>
      </c>
      <c r="BK198" s="12">
        <f t="shared" si="39"/>
        <v>2.5432013537789233E-2</v>
      </c>
      <c r="BL198" s="5">
        <f t="shared" si="40"/>
        <v>7.3658868389915311E-2</v>
      </c>
      <c r="BM198" s="19">
        <f t="shared" si="31"/>
        <v>4.9427275452077701E-2</v>
      </c>
      <c r="BN198" s="19" t="s">
        <v>53</v>
      </c>
      <c r="BO198" s="19" t="s">
        <v>53</v>
      </c>
    </row>
    <row r="199" spans="1:67" x14ac:dyDescent="0.25">
      <c r="A199" s="1">
        <v>45390</v>
      </c>
      <c r="B199" s="1" t="str">
        <f t="shared" si="33"/>
        <v>202404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f>I198*(1+((1+VLOOKUP($B199,'IPCA Hist'!$B:$C,2,0))^12 - 1)+$I$2)^(1/252)</f>
        <v>204774632.60758787</v>
      </c>
      <c r="J199" s="2">
        <f>J198*(1+((1+VLOOKUP($B199,'IPCA Hist'!$B:$C,2,0))^12 - 1)+$J$2)^(1/252)</f>
        <v>130482929.06264909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f>Q198*(1+((1+VLOOKUP($B199,'IPCA Hist'!$B:$C,2,0))^12 - 1)+$Q$2)^(1/252)</f>
        <v>44216304.771097176</v>
      </c>
      <c r="R199" s="2">
        <f>R198*(1+((1+VLOOKUP($B199,'IPCA Hist'!$B:$C,2,0))^12 - 1)+$R$2)^(1/252)</f>
        <v>44199896.119842678</v>
      </c>
      <c r="S199" s="2">
        <f>S198*(1+((1+VLOOKUP($B199,'IPCA Hist'!$B:$C,2,0))^12 - 1)+$S$2)^(1/252)</f>
        <v>45219065.566250481</v>
      </c>
      <c r="T199" s="2">
        <f>T198*(1+((1+VLOOKUP($B199,'IPCA Hist'!$B:$C,2,0))^12 - 1)+$T$2)^(1/252)</f>
        <v>228396960.46417096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f>AF198*(1+((1+VLOOKUP($B199,'IGPM Hist'!$B:$C,2,0))^12 - 1)+$AF$2)^(1/252)</f>
        <v>1615203.2845596701</v>
      </c>
      <c r="AG199" s="2">
        <f>350000*VLOOKUP(A199,'CVRDA6 Hist'!$A:$B,2,0)</f>
        <v>10840260.550000001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f>BA198*(1+VLOOKUP(A199,'SELIC Hist'!$A:$C,3,0))^(1/252)</f>
        <v>37072513.350478262</v>
      </c>
      <c r="BB199" s="2">
        <f t="shared" si="32"/>
        <v>746817765.77663624</v>
      </c>
      <c r="BC199" s="2">
        <v>0</v>
      </c>
      <c r="BD199" s="2">
        <v>0</v>
      </c>
      <c r="BE199" s="2">
        <f t="shared" si="30"/>
        <v>270924.89415681362</v>
      </c>
      <c r="BF199" s="2">
        <f t="shared" si="34"/>
        <v>1519619.6760351658</v>
      </c>
      <c r="BG199" s="2">
        <f t="shared" si="35"/>
        <v>18786232.69931674</v>
      </c>
      <c r="BH199" s="11">
        <f t="shared" si="36"/>
        <v>1.0740485035733356</v>
      </c>
      <c r="BI199" s="12">
        <f t="shared" si="37"/>
        <v>3.6290407958405879E-4</v>
      </c>
      <c r="BJ199" s="12">
        <f t="shared" si="38"/>
        <v>2.0389419777651074E-3</v>
      </c>
      <c r="BK199" s="12">
        <f t="shared" si="39"/>
        <v>2.5804146998838151E-2</v>
      </c>
      <c r="BL199" s="5">
        <f t="shared" si="40"/>
        <v>7.4048503573335589E-2</v>
      </c>
      <c r="BM199" s="19">
        <f t="shared" si="31"/>
        <v>4.9473081946301178E-2</v>
      </c>
      <c r="BN199" s="19" t="s">
        <v>53</v>
      </c>
      <c r="BO199" s="19" t="s">
        <v>53</v>
      </c>
    </row>
    <row r="200" spans="1:67" x14ac:dyDescent="0.25">
      <c r="A200" s="1">
        <v>45391</v>
      </c>
      <c r="B200" s="1" t="str">
        <f t="shared" si="33"/>
        <v>202404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f>I199*(1+((1+VLOOKUP($B200,'IPCA Hist'!$B:$C,2,0))^12 - 1)+$I$2)^(1/252)</f>
        <v>204854571.85430315</v>
      </c>
      <c r="J200" s="2">
        <f>J199*(1+((1+VLOOKUP($B200,'IPCA Hist'!$B:$C,2,0))^12 - 1)+$J$2)^(1/252)</f>
        <v>130531561.05577824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f>Q199*(1+((1+VLOOKUP($B200,'IPCA Hist'!$B:$C,2,0))^12 - 1)+$Q$2)^(1/252)</f>
        <v>44232752.566839084</v>
      </c>
      <c r="R200" s="2">
        <f>R199*(1+((1+VLOOKUP($B200,'IPCA Hist'!$B:$C,2,0))^12 - 1)+$R$2)^(1/252)</f>
        <v>44216353.787491471</v>
      </c>
      <c r="S200" s="2">
        <f>S199*(1+((1+VLOOKUP($B200,'IPCA Hist'!$B:$C,2,0))^12 - 1)+$S$2)^(1/252)</f>
        <v>45235706.491413333</v>
      </c>
      <c r="T200" s="2">
        <f>T199*(1+((1+VLOOKUP($B200,'IPCA Hist'!$B:$C,2,0))^12 - 1)+$T$2)^(1/252)</f>
        <v>228480929.46444848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f>AF199*(1+((1+VLOOKUP($B200,'IGPM Hist'!$B:$C,2,0))^12 - 1)+$AF$2)^(1/252)</f>
        <v>1615815.5798067772</v>
      </c>
      <c r="AG200" s="2">
        <f>350000*VLOOKUP(A200,'CVRDA6 Hist'!$A:$B,2,0)</f>
        <v>11108039.949999999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f>BA199*(1+VLOOKUP(A200,'SELIC Hist'!$A:$C,3,0))^(1/252)</f>
        <v>37087404.467622541</v>
      </c>
      <c r="BB200" s="2">
        <f t="shared" si="32"/>
        <v>747363135.2177031</v>
      </c>
      <c r="BC200" s="2">
        <v>0</v>
      </c>
      <c r="BD200" s="2">
        <v>0</v>
      </c>
      <c r="BE200" s="2">
        <f t="shared" si="30"/>
        <v>545369.44106686115</v>
      </c>
      <c r="BF200" s="2">
        <f t="shared" si="34"/>
        <v>2064989.1171020269</v>
      </c>
      <c r="BG200" s="2">
        <f t="shared" si="35"/>
        <v>19331602.140383601</v>
      </c>
      <c r="BH200" s="11">
        <f t="shared" si="36"/>
        <v>1.0748328357878529</v>
      </c>
      <c r="BI200" s="12">
        <f t="shared" si="37"/>
        <v>7.3025772291268609E-4</v>
      </c>
      <c r="BJ200" s="12">
        <f t="shared" si="38"/>
        <v>2.770688653803699E-3</v>
      </c>
      <c r="BK200" s="12">
        <f t="shared" si="39"/>
        <v>2.6553248399380003E-2</v>
      </c>
      <c r="BL200" s="5">
        <f t="shared" si="40"/>
        <v>7.4832835787852936E-2</v>
      </c>
      <c r="BM200" s="19">
        <f t="shared" si="31"/>
        <v>4.9904294088229939E-2</v>
      </c>
      <c r="BN200" s="19" t="s">
        <v>53</v>
      </c>
      <c r="BO200" s="19" t="s">
        <v>53</v>
      </c>
    </row>
    <row r="201" spans="1:67" x14ac:dyDescent="0.25">
      <c r="A201" s="1">
        <v>45392</v>
      </c>
      <c r="B201" s="1" t="str">
        <f t="shared" si="33"/>
        <v>202404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f>I200*(1+((1+VLOOKUP($B201,'IPCA Hist'!$B:$C,2,0))^12 - 1)+$I$2)^(1/252)</f>
        <v>204934542.30743831</v>
      </c>
      <c r="J201" s="2">
        <f>J200*(1+((1+VLOOKUP($B201,'IPCA Hist'!$B:$C,2,0))^12 - 1)+$J$2)^(1/252)</f>
        <v>130580211.17442597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f>Q200*(1+((1+VLOOKUP($B201,'IPCA Hist'!$B:$C,2,0))^12 - 1)+$Q$2)^(1/252)</f>
        <v>44249206.480911918</v>
      </c>
      <c r="R201" s="2">
        <f>R200*(1+((1+VLOOKUP($B201,'IPCA Hist'!$B:$C,2,0))^12 - 1)+$R$2)^(1/252)</f>
        <v>44232817.58309187</v>
      </c>
      <c r="S201" s="2">
        <f>S200*(1+((1+VLOOKUP($B201,'IPCA Hist'!$B:$C,2,0))^12 - 1)+$S$2)^(1/252)</f>
        <v>45252353.540550373</v>
      </c>
      <c r="T201" s="2">
        <f>T200*(1+((1+VLOOKUP($B201,'IPCA Hist'!$B:$C,2,0))^12 - 1)+$T$2)^(1/252)</f>
        <v>228564929.335509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f>AF200*(1+((1+VLOOKUP($B201,'IGPM Hist'!$B:$C,2,0))^12 - 1)+$AF$2)^(1/252)</f>
        <v>1616428.1071642777</v>
      </c>
      <c r="AG201" s="2">
        <f>350000*VLOOKUP(A201,'CVRDA6 Hist'!$A:$B,2,0)</f>
        <v>11087345.85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f>BA200*(1+VLOOKUP(A201,'SELIC Hist'!$A:$C,3,0))^(1/252)</f>
        <v>37102301.56616246</v>
      </c>
      <c r="BB201" s="2">
        <f t="shared" si="32"/>
        <v>747620135.94525421</v>
      </c>
      <c r="BC201" s="2">
        <v>0</v>
      </c>
      <c r="BD201" s="2">
        <v>0</v>
      </c>
      <c r="BE201" s="2">
        <f t="shared" ref="BE201:BE264" si="41">BB201-BB200-BC201+BD201</f>
        <v>257000.72755110264</v>
      </c>
      <c r="BF201" s="2">
        <f t="shared" si="34"/>
        <v>2321989.8446531296</v>
      </c>
      <c r="BG201" s="2">
        <f t="shared" si="35"/>
        <v>19588602.867934704</v>
      </c>
      <c r="BH201" s="11">
        <f t="shared" si="36"/>
        <v>1.0752024456973821</v>
      </c>
      <c r="BI201" s="12">
        <f t="shared" si="37"/>
        <v>3.4387664502100179E-4</v>
      </c>
      <c r="BJ201" s="12">
        <f t="shared" si="38"/>
        <v>3.1155180739432797E-3</v>
      </c>
      <c r="BK201" s="12">
        <f t="shared" si="39"/>
        <v>2.6906256086375091E-2</v>
      </c>
      <c r="BL201" s="5">
        <f t="shared" si="40"/>
        <v>7.5202445697382103E-2</v>
      </c>
      <c r="BM201" s="19">
        <f t="shared" si="31"/>
        <v>4.9930148644043326E-2</v>
      </c>
      <c r="BN201" s="19" t="s">
        <v>53</v>
      </c>
      <c r="BO201" s="19" t="s">
        <v>53</v>
      </c>
    </row>
    <row r="202" spans="1:67" x14ac:dyDescent="0.25">
      <c r="A202" s="1">
        <v>45393</v>
      </c>
      <c r="B202" s="1" t="str">
        <f t="shared" si="33"/>
        <v>202404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f>I201*(1+((1+VLOOKUP($B202,'IPCA Hist'!$B:$C,2,0))^12 - 1)+$I$2)^(1/252)</f>
        <v>205014543.9791756</v>
      </c>
      <c r="J202" s="2">
        <f>J201*(1+((1+VLOOKUP($B202,'IPCA Hist'!$B:$C,2,0))^12 - 1)+$J$2)^(1/252)</f>
        <v>130628879.42534782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f>Q201*(1+((1+VLOOKUP($B202,'IPCA Hist'!$B:$C,2,0))^12 - 1)+$Q$2)^(1/252)</f>
        <v>44265666.515591599</v>
      </c>
      <c r="R202" s="2">
        <f>R201*(1+((1+VLOOKUP($B202,'IPCA Hist'!$B:$C,2,0))^12 - 1)+$R$2)^(1/252)</f>
        <v>44249287.508925594</v>
      </c>
      <c r="S202" s="2">
        <f>S201*(1+((1+VLOOKUP($B202,'IPCA Hist'!$B:$C,2,0))^12 - 1)+$S$2)^(1/252)</f>
        <v>45269006.715915263</v>
      </c>
      <c r="T202" s="2">
        <f>T201*(1+((1+VLOOKUP($B202,'IPCA Hist'!$B:$C,2,0))^12 - 1)+$T$2)^(1/252)</f>
        <v>228648960.08870202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f>AF201*(1+((1+VLOOKUP($B202,'IGPM Hist'!$B:$C,2,0))^12 - 1)+$AF$2)^(1/252)</f>
        <v>1617040.8667201605</v>
      </c>
      <c r="AG202" s="2">
        <f>350000*VLOOKUP(A202,'CVRDA6 Hist'!$A:$B,2,0)</f>
        <v>10956792.35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f>BA201*(1+VLOOKUP(A202,'SELIC Hist'!$A:$C,3,0))^(1/252)</f>
        <v>37117204.648500599</v>
      </c>
      <c r="BB202" s="2">
        <f t="shared" si="32"/>
        <v>747767382.09887874</v>
      </c>
      <c r="BC202" s="2">
        <v>0</v>
      </c>
      <c r="BD202" s="2">
        <v>0</v>
      </c>
      <c r="BE202" s="2">
        <f t="shared" si="41"/>
        <v>147246.15362453461</v>
      </c>
      <c r="BF202" s="2">
        <f t="shared" si="34"/>
        <v>2469235.9982776642</v>
      </c>
      <c r="BG202" s="2">
        <f t="shared" si="35"/>
        <v>19735849.021559238</v>
      </c>
      <c r="BH202" s="11">
        <f t="shared" si="36"/>
        <v>1.0754142102244257</v>
      </c>
      <c r="BI202" s="12">
        <f t="shared" si="37"/>
        <v>1.9695316718348899E-4</v>
      </c>
      <c r="BJ202" s="12">
        <f t="shared" si="38"/>
        <v>3.3130848522788803E-3</v>
      </c>
      <c r="BK202" s="12">
        <f t="shared" si="39"/>
        <v>2.7108508525911734E-2</v>
      </c>
      <c r="BL202" s="5">
        <f t="shared" si="40"/>
        <v>7.5414210224425737E-2</v>
      </c>
      <c r="BM202" s="19">
        <f t="shared" si="31"/>
        <v>4.9801792603069162E-2</v>
      </c>
      <c r="BN202" s="19" t="s">
        <v>53</v>
      </c>
      <c r="BO202" s="19" t="s">
        <v>53</v>
      </c>
    </row>
    <row r="203" spans="1:67" x14ac:dyDescent="0.25">
      <c r="A203" s="1">
        <v>45394</v>
      </c>
      <c r="B203" s="1" t="str">
        <f t="shared" si="33"/>
        <v>202404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f>I202*(1+((1+VLOOKUP($B203,'IPCA Hist'!$B:$C,2,0))^12 - 1)+$I$2)^(1/252)</f>
        <v>205094576.88170204</v>
      </c>
      <c r="J203" s="2">
        <f>J202*(1+((1+VLOOKUP($B203,'IPCA Hist'!$B:$C,2,0))^12 - 1)+$J$2)^(1/252)</f>
        <v>130677565.81530181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f>Q202*(1+((1+VLOOKUP($B203,'IPCA Hist'!$B:$C,2,0))^12 - 1)+$Q$2)^(1/252)</f>
        <v>44282132.673154905</v>
      </c>
      <c r="R203" s="2">
        <f>R202*(1+((1+VLOOKUP($B203,'IPCA Hist'!$B:$C,2,0))^12 - 1)+$R$2)^(1/252)</f>
        <v>44265763.567275219</v>
      </c>
      <c r="S203" s="2">
        <f>S202*(1+((1+VLOOKUP($B203,'IPCA Hist'!$B:$C,2,0))^12 - 1)+$S$2)^(1/252)</f>
        <v>45285666.019762501</v>
      </c>
      <c r="T203" s="2">
        <f>T202*(1+((1+VLOOKUP($B203,'IPCA Hist'!$B:$C,2,0))^12 - 1)+$T$2)^(1/252)</f>
        <v>228733021.73538122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f>AF202*(1+((1+VLOOKUP($B203,'IGPM Hist'!$B:$C,2,0))^12 - 1)+$AF$2)^(1/252)</f>
        <v>1617653.8585624478</v>
      </c>
      <c r="AG203" s="2">
        <f>350000*VLOOKUP(A203,'CVRDA6 Hist'!$A:$B,2,0)</f>
        <v>11648300.999999998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f>BA202*(1+VLOOKUP(A203,'SELIC Hist'!$A:$C,3,0))^(1/252)</f>
        <v>37132113.717040509</v>
      </c>
      <c r="BB203" s="2">
        <f t="shared" si="32"/>
        <v>748736795.26818073</v>
      </c>
      <c r="BC203" s="2">
        <v>0</v>
      </c>
      <c r="BD203" s="2">
        <v>0</v>
      </c>
      <c r="BE203" s="2">
        <f t="shared" si="41"/>
        <v>969413.16930198669</v>
      </c>
      <c r="BF203" s="2">
        <f t="shared" si="34"/>
        <v>3438649.1675796509</v>
      </c>
      <c r="BG203" s="2">
        <f t="shared" si="35"/>
        <v>20705262.190861225</v>
      </c>
      <c r="BH203" s="11">
        <f t="shared" si="36"/>
        <v>1.0768083880433617</v>
      </c>
      <c r="BI203" s="12">
        <f t="shared" si="37"/>
        <v>1.2964100768624309E-3</v>
      </c>
      <c r="BJ203" s="12">
        <f t="shared" si="38"/>
        <v>4.6137900457292602E-3</v>
      </c>
      <c r="BK203" s="12">
        <f t="shared" si="39"/>
        <v>2.8440062346395845E-2</v>
      </c>
      <c r="BL203" s="5">
        <f t="shared" si="40"/>
        <v>7.6808388043361653E-2</v>
      </c>
      <c r="BM203" s="19">
        <f t="shared" si="31"/>
        <v>5.0827294654457011E-2</v>
      </c>
      <c r="BN203" s="19" t="s">
        <v>53</v>
      </c>
      <c r="BO203" s="19" t="s">
        <v>53</v>
      </c>
    </row>
    <row r="204" spans="1:67" x14ac:dyDescent="0.25">
      <c r="A204" s="1">
        <v>45397</v>
      </c>
      <c r="B204" s="1" t="str">
        <f t="shared" si="33"/>
        <v>202404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f>I203*(1+((1+VLOOKUP($B204,'IPCA Hist'!$B:$C,2,0))^12 - 1)+$I$2)^(1/252)</f>
        <v>205174641.0272094</v>
      </c>
      <c r="J204" s="2">
        <f>J203*(1+((1+VLOOKUP($B204,'IPCA Hist'!$B:$C,2,0))^12 - 1)+$J$2)^(1/252)</f>
        <v>130726270.3510485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f>Q203*(1+((1+VLOOKUP($B204,'IPCA Hist'!$B:$C,2,0))^12 - 1)+$Q$2)^(1/252)</f>
        <v>44298604.95587945</v>
      </c>
      <c r="R204" s="2">
        <f>R203*(1+((1+VLOOKUP($B204,'IPCA Hist'!$B:$C,2,0))^12 - 1)+$R$2)^(1/252)</f>
        <v>44282245.760424159</v>
      </c>
      <c r="S204" s="2">
        <f>S203*(1+((1+VLOOKUP($B204,'IPCA Hist'!$B:$C,2,0))^12 - 1)+$S$2)^(1/252)</f>
        <v>45302331.454347402</v>
      </c>
      <c r="T204" s="2">
        <f>T203*(1+((1+VLOOKUP($B204,'IPCA Hist'!$B:$C,2,0))^12 - 1)+$T$2)^(1/252)</f>
        <v>228817114.28690442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f>AF203*(1+((1+VLOOKUP($B204,'IGPM Hist'!$B:$C,2,0))^12 - 1)+$AF$2)^(1/252)</f>
        <v>1618267.0827791954</v>
      </c>
      <c r="AG204" s="2">
        <f>350000*VLOOKUP(A204,'CVRDA6 Hist'!$A:$B,2,0)</f>
        <v>11538192.049999999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f>BA203*(1+VLOOKUP(A204,'SELIC Hist'!$A:$C,3,0))^(1/252)</f>
        <v>37147028.774186693</v>
      </c>
      <c r="BB204" s="2">
        <f t="shared" si="32"/>
        <v>748904695.74277914</v>
      </c>
      <c r="BC204" s="2">
        <v>0</v>
      </c>
      <c r="BD204" s="2">
        <v>0</v>
      </c>
      <c r="BE204" s="2">
        <f t="shared" si="41"/>
        <v>167900.47459840775</v>
      </c>
      <c r="BF204" s="2">
        <f t="shared" si="34"/>
        <v>3606549.6421780586</v>
      </c>
      <c r="BG204" s="2">
        <f t="shared" si="35"/>
        <v>20873162.665459633</v>
      </c>
      <c r="BH204" s="11">
        <f t="shared" si="36"/>
        <v>1.0770498569287517</v>
      </c>
      <c r="BI204" s="12">
        <f t="shared" si="37"/>
        <v>2.2424498923978575E-4</v>
      </c>
      <c r="BJ204" s="12">
        <f t="shared" si="38"/>
        <v>4.8390696542681688E-3</v>
      </c>
      <c r="BK204" s="12">
        <f t="shared" si="39"/>
        <v>2.8670684877110553E-2</v>
      </c>
      <c r="BL204" s="5">
        <f t="shared" si="40"/>
        <v>7.7049856928751659E-2</v>
      </c>
      <c r="BM204" s="19">
        <f t="shared" si="31"/>
        <v>5.0727496621969514E-2</v>
      </c>
      <c r="BN204" s="19" t="s">
        <v>53</v>
      </c>
      <c r="BO204" s="19" t="s">
        <v>53</v>
      </c>
    </row>
    <row r="205" spans="1:67" x14ac:dyDescent="0.25">
      <c r="A205" s="1">
        <v>45398</v>
      </c>
      <c r="B205" s="1" t="str">
        <f t="shared" si="33"/>
        <v>202404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f>I204*(1+((1+VLOOKUP($B205,'IPCA Hist'!$B:$C,2,0))^12 - 1)+$I$2)^(1/252)</f>
        <v>205254736.42789423</v>
      </c>
      <c r="J205" s="2">
        <f>J204*(1+((1+VLOOKUP($B205,'IPCA Hist'!$B:$C,2,0))^12 - 1)+$J$2)^(1/252)</f>
        <v>130774993.03935096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f>Q204*(1+((1+VLOOKUP($B205,'IPCA Hist'!$B:$C,2,0))^12 - 1)+$Q$2)^(1/252)</f>
        <v>44315083.366043709</v>
      </c>
      <c r="R205" s="2">
        <f>R204*(1+((1+VLOOKUP($B205,'IPCA Hist'!$B:$C,2,0))^12 - 1)+$R$2)^(1/252)</f>
        <v>44298734.090656683</v>
      </c>
      <c r="S205" s="2">
        <f>S204*(1+((1+VLOOKUP($B205,'IPCA Hist'!$B:$C,2,0))^12 - 1)+$S$2)^(1/252)</f>
        <v>45319003.021926127</v>
      </c>
      <c r="T205" s="2">
        <f>T204*(1+((1+VLOOKUP($B205,'IPCA Hist'!$B:$C,2,0))^12 - 1)+$T$2)^(1/252)</f>
        <v>228901237.75463364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f>AF204*(1+((1+VLOOKUP($B205,'IGPM Hist'!$B:$C,2,0))^12 - 1)+$AF$2)^(1/252)</f>
        <v>1618880.5394584923</v>
      </c>
      <c r="AG205" s="2">
        <f>350000*VLOOKUP(A205,'CVRDA6 Hist'!$A:$B,2,0)</f>
        <v>11708933.25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f>BA204*(1+VLOOKUP(A205,'SELIC Hist'!$A:$C,3,0))^(1/252)</f>
        <v>37161949.822344631</v>
      </c>
      <c r="BB205" s="2">
        <f t="shared" si="32"/>
        <v>749353551.31230855</v>
      </c>
      <c r="BC205" s="2">
        <v>0</v>
      </c>
      <c r="BD205" s="2">
        <v>0</v>
      </c>
      <c r="BE205" s="2">
        <f t="shared" si="41"/>
        <v>448855.56952941418</v>
      </c>
      <c r="BF205" s="2">
        <f t="shared" si="34"/>
        <v>4055405.2117074728</v>
      </c>
      <c r="BG205" s="2">
        <f t="shared" si="35"/>
        <v>21322018.234989047</v>
      </c>
      <c r="BH205" s="11">
        <f t="shared" si="36"/>
        <v>1.0776953860991407</v>
      </c>
      <c r="BI205" s="12">
        <f t="shared" si="37"/>
        <v>5.9934938595129772E-4</v>
      </c>
      <c r="BJ205" s="12">
        <f t="shared" si="38"/>
        <v>5.4413193336453336E-3</v>
      </c>
      <c r="BK205" s="12">
        <f t="shared" si="39"/>
        <v>2.9287218020437766E-2</v>
      </c>
      <c r="BL205" s="5">
        <f t="shared" si="40"/>
        <v>7.7695386099140729E-2</v>
      </c>
      <c r="BM205" s="19">
        <f t="shared" si="31"/>
        <v>5.1021713709201055E-2</v>
      </c>
      <c r="BN205" s="19" t="s">
        <v>53</v>
      </c>
      <c r="BO205" s="19" t="s">
        <v>53</v>
      </c>
    </row>
    <row r="206" spans="1:67" x14ac:dyDescent="0.25">
      <c r="A206" s="1">
        <v>45399</v>
      </c>
      <c r="B206" s="1" t="str">
        <f t="shared" si="33"/>
        <v>202404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f>I205*(1+((1+VLOOKUP($B206,'IPCA Hist'!$B:$C,2,0))^12 - 1)+$I$2)^(1/252)</f>
        <v>205334863.09595782</v>
      </c>
      <c r="J206" s="2">
        <f>J205*(1+((1+VLOOKUP($B206,'IPCA Hist'!$B:$C,2,0))^12 - 1)+$J$2)^(1/252)</f>
        <v>130823733.8869748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f>Q205*(1+((1+VLOOKUP($B206,'IPCA Hist'!$B:$C,2,0))^12 - 1)+$Q$2)^(1/252)</f>
        <v>44331567.905926988</v>
      </c>
      <c r="R206" s="2">
        <f>R205*(1+((1+VLOOKUP($B206,'IPCA Hist'!$B:$C,2,0))^12 - 1)+$R$2)^(1/252)</f>
        <v>44315228.560257912</v>
      </c>
      <c r="S206" s="2">
        <f>S205*(1+((1+VLOOKUP($B206,'IPCA Hist'!$B:$C,2,0))^12 - 1)+$S$2)^(1/252)</f>
        <v>45335680.72475566</v>
      </c>
      <c r="T206" s="2">
        <f>T205*(1+((1+VLOOKUP($B206,'IPCA Hist'!$B:$C,2,0))^12 - 1)+$T$2)^(1/252)</f>
        <v>228985392.14993504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f>AF205*(1+((1+VLOOKUP($B206,'IGPM Hist'!$B:$C,2,0))^12 - 1)+$AF$2)^(1/252)</f>
        <v>1619494.2286884612</v>
      </c>
      <c r="AG206" s="2">
        <f>350000*VLOOKUP(A206,'CVRDA6 Hist'!$A:$B,2,0)</f>
        <v>11727079.699999999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f>BA205*(1+VLOOKUP(A206,'SELIC Hist'!$A:$C,3,0))^(1/252)</f>
        <v>37176876.863920763</v>
      </c>
      <c r="BB206" s="2">
        <f t="shared" si="32"/>
        <v>749649917.11641753</v>
      </c>
      <c r="BC206" s="2">
        <v>0</v>
      </c>
      <c r="BD206" s="2">
        <v>0</v>
      </c>
      <c r="BE206" s="2">
        <f t="shared" si="41"/>
        <v>296365.80410897732</v>
      </c>
      <c r="BF206" s="2">
        <f t="shared" si="34"/>
        <v>4351771.0158164501</v>
      </c>
      <c r="BG206" s="2">
        <f t="shared" si="35"/>
        <v>21618384.039098024</v>
      </c>
      <c r="BH206" s="11">
        <f t="shared" si="36"/>
        <v>1.0781216095541795</v>
      </c>
      <c r="BI206" s="12">
        <f t="shared" si="37"/>
        <v>3.9549529536486716E-4</v>
      </c>
      <c r="BJ206" s="12">
        <f t="shared" si="38"/>
        <v>5.838966645207222E-3</v>
      </c>
      <c r="BK206" s="12">
        <f t="shared" si="39"/>
        <v>2.9694296272744003E-2</v>
      </c>
      <c r="BL206" s="5">
        <f t="shared" si="40"/>
        <v>7.8121609554179461E-2</v>
      </c>
      <c r="BM206" s="19">
        <f t="shared" si="31"/>
        <v>5.1101825406856705E-2</v>
      </c>
      <c r="BN206" s="19" t="s">
        <v>53</v>
      </c>
      <c r="BO206" s="19" t="s">
        <v>53</v>
      </c>
    </row>
    <row r="207" spans="1:67" x14ac:dyDescent="0.25">
      <c r="A207" s="1">
        <v>45400</v>
      </c>
      <c r="B207" s="1" t="str">
        <f t="shared" si="33"/>
        <v>202404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f>I206*(1+((1+VLOOKUP($B207,'IPCA Hist'!$B:$C,2,0))^12 - 1)+$I$2)^(1/252)</f>
        <v>205415021.04360619</v>
      </c>
      <c r="J207" s="2">
        <f>J206*(1+((1+VLOOKUP($B207,'IPCA Hist'!$B:$C,2,0))^12 - 1)+$J$2)^(1/252)</f>
        <v>130872492.90068813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f>Q206*(1+((1+VLOOKUP($B207,'IPCA Hist'!$B:$C,2,0))^12 - 1)+$Q$2)^(1/252)</f>
        <v>44348058.577809453</v>
      </c>
      <c r="R207" s="2">
        <f>R206*(1+((1+VLOOKUP($B207,'IPCA Hist'!$B:$C,2,0))^12 - 1)+$R$2)^(1/252)</f>
        <v>44331729.171513818</v>
      </c>
      <c r="S207" s="2">
        <f>S206*(1+((1+VLOOKUP($B207,'IPCA Hist'!$B:$C,2,0))^12 - 1)+$S$2)^(1/252)</f>
        <v>45352364.565093808</v>
      </c>
      <c r="T207" s="2">
        <f>T206*(1+((1+VLOOKUP($B207,'IPCA Hist'!$B:$C,2,0))^12 - 1)+$T$2)^(1/252)</f>
        <v>229069577.48417902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f>AF206*(1+((1+VLOOKUP($B207,'IGPM Hist'!$B:$C,2,0))^12 - 1)+$AF$2)^(1/252)</f>
        <v>1620108.1505572579</v>
      </c>
      <c r="AG207" s="2">
        <f>350000*VLOOKUP(A207,'CVRDA6 Hist'!$A:$B,2,0)</f>
        <v>11679528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f>BA206*(1+VLOOKUP(A207,'SELIC Hist'!$A:$C,3,0))^(1/252)</f>
        <v>37191809.901322499</v>
      </c>
      <c r="BB207" s="2">
        <f t="shared" si="32"/>
        <v>749880689.79477012</v>
      </c>
      <c r="BC207" s="2">
        <v>0</v>
      </c>
      <c r="BD207" s="2">
        <v>0</v>
      </c>
      <c r="BE207" s="2">
        <f t="shared" si="41"/>
        <v>230772.67835259438</v>
      </c>
      <c r="BF207" s="2">
        <f t="shared" si="34"/>
        <v>4582543.6941690445</v>
      </c>
      <c r="BG207" s="2">
        <f t="shared" si="35"/>
        <v>21849156.717450619</v>
      </c>
      <c r="BH207" s="11">
        <f t="shared" si="36"/>
        <v>1.0784534991545727</v>
      </c>
      <c r="BI207" s="12">
        <f t="shared" si="37"/>
        <v>3.0784059743549363E-4</v>
      </c>
      <c r="BJ207" s="12">
        <f t="shared" si="38"/>
        <v>6.148604713623218E-3</v>
      </c>
      <c r="BK207" s="12">
        <f t="shared" si="39"/>
        <v>3.0011277980084516E-2</v>
      </c>
      <c r="BL207" s="5">
        <f t="shared" si="40"/>
        <v>7.845349915457267E-2</v>
      </c>
      <c r="BM207" s="19">
        <f t="shared" si="31"/>
        <v>5.1089837524961323E-2</v>
      </c>
      <c r="BN207" s="19" t="s">
        <v>53</v>
      </c>
      <c r="BO207" s="19" t="s">
        <v>53</v>
      </c>
    </row>
    <row r="208" spans="1:67" x14ac:dyDescent="0.25">
      <c r="A208" s="1">
        <v>45401</v>
      </c>
      <c r="B208" s="1" t="str">
        <f t="shared" si="33"/>
        <v>202404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f>I207*(1+((1+VLOOKUP($B208,'IPCA Hist'!$B:$C,2,0))^12 - 1)+$I$2)^(1/252)</f>
        <v>205495210.28305021</v>
      </c>
      <c r="J208" s="2">
        <f>J207*(1+((1+VLOOKUP($B208,'IPCA Hist'!$B:$C,2,0))^12 - 1)+$J$2)^(1/252)</f>
        <v>130921270.08726159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f>Q207*(1+((1+VLOOKUP($B208,'IPCA Hist'!$B:$C,2,0))^12 - 1)+$Q$2)^(1/252)</f>
        <v>44364555.383972116</v>
      </c>
      <c r="R208" s="2">
        <f>R207*(1+((1+VLOOKUP($B208,'IPCA Hist'!$B:$C,2,0))^12 - 1)+$R$2)^(1/252)</f>
        <v>44348235.926711224</v>
      </c>
      <c r="S208" s="2">
        <f>S207*(1+((1+VLOOKUP($B208,'IPCA Hist'!$B:$C,2,0))^12 - 1)+$S$2)^(1/252)</f>
        <v>45369054.545199223</v>
      </c>
      <c r="T208" s="2">
        <f>T207*(1+((1+VLOOKUP($B208,'IPCA Hist'!$B:$C,2,0))^12 - 1)+$T$2)^(1/252)</f>
        <v>229153793.76874012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f>AF207*(1+((1+VLOOKUP($B208,'IGPM Hist'!$B:$C,2,0))^12 - 1)+$AF$2)^(1/252)</f>
        <v>1620722.3051530716</v>
      </c>
      <c r="AG208" s="2">
        <f>350000*VLOOKUP(A208,'CVRDA6 Hist'!$A:$B,2,0)</f>
        <v>11663660.049999999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f>BA207*(1+VLOOKUP(A208,'SELIC Hist'!$A:$C,3,0))^(1/252)</f>
        <v>37206748.936958216</v>
      </c>
      <c r="BB208" s="2">
        <f t="shared" si="32"/>
        <v>750143251.2870456</v>
      </c>
      <c r="BC208" s="2">
        <v>0</v>
      </c>
      <c r="BD208" s="2">
        <v>0</v>
      </c>
      <c r="BE208" s="2">
        <f t="shared" si="41"/>
        <v>262561.49227547646</v>
      </c>
      <c r="BF208" s="2">
        <f t="shared" si="34"/>
        <v>4845105.186444521</v>
      </c>
      <c r="BG208" s="2">
        <f t="shared" si="35"/>
        <v>22111718.209726095</v>
      </c>
      <c r="BH208" s="11">
        <f t="shared" si="36"/>
        <v>1.0788311063712157</v>
      </c>
      <c r="BI208" s="12">
        <f t="shared" si="37"/>
        <v>3.5013768970015846E-4</v>
      </c>
      <c r="BJ208" s="12">
        <f t="shared" si="38"/>
        <v>6.5008952615726034E-3</v>
      </c>
      <c r="BK208" s="12">
        <f t="shared" si="39"/>
        <v>3.0371923749321628E-2</v>
      </c>
      <c r="BL208" s="5">
        <f t="shared" si="40"/>
        <v>7.8831106371215709E-2</v>
      </c>
      <c r="BM208" s="19">
        <f t="shared" si="31"/>
        <v>5.1122292557659543E-2</v>
      </c>
      <c r="BN208" s="19" t="s">
        <v>53</v>
      </c>
      <c r="BO208" s="19" t="s">
        <v>53</v>
      </c>
    </row>
    <row r="209" spans="1:67" x14ac:dyDescent="0.25">
      <c r="A209" s="1">
        <v>45404</v>
      </c>
      <c r="B209" s="1" t="str">
        <f t="shared" si="33"/>
        <v>202404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f>I208*(1+((1+VLOOKUP($B209,'IPCA Hist'!$B:$C,2,0))^12 - 1)+$I$2)^(1/252)</f>
        <v>205575430.82650542</v>
      </c>
      <c r="J209" s="2">
        <f>J208*(1+((1+VLOOKUP($B209,'IPCA Hist'!$B:$C,2,0))^12 - 1)+$J$2)^(1/252)</f>
        <v>130970065.45346835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f>Q208*(1+((1+VLOOKUP($B209,'IPCA Hist'!$B:$C,2,0))^12 - 1)+$Q$2)^(1/252)</f>
        <v>44381058.326696835</v>
      </c>
      <c r="R209" s="2">
        <f>R208*(1+((1+VLOOKUP($B209,'IPCA Hist'!$B:$C,2,0))^12 - 1)+$R$2)^(1/252)</f>
        <v>44364748.828137808</v>
      </c>
      <c r="S209" s="2">
        <f>S208*(1+((1+VLOOKUP($B209,'IPCA Hist'!$B:$C,2,0))^12 - 1)+$S$2)^(1/252)</f>
        <v>45385750.667331375</v>
      </c>
      <c r="T209" s="2">
        <f>T208*(1+((1+VLOOKUP($B209,'IPCA Hist'!$B:$C,2,0))^12 - 1)+$T$2)^(1/252)</f>
        <v>229238041.01499707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f>AF208*(1+((1+VLOOKUP($B209,'IGPM Hist'!$B:$C,2,0))^12 - 1)+$AF$2)^(1/252)</f>
        <v>1621336.6925641252</v>
      </c>
      <c r="AG209" s="2">
        <f>350000*VLOOKUP(A209,'CVRDA6 Hist'!$A:$B,2,0)</f>
        <v>11960714.5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f>BA208*(1+VLOOKUP(A209,'SELIC Hist'!$A:$C,3,0))^(1/252)</f>
        <v>37221693.973237254</v>
      </c>
      <c r="BB209" s="2">
        <f t="shared" si="32"/>
        <v>750718840.28293824</v>
      </c>
      <c r="BC209" s="2">
        <v>0</v>
      </c>
      <c r="BD209" s="2">
        <v>0</v>
      </c>
      <c r="BE209" s="2">
        <f t="shared" si="41"/>
        <v>575588.99589264393</v>
      </c>
      <c r="BF209" s="2">
        <f t="shared" si="34"/>
        <v>5420694.1823371649</v>
      </c>
      <c r="BG209" s="2">
        <f t="shared" si="35"/>
        <v>22687307.205618739</v>
      </c>
      <c r="BH209" s="11">
        <f t="shared" si="36"/>
        <v>1.0796588993456755</v>
      </c>
      <c r="BI209" s="12">
        <f t="shared" si="37"/>
        <v>7.6730543786807104E-4</v>
      </c>
      <c r="BJ209" s="12">
        <f t="shared" si="38"/>
        <v>7.2731888717258997E-3</v>
      </c>
      <c r="BK209" s="12">
        <f t="shared" si="39"/>
        <v>3.1162533729441E-2</v>
      </c>
      <c r="BL209" s="5">
        <f t="shared" si="40"/>
        <v>7.9658899345675493E-2</v>
      </c>
      <c r="BM209" s="19">
        <f t="shared" si="31"/>
        <v>5.1593101889625403E-2</v>
      </c>
      <c r="BN209" s="19" t="s">
        <v>53</v>
      </c>
      <c r="BO209" s="19" t="s">
        <v>53</v>
      </c>
    </row>
    <row r="210" spans="1:67" x14ac:dyDescent="0.25">
      <c r="A210" s="1">
        <v>45405</v>
      </c>
      <c r="B210" s="1" t="str">
        <f t="shared" si="33"/>
        <v>202404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f>I209*(1+((1+VLOOKUP($B210,'IPCA Hist'!$B:$C,2,0))^12 - 1)+$I$2)^(1/252)</f>
        <v>205655682.68619221</v>
      </c>
      <c r="J210" s="2">
        <f>J209*(1+((1+VLOOKUP($B210,'IPCA Hist'!$B:$C,2,0))^12 - 1)+$J$2)^(1/252)</f>
        <v>131018879.00608411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f>Q209*(1+((1+VLOOKUP($B210,'IPCA Hist'!$B:$C,2,0))^12 - 1)+$Q$2)^(1/252)</f>
        <v>44397567.408266321</v>
      </c>
      <c r="R210" s="2">
        <f>R209*(1+((1+VLOOKUP($B210,'IPCA Hist'!$B:$C,2,0))^12 - 1)+$R$2)^(1/252)</f>
        <v>44381267.878082089</v>
      </c>
      <c r="S210" s="2">
        <f>S209*(1+((1+VLOOKUP($B210,'IPCA Hist'!$B:$C,2,0))^12 - 1)+$S$2)^(1/252)</f>
        <v>45402452.933750577</v>
      </c>
      <c r="T210" s="2">
        <f>T209*(1+((1+VLOOKUP($B210,'IPCA Hist'!$B:$C,2,0))^12 - 1)+$T$2)^(1/252)</f>
        <v>229322319.23433277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f>AF209*(1+((1+VLOOKUP($B210,'IGPM Hist'!$B:$C,2,0))^12 - 1)+$AF$2)^(1/252)</f>
        <v>1621951.3128786746</v>
      </c>
      <c r="AG210" s="2">
        <f>350000*VLOOKUP(A210,'CVRDA6 Hist'!$A:$B,2,0)</f>
        <v>11377292.850000001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f>BA209*(1+VLOOKUP(A210,'SELIC Hist'!$A:$C,3,0))^(1/252)</f>
        <v>37236645.012569919</v>
      </c>
      <c r="BB210" s="2">
        <f t="shared" si="32"/>
        <v>750414058.32215679</v>
      </c>
      <c r="BC210" s="2">
        <v>0</v>
      </c>
      <c r="BD210" s="2">
        <v>0</v>
      </c>
      <c r="BE210" s="2">
        <f t="shared" si="41"/>
        <v>-304781.96078145504</v>
      </c>
      <c r="BF210" s="2">
        <f t="shared" si="34"/>
        <v>5115912.2215557098</v>
      </c>
      <c r="BG210" s="2">
        <f t="shared" si="35"/>
        <v>22382525.244837284</v>
      </c>
      <c r="BH210" s="11">
        <f t="shared" si="36"/>
        <v>1.0792205720536714</v>
      </c>
      <c r="BI210" s="12">
        <f t="shared" si="37"/>
        <v>-4.0598682812664766E-4</v>
      </c>
      <c r="BJ210" s="12">
        <f t="shared" si="38"/>
        <v>6.8642492247188436E-3</v>
      </c>
      <c r="BK210" s="12">
        <f t="shared" si="39"/>
        <v>3.0743895323089188E-2</v>
      </c>
      <c r="BL210" s="5">
        <f t="shared" si="40"/>
        <v>7.922057205367139E-2</v>
      </c>
      <c r="BM210" s="19">
        <f t="shared" si="31"/>
        <v>5.083068874653085E-2</v>
      </c>
      <c r="BN210" s="19" t="s">
        <v>53</v>
      </c>
      <c r="BO210" s="19" t="s">
        <v>53</v>
      </c>
    </row>
    <row r="211" spans="1:67" x14ac:dyDescent="0.25">
      <c r="A211" s="1">
        <v>45406</v>
      </c>
      <c r="B211" s="1" t="str">
        <f t="shared" si="33"/>
        <v>202404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f>I210*(1+((1+VLOOKUP($B211,'IPCA Hist'!$B:$C,2,0))^12 - 1)+$I$2)^(1/252)</f>
        <v>205735965.87433571</v>
      </c>
      <c r="J211" s="2">
        <f>J210*(1+((1+VLOOKUP($B211,'IPCA Hist'!$B:$C,2,0))^12 - 1)+$J$2)^(1/252)</f>
        <v>131067710.75188708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f>Q210*(1+((1+VLOOKUP($B211,'IPCA Hist'!$B:$C,2,0))^12 - 1)+$Q$2)^(1/252)</f>
        <v>44414082.63096413</v>
      </c>
      <c r="R211" s="2">
        <f>R210*(1+((1+VLOOKUP($B211,'IPCA Hist'!$B:$C,2,0))^12 - 1)+$R$2)^(1/252)</f>
        <v>44397793.078833446</v>
      </c>
      <c r="S211" s="2">
        <f>S210*(1+((1+VLOOKUP($B211,'IPCA Hist'!$B:$C,2,0))^12 - 1)+$S$2)^(1/252)</f>
        <v>45419161.346717969</v>
      </c>
      <c r="T211" s="2">
        <f>T210*(1+((1+VLOOKUP($B211,'IPCA Hist'!$B:$C,2,0))^12 - 1)+$T$2)^(1/252)</f>
        <v>229406628.43813431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f>AF210*(1+((1+VLOOKUP($B211,'IGPM Hist'!$B:$C,2,0))^12 - 1)+$AF$2)^(1/252)</f>
        <v>1622566.1661850098</v>
      </c>
      <c r="AG211" s="2">
        <f>350000*VLOOKUP(A211,'CVRDA6 Hist'!$A:$B,2,0)</f>
        <v>11703866.300000001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f>BA210*(1+VLOOKUP(A211,'SELIC Hist'!$A:$C,3,0))^(1/252)</f>
        <v>37251602.057367504</v>
      </c>
      <c r="BB211" s="2">
        <f t="shared" si="32"/>
        <v>751019376.64442515</v>
      </c>
      <c r="BC211" s="2">
        <v>0</v>
      </c>
      <c r="BD211" s="2">
        <v>0</v>
      </c>
      <c r="BE211" s="2">
        <f t="shared" si="41"/>
        <v>605318.32226836681</v>
      </c>
      <c r="BF211" s="2">
        <f t="shared" si="34"/>
        <v>5721230.5438240767</v>
      </c>
      <c r="BG211" s="2">
        <f t="shared" si="35"/>
        <v>22987843.567105651</v>
      </c>
      <c r="BH211" s="11">
        <f t="shared" si="36"/>
        <v>1.080091120757801</v>
      </c>
      <c r="BI211" s="12">
        <f t="shared" si="37"/>
        <v>8.0664576516831232E-4</v>
      </c>
      <c r="BJ211" s="12">
        <f t="shared" si="38"/>
        <v>7.6764320074553805E-3</v>
      </c>
      <c r="BK211" s="12">
        <f t="shared" si="39"/>
        <v>3.1575340521224682E-2</v>
      </c>
      <c r="BL211" s="5">
        <f t="shared" si="40"/>
        <v>8.0091120757801004E-2</v>
      </c>
      <c r="BM211" s="19">
        <f t="shared" si="31"/>
        <v>5.1342692139743296E-2</v>
      </c>
      <c r="BN211" s="19" t="s">
        <v>53</v>
      </c>
      <c r="BO211" s="19" t="s">
        <v>53</v>
      </c>
    </row>
    <row r="212" spans="1:67" x14ac:dyDescent="0.25">
      <c r="A212" s="1">
        <v>45407</v>
      </c>
      <c r="B212" s="1" t="str">
        <f t="shared" si="33"/>
        <v>202404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f>I211*(1+((1+VLOOKUP($B212,'IPCA Hist'!$B:$C,2,0))^12 - 1)+$I$2)^(1/252)</f>
        <v>205816280.40316579</v>
      </c>
      <c r="J212" s="2">
        <f>J211*(1+((1+VLOOKUP($B212,'IPCA Hist'!$B:$C,2,0))^12 - 1)+$J$2)^(1/252)</f>
        <v>131116560.69765799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f>Q211*(1+((1+VLOOKUP($B212,'IPCA Hist'!$B:$C,2,0))^12 - 1)+$Q$2)^(1/252)</f>
        <v>44430603.997074671</v>
      </c>
      <c r="R212" s="2">
        <f>R211*(1+((1+VLOOKUP($B212,'IPCA Hist'!$B:$C,2,0))^12 - 1)+$R$2)^(1/252)</f>
        <v>44414324.432682112</v>
      </c>
      <c r="S212" s="2">
        <f>S211*(1+((1+VLOOKUP($B212,'IPCA Hist'!$B:$C,2,0))^12 - 1)+$S$2)^(1/252)</f>
        <v>45435875.908495523</v>
      </c>
      <c r="T212" s="2">
        <f>T211*(1+((1+VLOOKUP($B212,'IPCA Hist'!$B:$C,2,0))^12 - 1)+$T$2)^(1/252)</f>
        <v>229490968.637793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f>AF211*(1+((1+VLOOKUP($B212,'IGPM Hist'!$B:$C,2,0))^12 - 1)+$AF$2)^(1/252)</f>
        <v>1623181.2525714536</v>
      </c>
      <c r="AG212" s="2">
        <f>350000*VLOOKUP(A212,'CVRDA6 Hist'!$A:$B,2,0)</f>
        <v>11527080.25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f>BA211*(1+VLOOKUP(A212,'SELIC Hist'!$A:$C,3,0))^(1/252)</f>
        <v>37266565.110042244</v>
      </c>
      <c r="BB212" s="2">
        <f t="shared" si="32"/>
        <v>751121440.68948269</v>
      </c>
      <c r="BC212" s="2">
        <v>0</v>
      </c>
      <c r="BD212" s="2">
        <v>0</v>
      </c>
      <c r="BE212" s="2">
        <f t="shared" si="41"/>
        <v>102064.04505753517</v>
      </c>
      <c r="BF212" s="2">
        <f t="shared" si="34"/>
        <v>5823294.5888816118</v>
      </c>
      <c r="BG212" s="2">
        <f t="shared" si="35"/>
        <v>23089907.612163186</v>
      </c>
      <c r="BH212" s="11">
        <f t="shared" si="36"/>
        <v>1.0802379058771248</v>
      </c>
      <c r="BI212" s="12">
        <f t="shared" si="37"/>
        <v>1.359006814358743E-4</v>
      </c>
      <c r="BJ212" s="12">
        <f t="shared" si="38"/>
        <v>7.8133759212319909E-3</v>
      </c>
      <c r="BK212" s="12">
        <f t="shared" si="39"/>
        <v>3.1715532312953876E-2</v>
      </c>
      <c r="BL212" s="5">
        <f t="shared" si="40"/>
        <v>8.023790587712476E-2</v>
      </c>
      <c r="BM212" s="19">
        <f t="shared" si="31"/>
        <v>5.1149986040091022E-2</v>
      </c>
      <c r="BN212" s="19" t="s">
        <v>53</v>
      </c>
      <c r="BO212" s="19" t="s">
        <v>53</v>
      </c>
    </row>
    <row r="213" spans="1:67" x14ac:dyDescent="0.25">
      <c r="A213" s="1">
        <v>45408</v>
      </c>
      <c r="B213" s="1" t="str">
        <f t="shared" si="33"/>
        <v>202404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f>I212*(1+((1+VLOOKUP($B213,'IPCA Hist'!$B:$C,2,0))^12 - 1)+$I$2)^(1/252)</f>
        <v>205896626.28491715</v>
      </c>
      <c r="J213" s="2">
        <f>J212*(1+((1+VLOOKUP($B213,'IPCA Hist'!$B:$C,2,0))^12 - 1)+$J$2)^(1/252)</f>
        <v>131165428.8501801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f>Q212*(1+((1+VLOOKUP($B213,'IPCA Hist'!$B:$C,2,0))^12 - 1)+$Q$2)^(1/252)</f>
        <v>44447131.508883193</v>
      </c>
      <c r="R213" s="2">
        <f>R212*(1+((1+VLOOKUP($B213,'IPCA Hist'!$B:$C,2,0))^12 - 1)+$R$2)^(1/252)</f>
        <v>44430861.94191917</v>
      </c>
      <c r="S213" s="2">
        <f>S212*(1+((1+VLOOKUP($B213,'IPCA Hist'!$B:$C,2,0))^12 - 1)+$S$2)^(1/252)</f>
        <v>45452596.621346042</v>
      </c>
      <c r="T213" s="2">
        <f>T212*(1+((1+VLOOKUP($B213,'IPCA Hist'!$B:$C,2,0))^12 - 1)+$T$2)^(1/252)</f>
        <v>229575339.8447043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f>AF212*(1+((1+VLOOKUP($B213,'IGPM Hist'!$B:$C,2,0))^12 - 1)+$AF$2)^(1/252)</f>
        <v>1623796.5721263627</v>
      </c>
      <c r="AG213" s="2">
        <f>350000*VLOOKUP(A213,'CVRDA6 Hist'!$A:$B,2,0)</f>
        <v>11816920.5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f>BA212*(1+VLOOKUP(A213,'SELIC Hist'!$A:$C,3,0))^(1/252)</f>
        <v>37281534.173007362</v>
      </c>
      <c r="BB213" s="2">
        <f t="shared" si="32"/>
        <v>751690236.29708374</v>
      </c>
      <c r="BC213" s="2">
        <v>0</v>
      </c>
      <c r="BD213" s="2">
        <v>0</v>
      </c>
      <c r="BE213" s="2">
        <f t="shared" si="41"/>
        <v>568795.60760104656</v>
      </c>
      <c r="BF213" s="2">
        <f t="shared" si="34"/>
        <v>6392090.1964826584</v>
      </c>
      <c r="BG213" s="2">
        <f t="shared" si="35"/>
        <v>23658703.219764233</v>
      </c>
      <c r="BH213" s="11">
        <f t="shared" si="36"/>
        <v>1.0810559288262007</v>
      </c>
      <c r="BI213" s="12">
        <f t="shared" si="37"/>
        <v>7.5726184447466593E-4</v>
      </c>
      <c r="BJ213" s="12">
        <f t="shared" si="38"/>
        <v>8.5765545371683238E-3</v>
      </c>
      <c r="BK213" s="12">
        <f t="shared" si="39"/>
        <v>3.2496811119926416E-2</v>
      </c>
      <c r="BL213" s="5">
        <f t="shared" si="40"/>
        <v>8.1055928826200718E-2</v>
      </c>
      <c r="BM213" s="19">
        <f t="shared" si="31"/>
        <v>5.1610249509395523E-2</v>
      </c>
      <c r="BN213" s="19" t="s">
        <v>53</v>
      </c>
      <c r="BO213" s="19" t="s">
        <v>53</v>
      </c>
    </row>
    <row r="214" spans="1:67" x14ac:dyDescent="0.25">
      <c r="A214" s="1">
        <v>45411</v>
      </c>
      <c r="B214" s="1" t="str">
        <f t="shared" si="33"/>
        <v>202404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f>I213*(1+((1+VLOOKUP($B214,'IPCA Hist'!$B:$C,2,0))^12 - 1)+$I$2)^(1/252)</f>
        <v>205977003.53182924</v>
      </c>
      <c r="J214" s="2">
        <f>J213*(1+((1+VLOOKUP($B214,'IPCA Hist'!$B:$C,2,0))^12 - 1)+$J$2)^(1/252)</f>
        <v>131214315.21623923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f>Q213*(1+((1+VLOOKUP($B214,'IPCA Hist'!$B:$C,2,0))^12 - 1)+$Q$2)^(1/252)</f>
        <v>44463665.16867581</v>
      </c>
      <c r="R214" s="2">
        <f>R213*(1+((1+VLOOKUP($B214,'IPCA Hist'!$B:$C,2,0))^12 - 1)+$R$2)^(1/252)</f>
        <v>44447405.608836554</v>
      </c>
      <c r="S214" s="2">
        <f>S213*(1+((1+VLOOKUP($B214,'IPCA Hist'!$B:$C,2,0))^12 - 1)+$S$2)^(1/252)</f>
        <v>45469323.48753316</v>
      </c>
      <c r="T214" s="2">
        <f>T213*(1+((1+VLOOKUP($B214,'IPCA Hist'!$B:$C,2,0))^12 - 1)+$T$2)^(1/252)</f>
        <v>229659742.07026786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f>AF213*(1+((1+VLOOKUP($B214,'IGPM Hist'!$B:$C,2,0))^12 - 1)+$AF$2)^(1/252)</f>
        <v>1624412.1249381271</v>
      </c>
      <c r="AG214" s="2">
        <f>350000*VLOOKUP(A214,'CVRDA6 Hist'!$A:$B,2,0)</f>
        <v>11898434.450000001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f>BA213*(1+VLOOKUP(A214,'SELIC Hist'!$A:$C,3,0))^(1/252)</f>
        <v>37296509.248677038</v>
      </c>
      <c r="BB214" s="2">
        <f t="shared" si="32"/>
        <v>752050810.90699697</v>
      </c>
      <c r="BC214" s="2">
        <v>0</v>
      </c>
      <c r="BD214" s="2">
        <v>0</v>
      </c>
      <c r="BE214" s="2">
        <f t="shared" si="41"/>
        <v>360574.60991322994</v>
      </c>
      <c r="BF214" s="2">
        <f t="shared" si="34"/>
        <v>6752664.8063958883</v>
      </c>
      <c r="BG214" s="2">
        <f t="shared" si="35"/>
        <v>24019277.829677463</v>
      </c>
      <c r="BH214" s="11">
        <f t="shared" si="36"/>
        <v>1.0815744952529127</v>
      </c>
      <c r="BI214" s="12">
        <f t="shared" si="37"/>
        <v>4.7968510498352934E-4</v>
      </c>
      <c r="BJ214" s="12">
        <f t="shared" si="38"/>
        <v>9.0603536876154855E-3</v>
      </c>
      <c r="BK214" s="12">
        <f t="shared" si="39"/>
        <v>3.2992084461163529E-2</v>
      </c>
      <c r="BL214" s="5">
        <f t="shared" si="40"/>
        <v>8.1574495252912715E-2</v>
      </c>
      <c r="BM214" s="19">
        <f t="shared" si="31"/>
        <v>5.1778904051334562E-2</v>
      </c>
      <c r="BN214" s="19" t="s">
        <v>53</v>
      </c>
      <c r="BO214" s="19" t="s">
        <v>53</v>
      </c>
    </row>
    <row r="215" spans="1:67" x14ac:dyDescent="0.25">
      <c r="A215" s="1">
        <v>45412</v>
      </c>
      <c r="B215" s="1" t="str">
        <f t="shared" si="33"/>
        <v>202404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f>I214*(1+((1+VLOOKUP($B215,'IPCA Hist'!$B:$C,2,0))^12 - 1)+$I$2)^(1/252)</f>
        <v>206057412.15614629</v>
      </c>
      <c r="J215" s="2">
        <f>J214*(1+((1+VLOOKUP($B215,'IPCA Hist'!$B:$C,2,0))^12 - 1)+$J$2)^(1/252)</f>
        <v>131263219.80262369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f>Q214*(1+((1+VLOOKUP($B215,'IPCA Hist'!$B:$C,2,0))^12 - 1)+$Q$2)^(1/252)</f>
        <v>44480204.978739478</v>
      </c>
      <c r="R215" s="2">
        <f>R214*(1+((1+VLOOKUP($B215,'IPCA Hist'!$B:$C,2,0))^12 - 1)+$R$2)^(1/252)</f>
        <v>44463955.435727052</v>
      </c>
      <c r="S215" s="2">
        <f>S214*(1+((1+VLOOKUP($B215,'IPCA Hist'!$B:$C,2,0))^12 - 1)+$S$2)^(1/252)</f>
        <v>45486056.509321347</v>
      </c>
      <c r="T215" s="2">
        <f>T214*(1+((1+VLOOKUP($B215,'IPCA Hist'!$B:$C,2,0))^12 - 1)+$T$2)^(1/252)</f>
        <v>229744175.32588756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f>AF214*(1+((1+VLOOKUP($B215,'IGPM Hist'!$B:$C,2,0))^12 - 1)+$AF$2)^(1/252)</f>
        <v>1625027.9110951705</v>
      </c>
      <c r="AG215" s="2">
        <f>350000*VLOOKUP(A215,'CVRDA6 Hist'!$A:$B,2,0)</f>
        <v>11969479.9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f>BA214*(1+VLOOKUP(A215,'SELIC Hist'!$A:$C,3,0))^(1/252)</f>
        <v>37311490.339466438</v>
      </c>
      <c r="BB215" s="2">
        <f t="shared" si="32"/>
        <v>752401022.359007</v>
      </c>
      <c r="BC215" s="2">
        <v>0</v>
      </c>
      <c r="BD215" s="2">
        <v>0</v>
      </c>
      <c r="BE215" s="2">
        <f t="shared" si="41"/>
        <v>350211.45201003551</v>
      </c>
      <c r="BF215" s="2">
        <f t="shared" si="34"/>
        <v>7102876.2584059238</v>
      </c>
      <c r="BG215" s="2">
        <f t="shared" si="35"/>
        <v>24369489.281687498</v>
      </c>
      <c r="BH215" s="11">
        <f t="shared" si="36"/>
        <v>1.0820781577301632</v>
      </c>
      <c r="BI215" s="12">
        <f t="shared" si="37"/>
        <v>4.6567525349483496E-4</v>
      </c>
      <c r="BJ215" s="12">
        <f t="shared" si="38"/>
        <v>9.5302481236105852E-3</v>
      </c>
      <c r="BK215" s="12">
        <f t="shared" si="39"/>
        <v>3.3473123311953179E-2</v>
      </c>
      <c r="BL215" s="5">
        <f t="shared" si="40"/>
        <v>8.2078157730163248E-2</v>
      </c>
      <c r="BM215" s="19">
        <f t="shared" si="31"/>
        <v>5.1932853999107964E-2</v>
      </c>
      <c r="BN215" s="19" t="s">
        <v>53</v>
      </c>
      <c r="BO215" s="19" t="s">
        <v>53</v>
      </c>
    </row>
    <row r="216" spans="1:67" x14ac:dyDescent="0.25">
      <c r="A216" s="1">
        <v>45414</v>
      </c>
      <c r="B216" s="1" t="str">
        <f t="shared" si="33"/>
        <v>202405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f>I215*(1+((1+VLOOKUP($B216,'IPCA Hist'!$B:$C,2,0))^12 - 1)+$I$2)^(1/252)</f>
        <v>206145271.65122417</v>
      </c>
      <c r="J216" s="2">
        <f>J215*(1+((1+VLOOKUP($B216,'IPCA Hist'!$B:$C,2,0))^12 - 1)+$J$2)^(1/252)</f>
        <v>131316889.89721052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f>Q215*(1+((1+VLOOKUP($B216,'IPCA Hist'!$B:$C,2,0))^12 - 1)+$Q$2)^(1/252)</f>
        <v>44498359.908163756</v>
      </c>
      <c r="R216" s="2">
        <f>R215*(1+((1+VLOOKUP($B216,'IPCA Hist'!$B:$C,2,0))^12 - 1)+$R$2)^(1/252)</f>
        <v>44482119.658705324</v>
      </c>
      <c r="S216" s="2">
        <f>S215*(1+((1+VLOOKUP($B216,'IPCA Hist'!$B:$C,2,0))^12 - 1)+$S$2)^(1/252)</f>
        <v>45504442.675688483</v>
      </c>
      <c r="T216" s="2">
        <f>T215*(1+((1+VLOOKUP($B216,'IPCA Hist'!$B:$C,2,0))^12 - 1)+$T$2)^(1/252)</f>
        <v>229836959.09120041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f>AF215*(1+((1+VLOOKUP($B216,'IGPM Hist'!$B:$C,2,0))^12 - 1)+$AF$2)^(1/252)</f>
        <v>1626067.0052664748</v>
      </c>
      <c r="AG216" s="2">
        <f>350000*VLOOKUP(A216,'CVRDA6 Hist'!$A:$B,2,0)</f>
        <v>11683551.949999999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f>BA215*(1+VLOOKUP(A216,'SELIC Hist'!$A:$C,3,0))^(1/252)</f>
        <v>37326477.447791681</v>
      </c>
      <c r="BB216" s="2">
        <f t="shared" si="32"/>
        <v>752420139.28525078</v>
      </c>
      <c r="BC216" s="2">
        <v>0</v>
      </c>
      <c r="BD216" s="2">
        <v>0</v>
      </c>
      <c r="BE216" s="2">
        <f t="shared" si="41"/>
        <v>19116.926243782043</v>
      </c>
      <c r="BF216" s="2">
        <f t="shared" si="34"/>
        <v>19116.926243782043</v>
      </c>
      <c r="BG216" s="2">
        <f t="shared" si="35"/>
        <v>24388606.20793128</v>
      </c>
      <c r="BH216" s="11">
        <f t="shared" si="36"/>
        <v>1.082105651058477</v>
      </c>
      <c r="BI216" s="12">
        <f t="shared" si="37"/>
        <v>2.5407895092754984E-5</v>
      </c>
      <c r="BJ216" s="12">
        <f t="shared" si="38"/>
        <v>2.5407895092754984E-5</v>
      </c>
      <c r="BK216" s="12">
        <f t="shared" si="39"/>
        <v>3.3499381688651519E-2</v>
      </c>
      <c r="BL216" s="5">
        <f t="shared" si="40"/>
        <v>8.2105651058477003E-2</v>
      </c>
      <c r="BM216" s="19">
        <f t="shared" si="31"/>
        <v>5.1623841513970925E-2</v>
      </c>
      <c r="BN216" s="19" t="s">
        <v>53</v>
      </c>
      <c r="BO216" s="19" t="s">
        <v>53</v>
      </c>
    </row>
    <row r="217" spans="1:67" x14ac:dyDescent="0.25">
      <c r="A217" s="1">
        <v>45415</v>
      </c>
      <c r="B217" s="1" t="str">
        <f t="shared" si="33"/>
        <v>202405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f>I216*(1+((1+VLOOKUP($B217,'IPCA Hist'!$B:$C,2,0))^12 - 1)+$I$2)^(1/252)</f>
        <v>206233168.60814726</v>
      </c>
      <c r="J217" s="2">
        <f>J216*(1+((1+VLOOKUP($B217,'IPCA Hist'!$B:$C,2,0))^12 - 1)+$J$2)^(1/252)</f>
        <v>131370581.93609415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f>Q216*(1+((1+VLOOKUP($B217,'IPCA Hist'!$B:$C,2,0))^12 - 1)+$Q$2)^(1/252)</f>
        <v>44516522.247658707</v>
      </c>
      <c r="R217" s="2">
        <f>R216*(1+((1+VLOOKUP($B217,'IPCA Hist'!$B:$C,2,0))^12 - 1)+$R$2)^(1/252)</f>
        <v>44500291.302053489</v>
      </c>
      <c r="S217" s="2">
        <f>S216*(1+((1+VLOOKUP($B217,'IPCA Hist'!$B:$C,2,0))^12 - 1)+$S$2)^(1/252)</f>
        <v>45522836.274027959</v>
      </c>
      <c r="T217" s="2">
        <f>T216*(1+((1+VLOOKUP($B217,'IPCA Hist'!$B:$C,2,0))^12 - 1)+$T$2)^(1/252)</f>
        <v>229929780.32787502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f>AF216*(1+((1+VLOOKUP($B217,'IGPM Hist'!$B:$C,2,0))^12 - 1)+$AF$2)^(1/252)</f>
        <v>1627106.7638674111</v>
      </c>
      <c r="AG217" s="2">
        <f>350000*VLOOKUP(A217,'CVRDA6 Hist'!$A:$B,2,0)</f>
        <v>12046791.4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f>BA216*(1+VLOOKUP(A217,'SELIC Hist'!$A:$C,3,0))^(1/252)</f>
        <v>37341470.576069862</v>
      </c>
      <c r="BB217" s="2">
        <f t="shared" si="32"/>
        <v>753088549.43579376</v>
      </c>
      <c r="BC217" s="2">
        <v>0</v>
      </c>
      <c r="BD217" s="2">
        <v>0</v>
      </c>
      <c r="BE217" s="2">
        <f t="shared" si="41"/>
        <v>668410.15054297447</v>
      </c>
      <c r="BF217" s="2">
        <f t="shared" si="34"/>
        <v>687527.07678675652</v>
      </c>
      <c r="BG217" s="2">
        <f t="shared" si="35"/>
        <v>25057016.358474255</v>
      </c>
      <c r="BH217" s="11">
        <f t="shared" si="36"/>
        <v>1.0830669363342997</v>
      </c>
      <c r="BI217" s="12">
        <f t="shared" si="37"/>
        <v>8.8834696952422298E-4</v>
      </c>
      <c r="BJ217" s="12">
        <f t="shared" si="38"/>
        <v>9.1377743564358127E-4</v>
      </c>
      <c r="BK217" s="12">
        <f t="shared" si="39"/>
        <v>3.4417487732379737E-2</v>
      </c>
      <c r="BL217" s="5">
        <f t="shared" si="40"/>
        <v>8.3066936334299735E-2</v>
      </c>
      <c r="BM217" s="19">
        <f t="shared" si="31"/>
        <v>5.2222116397503848E-2</v>
      </c>
      <c r="BN217" s="19" t="s">
        <v>53</v>
      </c>
      <c r="BO217" s="19" t="s">
        <v>53</v>
      </c>
    </row>
    <row r="218" spans="1:67" x14ac:dyDescent="0.25">
      <c r="A218" s="1">
        <v>45418</v>
      </c>
      <c r="B218" s="1" t="str">
        <f t="shared" si="33"/>
        <v>202405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f>I217*(1+((1+VLOOKUP($B218,'IPCA Hist'!$B:$C,2,0))^12 - 1)+$I$2)^(1/252)</f>
        <v>206321103.04288867</v>
      </c>
      <c r="J218" s="2">
        <f>J217*(1+((1+VLOOKUP($B218,'IPCA Hist'!$B:$C,2,0))^12 - 1)+$J$2)^(1/252)</f>
        <v>131424295.92824702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f>Q217*(1+((1+VLOOKUP($B218,'IPCA Hist'!$B:$C,2,0))^12 - 1)+$Q$2)^(1/252)</f>
        <v>44534692.000248805</v>
      </c>
      <c r="R218" s="2">
        <f>R217*(1+((1+VLOOKUP($B218,'IPCA Hist'!$B:$C,2,0))^12 - 1)+$R$2)^(1/252)</f>
        <v>44518470.36880289</v>
      </c>
      <c r="S218" s="2">
        <f>S217*(1+((1+VLOOKUP($B218,'IPCA Hist'!$B:$C,2,0))^12 - 1)+$S$2)^(1/252)</f>
        <v>45541237.307343885</v>
      </c>
      <c r="T218" s="2">
        <f>T217*(1+((1+VLOOKUP($B218,'IPCA Hist'!$B:$C,2,0))^12 - 1)+$T$2)^(1/252)</f>
        <v>230022639.05104446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f>AF217*(1+((1+VLOOKUP($B218,'IGPM Hist'!$B:$C,2,0))^12 - 1)+$AF$2)^(1/252)</f>
        <v>1628147.1873228364</v>
      </c>
      <c r="AG218" s="2">
        <f>350000*VLOOKUP(A218,'CVRDA6 Hist'!$A:$B,2,0)</f>
        <v>11890608.800000001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f>BA217*(1+VLOOKUP(A218,'SELIC Hist'!$A:$C,3,0))^(1/252)</f>
        <v>37356469.726719052</v>
      </c>
      <c r="BB218" s="2">
        <f t="shared" si="32"/>
        <v>753237663.41261756</v>
      </c>
      <c r="BC218" s="2">
        <v>0</v>
      </c>
      <c r="BD218" s="2">
        <v>0</v>
      </c>
      <c r="BE218" s="2">
        <f t="shared" si="41"/>
        <v>149113.97682380676</v>
      </c>
      <c r="BF218" s="2">
        <f t="shared" si="34"/>
        <v>836641.05361056328</v>
      </c>
      <c r="BG218" s="2">
        <f t="shared" si="35"/>
        <v>25206130.335298061</v>
      </c>
      <c r="BH218" s="11">
        <f t="shared" si="36"/>
        <v>1.0832813871026246</v>
      </c>
      <c r="BI218" s="12">
        <f t="shared" si="37"/>
        <v>1.9800324534946512E-4</v>
      </c>
      <c r="BJ218" s="12">
        <f t="shared" si="38"/>
        <v>1.111961611890866E-3</v>
      </c>
      <c r="BK218" s="12">
        <f t="shared" si="39"/>
        <v>3.4622305751996985E-2</v>
      </c>
      <c r="BL218" s="5">
        <f t="shared" si="40"/>
        <v>8.328138710262456E-2</v>
      </c>
      <c r="BM218" s="19">
        <f t="shared" si="31"/>
        <v>5.2094567463369712E-2</v>
      </c>
      <c r="BN218" s="19" t="s">
        <v>53</v>
      </c>
      <c r="BO218" s="19" t="s">
        <v>53</v>
      </c>
    </row>
    <row r="219" spans="1:67" x14ac:dyDescent="0.25">
      <c r="A219" s="1">
        <v>45419</v>
      </c>
      <c r="B219" s="1" t="str">
        <f t="shared" si="33"/>
        <v>202405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f>I218*(1+((1+VLOOKUP($B219,'IPCA Hist'!$B:$C,2,0))^12 - 1)+$I$2)^(1/252)</f>
        <v>206409074.9714283</v>
      </c>
      <c r="J219" s="2">
        <f>J218*(1+((1+VLOOKUP($B219,'IPCA Hist'!$B:$C,2,0))^12 - 1)+$J$2)^(1/252)</f>
        <v>131478031.88264523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f>Q218*(1+((1+VLOOKUP($B219,'IPCA Hist'!$B:$C,2,0))^12 - 1)+$Q$2)^(1/252)</f>
        <v>44552869.168959759</v>
      </c>
      <c r="R219" s="2">
        <f>R218*(1+((1+VLOOKUP($B219,'IPCA Hist'!$B:$C,2,0))^12 - 1)+$R$2)^(1/252)</f>
        <v>44536656.861986101</v>
      </c>
      <c r="S219" s="2">
        <f>S218*(1+((1+VLOOKUP($B219,'IPCA Hist'!$B:$C,2,0))^12 - 1)+$S$2)^(1/252)</f>
        <v>45559645.778641604</v>
      </c>
      <c r="T219" s="2">
        <f>T218*(1+((1+VLOOKUP($B219,'IPCA Hist'!$B:$C,2,0))^12 - 1)+$T$2)^(1/252)</f>
        <v>230115535.27584791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f>AF218*(1+((1+VLOOKUP($B219,'IGPM Hist'!$B:$C,2,0))^12 - 1)+$AF$2)^(1/252)</f>
        <v>1629188.2760578799</v>
      </c>
      <c r="AG219" s="2">
        <f>350000*VLOOKUP(A219,'CVRDA6 Hist'!$A:$B,2,0)</f>
        <v>11959345.300000001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f>BA218*(1+VLOOKUP(A219,'SELIC Hist'!$A:$C,3,0))^(1/252)</f>
        <v>37371474.902158283</v>
      </c>
      <c r="BB219" s="2">
        <f t="shared" si="32"/>
        <v>753611822.41772497</v>
      </c>
      <c r="BC219" s="2">
        <v>0</v>
      </c>
      <c r="BD219" s="2">
        <v>0</v>
      </c>
      <c r="BE219" s="2">
        <f t="shared" si="41"/>
        <v>374159.0051074028</v>
      </c>
      <c r="BF219" s="2">
        <f t="shared" si="34"/>
        <v>1210800.0587179661</v>
      </c>
      <c r="BG219" s="2">
        <f t="shared" si="35"/>
        <v>25580289.340405464</v>
      </c>
      <c r="BH219" s="11">
        <f t="shared" si="36"/>
        <v>1.0838194901552696</v>
      </c>
      <c r="BI219" s="12">
        <f t="shared" si="37"/>
        <v>4.9673432872721079E-4</v>
      </c>
      <c r="BJ219" s="12">
        <f t="shared" si="38"/>
        <v>1.6092482901228777E-3</v>
      </c>
      <c r="BK219" s="12">
        <f t="shared" si="39"/>
        <v>3.5136238168530953E-2</v>
      </c>
      <c r="BL219" s="5">
        <f t="shared" si="40"/>
        <v>8.3819490155269571E-2</v>
      </c>
      <c r="BM219" s="19">
        <f t="shared" si="31"/>
        <v>5.2263512194128614E-2</v>
      </c>
      <c r="BN219" s="19" t="s">
        <v>53</v>
      </c>
      <c r="BO219" s="19" t="s">
        <v>53</v>
      </c>
    </row>
    <row r="220" spans="1:67" x14ac:dyDescent="0.25">
      <c r="A220" s="1">
        <v>45420</v>
      </c>
      <c r="B220" s="1" t="str">
        <f t="shared" si="33"/>
        <v>202405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f>I219*(1+((1+VLOOKUP($B220,'IPCA Hist'!$B:$C,2,0))^12 - 1)+$I$2)^(1/252)</f>
        <v>206497084.40975291</v>
      </c>
      <c r="J220" s="2">
        <f>J219*(1+((1+VLOOKUP($B220,'IPCA Hist'!$B:$C,2,0))^12 - 1)+$J$2)^(1/252)</f>
        <v>131531789.80826859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f>Q219*(1+((1+VLOOKUP($B220,'IPCA Hist'!$B:$C,2,0))^12 - 1)+$Q$2)^(1/252)</f>
        <v>44571053.756818518</v>
      </c>
      <c r="R220" s="2">
        <f>R219*(1+((1+VLOOKUP($B220,'IPCA Hist'!$B:$C,2,0))^12 - 1)+$R$2)^(1/252)</f>
        <v>44554850.784636937</v>
      </c>
      <c r="S220" s="2">
        <f>S219*(1+((1+VLOOKUP($B220,'IPCA Hist'!$B:$C,2,0))^12 - 1)+$S$2)^(1/252)</f>
        <v>45578061.690927655</v>
      </c>
      <c r="T220" s="2">
        <f>T219*(1+((1+VLOOKUP($B220,'IPCA Hist'!$B:$C,2,0))^12 - 1)+$T$2)^(1/252)</f>
        <v>230208469.01743066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f>AF219*(1+((1+VLOOKUP($B220,'IGPM Hist'!$B:$C,2,0))^12 - 1)+$AF$2)^(1/252)</f>
        <v>1630230.0304979424</v>
      </c>
      <c r="AG220" s="2">
        <f>350000*VLOOKUP(A220,'CVRDA6 Hist'!$A:$B,2,0)</f>
        <v>11913399.050000001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f>BA219*(1+VLOOKUP(A220,'SELIC Hist'!$A:$C,3,0))^(1/252)</f>
        <v>37386150.528084494</v>
      </c>
      <c r="BB220" s="2">
        <f t="shared" si="32"/>
        <v>753871089.07641768</v>
      </c>
      <c r="BC220" s="2">
        <v>0</v>
      </c>
      <c r="BD220" s="2">
        <v>0</v>
      </c>
      <c r="BE220" s="2">
        <f t="shared" si="41"/>
        <v>259266.65869271755</v>
      </c>
      <c r="BF220" s="2">
        <f t="shared" si="34"/>
        <v>1470066.7174106836</v>
      </c>
      <c r="BG220" s="2">
        <f t="shared" si="35"/>
        <v>25839555.999098182</v>
      </c>
      <c r="BH220" s="11">
        <f t="shared" si="36"/>
        <v>1.0841923588516988</v>
      </c>
      <c r="BI220" s="12">
        <f t="shared" si="37"/>
        <v>3.4403210111655369E-4</v>
      </c>
      <c r="BJ220" s="12">
        <f t="shared" si="38"/>
        <v>1.9538340243099306E-3</v>
      </c>
      <c r="BK220" s="12">
        <f t="shared" si="39"/>
        <v>3.5492358263490065E-2</v>
      </c>
      <c r="BL220" s="5">
        <f t="shared" si="40"/>
        <v>8.4192358851698845E-2</v>
      </c>
      <c r="BM220" s="19">
        <f t="shared" si="31"/>
        <v>5.2271854332178069E-2</v>
      </c>
      <c r="BN220" s="19" t="s">
        <v>53</v>
      </c>
      <c r="BO220" s="19" t="s">
        <v>53</v>
      </c>
    </row>
    <row r="221" spans="1:67" x14ac:dyDescent="0.25">
      <c r="A221" s="1">
        <v>45421</v>
      </c>
      <c r="B221" s="1" t="str">
        <f t="shared" si="33"/>
        <v>202405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f>I220*(1+((1+VLOOKUP($B221,'IPCA Hist'!$B:$C,2,0))^12 - 1)+$I$2)^(1/252)</f>
        <v>206585131.37385604</v>
      </c>
      <c r="J221" s="2">
        <f>J220*(1+((1+VLOOKUP($B221,'IPCA Hist'!$B:$C,2,0))^12 - 1)+$J$2)^(1/252)</f>
        <v>131585569.71410055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f>Q220*(1+((1+VLOOKUP($B221,'IPCA Hist'!$B:$C,2,0))^12 - 1)+$Q$2)^(1/252)</f>
        <v>44589245.766853265</v>
      </c>
      <c r="R221" s="2">
        <f>R220*(1+((1+VLOOKUP($B221,'IPCA Hist'!$B:$C,2,0))^12 - 1)+$R$2)^(1/252)</f>
        <v>44573052.139790453</v>
      </c>
      <c r="S221" s="2">
        <f>S220*(1+((1+VLOOKUP($B221,'IPCA Hist'!$B:$C,2,0))^12 - 1)+$S$2)^(1/252)</f>
        <v>45596485.047209799</v>
      </c>
      <c r="T221" s="2">
        <f>T220*(1+((1+VLOOKUP($B221,'IPCA Hist'!$B:$C,2,0))^12 - 1)+$T$2)^(1/252)</f>
        <v>230301440.29094413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f>AF220*(1+((1+VLOOKUP($B221,'IGPM Hist'!$B:$C,2,0))^12 - 1)+$AF$2)^(1/252)</f>
        <v>1631272.4510686966</v>
      </c>
      <c r="AG221" s="2">
        <f>350000*VLOOKUP(A221,'CVRDA6 Hist'!$A:$B,2,0)</f>
        <v>11864727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f>BA220*(1+VLOOKUP(A221,'SELIC Hist'!$A:$C,3,0))^(1/252)</f>
        <v>37400831.917069212</v>
      </c>
      <c r="BB221" s="2">
        <f t="shared" si="32"/>
        <v>754127755.70089209</v>
      </c>
      <c r="BC221" s="2">
        <v>0</v>
      </c>
      <c r="BD221" s="2">
        <v>0</v>
      </c>
      <c r="BE221" s="2">
        <f t="shared" si="41"/>
        <v>256666.62447440624</v>
      </c>
      <c r="BF221" s="2">
        <f t="shared" si="34"/>
        <v>1726733.3418850899</v>
      </c>
      <c r="BG221" s="2">
        <f t="shared" si="35"/>
        <v>26096222.623572588</v>
      </c>
      <c r="BH221" s="11">
        <f t="shared" si="36"/>
        <v>1.0845614882652812</v>
      </c>
      <c r="BI221" s="12">
        <f t="shared" si="37"/>
        <v>3.4046487283245774E-4</v>
      </c>
      <c r="BJ221" s="12">
        <f t="shared" si="38"/>
        <v>2.2949641089951012E-3</v>
      </c>
      <c r="BK221" s="12">
        <f t="shared" si="39"/>
        <v>3.5844907037565266E-2</v>
      </c>
      <c r="BL221" s="5">
        <f t="shared" si="40"/>
        <v>8.4561488265281204E-2</v>
      </c>
      <c r="BM221" s="19">
        <f t="shared" si="31"/>
        <v>5.2276443376593873E-2</v>
      </c>
      <c r="BN221" s="19" t="s">
        <v>53</v>
      </c>
      <c r="BO221" s="19" t="s">
        <v>53</v>
      </c>
    </row>
    <row r="222" spans="1:67" x14ac:dyDescent="0.25">
      <c r="A222" s="1">
        <v>45422</v>
      </c>
      <c r="B222" s="1" t="str">
        <f t="shared" si="33"/>
        <v>202405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f>I221*(1+((1+VLOOKUP($B222,'IPCA Hist'!$B:$C,2,0))^12 - 1)+$I$2)^(1/252)</f>
        <v>206673215.87973809</v>
      </c>
      <c r="J222" s="2">
        <f>J221*(1+((1+VLOOKUP($B222,'IPCA Hist'!$B:$C,2,0))^12 - 1)+$J$2)^(1/252)</f>
        <v>131639371.60912825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f>Q221*(1+((1+VLOOKUP($B222,'IPCA Hist'!$B:$C,2,0))^12 - 1)+$Q$2)^(1/252)</f>
        <v>44607445.202093415</v>
      </c>
      <c r="R222" s="2">
        <f>R221*(1+((1+VLOOKUP($B222,'IPCA Hist'!$B:$C,2,0))^12 - 1)+$R$2)^(1/252)</f>
        <v>44591260.930482939</v>
      </c>
      <c r="S222" s="2">
        <f>S221*(1+((1+VLOOKUP($B222,'IPCA Hist'!$B:$C,2,0))^12 - 1)+$S$2)^(1/252)</f>
        <v>45614915.850497022</v>
      </c>
      <c r="T222" s="2">
        <f>T221*(1+((1+VLOOKUP($B222,'IPCA Hist'!$B:$C,2,0))^12 - 1)+$T$2)^(1/252)</f>
        <v>230394449.11154583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f>AF221*(1+((1+VLOOKUP($B222,'IGPM Hist'!$B:$C,2,0))^12 - 1)+$AF$2)^(1/252)</f>
        <v>1632315.5381960876</v>
      </c>
      <c r="AG222" s="2">
        <f>350000*VLOOKUP(A222,'CVRDA6 Hist'!$A:$B,2,0)</f>
        <v>11589558.049999999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f>BA221*(1+VLOOKUP(A222,'SELIC Hist'!$A:$C,3,0))^(1/252)</f>
        <v>37415519.071375564</v>
      </c>
      <c r="BB222" s="2">
        <f t="shared" si="32"/>
        <v>754158051.24305713</v>
      </c>
      <c r="BC222" s="2">
        <v>0</v>
      </c>
      <c r="BD222" s="2">
        <v>0</v>
      </c>
      <c r="BE222" s="2">
        <f t="shared" si="41"/>
        <v>30295.54216504097</v>
      </c>
      <c r="BF222" s="2">
        <f t="shared" si="34"/>
        <v>1757028.8840501308</v>
      </c>
      <c r="BG222" s="2">
        <f t="shared" si="35"/>
        <v>26126518.165737629</v>
      </c>
      <c r="BH222" s="11">
        <f t="shared" si="36"/>
        <v>1.0846050583076912</v>
      </c>
      <c r="BI222" s="12">
        <f t="shared" si="37"/>
        <v>4.0172957348483251E-5</v>
      </c>
      <c r="BJ222" s="12">
        <f t="shared" si="38"/>
        <v>2.3352292618388226E-3</v>
      </c>
      <c r="BK222" s="12">
        <f t="shared" si="39"/>
        <v>3.5886519990835364E-2</v>
      </c>
      <c r="BL222" s="5">
        <f t="shared" si="40"/>
        <v>8.4605058307691161E-2</v>
      </c>
      <c r="BM222" s="19">
        <f t="shared" si="31"/>
        <v>5.1965147774643894E-2</v>
      </c>
      <c r="BN222" s="19" t="s">
        <v>53</v>
      </c>
      <c r="BO222" s="19" t="s">
        <v>53</v>
      </c>
    </row>
    <row r="223" spans="1:67" x14ac:dyDescent="0.25">
      <c r="A223" s="1">
        <v>45425</v>
      </c>
      <c r="B223" s="1" t="str">
        <f t="shared" si="33"/>
        <v>202405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f>I222*(1+((1+VLOOKUP($B223,'IPCA Hist'!$B:$C,2,0))^12 - 1)+$I$2)^(1/252)</f>
        <v>206761337.94340625</v>
      </c>
      <c r="J223" s="2">
        <f>J222*(1+((1+VLOOKUP($B223,'IPCA Hist'!$B:$C,2,0))^12 - 1)+$J$2)^(1/252)</f>
        <v>131693195.50234249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f>Q222*(1+((1+VLOOKUP($B223,'IPCA Hist'!$B:$C,2,0))^12 - 1)+$Q$2)^(1/252)</f>
        <v>44625652.065569617</v>
      </c>
      <c r="R223" s="2">
        <f>R222*(1+((1+VLOOKUP($B223,'IPCA Hist'!$B:$C,2,0))^12 - 1)+$R$2)^(1/252)</f>
        <v>44609477.159751929</v>
      </c>
      <c r="S223" s="2">
        <f>S222*(1+((1+VLOOKUP($B223,'IPCA Hist'!$B:$C,2,0))^12 - 1)+$S$2)^(1/252)</f>
        <v>45633354.103799514</v>
      </c>
      <c r="T223" s="2">
        <f>T222*(1+((1+VLOOKUP($B223,'IPCA Hist'!$B:$C,2,0))^12 - 1)+$T$2)^(1/252)</f>
        <v>230487495.4943994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f>AF222*(1+((1+VLOOKUP($B223,'IGPM Hist'!$B:$C,2,0))^12 - 1)+$AF$2)^(1/252)</f>
        <v>1633359.2923063328</v>
      </c>
      <c r="AG223" s="2">
        <f>350000*VLOOKUP(A223,'CVRDA6 Hist'!$A:$B,2,0)</f>
        <v>12142632.25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f>BA222*(1+VLOOKUP(A223,'SELIC Hist'!$A:$C,3,0))^(1/252)</f>
        <v>37430211.993267573</v>
      </c>
      <c r="BB223" s="2">
        <f t="shared" si="32"/>
        <v>755016715.80484307</v>
      </c>
      <c r="BC223" s="2">
        <v>0</v>
      </c>
      <c r="BD223" s="2">
        <v>0</v>
      </c>
      <c r="BE223" s="2">
        <f t="shared" si="41"/>
        <v>858664.56178593636</v>
      </c>
      <c r="BF223" s="2">
        <f t="shared" si="34"/>
        <v>2615693.4458360672</v>
      </c>
      <c r="BG223" s="2">
        <f t="shared" si="35"/>
        <v>26985182.727523565</v>
      </c>
      <c r="BH223" s="11">
        <f t="shared" si="36"/>
        <v>1.085839961158052</v>
      </c>
      <c r="BI223" s="12">
        <f t="shared" si="37"/>
        <v>1.1385737517097816E-3</v>
      </c>
      <c r="BJ223" s="12">
        <f t="shared" si="38"/>
        <v>3.4764618442904016E-3</v>
      </c>
      <c r="BK223" s="12">
        <f t="shared" si="39"/>
        <v>3.7065953192246814E-2</v>
      </c>
      <c r="BL223" s="5">
        <f t="shared" si="40"/>
        <v>8.5839961158052036E-2</v>
      </c>
      <c r="BM223" s="19">
        <f t="shared" si="31"/>
        <v>5.2809034660249665E-2</v>
      </c>
      <c r="BN223" s="19" t="s">
        <v>53</v>
      </c>
      <c r="BO223" s="19" t="s">
        <v>53</v>
      </c>
    </row>
    <row r="224" spans="1:67" x14ac:dyDescent="0.25">
      <c r="A224" s="1">
        <v>45426</v>
      </c>
      <c r="B224" s="1" t="str">
        <f t="shared" si="33"/>
        <v>202405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f>I223*(1+((1+VLOOKUP($B224,'IPCA Hist'!$B:$C,2,0))^12 - 1)+$I$2)^(1/252)</f>
        <v>206849497.58087453</v>
      </c>
      <c r="J224" s="2">
        <f>J223*(1+((1+VLOOKUP($B224,'IPCA Hist'!$B:$C,2,0))^12 - 1)+$J$2)^(1/252)</f>
        <v>131747041.40273775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f>Q223*(1+((1+VLOOKUP($B224,'IPCA Hist'!$B:$C,2,0))^12 - 1)+$Q$2)^(1/252)</f>
        <v>44643866.360313766</v>
      </c>
      <c r="R224" s="2">
        <f>R223*(1+((1+VLOOKUP($B224,'IPCA Hist'!$B:$C,2,0))^12 - 1)+$R$2)^(1/252)</f>
        <v>44627700.830636203</v>
      </c>
      <c r="S224" s="2">
        <f>S223*(1+((1+VLOOKUP($B224,'IPCA Hist'!$B:$C,2,0))^12 - 1)+$S$2)^(1/252)</f>
        <v>45651799.810128681</v>
      </c>
      <c r="T224" s="2">
        <f>T223*(1+((1+VLOOKUP($B224,'IPCA Hist'!$B:$C,2,0))^12 - 1)+$T$2)^(1/252)</f>
        <v>230580579.45467463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f>AF223*(1+((1+VLOOKUP($B224,'IGPM Hist'!$B:$C,2,0))^12 - 1)+$AF$2)^(1/252)</f>
        <v>1634403.7138259222</v>
      </c>
      <c r="AG224" s="2">
        <f>350000*VLOOKUP(A224,'CVRDA6 Hist'!$A:$B,2,0)</f>
        <v>11995058.25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f>BA223*(1+VLOOKUP(A224,'SELIC Hist'!$A:$C,3,0))^(1/252)</f>
        <v>37444910.685010143</v>
      </c>
      <c r="BB224" s="2">
        <f t="shared" si="32"/>
        <v>755174858.08820176</v>
      </c>
      <c r="BC224" s="2">
        <v>0</v>
      </c>
      <c r="BD224" s="2">
        <v>0</v>
      </c>
      <c r="BE224" s="2">
        <f t="shared" si="41"/>
        <v>158142.28335869312</v>
      </c>
      <c r="BF224" s="2">
        <f t="shared" si="34"/>
        <v>2773835.7291947603</v>
      </c>
      <c r="BG224" s="2">
        <f t="shared" si="35"/>
        <v>27143325.010882258</v>
      </c>
      <c r="BH224" s="11">
        <f t="shared" si="36"/>
        <v>1.0860673961369407</v>
      </c>
      <c r="BI224" s="12">
        <f t="shared" si="37"/>
        <v>2.0945534058824933E-4</v>
      </c>
      <c r="BJ224" s="12">
        <f t="shared" si="38"/>
        <v>3.6866453483783701E-3</v>
      </c>
      <c r="BK224" s="12">
        <f t="shared" si="39"/>
        <v>3.7283172194685132E-2</v>
      </c>
      <c r="BL224" s="5">
        <f t="shared" si="40"/>
        <v>8.6067396136940699E-2</v>
      </c>
      <c r="BM224" s="19">
        <f t="shared" si="31"/>
        <v>5.2675742188117658E-2</v>
      </c>
      <c r="BN224" s="19" t="s">
        <v>53</v>
      </c>
      <c r="BO224" s="19" t="s">
        <v>53</v>
      </c>
    </row>
    <row r="225" spans="1:67" s="17" customFormat="1" x14ac:dyDescent="0.25">
      <c r="A225" s="13">
        <v>45427</v>
      </c>
      <c r="B225" s="13" t="str">
        <f t="shared" si="33"/>
        <v>202405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f>I224*(1+((1+VLOOKUP($B225,'IPCA Hist'!$B:$C,2,0))^12 - 1)+$I$2)^(1/252)</f>
        <v>206937694.80816379</v>
      </c>
      <c r="J225" s="14">
        <f>J224*(1+((1+VLOOKUP($B225,'IPCA Hist'!$B:$C,2,0))^12 - 1)+$J$2)^(1/252)</f>
        <v>131800909.3193122</v>
      </c>
      <c r="K225" s="14">
        <v>0</v>
      </c>
      <c r="L225" s="14">
        <v>0</v>
      </c>
      <c r="M225" s="2">
        <v>0</v>
      </c>
      <c r="N225" s="14">
        <v>0</v>
      </c>
      <c r="O225" s="14">
        <v>0</v>
      </c>
      <c r="P225" s="14">
        <v>0</v>
      </c>
      <c r="Q225" s="14">
        <f>Q224*(1+((1+VLOOKUP($B225,'IPCA Hist'!$B:$C,2,0))^12 - 1)+$Q$2)^(1/252)</f>
        <v>44662088.089358985</v>
      </c>
      <c r="R225" s="14">
        <f>R224*(1+((1+VLOOKUP($B225,'IPCA Hist'!$B:$C,2,0))^12 - 1)+$R$2)^(1/252)</f>
        <v>44645931.946175776</v>
      </c>
      <c r="S225" s="14">
        <f>S224*(1+((1+VLOOKUP($B225,'IPCA Hist'!$B:$C,2,0))^12 - 1)+$S$2)^(1/252)</f>
        <v>45670252.972497158</v>
      </c>
      <c r="T225" s="14">
        <f>T224*(1+((1+VLOOKUP($B225,'IPCA Hist'!$B:$C,2,0))^12 - 1)+$T$2)^(1/252)</f>
        <v>230673701.00754741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2">
        <v>0</v>
      </c>
      <c r="AD225" s="2">
        <v>0</v>
      </c>
      <c r="AE225" s="14">
        <v>0</v>
      </c>
      <c r="AF225" s="14">
        <f>AF224*(1+((1+VLOOKUP($B225,'IGPM Hist'!$B:$C,2,0))^12 - 1)+$AF$2)^(1/252)</f>
        <v>1635448.8031816182</v>
      </c>
      <c r="AG225" s="14">
        <f>350000*VLOOKUP(A225,'CVRDA6 Hist'!$A:$B,2,0)</f>
        <v>11948500.9</v>
      </c>
      <c r="AH225" s="14">
        <v>0</v>
      </c>
      <c r="AI225" s="14">
        <v>0</v>
      </c>
      <c r="AJ225" s="14">
        <v>0</v>
      </c>
      <c r="AK225" s="14">
        <v>0</v>
      </c>
      <c r="AL225" s="14">
        <v>0</v>
      </c>
      <c r="AM225" s="14">
        <v>0</v>
      </c>
      <c r="AN225" s="14">
        <v>0</v>
      </c>
      <c r="AO225" s="14">
        <v>0</v>
      </c>
      <c r="AP225" s="2">
        <v>0</v>
      </c>
      <c r="AQ225" s="2">
        <v>0</v>
      </c>
      <c r="AR225" s="2">
        <v>0</v>
      </c>
      <c r="AS225" s="14">
        <v>0</v>
      </c>
      <c r="AT225" s="14">
        <v>0</v>
      </c>
      <c r="AU225" s="2">
        <v>0</v>
      </c>
      <c r="AV225" s="14">
        <v>0</v>
      </c>
      <c r="AW225" s="14">
        <v>0</v>
      </c>
      <c r="AX225" s="2">
        <v>0</v>
      </c>
      <c r="AY225" s="2">
        <v>0</v>
      </c>
      <c r="AZ225" s="14">
        <v>0</v>
      </c>
      <c r="BA225" s="14">
        <f>BA224*(1+VLOOKUP(A225,'SELIC Hist'!$A:$C,3,0))^(1/252)</f>
        <v>37459615.148869075</v>
      </c>
      <c r="BB225" s="14">
        <f t="shared" si="32"/>
        <v>755434142.99510598</v>
      </c>
      <c r="BC225" s="14">
        <v>0</v>
      </c>
      <c r="BD225" s="14">
        <v>0</v>
      </c>
      <c r="BE225" s="2">
        <f t="shared" si="41"/>
        <v>259284.90690422058</v>
      </c>
      <c r="BF225" s="2">
        <f t="shared" si="34"/>
        <v>3033120.6360989809</v>
      </c>
      <c r="BG225" s="2">
        <f t="shared" si="35"/>
        <v>27402609.917786479</v>
      </c>
      <c r="BH225" s="15">
        <f t="shared" si="36"/>
        <v>1.0864402910773416</v>
      </c>
      <c r="BI225" s="16">
        <f t="shared" si="37"/>
        <v>3.4334419919734849E-4</v>
      </c>
      <c r="BJ225" s="16">
        <f t="shared" si="38"/>
        <v>4.0312553358705649E-3</v>
      </c>
      <c r="BK225" s="16">
        <f t="shared" si="39"/>
        <v>3.7639317354783097E-2</v>
      </c>
      <c r="BL225" s="5">
        <f t="shared" si="40"/>
        <v>8.6440291077341636E-2</v>
      </c>
      <c r="BM225" s="19">
        <f t="shared" si="31"/>
        <v>5.2753388819811509E-2</v>
      </c>
      <c r="BN225" s="19" t="s">
        <v>53</v>
      </c>
      <c r="BO225" s="19" t="s">
        <v>53</v>
      </c>
    </row>
    <row r="226" spans="1:67" x14ac:dyDescent="0.25">
      <c r="A226" s="1">
        <v>45428</v>
      </c>
      <c r="B226" s="1" t="str">
        <f t="shared" si="33"/>
        <v>202405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f>I225*(1+((1+VLOOKUP($B226,'IPCA Hist'!$B:$C,2,0))^12 - 1)+$I$2)^(1/252)</f>
        <v>207025929.64130169</v>
      </c>
      <c r="J226" s="2">
        <f>J225*(1+((1+VLOOKUP($B226,'IPCA Hist'!$B:$C,2,0))^12 - 1)+$J$2)^(1/252)</f>
        <v>131854799.26106766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f>Q225*(1+((1+VLOOKUP($B226,'IPCA Hist'!$B:$C,2,0))^12 - 1)+$Q$2)^(1/252)</f>
        <v>44680317.255739644</v>
      </c>
      <c r="R226" s="2">
        <f>R225*(1+((1+VLOOKUP($B226,'IPCA Hist'!$B:$C,2,0))^12 - 1)+$R$2)^(1/252)</f>
        <v>44664170.509411909</v>
      </c>
      <c r="S226" s="2">
        <f>S225*(1+((1+VLOOKUP($B226,'IPCA Hist'!$B:$C,2,0))^12 - 1)+$S$2)^(1/252)</f>
        <v>45688713.593918793</v>
      </c>
      <c r="T226" s="2">
        <f>T225*(1+((1+VLOOKUP($B226,'IPCA Hist'!$B:$C,2,0))^12 - 1)+$T$2)^(1/252)</f>
        <v>230766860.16819978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f>AF225*(1+((1+VLOOKUP($B226,'IGPM Hist'!$B:$C,2,0))^12 - 1)+$AF$2)^(1/252)</f>
        <v>1636494.5608004564</v>
      </c>
      <c r="AG226" s="2">
        <f>350000*VLOOKUP(A226,'CVRDA6 Hist'!$A:$B,2,0)</f>
        <v>12042119.25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f>BA225*(1+VLOOKUP(A226,'SELIC Hist'!$A:$C,3,0))^(1/252)</f>
        <v>37474325.387111045</v>
      </c>
      <c r="BB226" s="2">
        <f t="shared" si="32"/>
        <v>755833729.62755108</v>
      </c>
      <c r="BC226" s="2">
        <v>0</v>
      </c>
      <c r="BD226" s="2">
        <v>0</v>
      </c>
      <c r="BE226" s="2">
        <f t="shared" si="41"/>
        <v>399586.63244509697</v>
      </c>
      <c r="BF226" s="2">
        <f t="shared" si="34"/>
        <v>3432707.2685440779</v>
      </c>
      <c r="BG226" s="2">
        <f t="shared" si="35"/>
        <v>27802196.550231576</v>
      </c>
      <c r="BH226" s="11">
        <f t="shared" si="36"/>
        <v>1.0870149632989903</v>
      </c>
      <c r="BI226" s="12">
        <f t="shared" si="37"/>
        <v>5.2894965914673797E-4</v>
      </c>
      <c r="BJ226" s="12">
        <f t="shared" si="38"/>
        <v>4.5623373261531874E-3</v>
      </c>
      <c r="BK226" s="12">
        <f t="shared" si="39"/>
        <v>3.8188176318015188E-2</v>
      </c>
      <c r="BL226" s="5">
        <f t="shared" si="40"/>
        <v>8.7014963298990278E-2</v>
      </c>
      <c r="BM226" s="19">
        <f t="shared" si="31"/>
        <v>5.2872597910207819E-2</v>
      </c>
      <c r="BN226" s="19" t="s">
        <v>53</v>
      </c>
      <c r="BO226" s="19" t="s">
        <v>53</v>
      </c>
    </row>
    <row r="227" spans="1:67" x14ac:dyDescent="0.25">
      <c r="A227" s="1">
        <v>45429</v>
      </c>
      <c r="B227" s="1" t="str">
        <f t="shared" si="33"/>
        <v>202405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f>I226*(1+((1+VLOOKUP($B227,'IPCA Hist'!$B:$C,2,0))^12 - 1)+$I$2)^(1/252)</f>
        <v>207114202.09632277</v>
      </c>
      <c r="J227" s="2">
        <f>J226*(1+((1+VLOOKUP($B227,'IPCA Hist'!$B:$C,2,0))^12 - 1)+$J$2)^(1/252)</f>
        <v>131908711.23700966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f>Q226*(1+((1+VLOOKUP($B227,'IPCA Hist'!$B:$C,2,0))^12 - 1)+$Q$2)^(1/252)</f>
        <v>44698553.862491347</v>
      </c>
      <c r="R227" s="2">
        <f>R226*(1+((1+VLOOKUP($B227,'IPCA Hist'!$B:$C,2,0))^12 - 1)+$R$2)^(1/252)</f>
        <v>44682416.523387097</v>
      </c>
      <c r="S227" s="2">
        <f>S226*(1+((1+VLOOKUP($B227,'IPCA Hist'!$B:$C,2,0))^12 - 1)+$S$2)^(1/252)</f>
        <v>45707181.677408643</v>
      </c>
      <c r="T227" s="2">
        <f>T226*(1+((1+VLOOKUP($B227,'IPCA Hist'!$B:$C,2,0))^12 - 1)+$T$2)^(1/252)</f>
        <v>230860056.9518199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f>AF226*(1+((1+VLOOKUP($B227,'IGPM Hist'!$B:$C,2,0))^12 - 1)+$AF$2)^(1/252)</f>
        <v>1637540.9871097454</v>
      </c>
      <c r="AG227" s="2">
        <f>350000*VLOOKUP(A227,'CVRDA6 Hist'!$A:$B,2,0)</f>
        <v>12077811.549999999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f>BA226*(1+VLOOKUP(A227,'SELIC Hist'!$A:$C,3,0))^(1/252)</f>
        <v>37489041.402003638</v>
      </c>
      <c r="BB227" s="2">
        <f t="shared" si="32"/>
        <v>756175516.28755283</v>
      </c>
      <c r="BC227" s="2">
        <v>0</v>
      </c>
      <c r="BD227" s="2">
        <v>0</v>
      </c>
      <c r="BE227" s="2">
        <f t="shared" si="41"/>
        <v>341786.66000175476</v>
      </c>
      <c r="BF227" s="2">
        <f t="shared" si="34"/>
        <v>3774493.9285458326</v>
      </c>
      <c r="BG227" s="2">
        <f t="shared" si="35"/>
        <v>28143983.210233331</v>
      </c>
      <c r="BH227" s="11">
        <f t="shared" si="36"/>
        <v>1.0875065095202219</v>
      </c>
      <c r="BI227" s="12">
        <f t="shared" si="37"/>
        <v>4.5219821053787967E-4</v>
      </c>
      <c r="BJ227" s="12">
        <f t="shared" si="38"/>
        <v>5.0165986174657284E-3</v>
      </c>
      <c r="BK227" s="12">
        <f t="shared" si="39"/>
        <v>3.8657643153547694E-2</v>
      </c>
      <c r="BL227" s="5">
        <f t="shared" si="40"/>
        <v>8.7506509520221876E-2</v>
      </c>
      <c r="BM227" s="19">
        <f t="shared" si="31"/>
        <v>5.2853808873303709E-2</v>
      </c>
      <c r="BN227" s="19" t="s">
        <v>53</v>
      </c>
      <c r="BO227" s="19" t="s">
        <v>53</v>
      </c>
    </row>
    <row r="228" spans="1:67" x14ac:dyDescent="0.25">
      <c r="A228" s="1">
        <v>45432</v>
      </c>
      <c r="B228" s="1" t="str">
        <f t="shared" si="33"/>
        <v>202405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f>I227*(1+((1+VLOOKUP($B228,'IPCA Hist'!$B:$C,2,0))^12 - 1)+$I$2)^(1/252)</f>
        <v>207202512.18926838</v>
      </c>
      <c r="J228" s="2">
        <f>J227*(1+((1+VLOOKUP($B228,'IPCA Hist'!$B:$C,2,0))^12 - 1)+$J$2)^(1/252)</f>
        <v>131962645.25614741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f>Q227*(1+((1+VLOOKUP($B228,'IPCA Hist'!$B:$C,2,0))^12 - 1)+$Q$2)^(1/252)</f>
        <v>44716797.912650935</v>
      </c>
      <c r="R228" s="2">
        <f>R227*(1+((1+VLOOKUP($B228,'IPCA Hist'!$B:$C,2,0))^12 - 1)+$R$2)^(1/252)</f>
        <v>44700669.991145089</v>
      </c>
      <c r="S228" s="2">
        <f>S227*(1+((1+VLOOKUP($B228,'IPCA Hist'!$B:$C,2,0))^12 - 1)+$S$2)^(1/252)</f>
        <v>45725657.225983001</v>
      </c>
      <c r="T228" s="2">
        <f>T227*(1+((1+VLOOKUP($B228,'IPCA Hist'!$B:$C,2,0))^12 - 1)+$T$2)^(1/252)</f>
        <v>230953291.37360206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f>AF227*(1+((1+VLOOKUP($B228,'IGPM Hist'!$B:$C,2,0))^12 - 1)+$AF$2)^(1/252)</f>
        <v>1638588.0825370669</v>
      </c>
      <c r="AG228" s="2">
        <f>350000*VLOOKUP(A228,'CVRDA6 Hist'!$A:$B,2,0)</f>
        <v>12051736.199999999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f>BA227*(1+VLOOKUP(A228,'SELIC Hist'!$A:$C,3,0))^(1/252)</f>
        <v>37503763.195815325</v>
      </c>
      <c r="BB228" s="2">
        <f t="shared" si="32"/>
        <v>756455661.4271493</v>
      </c>
      <c r="BC228" s="2">
        <v>0</v>
      </c>
      <c r="BD228" s="2">
        <v>0</v>
      </c>
      <c r="BE228" s="2">
        <f t="shared" si="41"/>
        <v>280145.13959646225</v>
      </c>
      <c r="BF228" s="2">
        <f t="shared" si="34"/>
        <v>4054639.0681422949</v>
      </c>
      <c r="BG228" s="2">
        <f t="shared" si="35"/>
        <v>28424128.349829793</v>
      </c>
      <c r="BH228" s="11">
        <f t="shared" si="36"/>
        <v>1.0879094049543629</v>
      </c>
      <c r="BI228" s="12">
        <f t="shared" si="37"/>
        <v>3.7047634254516737E-4</v>
      </c>
      <c r="BJ228" s="12">
        <f t="shared" si="38"/>
        <v>5.3889334911187969E-3</v>
      </c>
      <c r="BK228" s="12">
        <f t="shared" si="39"/>
        <v>3.9042441238339887E-2</v>
      </c>
      <c r="BL228" s="5">
        <f t="shared" si="40"/>
        <v>8.7909404954362946E-2</v>
      </c>
      <c r="BM228" s="19">
        <f t="shared" si="31"/>
        <v>5.2566808051777159E-2</v>
      </c>
      <c r="BN228" s="19" t="s">
        <v>53</v>
      </c>
      <c r="BO228" s="19" t="s">
        <v>53</v>
      </c>
    </row>
    <row r="229" spans="1:67" x14ac:dyDescent="0.25">
      <c r="A229" s="1">
        <v>45433</v>
      </c>
      <c r="B229" s="1" t="str">
        <f t="shared" si="33"/>
        <v>202405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f>I228*(1+((1+VLOOKUP($B229,'IPCA Hist'!$B:$C,2,0))^12 - 1)+$I$2)^(1/252)</f>
        <v>207290859.93618673</v>
      </c>
      <c r="J229" s="2">
        <f>J228*(1+((1+VLOOKUP($B229,'IPCA Hist'!$B:$C,2,0))^12 - 1)+$J$2)^(1/252)</f>
        <v>132016601.3274938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f>Q228*(1+((1+VLOOKUP($B229,'IPCA Hist'!$B:$C,2,0))^12 - 1)+$Q$2)^(1/252)</f>
        <v>44735049.409256488</v>
      </c>
      <c r="R229" s="2">
        <f>R228*(1+((1+VLOOKUP($B229,'IPCA Hist'!$B:$C,2,0))^12 - 1)+$R$2)^(1/252)</f>
        <v>44718930.915730871</v>
      </c>
      <c r="S229" s="2">
        <f>S228*(1+((1+VLOOKUP($B229,'IPCA Hist'!$B:$C,2,0))^12 - 1)+$S$2)^(1/252)</f>
        <v>45744140.24265936</v>
      </c>
      <c r="T229" s="2">
        <f>T228*(1+((1+VLOOKUP($B229,'IPCA Hist'!$B:$C,2,0))^12 - 1)+$T$2)^(1/252)</f>
        <v>231046563.44874671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f>AF228*(1+((1+VLOOKUP($B229,'IGPM Hist'!$B:$C,2,0))^12 - 1)+$AF$2)^(1/252)</f>
        <v>1639635.8475102761</v>
      </c>
      <c r="AG229" s="2">
        <f>350000*VLOOKUP(A229,'CVRDA6 Hist'!$A:$B,2,0)</f>
        <v>12101838.35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f>BA228*(1+VLOOKUP(A229,'SELIC Hist'!$A:$C,3,0))^(1/252)</f>
        <v>37518490.770815454</v>
      </c>
      <c r="BB229" s="2">
        <f t="shared" si="32"/>
        <v>756812110.24839973</v>
      </c>
      <c r="BC229" s="2">
        <v>0</v>
      </c>
      <c r="BD229" s="2">
        <v>0</v>
      </c>
      <c r="BE229" s="2">
        <f t="shared" si="41"/>
        <v>356448.82125043869</v>
      </c>
      <c r="BF229" s="2">
        <f t="shared" si="34"/>
        <v>4411087.8893927336</v>
      </c>
      <c r="BG229" s="2">
        <f t="shared" si="35"/>
        <v>28780577.171080232</v>
      </c>
      <c r="BH229" s="11">
        <f t="shared" si="36"/>
        <v>1.0884220378088671</v>
      </c>
      <c r="BI229" s="12">
        <f t="shared" si="37"/>
        <v>4.7120913944631582E-4</v>
      </c>
      <c r="BJ229" s="12">
        <f t="shared" si="38"/>
        <v>5.8626819452780587E-3</v>
      </c>
      <c r="BK229" s="12">
        <f t="shared" si="39"/>
        <v>3.9532047532923942E-2</v>
      </c>
      <c r="BL229" s="5">
        <f t="shared" si="40"/>
        <v>8.8422037808867149E-2</v>
      </c>
      <c r="BM229" s="19">
        <f t="shared" si="31"/>
        <v>5.2517817356415586E-2</v>
      </c>
      <c r="BN229" s="19" t="s">
        <v>53</v>
      </c>
      <c r="BO229" s="19" t="s">
        <v>53</v>
      </c>
    </row>
    <row r="230" spans="1:67" x14ac:dyDescent="0.25">
      <c r="A230" s="1">
        <v>45434</v>
      </c>
      <c r="B230" s="1" t="str">
        <f t="shared" si="33"/>
        <v>202405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f>I229*(1+((1+VLOOKUP($B230,'IPCA Hist'!$B:$C,2,0))^12 - 1)+$I$2)^(1/252)</f>
        <v>207379245.35313284</v>
      </c>
      <c r="J230" s="2">
        <f>J229*(1+((1+VLOOKUP($B230,'IPCA Hist'!$B:$C,2,0))^12 - 1)+$J$2)^(1/252)</f>
        <v>132070579.46006538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f>Q229*(1+((1+VLOOKUP($B230,'IPCA Hist'!$B:$C,2,0))^12 - 1)+$Q$2)^(1/252)</f>
        <v>44753308.355347335</v>
      </c>
      <c r="R230" s="2">
        <f>R229*(1+((1+VLOOKUP($B230,'IPCA Hist'!$B:$C,2,0))^12 - 1)+$R$2)^(1/252)</f>
        <v>44737199.300190672</v>
      </c>
      <c r="S230" s="2">
        <f>S229*(1+((1+VLOOKUP($B230,'IPCA Hist'!$B:$C,2,0))^12 - 1)+$S$2)^(1/252)</f>
        <v>45762630.730456449</v>
      </c>
      <c r="T230" s="2">
        <f>T229*(1+((1+VLOOKUP($B230,'IPCA Hist'!$B:$C,2,0))^12 - 1)+$T$2)^(1/252)</f>
        <v>231139873.19246039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f>AF229*(1+((1+VLOOKUP($B230,'IGPM Hist'!$B:$C,2,0))^12 - 1)+$AF$2)^(1/252)</f>
        <v>1640684.2824575019</v>
      </c>
      <c r="AG230" s="2">
        <f>350000*VLOOKUP(A230,'CVRDA6 Hist'!$A:$B,2,0)</f>
        <v>12124747.6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f>BA229*(1+VLOOKUP(A230,'SELIC Hist'!$A:$C,3,0))^(1/252)</f>
        <v>37533224.129274279</v>
      </c>
      <c r="BB230" s="2">
        <f t="shared" si="32"/>
        <v>757141492.4033848</v>
      </c>
      <c r="BC230" s="2">
        <v>0</v>
      </c>
      <c r="BD230" s="2">
        <v>0</v>
      </c>
      <c r="BE230" s="2">
        <f t="shared" si="41"/>
        <v>329382.15498507023</v>
      </c>
      <c r="BF230" s="2">
        <f t="shared" si="34"/>
        <v>4740470.0443778038</v>
      </c>
      <c r="BG230" s="2">
        <f t="shared" si="35"/>
        <v>29109959.326065302</v>
      </c>
      <c r="BH230" s="11">
        <f t="shared" si="36"/>
        <v>1.0888957442830263</v>
      </c>
      <c r="BI230" s="12">
        <f t="shared" si="37"/>
        <v>4.3522315582000815E-4</v>
      </c>
      <c r="BJ230" s="12">
        <f t="shared" si="38"/>
        <v>6.3004566760358482E-3</v>
      </c>
      <c r="BK230" s="12">
        <f t="shared" si="39"/>
        <v>3.9984475951227338E-2</v>
      </c>
      <c r="BL230" s="5">
        <f t="shared" si="40"/>
        <v>8.8895744283026268E-2</v>
      </c>
      <c r="BM230" s="19">
        <f t="shared" si="31"/>
        <v>5.2558555355646019E-2</v>
      </c>
      <c r="BN230" s="19" t="s">
        <v>53</v>
      </c>
      <c r="BO230" s="19" t="s">
        <v>53</v>
      </c>
    </row>
    <row r="231" spans="1:67" x14ac:dyDescent="0.25">
      <c r="A231" s="1">
        <v>45435</v>
      </c>
      <c r="B231" s="1" t="str">
        <f t="shared" si="33"/>
        <v>202405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f>I230*(1+((1+VLOOKUP($B231,'IPCA Hist'!$B:$C,2,0))^12 - 1)+$I$2)^(1/252)</f>
        <v>207467668.45616859</v>
      </c>
      <c r="J231" s="2">
        <f>J230*(1+((1+VLOOKUP($B231,'IPCA Hist'!$B:$C,2,0))^12 - 1)+$J$2)^(1/252)</f>
        <v>132124579.66288242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f>Q230*(1+((1+VLOOKUP($B231,'IPCA Hist'!$B:$C,2,0))^12 - 1)+$Q$2)^(1/252)</f>
        <v>44771574.753964037</v>
      </c>
      <c r="R231" s="2">
        <f>R230*(1+((1+VLOOKUP($B231,'IPCA Hist'!$B:$C,2,0))^12 - 1)+$R$2)^(1/252)</f>
        <v>44755475.147571966</v>
      </c>
      <c r="S231" s="2">
        <f>S230*(1+((1+VLOOKUP($B231,'IPCA Hist'!$B:$C,2,0))^12 - 1)+$S$2)^(1/252)</f>
        <v>45781128.692394204</v>
      </c>
      <c r="T231" s="2">
        <f>T230*(1+((1+VLOOKUP($B231,'IPCA Hist'!$B:$C,2,0))^12 - 1)+$T$2)^(1/252)</f>
        <v>231233220.61995584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f>AF230*(1+((1+VLOOKUP($B231,'IGPM Hist'!$B:$C,2,0))^12 - 1)+$AF$2)^(1/252)</f>
        <v>1641733.3878071466</v>
      </c>
      <c r="AG231" s="2">
        <f>350000*VLOOKUP(A231,'CVRDA6 Hist'!$A:$B,2,0)</f>
        <v>12227830.300000001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f>BA230*(1+VLOOKUP(A231,'SELIC Hist'!$A:$C,3,0))^(1/252)</f>
        <v>37547963.273462944</v>
      </c>
      <c r="BB231" s="2">
        <f t="shared" si="32"/>
        <v>757551174.29420698</v>
      </c>
      <c r="BC231" s="2">
        <v>0</v>
      </c>
      <c r="BD231" s="2">
        <v>0</v>
      </c>
      <c r="BE231" s="2">
        <f t="shared" si="41"/>
        <v>409681.89082217216</v>
      </c>
      <c r="BF231" s="2">
        <f t="shared" si="34"/>
        <v>5150151.935199976</v>
      </c>
      <c r="BG231" s="2">
        <f t="shared" si="35"/>
        <v>29519641.216887474</v>
      </c>
      <c r="BH231" s="11">
        <f t="shared" si="36"/>
        <v>1.0894849351699372</v>
      </c>
      <c r="BI231" s="12">
        <f t="shared" si="37"/>
        <v>5.4109026507287439E-4</v>
      </c>
      <c r="BJ231" s="12">
        <f t="shared" si="38"/>
        <v>6.8449560568817347E-3</v>
      </c>
      <c r="BK231" s="12">
        <f t="shared" si="39"/>
        <v>4.0547201426991419E-2</v>
      </c>
      <c r="BL231" s="5">
        <f t="shared" si="40"/>
        <v>8.9484935169937163E-2</v>
      </c>
      <c r="BM231" s="19">
        <f t="shared" si="31"/>
        <v>5.2778430046655167E-2</v>
      </c>
      <c r="BN231" s="19" t="s">
        <v>53</v>
      </c>
      <c r="BO231" s="19" t="s">
        <v>53</v>
      </c>
    </row>
    <row r="232" spans="1:67" x14ac:dyDescent="0.25">
      <c r="A232" s="1">
        <v>45436</v>
      </c>
      <c r="B232" s="1" t="str">
        <f t="shared" si="33"/>
        <v>202405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f>I231*(1+((1+VLOOKUP($B232,'IPCA Hist'!$B:$C,2,0))^12 - 1)+$I$2)^(1/252)</f>
        <v>207556129.2613627</v>
      </c>
      <c r="J232" s="2">
        <f>J231*(1+((1+VLOOKUP($B232,'IPCA Hist'!$B:$C,2,0))^12 - 1)+$J$2)^(1/252)</f>
        <v>132178601.94496886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f>Q231*(1+((1+VLOOKUP($B232,'IPCA Hist'!$B:$C,2,0))^12 - 1)+$Q$2)^(1/252)</f>
        <v>44789848.608148396</v>
      </c>
      <c r="R232" s="2">
        <f>R231*(1+((1+VLOOKUP($B232,'IPCA Hist'!$B:$C,2,0))^12 - 1)+$R$2)^(1/252)</f>
        <v>44773758.460923478</v>
      </c>
      <c r="S232" s="2">
        <f>S231*(1+((1+VLOOKUP($B232,'IPCA Hist'!$B:$C,2,0))^12 - 1)+$S$2)^(1/252)</f>
        <v>45799634.131493792</v>
      </c>
      <c r="T232" s="2">
        <f>T231*(1+((1+VLOOKUP($B232,'IPCA Hist'!$B:$C,2,0))^12 - 1)+$T$2)^(1/252)</f>
        <v>231326605.74645188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f>AF231*(1+((1+VLOOKUP($B232,'IGPM Hist'!$B:$C,2,0))^12 - 1)+$AF$2)^(1/252)</f>
        <v>1642783.1639878871</v>
      </c>
      <c r="AG232" s="2">
        <f>350000*VLOOKUP(A232,'CVRDA6 Hist'!$A:$B,2,0)</f>
        <v>12137561.1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f>BA231*(1+VLOOKUP(A232,'SELIC Hist'!$A:$C,3,0))^(1/252)</f>
        <v>37562708.205653474</v>
      </c>
      <c r="BB232" s="2">
        <f t="shared" si="32"/>
        <v>757767630.62299049</v>
      </c>
      <c r="BC232" s="2">
        <v>0</v>
      </c>
      <c r="BD232" s="2">
        <v>0</v>
      </c>
      <c r="BE232" s="2">
        <f t="shared" si="41"/>
        <v>216456.32878351212</v>
      </c>
      <c r="BF232" s="2">
        <f t="shared" si="34"/>
        <v>5366608.2639834881</v>
      </c>
      <c r="BG232" s="2">
        <f t="shared" si="35"/>
        <v>29736097.545670986</v>
      </c>
      <c r="BH232" s="11">
        <f t="shared" si="36"/>
        <v>1.0897962354719286</v>
      </c>
      <c r="BI232" s="12">
        <f t="shared" si="37"/>
        <v>2.8573162596590151E-4</v>
      </c>
      <c r="BJ232" s="12">
        <f t="shared" si="38"/>
        <v>7.1326435032714741E-3</v>
      </c>
      <c r="BK232" s="12">
        <f t="shared" si="39"/>
        <v>4.0844518670749341E-2</v>
      </c>
      <c r="BL232" s="5">
        <f t="shared" si="40"/>
        <v>8.9796235471928609E-2</v>
      </c>
      <c r="BM232" s="19">
        <f t="shared" si="31"/>
        <v>5.2271783681548722E-2</v>
      </c>
      <c r="BN232" s="19" t="s">
        <v>53</v>
      </c>
      <c r="BO232" s="19" t="s">
        <v>53</v>
      </c>
    </row>
    <row r="233" spans="1:67" x14ac:dyDescent="0.25">
      <c r="A233" s="1">
        <v>45439</v>
      </c>
      <c r="B233" s="1" t="str">
        <f t="shared" si="33"/>
        <v>202405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f>I232*(1+((1+VLOOKUP($B233,'IPCA Hist'!$B:$C,2,0))^12 - 1)+$I$2)^(1/252)</f>
        <v>207644627.78479075</v>
      </c>
      <c r="J233" s="2">
        <f>J232*(1+((1+VLOOKUP($B233,'IPCA Hist'!$B:$C,2,0))^12 - 1)+$J$2)^(1/252)</f>
        <v>132232646.31535235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f>Q232*(1+((1+VLOOKUP($B233,'IPCA Hist'!$B:$C,2,0))^12 - 1)+$Q$2)^(1/252)</f>
        <v>44808129.920943461</v>
      </c>
      <c r="R233" s="2">
        <f>R232*(1+((1+VLOOKUP($B233,'IPCA Hist'!$B:$C,2,0))^12 - 1)+$R$2)^(1/252)</f>
        <v>44792049.24329517</v>
      </c>
      <c r="S233" s="2">
        <f>S232*(1+((1+VLOOKUP($B233,'IPCA Hist'!$B:$C,2,0))^12 - 1)+$S$2)^(1/252)</f>
        <v>45818147.050777599</v>
      </c>
      <c r="T233" s="2">
        <f>T232*(1+((1+VLOOKUP($B233,'IPCA Hist'!$B:$C,2,0))^12 - 1)+$T$2)^(1/252)</f>
        <v>231420028.58717355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f>AF232*(1+((1+VLOOKUP($B233,'IGPM Hist'!$B:$C,2,0))^12 - 1)+$AF$2)^(1/252)</f>
        <v>1643833.6114286736</v>
      </c>
      <c r="AG233" s="2">
        <f>350000*VLOOKUP(A233,'CVRDA6 Hist'!$A:$B,2,0)</f>
        <v>12166540.75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f>BA232*(1+VLOOKUP(A233,'SELIC Hist'!$A:$C,3,0))^(1/252)</f>
        <v>37577458.928118803</v>
      </c>
      <c r="BB233" s="2">
        <f t="shared" si="32"/>
        <v>758103462.19188035</v>
      </c>
      <c r="BC233" s="2">
        <v>0</v>
      </c>
      <c r="BD233" s="2">
        <v>0</v>
      </c>
      <c r="BE233" s="2">
        <f t="shared" si="41"/>
        <v>335831.56888985634</v>
      </c>
      <c r="BF233" s="2">
        <f t="shared" si="34"/>
        <v>5702439.8328733444</v>
      </c>
      <c r="BG233" s="2">
        <f t="shared" si="35"/>
        <v>30071929.114560843</v>
      </c>
      <c r="BH233" s="11">
        <f t="shared" si="36"/>
        <v>1.0902792172789344</v>
      </c>
      <c r="BI233" s="12">
        <f t="shared" si="37"/>
        <v>4.4318542428856134E-4</v>
      </c>
      <c r="BJ233" s="12">
        <f t="shared" si="38"/>
        <v>7.5789900111973285E-3</v>
      </c>
      <c r="BK233" s="12">
        <f t="shared" si="39"/>
        <v>4.1305805790374794E-2</v>
      </c>
      <c r="BL233" s="5">
        <f t="shared" si="40"/>
        <v>9.0279217278934398E-2</v>
      </c>
      <c r="BM233" s="19">
        <f t="shared" si="31"/>
        <v>5.2327277632315816E-2</v>
      </c>
      <c r="BN233" s="19" t="s">
        <v>53</v>
      </c>
      <c r="BO233" s="19" t="s">
        <v>53</v>
      </c>
    </row>
    <row r="234" spans="1:67" x14ac:dyDescent="0.25">
      <c r="A234" s="1">
        <v>45440</v>
      </c>
      <c r="B234" s="1" t="str">
        <f t="shared" si="33"/>
        <v>202405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f>I233*(1+((1+VLOOKUP($B234,'IPCA Hist'!$B:$C,2,0))^12 - 1)+$I$2)^(1/252)</f>
        <v>207733164.04253519</v>
      </c>
      <c r="J234" s="2">
        <f>J233*(1+((1+VLOOKUP($B234,'IPCA Hist'!$B:$C,2,0))^12 - 1)+$J$2)^(1/252)</f>
        <v>132286712.7830642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f>Q233*(1+((1+VLOOKUP($B234,'IPCA Hist'!$B:$C,2,0))^12 - 1)+$Q$2)^(1/252)</f>
        <v>44826418.695393518</v>
      </c>
      <c r="R234" s="2">
        <f>R233*(1+((1+VLOOKUP($B234,'IPCA Hist'!$B:$C,2,0))^12 - 1)+$R$2)^(1/252)</f>
        <v>44810347.497738257</v>
      </c>
      <c r="S234" s="2">
        <f>S233*(1+((1+VLOOKUP($B234,'IPCA Hist'!$B:$C,2,0))^12 - 1)+$S$2)^(1/252)</f>
        <v>45836667.453269228</v>
      </c>
      <c r="T234" s="2">
        <f>T233*(1+((1+VLOOKUP($B234,'IPCA Hist'!$B:$C,2,0))^12 - 1)+$T$2)^(1/252)</f>
        <v>231513489.15735197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f>AF233*(1+((1+VLOOKUP($B234,'IGPM Hist'!$B:$C,2,0))^12 - 1)+$AF$2)^(1/252)</f>
        <v>1644884.7305587311</v>
      </c>
      <c r="AG234" s="2">
        <f>350000*VLOOKUP(A234,'CVRDA6 Hist'!$A:$B,2,0)</f>
        <v>12157540.15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f>BA233*(1+VLOOKUP(A234,'SELIC Hist'!$A:$C,3,0))^(1/252)</f>
        <v>37592215.443132743</v>
      </c>
      <c r="BB234" s="2">
        <f t="shared" si="32"/>
        <v>758401439.95304382</v>
      </c>
      <c r="BC234" s="2">
        <v>0</v>
      </c>
      <c r="BD234" s="2">
        <v>0</v>
      </c>
      <c r="BE234" s="2">
        <f t="shared" si="41"/>
        <v>297977.76116347313</v>
      </c>
      <c r="BF234" s="2">
        <f t="shared" si="34"/>
        <v>6000417.5940368176</v>
      </c>
      <c r="BG234" s="2">
        <f t="shared" si="35"/>
        <v>30369906.875724316</v>
      </c>
      <c r="BH234" s="11">
        <f t="shared" si="36"/>
        <v>1.0907077589970642</v>
      </c>
      <c r="BI234" s="12">
        <f t="shared" si="37"/>
        <v>3.9305685308699267E-4</v>
      </c>
      <c r="BJ234" s="12">
        <f t="shared" si="38"/>
        <v>7.9750258382476069E-3</v>
      </c>
      <c r="BK234" s="12">
        <f t="shared" si="39"/>
        <v>4.1715098173499943E-2</v>
      </c>
      <c r="BL234" s="5">
        <f t="shared" si="40"/>
        <v>9.0707758997064181E-2</v>
      </c>
      <c r="BM234" s="19">
        <f t="shared" si="31"/>
        <v>5.240582128750626E-2</v>
      </c>
      <c r="BN234" s="19" t="s">
        <v>53</v>
      </c>
      <c r="BO234" s="19" t="s">
        <v>53</v>
      </c>
    </row>
    <row r="235" spans="1:67" x14ac:dyDescent="0.25">
      <c r="A235" s="1">
        <v>45441</v>
      </c>
      <c r="B235" s="1" t="str">
        <f t="shared" si="33"/>
        <v>202405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f>I234*(1+((1+VLOOKUP($B235,'IPCA Hist'!$B:$C,2,0))^12 - 1)+$I$2)^(1/252)</f>
        <v>207821738.05068529</v>
      </c>
      <c r="J235" s="2">
        <f>J234*(1+((1+VLOOKUP($B235,'IPCA Hist'!$B:$C,2,0))^12 - 1)+$J$2)^(1/252)</f>
        <v>132340801.35713944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f>Q234*(1+((1+VLOOKUP($B235,'IPCA Hist'!$B:$C,2,0))^12 - 1)+$Q$2)^(1/252)</f>
        <v>44844714.934544101</v>
      </c>
      <c r="R235" s="2">
        <f>R234*(1+((1+VLOOKUP($B235,'IPCA Hist'!$B:$C,2,0))^12 - 1)+$R$2)^(1/252)</f>
        <v>44828653.227305196</v>
      </c>
      <c r="S235" s="2">
        <f>S234*(1+((1+VLOOKUP($B235,'IPCA Hist'!$B:$C,2,0))^12 - 1)+$S$2)^(1/252)</f>
        <v>45855195.341993511</v>
      </c>
      <c r="T235" s="2">
        <f>T234*(1+((1+VLOOKUP($B235,'IPCA Hist'!$B:$C,2,0))^12 - 1)+$T$2)^(1/252)</f>
        <v>231606987.47222444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f>AF234*(1+((1+VLOOKUP($B235,'IGPM Hist'!$B:$C,2,0))^12 - 1)+$AF$2)^(1/252)</f>
        <v>1645936.5218075591</v>
      </c>
      <c r="AG235" s="2">
        <f>350000*VLOOKUP(A235,'CVRDA6 Hist'!$A:$B,2,0)</f>
        <v>12244503.250000002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f>BA234*(1+VLOOKUP(A235,'SELIC Hist'!$A:$C,3,0))^(1/252)</f>
        <v>37606977.752970003</v>
      </c>
      <c r="BB235" s="2">
        <f t="shared" si="32"/>
        <v>758795507.90866947</v>
      </c>
      <c r="BC235" s="2">
        <v>0</v>
      </c>
      <c r="BD235" s="2">
        <v>0</v>
      </c>
      <c r="BE235" s="2">
        <f t="shared" si="41"/>
        <v>394067.95562565327</v>
      </c>
      <c r="BF235" s="2">
        <f t="shared" si="34"/>
        <v>6394485.5496624708</v>
      </c>
      <c r="BG235" s="2">
        <f t="shared" si="35"/>
        <v>30763974.831349969</v>
      </c>
      <c r="BH235" s="11">
        <f t="shared" si="36"/>
        <v>1.091274494441026</v>
      </c>
      <c r="BI235" s="12">
        <f t="shared" si="37"/>
        <v>5.1960338531276129E-4</v>
      </c>
      <c r="BJ235" s="12">
        <f t="shared" si="38"/>
        <v>8.4987730739838341E-3</v>
      </c>
      <c r="BK235" s="12">
        <f t="shared" si="39"/>
        <v>4.2256376865042355E-2</v>
      </c>
      <c r="BL235" s="5">
        <f t="shared" si="40"/>
        <v>9.1274494441025977E-2</v>
      </c>
      <c r="BM235" s="19">
        <f t="shared" si="31"/>
        <v>5.2754812507654014E-2</v>
      </c>
      <c r="BN235" s="19" t="s">
        <v>53</v>
      </c>
      <c r="BO235" s="19" t="s">
        <v>53</v>
      </c>
    </row>
    <row r="236" spans="1:67" x14ac:dyDescent="0.25">
      <c r="A236" s="1">
        <v>45443</v>
      </c>
      <c r="B236" s="1" t="str">
        <f t="shared" si="33"/>
        <v>202405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f>I235*(1+((1+VLOOKUP($B236,'IPCA Hist'!$B:$C,2,0))^12 - 1)+$I$2)^(1/252)</f>
        <v>207910349.82533723</v>
      </c>
      <c r="J236" s="2">
        <f>J235*(1+((1+VLOOKUP($B236,'IPCA Hist'!$B:$C,2,0))^12 - 1)+$J$2)^(1/252)</f>
        <v>132394912.04661678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f>Q235*(1+((1+VLOOKUP($B236,'IPCA Hist'!$B:$C,2,0))^12 - 1)+$Q$2)^(1/252)</f>
        <v>44863018.641441979</v>
      </c>
      <c r="R236" s="2">
        <f>R235*(1+((1+VLOOKUP($B236,'IPCA Hist'!$B:$C,2,0))^12 - 1)+$R$2)^(1/252)</f>
        <v>44846966.43504969</v>
      </c>
      <c r="S236" s="2">
        <f>S235*(1+((1+VLOOKUP($B236,'IPCA Hist'!$B:$C,2,0))^12 - 1)+$S$2)^(1/252)</f>
        <v>45873730.719976492</v>
      </c>
      <c r="T236" s="2">
        <f>T235*(1+((1+VLOOKUP($B236,'IPCA Hist'!$B:$C,2,0))^12 - 1)+$T$2)^(1/252)</f>
        <v>231700523.54703444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f>AF235*(1+((1+VLOOKUP($B236,'IGPM Hist'!$B:$C,2,0))^12 - 1)+$AF$2)^(1/252)</f>
        <v>1646988.9856049311</v>
      </c>
      <c r="AG236" s="2">
        <f>350000*VLOOKUP(A236,'CVRDA6 Hist'!$A:$B,2,0)</f>
        <v>12449953.25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f>BA235*(1+VLOOKUP(A236,'SELIC Hist'!$A:$C,3,0))^(1/252)</f>
        <v>37621745.859906189</v>
      </c>
      <c r="BB236" s="2">
        <f t="shared" si="32"/>
        <v>759308189.3109678</v>
      </c>
      <c r="BC236" s="2">
        <v>0</v>
      </c>
      <c r="BD236" s="2">
        <v>0</v>
      </c>
      <c r="BE236" s="2">
        <f t="shared" si="41"/>
        <v>512681.40229833126</v>
      </c>
      <c r="BF236" s="2">
        <f t="shared" si="34"/>
        <v>6907166.9519608021</v>
      </c>
      <c r="BG236" s="2">
        <f t="shared" si="35"/>
        <v>31276656.2336483</v>
      </c>
      <c r="BH236" s="11">
        <f t="shared" si="36"/>
        <v>1.0920118158039902</v>
      </c>
      <c r="BI236" s="12">
        <f t="shared" si="37"/>
        <v>6.7565160435822946E-4</v>
      </c>
      <c r="BJ236" s="12">
        <f t="shared" si="38"/>
        <v>9.1801668880044929E-3</v>
      </c>
      <c r="BK236" s="12">
        <f t="shared" si="39"/>
        <v>4.2960579058223924E-2</v>
      </c>
      <c r="BL236" s="5">
        <f t="shared" si="40"/>
        <v>9.2011815803990205E-2</v>
      </c>
      <c r="BM236" s="19">
        <f t="shared" si="31"/>
        <v>5.3156596143775214E-2</v>
      </c>
      <c r="BN236" s="19" t="s">
        <v>53</v>
      </c>
      <c r="BO236" s="19" t="s">
        <v>53</v>
      </c>
    </row>
    <row r="237" spans="1:67" x14ac:dyDescent="0.25">
      <c r="A237" s="1">
        <v>45446</v>
      </c>
      <c r="B237" s="1" t="str">
        <f t="shared" si="33"/>
        <v>202406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f>I236*(1+((1+VLOOKUP($B237,'IPCA Hist'!$B:$C,2,0))^12 - 1)+$I$2)^(1/252)</f>
        <v>207975598.36747557</v>
      </c>
      <c r="J237" s="2">
        <f>J236*(1+((1+VLOOKUP($B237,'IPCA Hist'!$B:$C,2,0))^12 - 1)+$J$2)^(1/252)</f>
        <v>132434076.81300426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f>Q236*(1+((1+VLOOKUP($B237,'IPCA Hist'!$B:$C,2,0))^12 - 1)+$Q$2)^(1/252)</f>
        <v>44876256.858116306</v>
      </c>
      <c r="R237" s="2">
        <f>R236*(1+((1+VLOOKUP($B237,'IPCA Hist'!$B:$C,2,0))^12 - 1)+$R$2)^(1/252)</f>
        <v>44860216.440390334</v>
      </c>
      <c r="S237" s="2">
        <f>S236*(1+((1+VLOOKUP($B237,'IPCA Hist'!$B:$C,2,0))^12 - 1)+$S$2)^(1/252)</f>
        <v>45887081.134366028</v>
      </c>
      <c r="T237" s="2">
        <f>T236*(1+((1+VLOOKUP($B237,'IPCA Hist'!$B:$C,2,0))^12 - 1)+$T$2)^(1/252)</f>
        <v>231767868.77939582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f>AF236*(1+((1+VLOOKUP($B237,'IGPM Hist'!$B:$C,2,0))^12 - 1)+$AF$2)^(1/252)</f>
        <v>1647985.557548492</v>
      </c>
      <c r="AG237" s="2">
        <f>350000*VLOOKUP(A237,'CVRDA6 Hist'!$A:$B,2,0)</f>
        <v>11917499.999999998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f>BA236*(1+VLOOKUP(A237,'SELIC Hist'!$A:$C,3,0))^(1/252)</f>
        <v>37636519.766217798</v>
      </c>
      <c r="BB237" s="2">
        <f t="shared" si="32"/>
        <v>759003103.71651471</v>
      </c>
      <c r="BC237" s="2">
        <v>0</v>
      </c>
      <c r="BD237" s="2">
        <v>0</v>
      </c>
      <c r="BE237" s="2">
        <f t="shared" si="41"/>
        <v>-305085.59445309639</v>
      </c>
      <c r="BF237" s="2">
        <f t="shared" si="34"/>
        <v>-305085.59445309639</v>
      </c>
      <c r="BG237" s="2">
        <f t="shared" si="35"/>
        <v>30971570.639195204</v>
      </c>
      <c r="BH237" s="11">
        <f t="shared" si="36"/>
        <v>1.0915730518361253</v>
      </c>
      <c r="BI237" s="12">
        <f t="shared" si="37"/>
        <v>-4.0179415782404249E-4</v>
      </c>
      <c r="BJ237" s="12">
        <f t="shared" si="38"/>
        <v>-4.0179415782404249E-4</v>
      </c>
      <c r="BK237" s="12">
        <f t="shared" si="39"/>
        <v>4.2541523590717611E-2</v>
      </c>
      <c r="BL237" s="5">
        <f t="shared" si="40"/>
        <v>9.1573051836125297E-2</v>
      </c>
      <c r="BM237" s="19">
        <f t="shared" si="31"/>
        <v>5.2452589561801766E-2</v>
      </c>
      <c r="BN237" s="19" t="s">
        <v>53</v>
      </c>
      <c r="BO237" s="19" t="s">
        <v>53</v>
      </c>
    </row>
    <row r="238" spans="1:67" x14ac:dyDescent="0.25">
      <c r="A238" s="1">
        <v>45447</v>
      </c>
      <c r="B238" s="1" t="str">
        <f t="shared" si="33"/>
        <v>202406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f>I237*(1+((1+VLOOKUP($B238,'IPCA Hist'!$B:$C,2,0))^12 - 1)+$I$2)^(1/252)</f>
        <v>208040867.38657552</v>
      </c>
      <c r="J238" s="2">
        <f>J237*(1+((1+VLOOKUP($B238,'IPCA Hist'!$B:$C,2,0))^12 - 1)+$J$2)^(1/252)</f>
        <v>132473253.16502522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f>Q237*(1+((1+VLOOKUP($B238,'IPCA Hist'!$B:$C,2,0))^12 - 1)+$Q$2)^(1/252)</f>
        <v>44889498.981134564</v>
      </c>
      <c r="R238" s="2">
        <f>R237*(1+((1+VLOOKUP($B238,'IPCA Hist'!$B:$C,2,0))^12 - 1)+$R$2)^(1/252)</f>
        <v>44873470.360435925</v>
      </c>
      <c r="S238" s="2">
        <f>S237*(1+((1+VLOOKUP($B238,'IPCA Hist'!$B:$C,2,0))^12 - 1)+$S$2)^(1/252)</f>
        <v>45900435.434063375</v>
      </c>
      <c r="T238" s="2">
        <f>T237*(1+((1+VLOOKUP($B238,'IPCA Hist'!$B:$C,2,0))^12 - 1)+$T$2)^(1/252)</f>
        <v>231835233.58607775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f>AF237*(1+((1+VLOOKUP($B238,'IGPM Hist'!$B:$C,2,0))^12 - 1)+$AF$2)^(1/252)</f>
        <v>1648982.7325049734</v>
      </c>
      <c r="AG238" s="2">
        <f>350000*VLOOKUP(A238,'CVRDA6 Hist'!$A:$B,2,0)</f>
        <v>12192944.75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f>BA237*(1+VLOOKUP(A238,'SELIC Hist'!$A:$C,3,0))^(1/252) - BD238</f>
        <v>29651299.474182218</v>
      </c>
      <c r="BB238" s="2">
        <f t="shared" si="32"/>
        <v>751505985.86999965</v>
      </c>
      <c r="BC238" s="2">
        <v>0</v>
      </c>
      <c r="BD238" s="2">
        <v>8000000</v>
      </c>
      <c r="BE238" s="2">
        <f t="shared" si="41"/>
        <v>502882.15348494053</v>
      </c>
      <c r="BF238" s="2">
        <f t="shared" si="34"/>
        <v>197796.55903184414</v>
      </c>
      <c r="BG238" s="2">
        <f t="shared" si="35"/>
        <v>31474452.792680144</v>
      </c>
      <c r="BH238" s="11">
        <f t="shared" si="36"/>
        <v>1.0922962802449494</v>
      </c>
      <c r="BI238" s="12">
        <f t="shared" si="37"/>
        <v>6.6255612265941899E-4</v>
      </c>
      <c r="BJ238" s="12">
        <f t="shared" si="38"/>
        <v>2.6049575365605371E-4</v>
      </c>
      <c r="BK238" s="12">
        <f t="shared" si="39"/>
        <v>4.3232265860299268E-2</v>
      </c>
      <c r="BL238" s="5">
        <f t="shared" si="40"/>
        <v>9.2296280244949402E-2</v>
      </c>
      <c r="BM238" s="19">
        <f t="shared" si="31"/>
        <v>5.4345442435751457E-2</v>
      </c>
      <c r="BN238" s="19" t="s">
        <v>53</v>
      </c>
      <c r="BO238" s="19" t="s">
        <v>53</v>
      </c>
    </row>
    <row r="239" spans="1:67" x14ac:dyDescent="0.25">
      <c r="A239" s="1">
        <v>45448</v>
      </c>
      <c r="B239" s="1" t="str">
        <f t="shared" si="33"/>
        <v>202406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f>I238*(1+((1+VLOOKUP($B239,'IPCA Hist'!$B:$C,2,0))^12 - 1)+$I$2)^(1/252)</f>
        <v>208106156.88906339</v>
      </c>
      <c r="J239" s="2">
        <f>J238*(1+((1+VLOOKUP($B239,'IPCA Hist'!$B:$C,2,0))^12 - 1)+$J$2)^(1/252)</f>
        <v>132512441.10610691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f>Q238*(1+((1+VLOOKUP($B239,'IPCA Hist'!$B:$C,2,0))^12 - 1)+$Q$2)^(1/252)</f>
        <v>44902745.011649445</v>
      </c>
      <c r="R239" s="2">
        <f>R238*(1+((1+VLOOKUP($B239,'IPCA Hist'!$B:$C,2,0))^12 - 1)+$R$2)^(1/252)</f>
        <v>44886728.196343064</v>
      </c>
      <c r="S239" s="2">
        <f>S238*(1+((1+VLOOKUP($B239,'IPCA Hist'!$B:$C,2,0))^12 - 1)+$S$2)^(1/252)</f>
        <v>45913793.620199256</v>
      </c>
      <c r="T239" s="2">
        <f>T238*(1+((1+VLOOKUP($B239,'IPCA Hist'!$B:$C,2,0))^12 - 1)+$T$2)^(1/252)</f>
        <v>231902617.97276965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f>AF238*(1+((1+VLOOKUP($B239,'IGPM Hist'!$B:$C,2,0))^12 - 1)+$AF$2)^(1/252)</f>
        <v>1649980.5108392511</v>
      </c>
      <c r="AG239" s="2">
        <f>350000*VLOOKUP(A239,'CVRDA6 Hist'!$A:$B,2,0)</f>
        <v>12185077.799999999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f>BA238*(1+VLOOKUP(A239,'SELIC Hist'!$A:$C,3,0))^(1/252)</f>
        <v>29662943.418673262</v>
      </c>
      <c r="BB239" s="2">
        <f t="shared" si="32"/>
        <v>751722484.52564418</v>
      </c>
      <c r="BC239" s="2">
        <v>0</v>
      </c>
      <c r="BD239" s="2">
        <v>0</v>
      </c>
      <c r="BE239" s="2">
        <f t="shared" si="41"/>
        <v>216498.65564453602</v>
      </c>
      <c r="BF239" s="2">
        <f t="shared" si="34"/>
        <v>414295.21467638016</v>
      </c>
      <c r="BG239" s="2">
        <f t="shared" si="35"/>
        <v>31690951.44832468</v>
      </c>
      <c r="BH239" s="11">
        <f t="shared" si="36"/>
        <v>1.0926109559503796</v>
      </c>
      <c r="BI239" s="12">
        <f t="shared" si="37"/>
        <v>2.8808640212485415E-4</v>
      </c>
      <c r="BJ239" s="12">
        <f t="shared" si="38"/>
        <v>5.48657201065339E-4</v>
      </c>
      <c r="BK239" s="12">
        <f t="shared" si="39"/>
        <v>4.353280689035155E-2</v>
      </c>
      <c r="BL239" s="5">
        <f t="shared" si="40"/>
        <v>9.2610955950379603E-2</v>
      </c>
      <c r="BM239" s="19">
        <f t="shared" si="31"/>
        <v>5.2975202222086182E-2</v>
      </c>
      <c r="BN239" s="19" t="s">
        <v>53</v>
      </c>
      <c r="BO239" s="19" t="s">
        <v>53</v>
      </c>
    </row>
    <row r="240" spans="1:67" x14ac:dyDescent="0.25">
      <c r="A240" s="1">
        <v>45449</v>
      </c>
      <c r="B240" s="1" t="str">
        <f t="shared" si="33"/>
        <v>202406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f>I239*(1+((1+VLOOKUP($B240,'IPCA Hist'!$B:$C,2,0))^12 - 1)+$I$2)^(1/252)</f>
        <v>208171466.88136744</v>
      </c>
      <c r="J240" s="2">
        <f>J239*(1+((1+VLOOKUP($B240,'IPCA Hist'!$B:$C,2,0))^12 - 1)+$J$2)^(1/252)</f>
        <v>132551640.63967755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f>Q239*(1+((1+VLOOKUP($B240,'IPCA Hist'!$B:$C,2,0))^12 - 1)+$Q$2)^(1/252)</f>
        <v>44915994.950813971</v>
      </c>
      <c r="R240" s="2">
        <f>R239*(1+((1+VLOOKUP($B240,'IPCA Hist'!$B:$C,2,0))^12 - 1)+$R$2)^(1/252)</f>
        <v>44899989.949268691</v>
      </c>
      <c r="S240" s="2">
        <f>S239*(1+((1+VLOOKUP($B240,'IPCA Hist'!$B:$C,2,0))^12 - 1)+$S$2)^(1/252)</f>
        <v>45927155.693904728</v>
      </c>
      <c r="T240" s="2">
        <f>T239*(1+((1+VLOOKUP($B240,'IPCA Hist'!$B:$C,2,0))^12 - 1)+$T$2)^(1/252)</f>
        <v>231970021.94516253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f>AF239*(1+((1+VLOOKUP($B240,'IGPM Hist'!$B:$C,2,0))^12 - 1)+$AF$2)^(1/252)</f>
        <v>1650978.8929164212</v>
      </c>
      <c r="AG240" s="2">
        <f>350000*VLOOKUP(A240,'CVRDA6 Hist'!$A:$B,2,0)</f>
        <v>12246538.149999999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f>BA239*(1+VLOOKUP(A240,'SELIC Hist'!$A:$C,3,0))^(1/252) +BC240-BD240</f>
        <v>1674591.9356938601</v>
      </c>
      <c r="BB240" s="2">
        <f t="shared" si="32"/>
        <v>724008379.03880513</v>
      </c>
      <c r="BC240" s="2">
        <v>97500000</v>
      </c>
      <c r="BD240" s="2">
        <v>125500000</v>
      </c>
      <c r="BE240" s="2">
        <f t="shared" si="41"/>
        <v>285894.51316094398</v>
      </c>
      <c r="BF240" s="2">
        <f t="shared" si="34"/>
        <v>700189.72783732414</v>
      </c>
      <c r="BG240" s="2">
        <f t="shared" si="35"/>
        <v>31976845.961485624</v>
      </c>
      <c r="BH240" s="11">
        <f t="shared" si="36"/>
        <v>1.0930264969029997</v>
      </c>
      <c r="BI240" s="12">
        <f t="shared" si="37"/>
        <v>3.8031922557335562E-4</v>
      </c>
      <c r="BJ240" s="12">
        <f t="shared" si="38"/>
        <v>9.2918509152051243E-4</v>
      </c>
      <c r="BK240" s="12">
        <f t="shared" si="39"/>
        <v>4.3929682479328491E-2</v>
      </c>
      <c r="BL240" s="5">
        <f t="shared" si="40"/>
        <v>9.3026496902999689E-2</v>
      </c>
      <c r="BM240" s="19">
        <f t="shared" si="31"/>
        <v>5.2821636287464724E-2</v>
      </c>
      <c r="BN240" s="19" t="s">
        <v>53</v>
      </c>
      <c r="BO240" s="19" t="s">
        <v>53</v>
      </c>
    </row>
    <row r="241" spans="1:67" x14ac:dyDescent="0.25">
      <c r="A241" s="1">
        <v>45450</v>
      </c>
      <c r="B241" s="1" t="str">
        <f t="shared" si="33"/>
        <v>202406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f>I240*(1+((1+VLOOKUP($B241,'IPCA Hist'!$B:$C,2,0))^12 - 1)+$I$2)^(1/252)</f>
        <v>208236797.36991802</v>
      </c>
      <c r="J241" s="2">
        <f>J240*(1+((1+VLOOKUP($B241,'IPCA Hist'!$B:$C,2,0))^12 - 1)+$J$2)^(1/252)</f>
        <v>132590851.76916644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f>Q240*(1+((1+VLOOKUP($B241,'IPCA Hist'!$B:$C,2,0))^12 - 1)+$Q$2)^(1/252)</f>
        <v>44929248.799781516</v>
      </c>
      <c r="R241" s="2">
        <f>R240*(1+((1+VLOOKUP($B241,'IPCA Hist'!$B:$C,2,0))^12 - 1)+$R$2)^(1/252)</f>
        <v>44913255.620370083</v>
      </c>
      <c r="S241" s="2">
        <f>S240*(1+((1+VLOOKUP($B241,'IPCA Hist'!$B:$C,2,0))^12 - 1)+$S$2)^(1/252)</f>
        <v>45940521.656311169</v>
      </c>
      <c r="T241" s="2">
        <f>T240*(1+((1+VLOOKUP($B241,'IPCA Hist'!$B:$C,2,0))^12 - 1)+$T$2)^(1/252)</f>
        <v>232037445.50894916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f>AF240*(1+((1+VLOOKUP($B241,'IGPM Hist'!$B:$C,2,0))^12 - 1)+$AF$2)^(1/252)</f>
        <v>1651977.8791018007</v>
      </c>
      <c r="AG241" s="2">
        <f>350000*VLOOKUP(A241,'CVRDA6 Hist'!$A:$B,2,0)</f>
        <v>12309118.85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f>BA240*(1+VLOOKUP(A241,'SELIC Hist'!$A:$C,3,0))^(1/252)</f>
        <v>1675249.5411239811</v>
      </c>
      <c r="BB241" s="2">
        <f t="shared" si="32"/>
        <v>724284466.99472213</v>
      </c>
      <c r="BC241" s="2">
        <v>0</v>
      </c>
      <c r="BD241" s="2">
        <v>0</v>
      </c>
      <c r="BE241" s="2">
        <f t="shared" si="41"/>
        <v>276087.95591700077</v>
      </c>
      <c r="BF241" s="2">
        <f t="shared" si="34"/>
        <v>976277.68375432491</v>
      </c>
      <c r="BG241" s="2">
        <f t="shared" si="35"/>
        <v>32252933.917402625</v>
      </c>
      <c r="BH241" s="11">
        <f t="shared" si="36"/>
        <v>1.0934433034760034</v>
      </c>
      <c r="BI241" s="12">
        <f t="shared" si="37"/>
        <v>3.8133254242667114E-4</v>
      </c>
      <c r="BJ241" s="12">
        <f t="shared" si="38"/>
        <v>1.3108719624606024E-3</v>
      </c>
      <c r="BK241" s="12">
        <f t="shared" si="39"/>
        <v>4.4327766839262983E-2</v>
      </c>
      <c r="BL241" s="5">
        <f t="shared" si="40"/>
        <v>9.3443303476003381E-2</v>
      </c>
      <c r="BM241" s="19">
        <f t="shared" si="31"/>
        <v>5.2769122543875113E-2</v>
      </c>
      <c r="BN241" s="19" t="s">
        <v>53</v>
      </c>
      <c r="BO241" s="19" t="s">
        <v>53</v>
      </c>
    </row>
    <row r="242" spans="1:67" x14ac:dyDescent="0.25">
      <c r="A242" s="1">
        <v>45453</v>
      </c>
      <c r="B242" s="1" t="str">
        <f t="shared" si="33"/>
        <v>202406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f>I241*(1+((1+VLOOKUP($B242,'IPCA Hist'!$B:$C,2,0))^12 - 1)+$I$2)^(1/252)</f>
        <v>208302148.36114746</v>
      </c>
      <c r="J242" s="2">
        <f>J241*(1+((1+VLOOKUP($B242,'IPCA Hist'!$B:$C,2,0))^12 - 1)+$J$2)^(1/252)</f>
        <v>132630074.49800384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f>Q241*(1+((1+VLOOKUP($B242,'IPCA Hist'!$B:$C,2,0))^12 - 1)+$Q$2)^(1/252)</f>
        <v>44942506.559705786</v>
      </c>
      <c r="R242" s="2">
        <f>R241*(1+((1+VLOOKUP($B242,'IPCA Hist'!$B:$C,2,0))^12 - 1)+$R$2)^(1/252)</f>
        <v>44926525.210804865</v>
      </c>
      <c r="S242" s="2">
        <f>S241*(1+((1+VLOOKUP($B242,'IPCA Hist'!$B:$C,2,0))^12 - 1)+$S$2)^(1/252)</f>
        <v>45953891.508550286</v>
      </c>
      <c r="T242" s="2">
        <f>T241*(1+((1+VLOOKUP($B242,'IPCA Hist'!$B:$C,2,0))^12 - 1)+$T$2)^(1/252)</f>
        <v>232104888.66982388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f>AF241*(1+((1+VLOOKUP($B242,'IGPM Hist'!$B:$C,2,0))^12 - 1)+$AF$2)^(1/252)</f>
        <v>1652977.4697609278</v>
      </c>
      <c r="AG242" s="2">
        <f>350000*VLOOKUP(A242,'CVRDA6 Hist'!$A:$B,2,0)</f>
        <v>12276486.949999999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f>BA241*(1+VLOOKUP(A242,'SELIC Hist'!$A:$C,3,0))^(1/252)</f>
        <v>1675907.4047930753</v>
      </c>
      <c r="BB242" s="2">
        <f t="shared" si="32"/>
        <v>724465406.63259006</v>
      </c>
      <c r="BC242" s="2">
        <v>0</v>
      </c>
      <c r="BD242" s="2">
        <v>0</v>
      </c>
      <c r="BE242" s="2">
        <f t="shared" si="41"/>
        <v>180939.63786792755</v>
      </c>
      <c r="BF242" s="2">
        <f t="shared" si="34"/>
        <v>1157217.3216222525</v>
      </c>
      <c r="BG242" s="2">
        <f t="shared" si="35"/>
        <v>32433873.555270553</v>
      </c>
      <c r="BH242" s="11">
        <f t="shared" si="36"/>
        <v>1.093716465809832</v>
      </c>
      <c r="BI242" s="12">
        <f t="shared" si="37"/>
        <v>2.4981847066074536E-4</v>
      </c>
      <c r="BJ242" s="12">
        <f t="shared" si="38"/>
        <v>1.56101791315022E-3</v>
      </c>
      <c r="BK242" s="12">
        <f t="shared" si="39"/>
        <v>4.4588659204843228E-2</v>
      </c>
      <c r="BL242" s="5">
        <f t="shared" si="40"/>
        <v>9.371646580983195E-2</v>
      </c>
      <c r="BM242" s="19">
        <f t="shared" si="31"/>
        <v>5.2676548011056923E-2</v>
      </c>
      <c r="BN242" s="19" t="s">
        <v>53</v>
      </c>
      <c r="BO242" s="19" t="s">
        <v>53</v>
      </c>
    </row>
    <row r="243" spans="1:67" x14ac:dyDescent="0.25">
      <c r="A243" s="1">
        <v>45454</v>
      </c>
      <c r="B243" s="1" t="str">
        <f t="shared" si="33"/>
        <v>202406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f>I242*(1+((1+VLOOKUP($B243,'IPCA Hist'!$B:$C,2,0))^12 - 1)+$I$2)^(1/252)</f>
        <v>208367519.86149013</v>
      </c>
      <c r="J243" s="2">
        <f>J242*(1+((1+VLOOKUP($B243,'IPCA Hist'!$B:$C,2,0))^12 - 1)+$J$2)^(1/252)</f>
        <v>132669308.82962105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f>Q242*(1+((1+VLOOKUP($B243,'IPCA Hist'!$B:$C,2,0))^12 - 1)+$Q$2)^(1/252)</f>
        <v>44955768.231740825</v>
      </c>
      <c r="R243" s="2">
        <f>R242*(1+((1+VLOOKUP($B243,'IPCA Hist'!$B:$C,2,0))^12 - 1)+$R$2)^(1/252)</f>
        <v>44939798.721731</v>
      </c>
      <c r="S243" s="2">
        <f>S242*(1+((1+VLOOKUP($B243,'IPCA Hist'!$B:$C,2,0))^12 - 1)+$S$2)^(1/252)</f>
        <v>45967265.25175412</v>
      </c>
      <c r="T243" s="2">
        <f>T242*(1+((1+VLOOKUP($B243,'IPCA Hist'!$B:$C,2,0))^12 - 1)+$T$2)^(1/252)</f>
        <v>232172351.43348271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f>AF242*(1+((1+VLOOKUP($B243,'IGPM Hist'!$B:$C,2,0))^12 - 1)+$AF$2)^(1/252)</f>
        <v>1653977.6652595617</v>
      </c>
      <c r="AG243" s="2">
        <f>350000*VLOOKUP(A243,'CVRDA6 Hist'!$A:$B,2,0)</f>
        <v>12369161.700000001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f>BA242*(1+VLOOKUP(A243,'SELIC Hist'!$A:$C,3,0))^(1/252)</f>
        <v>1676565.5268025519</v>
      </c>
      <c r="BB243" s="2">
        <f t="shared" si="32"/>
        <v>724771717.2218821</v>
      </c>
      <c r="BC243" s="2">
        <v>101000000</v>
      </c>
      <c r="BD243" s="2">
        <v>101000000</v>
      </c>
      <c r="BE243" s="2">
        <f t="shared" si="41"/>
        <v>306310.58929204941</v>
      </c>
      <c r="BF243" s="2">
        <f t="shared" si="34"/>
        <v>1463527.9109143019</v>
      </c>
      <c r="BG243" s="2">
        <f t="shared" si="35"/>
        <v>32740184.144562602</v>
      </c>
      <c r="BH243" s="11">
        <f t="shared" si="36"/>
        <v>1.0941788991187154</v>
      </c>
      <c r="BI243" s="12">
        <f t="shared" si="37"/>
        <v>4.2280913137848763E-4</v>
      </c>
      <c r="BJ243" s="12">
        <f t="shared" si="38"/>
        <v>1.984487057156592E-3</v>
      </c>
      <c r="BK243" s="12">
        <f t="shared" si="39"/>
        <v>4.5030320828489456E-2</v>
      </c>
      <c r="BL243" s="5">
        <f t="shared" si="40"/>
        <v>9.4178899118715353E-2</v>
      </c>
      <c r="BM243" s="19">
        <f t="shared" si="31"/>
        <v>5.2574378527333598E-2</v>
      </c>
      <c r="BN243" s="19" t="s">
        <v>53</v>
      </c>
      <c r="BO243" s="19" t="s">
        <v>53</v>
      </c>
    </row>
    <row r="244" spans="1:67" x14ac:dyDescent="0.25">
      <c r="A244" s="1">
        <v>45455</v>
      </c>
      <c r="B244" s="1" t="str">
        <f t="shared" si="33"/>
        <v>202406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f>I243*(1+((1+VLOOKUP($B244,'IPCA Hist'!$B:$C,2,0))^12 - 1)+$I$2)^(1/252)</f>
        <v>208432911.8773824</v>
      </c>
      <c r="J244" s="2">
        <f>J243*(1+((1+VLOOKUP($B244,'IPCA Hist'!$B:$C,2,0))^12 - 1)+$J$2)^(1/252)</f>
        <v>132708554.76745036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f>Q243*(1+((1+VLOOKUP($B244,'IPCA Hist'!$B:$C,2,0))^12 - 1)+$Q$2)^(1/252)</f>
        <v>44969033.817041025</v>
      </c>
      <c r="R244" s="2">
        <f>R243*(1+((1+VLOOKUP($B244,'IPCA Hist'!$B:$C,2,0))^12 - 1)+$R$2)^(1/252)</f>
        <v>44953076.154306792</v>
      </c>
      <c r="S244" s="2">
        <f>S243*(1+((1+VLOOKUP($B244,'IPCA Hist'!$B:$C,2,0))^12 - 1)+$S$2)^(1/252)</f>
        <v>45980642.887055039</v>
      </c>
      <c r="T244" s="2">
        <f>T243*(1+((1+VLOOKUP($B244,'IPCA Hist'!$B:$C,2,0))^12 - 1)+$T$2)^(1/252)</f>
        <v>232239833.80562329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f>AF243*(1+((1+VLOOKUP($B244,'IGPM Hist'!$B:$C,2,0))^12 - 1)+$AF$2)^(1/252)</f>
        <v>1654978.4659636833</v>
      </c>
      <c r="AG244" s="2">
        <f>350000*VLOOKUP(A244,'CVRDA6 Hist'!$A:$B,2,0)</f>
        <v>12229227.15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f>BA243*(1+VLOOKUP(A244,'SELIC Hist'!$A:$C,3,0))^(1/252)</f>
        <v>1677223.9072538603</v>
      </c>
      <c r="BB244" s="2">
        <f t="shared" si="32"/>
        <v>724845482.83207643</v>
      </c>
      <c r="BC244" s="2">
        <v>0</v>
      </c>
      <c r="BD244" s="2">
        <v>0</v>
      </c>
      <c r="BE244" s="2">
        <f t="shared" si="41"/>
        <v>73765.610194325447</v>
      </c>
      <c r="BF244" s="2">
        <f t="shared" si="34"/>
        <v>1537293.5211086273</v>
      </c>
      <c r="BG244" s="2">
        <f t="shared" si="35"/>
        <v>32813949.754756927</v>
      </c>
      <c r="BH244" s="11">
        <f t="shared" si="36"/>
        <v>1.094290262148256</v>
      </c>
      <c r="BI244" s="12">
        <f t="shared" si="37"/>
        <v>1.0177771626773691E-4</v>
      </c>
      <c r="BJ244" s="12">
        <f t="shared" si="38"/>
        <v>2.0864667499849165E-3</v>
      </c>
      <c r="BK244" s="12">
        <f t="shared" si="39"/>
        <v>4.5136681627973907E-2</v>
      </c>
      <c r="BL244" s="5">
        <f t="shared" si="40"/>
        <v>9.4290262148255977E-2</v>
      </c>
      <c r="BM244" s="19">
        <f t="shared" si="31"/>
        <v>5.1979782788196482E-2</v>
      </c>
      <c r="BN244" s="19" t="s">
        <v>53</v>
      </c>
      <c r="BO244" s="19" t="s">
        <v>53</v>
      </c>
    </row>
    <row r="245" spans="1:67" x14ac:dyDescent="0.25">
      <c r="A245" s="1">
        <v>45456</v>
      </c>
      <c r="B245" s="1" t="str">
        <f t="shared" si="33"/>
        <v>202406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f>I244*(1+((1+VLOOKUP($B245,'IPCA Hist'!$B:$C,2,0))^12 - 1)+$I$2)^(1/252)</f>
        <v>208498324.41526267</v>
      </c>
      <c r="J245" s="2">
        <f>J244*(1+((1+VLOOKUP($B245,'IPCA Hist'!$B:$C,2,0))^12 - 1)+$J$2)^(1/252)</f>
        <v>132747812.31492512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f>Q244*(1+((1+VLOOKUP($B245,'IPCA Hist'!$B:$C,2,0))^12 - 1)+$Q$2)^(1/252)</f>
        <v>44982303.316761114</v>
      </c>
      <c r="R245" s="2">
        <f>R244*(1+((1+VLOOKUP($B245,'IPCA Hist'!$B:$C,2,0))^12 - 1)+$R$2)^(1/252)</f>
        <v>44966357.509690896</v>
      </c>
      <c r="S245" s="2">
        <f>S244*(1+((1+VLOOKUP($B245,'IPCA Hist'!$B:$C,2,0))^12 - 1)+$S$2)^(1/252)</f>
        <v>45994024.415585749</v>
      </c>
      <c r="T245" s="2">
        <f>T244*(1+((1+VLOOKUP($B245,'IPCA Hist'!$B:$C,2,0))^12 - 1)+$T$2)^(1/252)</f>
        <v>232307335.79194501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f>AF244*(1+((1+VLOOKUP($B245,'IGPM Hist'!$B:$C,2,0))^12 - 1)+$AF$2)^(1/252)</f>
        <v>1655979.8722394945</v>
      </c>
      <c r="AG245" s="2">
        <f>350000*VLOOKUP(A245,'CVRDA6 Hist'!$A:$B,2,0)</f>
        <v>12115490.1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f>BA244*(1+VLOOKUP(A245,'SELIC Hist'!$A:$C,3,0))^(1/252)</f>
        <v>1677882.5462484893</v>
      </c>
      <c r="BB245" s="2">
        <f t="shared" si="32"/>
        <v>724945510.28265846</v>
      </c>
      <c r="BC245" s="2">
        <v>69000000</v>
      </c>
      <c r="BD245" s="2">
        <v>69000000</v>
      </c>
      <c r="BE245" s="2">
        <f t="shared" si="41"/>
        <v>100027.45058202744</v>
      </c>
      <c r="BF245" s="2">
        <f t="shared" si="34"/>
        <v>1637320.9716906548</v>
      </c>
      <c r="BG245" s="2">
        <f t="shared" si="35"/>
        <v>32913977.205338955</v>
      </c>
      <c r="BH245" s="11">
        <f t="shared" si="36"/>
        <v>1.0944412723534818</v>
      </c>
      <c r="BI245" s="12">
        <f t="shared" si="37"/>
        <v>1.3799830853766792E-4</v>
      </c>
      <c r="BJ245" s="12">
        <f t="shared" si="38"/>
        <v>2.2247529874048766E-3</v>
      </c>
      <c r="BK245" s="12">
        <f t="shared" si="39"/>
        <v>4.5280908722229229E-2</v>
      </c>
      <c r="BL245" s="5">
        <f t="shared" si="40"/>
        <v>9.4441272353481764E-2</v>
      </c>
      <c r="BM245" s="19">
        <f t="shared" si="31"/>
        <v>5.1425041708915931E-2</v>
      </c>
      <c r="BN245" s="19" t="s">
        <v>53</v>
      </c>
      <c r="BO245" s="19" t="s">
        <v>53</v>
      </c>
    </row>
    <row r="246" spans="1:67" x14ac:dyDescent="0.25">
      <c r="A246" s="1">
        <v>45457</v>
      </c>
      <c r="B246" s="1" t="str">
        <f t="shared" si="33"/>
        <v>202406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f>I245*(1+((1+VLOOKUP($B246,'IPCA Hist'!$B:$C,2,0))^12 - 1)+$I$2)^(1/252)</f>
        <v>208563757.48157138</v>
      </c>
      <c r="J246" s="2">
        <f>J245*(1+((1+VLOOKUP($B246,'IPCA Hist'!$B:$C,2,0))^12 - 1)+$J$2)^(1/252)</f>
        <v>132787081.47547966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f>Q245*(1+((1+VLOOKUP($B246,'IPCA Hist'!$B:$C,2,0))^12 - 1)+$Q$2)^(1/252)</f>
        <v>44995576.732056163</v>
      </c>
      <c r="R246" s="2">
        <f>R245*(1+((1+VLOOKUP($B246,'IPCA Hist'!$B:$C,2,0))^12 - 1)+$R$2)^(1/252)</f>
        <v>44979642.789042301</v>
      </c>
      <c r="S246" s="2">
        <f>S245*(1+((1+VLOOKUP($B246,'IPCA Hist'!$B:$C,2,0))^12 - 1)+$S$2)^(1/252)</f>
        <v>46007409.838479273</v>
      </c>
      <c r="T246" s="2">
        <f>T245*(1+((1+VLOOKUP($B246,'IPCA Hist'!$B:$C,2,0))^12 - 1)+$T$2)^(1/252)</f>
        <v>232374857.3981488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f>AF245*(1+((1+VLOOKUP($B246,'IGPM Hist'!$B:$C,2,0))^12 - 1)+$AF$2)^(1/252)</f>
        <v>1656981.8844534189</v>
      </c>
      <c r="AG246" s="2">
        <f>350000*VLOOKUP(A246,'CVRDA6 Hist'!$A:$B,2,0)</f>
        <v>12064968.300000001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f>BA245*(1+VLOOKUP(A246,'SELIC Hist'!$A:$C,3,0))^(1/252)</f>
        <v>1678541.4438879678</v>
      </c>
      <c r="BB246" s="2">
        <f t="shared" si="32"/>
        <v>725108817.34311891</v>
      </c>
      <c r="BC246" s="2">
        <v>0</v>
      </c>
      <c r="BD246" s="2">
        <v>0</v>
      </c>
      <c r="BE246" s="2">
        <f t="shared" si="41"/>
        <v>163307.06046044827</v>
      </c>
      <c r="BF246" s="2">
        <f t="shared" si="34"/>
        <v>1800628.032151103</v>
      </c>
      <c r="BG246" s="2">
        <f t="shared" si="35"/>
        <v>33077284.265799403</v>
      </c>
      <c r="BH246" s="11">
        <f t="shared" si="36"/>
        <v>1.0946878150032391</v>
      </c>
      <c r="BI246" s="12">
        <f t="shared" si="37"/>
        <v>2.2526804862454952E-4</v>
      </c>
      <c r="BJ246" s="12">
        <f t="shared" si="38"/>
        <v>2.4505222017936479E-3</v>
      </c>
      <c r="BK246" s="12">
        <f t="shared" si="39"/>
        <v>4.5516377112801543E-2</v>
      </c>
      <c r="BL246" s="5">
        <f t="shared" si="40"/>
        <v>9.4687815003239084E-2</v>
      </c>
      <c r="BM246" s="19">
        <f t="shared" si="31"/>
        <v>5.1151249265038334E-2</v>
      </c>
      <c r="BN246" s="19" t="s">
        <v>53</v>
      </c>
      <c r="BO246" s="19" t="s">
        <v>53</v>
      </c>
    </row>
    <row r="247" spans="1:67" x14ac:dyDescent="0.25">
      <c r="A247" s="1">
        <v>45460</v>
      </c>
      <c r="B247" s="1" t="str">
        <f t="shared" si="33"/>
        <v>202406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f>I246*(1+((1+VLOOKUP($B247,'IPCA Hist'!$B:$C,2,0))^12 - 1)+$I$2)^(1/252)</f>
        <v>208629211.08275092</v>
      </c>
      <c r="J247" s="2">
        <f>J246*(1+((1+VLOOKUP($B247,'IPCA Hist'!$B:$C,2,0))^12 - 1)+$J$2)^(1/252)</f>
        <v>132826362.25254934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f>Q246*(1+((1+VLOOKUP($B247,'IPCA Hist'!$B:$C,2,0))^12 - 1)+$Q$2)^(1/252)</f>
        <v>45008854.064081587</v>
      </c>
      <c r="R247" s="2">
        <f>R246*(1+((1+VLOOKUP($B247,'IPCA Hist'!$B:$C,2,0))^12 - 1)+$R$2)^(1/252)</f>
        <v>44992931.993520334</v>
      </c>
      <c r="S247" s="2">
        <f>S246*(1+((1+VLOOKUP($B247,'IPCA Hist'!$B:$C,2,0))^12 - 1)+$S$2)^(1/252)</f>
        <v>46020799.156868964</v>
      </c>
      <c r="T247" s="2">
        <f>T246*(1+((1+VLOOKUP($B247,'IPCA Hist'!$B:$C,2,0))^12 - 1)+$T$2)^(1/252)</f>
        <v>232442398.62993735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f>AF246*(1+((1+VLOOKUP($B247,'IGPM Hist'!$B:$C,2,0))^12 - 1)+$AF$2)^(1/252)</f>
        <v>1657984.502972102</v>
      </c>
      <c r="AG247" s="2">
        <f>350000*VLOOKUP(A247,'CVRDA6 Hist'!$A:$B,2,0)</f>
        <v>12029482.500000002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f>BA246*(1+VLOOKUP(A247,'SELIC Hist'!$A:$C,3,0))^(1/252)</f>
        <v>1679200.6002738648</v>
      </c>
      <c r="BB247" s="2">
        <f t="shared" si="32"/>
        <v>725287224.78295445</v>
      </c>
      <c r="BC247" s="2">
        <v>0</v>
      </c>
      <c r="BD247" s="2">
        <v>0</v>
      </c>
      <c r="BE247" s="2">
        <f t="shared" si="41"/>
        <v>178407.4398355484</v>
      </c>
      <c r="BF247" s="2">
        <f t="shared" si="34"/>
        <v>1979035.4719866514</v>
      </c>
      <c r="BG247" s="2">
        <f t="shared" si="35"/>
        <v>33255691.705634952</v>
      </c>
      <c r="BH247" s="11">
        <f t="shared" si="36"/>
        <v>1.0949571545090109</v>
      </c>
      <c r="BI247" s="12">
        <f t="shared" si="37"/>
        <v>2.4604229816049816E-4</v>
      </c>
      <c r="BJ247" s="12">
        <f t="shared" si="38"/>
        <v>2.6971674320683814E-3</v>
      </c>
      <c r="BK247" s="12">
        <f t="shared" si="39"/>
        <v>4.5773618364990831E-2</v>
      </c>
      <c r="BL247" s="5">
        <f t="shared" si="40"/>
        <v>9.4957154509010877E-2</v>
      </c>
      <c r="BM247" s="19">
        <f t="shared" si="31"/>
        <v>5.1043498552079125E-2</v>
      </c>
      <c r="BN247" s="19" t="s">
        <v>53</v>
      </c>
      <c r="BO247" s="19" t="s">
        <v>53</v>
      </c>
    </row>
    <row r="248" spans="1:67" x14ac:dyDescent="0.25">
      <c r="A248" s="1">
        <v>45461</v>
      </c>
      <c r="B248" s="1" t="str">
        <f t="shared" si="33"/>
        <v>202406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f>I247*(1+((1+VLOOKUP($B248,'IPCA Hist'!$B:$C,2,0))^12 - 1)+$I$2)^(1/252)</f>
        <v>208694685.2252458</v>
      </c>
      <c r="J248" s="2">
        <f>J247*(1+((1+VLOOKUP($B248,'IPCA Hist'!$B:$C,2,0))^12 - 1)+$J$2)^(1/252)</f>
        <v>132865654.64957051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f>Q247*(1+((1+VLOOKUP($B248,'IPCA Hist'!$B:$C,2,0))^12 - 1)+$Q$2)^(1/252)</f>
        <v>45022135.313993134</v>
      </c>
      <c r="R248" s="2">
        <f>R247*(1+((1+VLOOKUP($B248,'IPCA Hist'!$B:$C,2,0))^12 - 1)+$R$2)^(1/252)</f>
        <v>45006225.124284677</v>
      </c>
      <c r="S248" s="2">
        <f>S247*(1+((1+VLOOKUP($B248,'IPCA Hist'!$B:$C,2,0))^12 - 1)+$S$2)^(1/252)</f>
        <v>46034192.371888518</v>
      </c>
      <c r="T248" s="2">
        <f>T247*(1+((1+VLOOKUP($B248,'IPCA Hist'!$B:$C,2,0))^12 - 1)+$T$2)^(1/252)</f>
        <v>232509959.49301493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f>AF247*(1+((1+VLOOKUP($B248,'IGPM Hist'!$B:$C,2,0))^12 - 1)+$AF$2)^(1/252)</f>
        <v>1658987.7281624111</v>
      </c>
      <c r="AG248" s="2">
        <f>350000*VLOOKUP(A248,'CVRDA6 Hist'!$A:$B,2,0)</f>
        <v>12291104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f>BA247*(1+VLOOKUP(A248,'SELIC Hist'!$A:$C,3,0))^(1/252)</f>
        <v>1679860.0155077889</v>
      </c>
      <c r="BB248" s="2">
        <f t="shared" si="32"/>
        <v>725762803.92166781</v>
      </c>
      <c r="BC248" s="2">
        <v>0</v>
      </c>
      <c r="BD248" s="2">
        <v>0</v>
      </c>
      <c r="BE248" s="2">
        <f t="shared" si="41"/>
        <v>475579.13871335983</v>
      </c>
      <c r="BF248" s="2">
        <f t="shared" si="34"/>
        <v>2454614.6107000113</v>
      </c>
      <c r="BG248" s="2">
        <f t="shared" si="35"/>
        <v>33731270.844348311</v>
      </c>
      <c r="BH248" s="11">
        <f t="shared" si="36"/>
        <v>1.095675130453817</v>
      </c>
      <c r="BI248" s="12">
        <f t="shared" si="37"/>
        <v>6.5571145121934293E-4</v>
      </c>
      <c r="BJ248" s="12">
        <f t="shared" si="38"/>
        <v>3.3546474468588716E-3</v>
      </c>
      <c r="BK248" s="12">
        <f t="shared" si="39"/>
        <v>4.6459344101935862E-2</v>
      </c>
      <c r="BL248" s="5">
        <f t="shared" si="40"/>
        <v>9.5675130453817037E-2</v>
      </c>
      <c r="BM248" s="19">
        <f t="shared" si="31"/>
        <v>5.1217191632090486E-2</v>
      </c>
      <c r="BN248" s="19" t="s">
        <v>53</v>
      </c>
      <c r="BO248" s="19" t="s">
        <v>53</v>
      </c>
    </row>
    <row r="249" spans="1:67" x14ac:dyDescent="0.25">
      <c r="A249" s="1">
        <v>45462</v>
      </c>
      <c r="B249" s="1" t="str">
        <f t="shared" si="33"/>
        <v>202406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f>I248*(1+((1+VLOOKUP($B249,'IPCA Hist'!$B:$C,2,0))^12 - 1)+$I$2)^(1/252)</f>
        <v>208760179.91550249</v>
      </c>
      <c r="J249" s="2">
        <f>J248*(1+((1+VLOOKUP($B249,'IPCA Hist'!$B:$C,2,0))^12 - 1)+$J$2)^(1/252)</f>
        <v>132904958.66998059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f>Q248*(1+((1+VLOOKUP($B249,'IPCA Hist'!$B:$C,2,0))^12 - 1)+$Q$2)^(1/252)</f>
        <v>45035420.482946903</v>
      </c>
      <c r="R249" s="2">
        <f>R248*(1+((1+VLOOKUP($B249,'IPCA Hist'!$B:$C,2,0))^12 - 1)+$R$2)^(1/252)</f>
        <v>45019522.182495348</v>
      </c>
      <c r="S249" s="2">
        <f>S248*(1+((1+VLOOKUP($B249,'IPCA Hist'!$B:$C,2,0))^12 - 1)+$S$2)^(1/252)</f>
        <v>46047589.48467195</v>
      </c>
      <c r="T249" s="2">
        <f>T248*(1+((1+VLOOKUP($B249,'IPCA Hist'!$B:$C,2,0))^12 - 1)+$T$2)^(1/252)</f>
        <v>232577539.99308753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f>AF248*(1+((1+VLOOKUP($B249,'IGPM Hist'!$B:$C,2,0))^12 - 1)+$AF$2)^(1/252)</f>
        <v>1659991.5603914354</v>
      </c>
      <c r="AG249" s="2">
        <f>350000*VLOOKUP(A249,'CVRDA6 Hist'!$A:$B,2,0)</f>
        <v>12255643.399999999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f>BA248*(1+VLOOKUP(A249,'SELIC Hist'!$A:$C,3,0))^(1/252)</f>
        <v>1680519.6896913885</v>
      </c>
      <c r="BB249" s="2">
        <f t="shared" si="32"/>
        <v>725941365.37876761</v>
      </c>
      <c r="BC249" s="2">
        <v>175000000</v>
      </c>
      <c r="BD249" s="2">
        <v>175000000</v>
      </c>
      <c r="BE249" s="2">
        <f t="shared" si="41"/>
        <v>178561.45709979534</v>
      </c>
      <c r="BF249" s="2">
        <f t="shared" si="34"/>
        <v>2633176.0677998066</v>
      </c>
      <c r="BG249" s="2">
        <f t="shared" si="35"/>
        <v>33909832.301448107</v>
      </c>
      <c r="BH249" s="11">
        <f t="shared" si="36"/>
        <v>1.0959447024775482</v>
      </c>
      <c r="BI249" s="12">
        <f t="shared" si="37"/>
        <v>2.4603280318991061E-4</v>
      </c>
      <c r="BJ249" s="12">
        <f t="shared" si="38"/>
        <v>3.6015056033638082E-3</v>
      </c>
      <c r="BK249" s="12">
        <f t="shared" si="39"/>
        <v>4.6716807427789497E-2</v>
      </c>
      <c r="BL249" s="5">
        <f t="shared" si="40"/>
        <v>9.5944702477548161E-2</v>
      </c>
      <c r="BM249" s="19">
        <f t="shared" si="31"/>
        <v>5.1077086036783959E-2</v>
      </c>
      <c r="BN249" s="19" t="s">
        <v>53</v>
      </c>
      <c r="BO249" s="19" t="s">
        <v>53</v>
      </c>
    </row>
    <row r="250" spans="1:67" x14ac:dyDescent="0.25">
      <c r="A250" s="1">
        <v>45463</v>
      </c>
      <c r="B250" s="1" t="str">
        <f t="shared" si="33"/>
        <v>202406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f>I249*(1+((1+VLOOKUP($B250,'IPCA Hist'!$B:$C,2,0))^12 - 1)+$I$2)^(1/252)</f>
        <v>208825695.15996948</v>
      </c>
      <c r="J250" s="2">
        <f>J249*(1+((1+VLOOKUP($B250,'IPCA Hist'!$B:$C,2,0))^12 - 1)+$J$2)^(1/252)</f>
        <v>132944274.31721795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f>Q249*(1+((1+VLOOKUP($B250,'IPCA Hist'!$B:$C,2,0))^12 - 1)+$Q$2)^(1/252)</f>
        <v>45048709.572099321</v>
      </c>
      <c r="R250" s="2">
        <f>R249*(1+((1+VLOOKUP($B250,'IPCA Hist'!$B:$C,2,0))^12 - 1)+$R$2)^(1/252)</f>
        <v>45032823.169312708</v>
      </c>
      <c r="S250" s="2">
        <f>S249*(1+((1+VLOOKUP($B250,'IPCA Hist'!$B:$C,2,0))^12 - 1)+$S$2)^(1/252)</f>
        <v>46060990.496353604</v>
      </c>
      <c r="T250" s="2">
        <f>T249*(1+((1+VLOOKUP($B250,'IPCA Hist'!$B:$C,2,0))^12 - 1)+$T$2)^(1/252)</f>
        <v>232645140.13586274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f>AF249*(1+((1+VLOOKUP($B250,'IGPM Hist'!$B:$C,2,0))^12 - 1)+$AF$2)^(1/252)</f>
        <v>1660996.0000264861</v>
      </c>
      <c r="AG250" s="2">
        <f>350000*VLOOKUP(A250,'CVRDA6 Hist'!$A:$B,2,0)</f>
        <v>12205848.199999999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f>BA249*(1+VLOOKUP(A250,'SELIC Hist'!$A:$C,3,0))^(1/252)</f>
        <v>1681179.6229263523</v>
      </c>
      <c r="BB250" s="2">
        <f t="shared" si="32"/>
        <v>726105656.67376864</v>
      </c>
      <c r="BC250" s="2">
        <v>0</v>
      </c>
      <c r="BD250" s="2">
        <v>0</v>
      </c>
      <c r="BE250" s="2">
        <f t="shared" si="41"/>
        <v>164291.29500102997</v>
      </c>
      <c r="BF250" s="2">
        <f t="shared" si="34"/>
        <v>2797467.3628008366</v>
      </c>
      <c r="BG250" s="2">
        <f t="shared" si="35"/>
        <v>34074123.596449137</v>
      </c>
      <c r="BH250" s="11">
        <f t="shared" si="36"/>
        <v>1.0961927310140203</v>
      </c>
      <c r="BI250" s="12">
        <f t="shared" si="37"/>
        <v>2.2631482766555244E-4</v>
      </c>
      <c r="BJ250" s="12">
        <f t="shared" si="38"/>
        <v>3.8286355051493359E-3</v>
      </c>
      <c r="BK250" s="12">
        <f t="shared" si="39"/>
        <v>4.6953694961677117E-2</v>
      </c>
      <c r="BL250" s="5">
        <f t="shared" si="40"/>
        <v>9.6192731014020261E-2</v>
      </c>
      <c r="BM250" s="19">
        <f t="shared" si="31"/>
        <v>5.1162666753444386E-2</v>
      </c>
      <c r="BN250" s="19" t="s">
        <v>53</v>
      </c>
      <c r="BO250" s="19" t="s">
        <v>53</v>
      </c>
    </row>
    <row r="251" spans="1:67" x14ac:dyDescent="0.25">
      <c r="A251" s="1">
        <v>45464</v>
      </c>
      <c r="B251" s="1" t="str">
        <f t="shared" si="33"/>
        <v>202406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f>I250*(1+((1+VLOOKUP($B251,'IPCA Hist'!$B:$C,2,0))^12 - 1)+$I$2)^(1/252)</f>
        <v>208891230.96509734</v>
      </c>
      <c r="J251" s="2">
        <f>J250*(1+((1+VLOOKUP($B251,'IPCA Hist'!$B:$C,2,0))^12 - 1)+$J$2)^(1/252)</f>
        <v>132983601.59472203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f>Q250*(1+((1+VLOOKUP($B251,'IPCA Hist'!$B:$C,2,0))^12 - 1)+$Q$2)^(1/252)</f>
        <v>45062002.582607165</v>
      </c>
      <c r="R251" s="2">
        <f>R250*(1+((1+VLOOKUP($B251,'IPCA Hist'!$B:$C,2,0))^12 - 1)+$R$2)^(1/252)</f>
        <v>45046128.085897461</v>
      </c>
      <c r="S251" s="2">
        <f>S250*(1+((1+VLOOKUP($B251,'IPCA Hist'!$B:$C,2,0))^12 - 1)+$S$2)^(1/252)</f>
        <v>46074395.408068165</v>
      </c>
      <c r="T251" s="2">
        <f>T250*(1+((1+VLOOKUP($B251,'IPCA Hist'!$B:$C,2,0))^12 - 1)+$T$2)^(1/252)</f>
        <v>232712759.92704985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f>AF250*(1+((1+VLOOKUP($B251,'IGPM Hist'!$B:$C,2,0))^12 - 1)+$AF$2)^(1/252)</f>
        <v>1662001.0474350972</v>
      </c>
      <c r="AG251" s="2">
        <f>350000*VLOOKUP(A251,'CVRDA6 Hist'!$A:$B,2,0)</f>
        <v>12426048.25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f>BA250*(1+VLOOKUP(A251,'SELIC Hist'!$A:$C,3,0))^(1/252)</f>
        <v>1681839.8153144086</v>
      </c>
      <c r="BB251" s="2">
        <f t="shared" si="32"/>
        <v>726540007.67619145</v>
      </c>
      <c r="BC251" s="2">
        <v>0</v>
      </c>
      <c r="BD251" s="2">
        <v>0</v>
      </c>
      <c r="BE251" s="2">
        <f t="shared" si="41"/>
        <v>434351.0024228096</v>
      </c>
      <c r="BF251" s="2">
        <f t="shared" si="34"/>
        <v>3231818.3652236462</v>
      </c>
      <c r="BG251" s="2">
        <f t="shared" si="35"/>
        <v>34508474.598871946</v>
      </c>
      <c r="BH251" s="11">
        <f t="shared" si="36"/>
        <v>1.0968484653512869</v>
      </c>
      <c r="BI251" s="12">
        <f t="shared" si="37"/>
        <v>5.9819256113846642E-4</v>
      </c>
      <c r="BJ251" s="12">
        <f t="shared" si="38"/>
        <v>4.429118327566206E-3</v>
      </c>
      <c r="BK251" s="12">
        <f t="shared" si="39"/>
        <v>4.7579974873859676E-2</v>
      </c>
      <c r="BL251" s="5">
        <f t="shared" si="40"/>
        <v>9.6848465351286883E-2</v>
      </c>
      <c r="BM251" s="19">
        <f t="shared" si="31"/>
        <v>5.156714290585418E-2</v>
      </c>
      <c r="BN251" s="19" t="s">
        <v>53</v>
      </c>
      <c r="BO251" s="19" t="s">
        <v>53</v>
      </c>
    </row>
    <row r="252" spans="1:67" x14ac:dyDescent="0.25">
      <c r="A252" s="1">
        <v>45467</v>
      </c>
      <c r="B252" s="1" t="str">
        <f t="shared" si="33"/>
        <v>202406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f>I251*(1+((1+VLOOKUP($B252,'IPCA Hist'!$B:$C,2,0))^12 - 1)+$I$2)^(1/252)</f>
        <v>208956787.3373386</v>
      </c>
      <c r="J252" s="2">
        <f>J251*(1+((1+VLOOKUP($B252,'IPCA Hist'!$B:$C,2,0))^12 - 1)+$J$2)^(1/252)</f>
        <v>133022940.50593328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f>Q251*(1+((1+VLOOKUP($B252,'IPCA Hist'!$B:$C,2,0))^12 - 1)+$Q$2)^(1/252)</f>
        <v>45075299.515627548</v>
      </c>
      <c r="R252" s="2">
        <f>R251*(1+((1+VLOOKUP($B252,'IPCA Hist'!$B:$C,2,0))^12 - 1)+$R$2)^(1/252)</f>
        <v>45059436.933410652</v>
      </c>
      <c r="S252" s="2">
        <f>S251*(1+((1+VLOOKUP($B252,'IPCA Hist'!$B:$C,2,0))^12 - 1)+$S$2)^(1/252)</f>
        <v>46087804.220950633</v>
      </c>
      <c r="T252" s="2">
        <f>T251*(1+((1+VLOOKUP($B252,'IPCA Hist'!$B:$C,2,0))^12 - 1)+$T$2)^(1/252)</f>
        <v>232780399.37235978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f>AF251*(1+((1+VLOOKUP($B252,'IGPM Hist'!$B:$C,2,0))^12 - 1)+$AF$2)^(1/252)</f>
        <v>1663006.7029850243</v>
      </c>
      <c r="AG252" s="2">
        <f>350000*VLOOKUP(A252,'CVRDA6 Hist'!$A:$B,2,0)</f>
        <v>12075000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f>BA251*(1+VLOOKUP(A252,'SELIC Hist'!$A:$C,3,0))^(1/252)</f>
        <v>1682500.2669573256</v>
      </c>
      <c r="BB252" s="2">
        <f t="shared" si="32"/>
        <v>726403174.85556281</v>
      </c>
      <c r="BC252" s="2">
        <v>0</v>
      </c>
      <c r="BD252" s="2">
        <v>0</v>
      </c>
      <c r="BE252" s="2">
        <f t="shared" si="41"/>
        <v>-136832.82062864304</v>
      </c>
      <c r="BF252" s="2">
        <f t="shared" si="34"/>
        <v>3094985.5445950031</v>
      </c>
      <c r="BG252" s="2">
        <f t="shared" si="35"/>
        <v>34371641.778243303</v>
      </c>
      <c r="BH252" s="11">
        <f t="shared" si="36"/>
        <v>1.0966418905340289</v>
      </c>
      <c r="BI252" s="12">
        <f t="shared" si="37"/>
        <v>-1.8833487376201941E-4</v>
      </c>
      <c r="BJ252" s="12">
        <f t="shared" si="38"/>
        <v>4.2399492963631769E-3</v>
      </c>
      <c r="BK252" s="12">
        <f t="shared" si="39"/>
        <v>4.7382679031536146E-2</v>
      </c>
      <c r="BL252" s="5">
        <f t="shared" si="40"/>
        <v>9.664189053402894E-2</v>
      </c>
      <c r="BM252" s="19">
        <f t="shared" si="31"/>
        <v>5.0789422317660593E-2</v>
      </c>
      <c r="BN252" s="19" t="s">
        <v>53</v>
      </c>
      <c r="BO252" s="19" t="s">
        <v>53</v>
      </c>
    </row>
    <row r="253" spans="1:67" x14ac:dyDescent="0.25">
      <c r="A253" s="1">
        <v>45468</v>
      </c>
      <c r="B253" s="1" t="str">
        <f t="shared" si="33"/>
        <v>202406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f>I252*(1+((1+VLOOKUP($B253,'IPCA Hist'!$B:$C,2,0))^12 - 1)+$I$2)^(1/252)</f>
        <v>209022364.28314784</v>
      </c>
      <c r="J253" s="2">
        <f>J252*(1+((1+VLOOKUP($B253,'IPCA Hist'!$B:$C,2,0))^12 - 1)+$J$2)^(1/252)</f>
        <v>133062291.05429314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f>Q252*(1+((1+VLOOKUP($B253,'IPCA Hist'!$B:$C,2,0))^12 - 1)+$Q$2)^(1/252)</f>
        <v>45088600.37231794</v>
      </c>
      <c r="R253" s="2">
        <f>R252*(1+((1+VLOOKUP($B253,'IPCA Hist'!$B:$C,2,0))^12 - 1)+$R$2)^(1/252)</f>
        <v>45072749.713013671</v>
      </c>
      <c r="S253" s="2">
        <f>S252*(1+((1+VLOOKUP($B253,'IPCA Hist'!$B:$C,2,0))^12 - 1)+$S$2)^(1/252)</f>
        <v>46101216.93613635</v>
      </c>
      <c r="T253" s="2">
        <f>T252*(1+((1+VLOOKUP($B253,'IPCA Hist'!$B:$C,2,0))^12 - 1)+$T$2)^(1/252)</f>
        <v>232848058.47750515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f>AF252*(1+((1+VLOOKUP($B253,'IGPM Hist'!$B:$C,2,0))^12 - 1)+$AF$2)^(1/252)</f>
        <v>1664012.9670442462</v>
      </c>
      <c r="AG253" s="2">
        <f>350000*VLOOKUP(A253,'CVRDA6 Hist'!$A:$B,2,0)</f>
        <v>12203182.949999999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f>BA252*(1+VLOOKUP(A253,'SELIC Hist'!$A:$C,3,0))^(1/252)</f>
        <v>1683160.977956912</v>
      </c>
      <c r="BB253" s="2">
        <f t="shared" si="32"/>
        <v>726745637.73141527</v>
      </c>
      <c r="BC253" s="2">
        <v>0</v>
      </c>
      <c r="BD253" s="2">
        <v>0</v>
      </c>
      <c r="BE253" s="2">
        <f t="shared" si="41"/>
        <v>342462.87585246563</v>
      </c>
      <c r="BF253" s="2">
        <f t="shared" si="34"/>
        <v>3437448.4204474688</v>
      </c>
      <c r="BG253" s="2">
        <f t="shared" si="35"/>
        <v>34714104.654095769</v>
      </c>
      <c r="BH253" s="11">
        <f t="shared" si="36"/>
        <v>1.097158902502881</v>
      </c>
      <c r="BI253" s="12">
        <f t="shared" si="37"/>
        <v>4.7145013637983624E-4</v>
      </c>
      <c r="BJ253" s="12">
        <f t="shared" si="38"/>
        <v>4.7133983574170202E-3</v>
      </c>
      <c r="BK253" s="12">
        <f t="shared" si="39"/>
        <v>4.7876467738407369E-2</v>
      </c>
      <c r="BL253" s="5">
        <f t="shared" si="40"/>
        <v>9.7158902502880951E-2</v>
      </c>
      <c r="BM253" s="19">
        <f t="shared" si="31"/>
        <v>5.0809989085216056E-2</v>
      </c>
      <c r="BN253" s="19" t="s">
        <v>53</v>
      </c>
      <c r="BO253" s="19" t="s">
        <v>53</v>
      </c>
    </row>
    <row r="254" spans="1:67" x14ac:dyDescent="0.25">
      <c r="A254" s="1">
        <v>45469</v>
      </c>
      <c r="B254" s="1" t="str">
        <f t="shared" si="33"/>
        <v>202406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f>I253*(1+((1+VLOOKUP($B254,'IPCA Hist'!$B:$C,2,0))^12 - 1)+$I$2)^(1/252)</f>
        <v>209087961.80898166</v>
      </c>
      <c r="J254" s="2">
        <f>J253*(1+((1+VLOOKUP($B254,'IPCA Hist'!$B:$C,2,0))^12 - 1)+$J$2)^(1/252)</f>
        <v>133101653.2432441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f>Q253*(1+((1+VLOOKUP($B254,'IPCA Hist'!$B:$C,2,0))^12 - 1)+$Q$2)^(1/252)</f>
        <v>45101905.153836131</v>
      </c>
      <c r="R254" s="2">
        <f>R253*(1+((1+VLOOKUP($B254,'IPCA Hist'!$B:$C,2,0))^12 - 1)+$R$2)^(1/252)</f>
        <v>45086066.425868258</v>
      </c>
      <c r="S254" s="2">
        <f>S253*(1+((1+VLOOKUP($B254,'IPCA Hist'!$B:$C,2,0))^12 - 1)+$S$2)^(1/252)</f>
        <v>46114633.554760985</v>
      </c>
      <c r="T254" s="2">
        <f>T253*(1+((1+VLOOKUP($B254,'IPCA Hist'!$B:$C,2,0))^12 - 1)+$T$2)^(1/252)</f>
        <v>232915737.24820018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f>AF253*(1+((1+VLOOKUP($B254,'IGPM Hist'!$B:$C,2,0))^12 - 1)+$AF$2)^(1/252)</f>
        <v>1665019.8399809639</v>
      </c>
      <c r="AG254" s="2">
        <f>350000*VLOOKUP(A254,'CVRDA6 Hist'!$A:$B,2,0)</f>
        <v>12196266.600000001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f>BA253*(1+VLOOKUP(A254,'SELIC Hist'!$A:$C,3,0))^(1/252)</f>
        <v>1683821.9484150158</v>
      </c>
      <c r="BB254" s="2">
        <f t="shared" si="32"/>
        <v>726953065.82328737</v>
      </c>
      <c r="BC254" s="2">
        <v>0</v>
      </c>
      <c r="BD254" s="2">
        <v>0</v>
      </c>
      <c r="BE254" s="2">
        <f t="shared" si="41"/>
        <v>207428.09187209606</v>
      </c>
      <c r="BF254" s="2">
        <f t="shared" si="34"/>
        <v>3644876.5123195648</v>
      </c>
      <c r="BG254" s="2">
        <f t="shared" si="35"/>
        <v>34921532.745967865</v>
      </c>
      <c r="BH254" s="11">
        <f t="shared" si="36"/>
        <v>1.0974720541281691</v>
      </c>
      <c r="BI254" s="12">
        <f t="shared" si="37"/>
        <v>2.8542048428326083E-4</v>
      </c>
      <c r="BJ254" s="12">
        <f t="shared" si="38"/>
        <v>5.000164142141994E-3</v>
      </c>
      <c r="BK254" s="12">
        <f t="shared" si="39"/>
        <v>4.8175553147298267E-2</v>
      </c>
      <c r="BL254" s="5">
        <f t="shared" si="40"/>
        <v>9.7472054128169061E-2</v>
      </c>
      <c r="BM254" s="19">
        <f t="shared" si="31"/>
        <v>5.0383968161459736E-2</v>
      </c>
      <c r="BN254" s="19" t="s">
        <v>53</v>
      </c>
      <c r="BO254" s="19" t="s">
        <v>53</v>
      </c>
    </row>
    <row r="255" spans="1:67" x14ac:dyDescent="0.25">
      <c r="A255" s="1">
        <v>45470</v>
      </c>
      <c r="B255" s="1" t="str">
        <f t="shared" si="33"/>
        <v>202406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f>I254*(1+((1+VLOOKUP($B255,'IPCA Hist'!$B:$C,2,0))^12 - 1)+$I$2)^(1/252)</f>
        <v>209153579.92129871</v>
      </c>
      <c r="J255" s="2">
        <f>J254*(1+((1+VLOOKUP($B255,'IPCA Hist'!$B:$C,2,0))^12 - 1)+$J$2)^(1/252)</f>
        <v>133141027.07622963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f>Q254*(1+((1+VLOOKUP($B255,'IPCA Hist'!$B:$C,2,0))^12 - 1)+$Q$2)^(1/252)</f>
        <v>45115213.861340262</v>
      </c>
      <c r="R255" s="2">
        <f>R254*(1+((1+VLOOKUP($B255,'IPCA Hist'!$B:$C,2,0))^12 - 1)+$R$2)^(1/252)</f>
        <v>45099387.073136486</v>
      </c>
      <c r="S255" s="2">
        <f>S254*(1+((1+VLOOKUP($B255,'IPCA Hist'!$B:$C,2,0))^12 - 1)+$S$2)^(1/252)</f>
        <v>46128054.077960543</v>
      </c>
      <c r="T255" s="2">
        <f>T254*(1+((1+VLOOKUP($B255,'IPCA Hist'!$B:$C,2,0))^12 - 1)+$T$2)^(1/252)</f>
        <v>232983435.69016081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f>AF254*(1+((1+VLOOKUP($B255,'IGPM Hist'!$B:$C,2,0))^12 - 1)+$AF$2)^(1/252)</f>
        <v>1666027.3221636012</v>
      </c>
      <c r="AG255" s="2">
        <f>350000*VLOOKUP(A255,'CVRDA6 Hist'!$A:$B,2,0)</f>
        <v>12242174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f>BA254*(1+VLOOKUP(A255,'SELIC Hist'!$A:$C,3,0))^(1/252)</f>
        <v>1684483.1784335254</v>
      </c>
      <c r="BB255" s="2">
        <f t="shared" si="32"/>
        <v>727213382.20072353</v>
      </c>
      <c r="BC255" s="2">
        <v>0</v>
      </c>
      <c r="BD255" s="2">
        <v>0</v>
      </c>
      <c r="BE255" s="2">
        <f t="shared" si="41"/>
        <v>260316.37743616104</v>
      </c>
      <c r="BF255" s="2">
        <f t="shared" si="34"/>
        <v>3905192.8897557259</v>
      </c>
      <c r="BG255" s="2">
        <f t="shared" si="35"/>
        <v>35181849.123404026</v>
      </c>
      <c r="BH255" s="11">
        <f t="shared" si="36"/>
        <v>1.0978650505441681</v>
      </c>
      <c r="BI255" s="12">
        <f t="shared" si="37"/>
        <v>3.5809241294182392E-4</v>
      </c>
      <c r="BJ255" s="12">
        <f t="shared" si="38"/>
        <v>5.3600470759265217E-3</v>
      </c>
      <c r="BK255" s="12">
        <f t="shared" si="39"/>
        <v>4.8550896860311443E-2</v>
      </c>
      <c r="BL255" s="5">
        <f t="shared" si="40"/>
        <v>9.7865050544168053E-2</v>
      </c>
      <c r="BM255" s="19">
        <f t="shared" si="31"/>
        <v>5.0353289200822049E-2</v>
      </c>
      <c r="BN255" s="19">
        <f>BH255/BH3 - 1</f>
        <v>9.7865050544168053E-2</v>
      </c>
      <c r="BO255" s="19" t="s">
        <v>53</v>
      </c>
    </row>
    <row r="256" spans="1:67" x14ac:dyDescent="0.25">
      <c r="A256" s="1">
        <v>45471</v>
      </c>
      <c r="B256" s="1" t="str">
        <f t="shared" si="33"/>
        <v>202406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f>I255*(1+((1+VLOOKUP($B256,'IPCA Hist'!$B:$C,2,0))^12 - 1)+$I$2)^(1/252)</f>
        <v>209219218.62655964</v>
      </c>
      <c r="J256" s="2">
        <f>J255*(1+((1+VLOOKUP($B256,'IPCA Hist'!$B:$C,2,0))^12 - 1)+$J$2)^(1/252)</f>
        <v>133180412.55669427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f>Q255*(1+((1+VLOOKUP($B256,'IPCA Hist'!$B:$C,2,0))^12 - 1)+$Q$2)^(1/252)</f>
        <v>45128526.495988823</v>
      </c>
      <c r="R256" s="2">
        <f>R255*(1+((1+VLOOKUP($B256,'IPCA Hist'!$B:$C,2,0))^12 - 1)+$R$2)^(1/252)</f>
        <v>45112711.655980773</v>
      </c>
      <c r="S256" s="2">
        <f>S255*(1+((1+VLOOKUP($B256,'IPCA Hist'!$B:$C,2,0))^12 - 1)+$S$2)^(1/252)</f>
        <v>46141478.506871343</v>
      </c>
      <c r="T256" s="2">
        <f>T255*(1+((1+VLOOKUP($B256,'IPCA Hist'!$B:$C,2,0))^12 - 1)+$T$2)^(1/252)</f>
        <v>233051153.80910462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f>AF255*(1+((1+VLOOKUP($B256,'IGPM Hist'!$B:$C,2,0))^12 - 1)+$AF$2)^(1/252)</f>
        <v>1667035.4139608054</v>
      </c>
      <c r="AG256" s="2">
        <f>350000*VLOOKUP(A256,'CVRDA6 Hist'!$A:$B,2,0)</f>
        <v>12249788.25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f>BA255*(1+VLOOKUP(A256,'SELIC Hist'!$A:$C,3,0))^(1/252)</f>
        <v>1685144.668114369</v>
      </c>
      <c r="BB256" s="2">
        <f t="shared" si="32"/>
        <v>727435469.9832747</v>
      </c>
      <c r="BC256" s="2">
        <v>0</v>
      </c>
      <c r="BD256" s="2">
        <v>0</v>
      </c>
      <c r="BE256" s="2">
        <f t="shared" si="41"/>
        <v>222087.7825511694</v>
      </c>
      <c r="BF256" s="2">
        <f t="shared" si="34"/>
        <v>4127280.6723068953</v>
      </c>
      <c r="BG256" s="2">
        <f t="shared" si="35"/>
        <v>35403936.905955195</v>
      </c>
      <c r="BH256" s="11">
        <f t="shared" si="36"/>
        <v>1.0982003337231958</v>
      </c>
      <c r="BI256" s="12">
        <f t="shared" si="37"/>
        <v>3.0539562112985585E-4</v>
      </c>
      <c r="BJ256" s="12">
        <f t="shared" si="38"/>
        <v>5.6670796319624461E-3</v>
      </c>
      <c r="BK256" s="12">
        <f t="shared" si="39"/>
        <v>4.8871119712744271E-2</v>
      </c>
      <c r="BL256" s="5">
        <f t="shared" si="40"/>
        <v>9.820033372319581E-2</v>
      </c>
      <c r="BM256" s="19">
        <f t="shared" si="31"/>
        <v>4.9875562627837988E-2</v>
      </c>
      <c r="BN256" s="19">
        <f t="shared" ref="BN256:BN319" si="42">BH256/BH4 - 1</f>
        <v>9.7941888030787183E-2</v>
      </c>
      <c r="BO256" s="19" t="s">
        <v>53</v>
      </c>
    </row>
    <row r="257" spans="1:67" x14ac:dyDescent="0.25">
      <c r="A257" s="1">
        <v>45474</v>
      </c>
      <c r="B257" s="1" t="str">
        <f t="shared" si="33"/>
        <v>202407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f>I256*(1+((1+VLOOKUP($B257,'IPCA Hist'!$B:$C,2,0))^12 - 1)+$I$2)^(1/252)</f>
        <v>209300892.93612814</v>
      </c>
      <c r="J257" s="2">
        <f>J256*(1+((1+VLOOKUP($B257,'IPCA Hist'!$B:$C,2,0))^12 - 1)+$J$2)^(1/252)</f>
        <v>133230049.92270775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f>Q256*(1+((1+VLOOKUP($B257,'IPCA Hist'!$B:$C,2,0))^12 - 1)+$Q$2)^(1/252)</f>
        <v>45145313.62439727</v>
      </c>
      <c r="R257" s="2">
        <f>R256*(1+((1+VLOOKUP($B257,'IPCA Hist'!$B:$C,2,0))^12 - 1)+$R$2)^(1/252)</f>
        <v>45129509.207114309</v>
      </c>
      <c r="S257" s="2">
        <f>S256*(1+((1+VLOOKUP($B257,'IPCA Hist'!$B:$C,2,0))^12 - 1)+$S$2)^(1/252)</f>
        <v>46158458.886300266</v>
      </c>
      <c r="T257" s="2">
        <f>T256*(1+((1+VLOOKUP($B257,'IPCA Hist'!$B:$C,2,0))^12 - 1)+$T$2)^(1/252)</f>
        <v>233136833.9002893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f>AF256*(1+((1+VLOOKUP($B257,'IGPM Hist'!$B:$C,2,0))^12 - 1)+$AF$2)^(1/252) - 72105.1800592001</f>
        <v>1595784.916387572</v>
      </c>
      <c r="AG257" s="2">
        <f>350000*VLOOKUP(A257,'CVRDA6 Hist'!$A:$B,2,0)</f>
        <v>12344441.549999999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f>BA256*(1+VLOOKUP(A257,'SELIC Hist'!$A:$C,3,0))^(1/252) + 72105.1800592001</f>
        <v>1757911.5976187154</v>
      </c>
      <c r="BB257" s="2">
        <f t="shared" si="32"/>
        <v>727799196.54094326</v>
      </c>
      <c r="BC257" s="2">
        <v>0</v>
      </c>
      <c r="BD257" s="2">
        <v>0</v>
      </c>
      <c r="BE257" s="2">
        <f t="shared" si="41"/>
        <v>363726.5576685667</v>
      </c>
      <c r="BF257" s="2">
        <f t="shared" si="34"/>
        <v>363726.5576685667</v>
      </c>
      <c r="BG257" s="2">
        <f t="shared" si="35"/>
        <v>35767663.463623762</v>
      </c>
      <c r="BH257" s="11">
        <f t="shared" si="36"/>
        <v>1.0987494472095438</v>
      </c>
      <c r="BI257" s="12">
        <f t="shared" si="37"/>
        <v>5.000121284668424E-4</v>
      </c>
      <c r="BJ257" s="12">
        <f t="shared" si="38"/>
        <v>5.000121284668424E-4</v>
      </c>
      <c r="BK257" s="12">
        <f t="shared" si="39"/>
        <v>4.9395567993799183E-2</v>
      </c>
      <c r="BL257" s="5">
        <f t="shared" si="40"/>
        <v>9.8749447209543817E-2</v>
      </c>
      <c r="BM257" s="19">
        <f t="shared" si="31"/>
        <v>4.9866780115861875E-2</v>
      </c>
      <c r="BN257" s="19">
        <f t="shared" si="42"/>
        <v>9.8232346817440863E-2</v>
      </c>
      <c r="BO257" s="19" t="s">
        <v>53</v>
      </c>
    </row>
    <row r="258" spans="1:67" x14ac:dyDescent="0.25">
      <c r="A258" s="1">
        <v>45475</v>
      </c>
      <c r="B258" s="1" t="str">
        <f t="shared" si="33"/>
        <v>202407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f>I257*(1+((1+VLOOKUP($B258,'IPCA Hist'!$B:$C,2,0))^12 - 1)+$I$2)^(1/252)</f>
        <v>209382599.12944463</v>
      </c>
      <c r="J258" s="2">
        <f>J257*(1+((1+VLOOKUP($B258,'IPCA Hist'!$B:$C,2,0))^12 - 1)+$J$2)^(1/252)</f>
        <v>133279705.78895004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f>Q257*(1+((1+VLOOKUP($B258,'IPCA Hist'!$B:$C,2,0))^12 - 1)+$Q$2)^(1/252)</f>
        <v>45162106.997363254</v>
      </c>
      <c r="R258" s="2">
        <f>R257*(1+((1+VLOOKUP($B258,'IPCA Hist'!$B:$C,2,0))^12 - 1)+$R$2)^(1/252)</f>
        <v>45146313.012753807</v>
      </c>
      <c r="S258" s="2">
        <f>S257*(1+((1+VLOOKUP($B258,'IPCA Hist'!$B:$C,2,0))^12 - 1)+$S$2)^(1/252)</f>
        <v>46175445.514624864</v>
      </c>
      <c r="T258" s="2">
        <f>T257*(1+((1+VLOOKUP($B258,'IPCA Hist'!$B:$C,2,0))^12 - 1)+$T$2)^(1/252)</f>
        <v>233222545.49133101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f>AF257*(1+((1+VLOOKUP($B258,'IGPM Hist'!$B:$C,2,0))^12 - 1)+$AF$2)^(1/252)</f>
        <v>1596603.069024273</v>
      </c>
      <c r="AG258" s="2">
        <f>350000*VLOOKUP(A258,'CVRDA6 Hist'!$A:$B,2,0)</f>
        <v>12304361.300000001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f>BA257*(1+VLOOKUP(A258,'SELIC Hist'!$A:$C,3,0))^(1/252)</f>
        <v>1758601.9223405933</v>
      </c>
      <c r="BB258" s="2">
        <f t="shared" si="32"/>
        <v>728028282.22583246</v>
      </c>
      <c r="BC258" s="2">
        <v>244000000</v>
      </c>
      <c r="BD258" s="2">
        <v>244000000</v>
      </c>
      <c r="BE258" s="2">
        <f t="shared" si="41"/>
        <v>229085.68488919735</v>
      </c>
      <c r="BF258" s="2">
        <f t="shared" si="34"/>
        <v>592812.24255776405</v>
      </c>
      <c r="BG258" s="2">
        <f t="shared" si="35"/>
        <v>35996749.148512959</v>
      </c>
      <c r="BH258" s="11">
        <f t="shared" si="36"/>
        <v>1.0990952950351969</v>
      </c>
      <c r="BI258" s="12">
        <f t="shared" si="37"/>
        <v>3.1476495986537678E-4</v>
      </c>
      <c r="BJ258" s="12">
        <f t="shared" si="38"/>
        <v>8.1493447462976931E-4</v>
      </c>
      <c r="BK258" s="12">
        <f t="shared" si="39"/>
        <v>4.9725880947641743E-2</v>
      </c>
      <c r="BL258" s="5">
        <f t="shared" si="40"/>
        <v>9.9095295035196873E-2</v>
      </c>
      <c r="BM258" s="19">
        <f t="shared" ref="BM258:BM321" si="43">BH258/BH132 - 1</f>
        <v>4.9725880947641299E-2</v>
      </c>
      <c r="BN258" s="19">
        <f t="shared" si="42"/>
        <v>9.8319474481034952E-2</v>
      </c>
      <c r="BO258" s="19" t="s">
        <v>53</v>
      </c>
    </row>
    <row r="259" spans="1:67" x14ac:dyDescent="0.25">
      <c r="A259" s="1">
        <v>45476</v>
      </c>
      <c r="B259" s="1" t="str">
        <f t="shared" si="33"/>
        <v>202407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f>I258*(1+((1+VLOOKUP($B259,'IPCA Hist'!$B:$C,2,0))^12 - 1)+$I$2)^(1/252)</f>
        <v>209464337.21895579</v>
      </c>
      <c r="J259" s="2">
        <f>J258*(1+((1+VLOOKUP($B259,'IPCA Hist'!$B:$C,2,0))^12 - 1)+$J$2)^(1/252)</f>
        <v>133329380.16231632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f>Q258*(1+((1+VLOOKUP($B259,'IPCA Hist'!$B:$C,2,0))^12 - 1)+$Q$2)^(1/252)</f>
        <v>45178906.617209651</v>
      </c>
      <c r="R259" s="2">
        <f>R258*(1+((1+VLOOKUP($B259,'IPCA Hist'!$B:$C,2,0))^12 - 1)+$R$2)^(1/252)</f>
        <v>45163123.07522811</v>
      </c>
      <c r="S259" s="2">
        <f>S258*(1+((1+VLOOKUP($B259,'IPCA Hist'!$B:$C,2,0))^12 - 1)+$S$2)^(1/252)</f>
        <v>46192438.394144773</v>
      </c>
      <c r="T259" s="2">
        <f>T258*(1+((1+VLOOKUP($B259,'IPCA Hist'!$B:$C,2,0))^12 - 1)+$T$2)^(1/252)</f>
        <v>233308288.5938105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f>AF258*(1+((1+VLOOKUP($B259,'IGPM Hist'!$B:$C,2,0))^12 - 1)+$AF$2)^(1/252)</f>
        <v>1597421.6411246061</v>
      </c>
      <c r="AG259" s="2">
        <f>350000*VLOOKUP(A259,'CVRDA6 Hist'!$A:$B,2,0)</f>
        <v>12066530.35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f>BA258*(1+VLOOKUP(A259,'SELIC Hist'!$A:$C,3,0))^(1/252)</f>
        <v>1759292.5181501769</v>
      </c>
      <c r="BB259" s="2">
        <f t="shared" ref="BB259:BB322" si="44">SUM(C259:BA259)</f>
        <v>728059718.5709399</v>
      </c>
      <c r="BC259" s="2">
        <v>0</v>
      </c>
      <c r="BD259" s="2">
        <v>0</v>
      </c>
      <c r="BE259" s="2">
        <f t="shared" si="41"/>
        <v>31436.34510743618</v>
      </c>
      <c r="BF259" s="2">
        <f t="shared" si="34"/>
        <v>624248.58766520023</v>
      </c>
      <c r="BG259" s="2">
        <f t="shared" si="35"/>
        <v>36028185.493620396</v>
      </c>
      <c r="BH259" s="11">
        <f t="shared" si="36"/>
        <v>1.0991427540966705</v>
      </c>
      <c r="BI259" s="12">
        <f t="shared" si="37"/>
        <v>4.3180115216534531E-5</v>
      </c>
      <c r="BJ259" s="12">
        <f t="shared" si="38"/>
        <v>8.5814977881071286E-4</v>
      </c>
      <c r="BK259" s="12">
        <f t="shared" si="39"/>
        <v>4.9771208232126884E-2</v>
      </c>
      <c r="BL259" s="5">
        <f t="shared" si="40"/>
        <v>9.9142754096670505E-2</v>
      </c>
      <c r="BM259" s="19">
        <f t="shared" si="43"/>
        <v>4.9380195463210708E-2</v>
      </c>
      <c r="BN259" s="19">
        <f t="shared" si="42"/>
        <v>9.8108380925870486E-2</v>
      </c>
      <c r="BO259" s="19" t="s">
        <v>53</v>
      </c>
    </row>
    <row r="260" spans="1:67" x14ac:dyDescent="0.25">
      <c r="A260" s="1">
        <v>45477</v>
      </c>
      <c r="B260" s="1" t="str">
        <f t="shared" ref="B260:B323" si="45">_xlfn.CONCAT(TEXT(YEAR(A260),"0000"),TEXT(MONTH(A260),"00"))</f>
        <v>202407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f>I259*(1+((1+VLOOKUP($B260,'IPCA Hist'!$B:$C,2,0))^12 - 1)+$I$2)^(1/252)</f>
        <v>209546107.21711314</v>
      </c>
      <c r="J260" s="2">
        <f>J259*(1+((1+VLOOKUP($B260,'IPCA Hist'!$B:$C,2,0))^12 - 1)+$J$2)^(1/252)</f>
        <v>133379073.04970433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f>Q259*(1+((1+VLOOKUP($B260,'IPCA Hist'!$B:$C,2,0))^12 - 1)+$Q$2)^(1/252)</f>
        <v>45195712.486260213</v>
      </c>
      <c r="R260" s="2">
        <f>R259*(1+((1+VLOOKUP($B260,'IPCA Hist'!$B:$C,2,0))^12 - 1)+$R$2)^(1/252)</f>
        <v>45179939.396866933</v>
      </c>
      <c r="S260" s="2">
        <f>S259*(1+((1+VLOOKUP($B260,'IPCA Hist'!$B:$C,2,0))^12 - 1)+$S$2)^(1/252)</f>
        <v>46209437.527160481</v>
      </c>
      <c r="T260" s="2">
        <f>T259*(1+((1+VLOOKUP($B260,'IPCA Hist'!$B:$C,2,0))^12 - 1)+$T$2)^(1/252)</f>
        <v>233394063.21931282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f>AF259*(1+((1+VLOOKUP($B260,'IGPM Hist'!$B:$C,2,0))^12 - 1)+$AF$2)^(1/252)</f>
        <v>1598240.6329036285</v>
      </c>
      <c r="AG260" s="2">
        <f>350000*VLOOKUP(A260,'CVRDA6 Hist'!$A:$B,2,0)</f>
        <v>12352998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f>BA259*(1+VLOOKUP(A260,'SELIC Hist'!$A:$C,3,0))^(1/252)</f>
        <v>1759983.3851539211</v>
      </c>
      <c r="BB260" s="2">
        <f t="shared" si="44"/>
        <v>728615554.91447532</v>
      </c>
      <c r="BC260" s="2">
        <v>0</v>
      </c>
      <c r="BD260" s="2">
        <v>0</v>
      </c>
      <c r="BE260" s="2">
        <f t="shared" si="41"/>
        <v>555836.34353542328</v>
      </c>
      <c r="BF260" s="2">
        <f t="shared" si="34"/>
        <v>1180084.9312006235</v>
      </c>
      <c r="BG260" s="2">
        <f t="shared" si="35"/>
        <v>36584021.837155819</v>
      </c>
      <c r="BH260" s="11">
        <f t="shared" si="36"/>
        <v>1.0999818933511534</v>
      </c>
      <c r="BI260" s="12">
        <f t="shared" si="37"/>
        <v>7.6344883442591716E-4</v>
      </c>
      <c r="BJ260" s="12">
        <f t="shared" si="38"/>
        <v>1.6222537666850112E-3</v>
      </c>
      <c r="BK260" s="12">
        <f t="shared" si="39"/>
        <v>5.0572654837465647E-2</v>
      </c>
      <c r="BL260" s="5">
        <f t="shared" si="40"/>
        <v>9.9981893351153373E-2</v>
      </c>
      <c r="BM260" s="19">
        <f t="shared" si="43"/>
        <v>4.981600563685662E-2</v>
      </c>
      <c r="BN260" s="19">
        <f t="shared" si="42"/>
        <v>9.8600931385715684E-2</v>
      </c>
      <c r="BO260" s="19" t="s">
        <v>53</v>
      </c>
    </row>
    <row r="261" spans="1:67" x14ac:dyDescent="0.25">
      <c r="A261" s="1">
        <v>45478</v>
      </c>
      <c r="B261" s="1" t="str">
        <f t="shared" si="45"/>
        <v>202407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f>I260*(1+((1+VLOOKUP($B261,'IPCA Hist'!$B:$C,2,0))^12 - 1)+$I$2)^(1/252)</f>
        <v>209627909.1363731</v>
      </c>
      <c r="J261" s="2">
        <f>J260*(1+((1+VLOOKUP($B261,'IPCA Hist'!$B:$C,2,0))^12 - 1)+$J$2)^(1/252)</f>
        <v>133428784.45801438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f>Q260*(1+((1+VLOOKUP($B261,'IPCA Hist'!$B:$C,2,0))^12 - 1)+$Q$2)^(1/252)</f>
        <v>45212524.606839545</v>
      </c>
      <c r="R261" s="2">
        <f>R260*(1+((1+VLOOKUP($B261,'IPCA Hist'!$B:$C,2,0))^12 - 1)+$R$2)^(1/252)</f>
        <v>45196761.980000846</v>
      </c>
      <c r="S261" s="2">
        <f>S260*(1+((1+VLOOKUP($B261,'IPCA Hist'!$B:$C,2,0))^12 - 1)+$S$2)^(1/252)</f>
        <v>46226442.915973313</v>
      </c>
      <c r="T261" s="2">
        <f>T260*(1+((1+VLOOKUP($B261,'IPCA Hist'!$B:$C,2,0))^12 - 1)+$T$2)^(1/252)</f>
        <v>233479869.37942722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f>AF260*(1+((1+VLOOKUP($B261,'IGPM Hist'!$B:$C,2,0))^12 - 1)+$AF$2)^(1/252)</f>
        <v>1599060.044576508</v>
      </c>
      <c r="AG261" s="2">
        <f>350000*VLOOKUP(A261,'CVRDA6 Hist'!$A:$B,2,0)</f>
        <v>12292845.6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f>BA260*(1+VLOOKUP(A261,'SELIC Hist'!$A:$C,3,0))^(1/252) - BD261</f>
        <v>-13853535.736541677</v>
      </c>
      <c r="BB261" s="2">
        <f t="shared" si="44"/>
        <v>713210662.38466334</v>
      </c>
      <c r="BC261" s="2">
        <v>0</v>
      </c>
      <c r="BD261" s="2">
        <v>15614210.26</v>
      </c>
      <c r="BE261" s="2">
        <f t="shared" si="41"/>
        <v>209317.73018802144</v>
      </c>
      <c r="BF261" s="2">
        <f t="shared" ref="BF261:BF324" si="46">IF(MONTH(A261)=MONTH(A260),BE261+BF260,BE261)</f>
        <v>1389402.6613886449</v>
      </c>
      <c r="BG261" s="2">
        <f t="shared" ref="BG261:BG324" si="47">IF(YEAR(A261)=YEAR(A260),BE261+BG260,BE261)</f>
        <v>36793339.567343839</v>
      </c>
      <c r="BH261" s="11">
        <f t="shared" ref="BH261:BH324" si="48">(1+(BB261-BB260-BC261+BD261)/BB260)*BH260</f>
        <v>1.1002978977400404</v>
      </c>
      <c r="BI261" s="12">
        <f t="shared" ref="BI261:BI324" si="49">BH261/BH260 - 1</f>
        <v>2.8728144599199368E-4</v>
      </c>
      <c r="BJ261" s="12">
        <f t="shared" ref="BJ261:BJ324" si="50">IF(MONTH(A261)=MONTH(A260),(1+BI261)*(1+BJ260) - 1,BI261)</f>
        <v>1.91000125608487E-3</v>
      </c>
      <c r="BK261" s="12">
        <f t="shared" ref="BK261:BK324" si="51">IF(YEAR(A261)=YEAR(A260),(1+BI261)*(1+BK260) - 1,BI261)</f>
        <v>5.0874464868867042E-2</v>
      </c>
      <c r="BL261" s="5">
        <f t="shared" ref="BL261:BL324" si="52">(1+BI261)*(1+BL260) - 1</f>
        <v>0.10029789774004039</v>
      </c>
      <c r="BM261" s="19">
        <f t="shared" si="43"/>
        <v>4.9308756491710737E-2</v>
      </c>
      <c r="BN261" s="19">
        <f t="shared" si="42"/>
        <v>9.8477986788124472E-2</v>
      </c>
      <c r="BO261" s="19" t="s">
        <v>53</v>
      </c>
    </row>
    <row r="262" spans="1:67" x14ac:dyDescent="0.25">
      <c r="A262" s="1">
        <v>45481</v>
      </c>
      <c r="B262" s="1" t="str">
        <f t="shared" si="45"/>
        <v>202407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f>I261*(1+((1+VLOOKUP($B262,'IPCA Hist'!$B:$C,2,0))^12 - 1)+$I$2)^(1/252)</f>
        <v>209709742.98919693</v>
      </c>
      <c r="J262" s="2">
        <f>J261*(1+((1+VLOOKUP($B262,'IPCA Hist'!$B:$C,2,0))^12 - 1)+$J$2)^(1/252)</f>
        <v>133478514.39414938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f>Q261*(1+((1+VLOOKUP($B262,'IPCA Hist'!$B:$C,2,0))^12 - 1)+$Q$2)^(1/252)</f>
        <v>45229342.981273122</v>
      </c>
      <c r="R262" s="2">
        <f>R261*(1+((1+VLOOKUP($B262,'IPCA Hist'!$B:$C,2,0))^12 - 1)+$R$2)^(1/252)</f>
        <v>45213590.826961294</v>
      </c>
      <c r="S262" s="2">
        <f>S261*(1+((1+VLOOKUP($B262,'IPCA Hist'!$B:$C,2,0))^12 - 1)+$S$2)^(1/252)</f>
        <v>46243454.562885441</v>
      </c>
      <c r="T262" s="2">
        <f>T261*(1+((1+VLOOKUP($B262,'IPCA Hist'!$B:$C,2,0))^12 - 1)+$T$2)^(1/252)</f>
        <v>233565707.08574727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f>AF261*(1+((1+VLOOKUP($B262,'IGPM Hist'!$B:$C,2,0))^12 - 1)+$AF$2)^(1/252)</f>
        <v>1599879.8763585223</v>
      </c>
      <c r="AG262" s="2">
        <f>350000*VLOOKUP(A262,'CVRDA6 Hist'!$A:$B,2,0)</f>
        <v>12320123.550000001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f>BA261*(1+VLOOKUP(A262,'SELIC Hist'!$A:$C,3,0))^(1/252)+BC262</f>
        <v>2641024.0364199951</v>
      </c>
      <c r="BB262" s="2">
        <f t="shared" si="44"/>
        <v>730001380.30299187</v>
      </c>
      <c r="BC262" s="2">
        <v>16500000</v>
      </c>
      <c r="BD262" s="2">
        <v>0</v>
      </c>
      <c r="BE262" s="2">
        <f t="shared" si="41"/>
        <v>290717.91832852364</v>
      </c>
      <c r="BF262" s="2">
        <f t="shared" si="46"/>
        <v>1680120.5797171686</v>
      </c>
      <c r="BG262" s="2">
        <f t="shared" si="47"/>
        <v>37084057.485672362</v>
      </c>
      <c r="BH262" s="11">
        <f t="shared" si="48"/>
        <v>1.1007463996080618</v>
      </c>
      <c r="BI262" s="12">
        <f t="shared" si="49"/>
        <v>4.0761858124294115E-4</v>
      </c>
      <c r="BJ262" s="12">
        <f t="shared" si="50"/>
        <v>2.318398389330012E-3</v>
      </c>
      <c r="BK262" s="12">
        <f t="shared" si="51"/>
        <v>5.1302820827301421E-2</v>
      </c>
      <c r="BL262" s="5">
        <f t="shared" si="52"/>
        <v>0.10074639960806175</v>
      </c>
      <c r="BM262" s="19">
        <f t="shared" si="43"/>
        <v>4.9571321641848964E-2</v>
      </c>
      <c r="BN262" s="19">
        <f t="shared" si="42"/>
        <v>9.8577726710416647E-2</v>
      </c>
      <c r="BO262" s="19" t="s">
        <v>53</v>
      </c>
    </row>
    <row r="263" spans="1:67" x14ac:dyDescent="0.25">
      <c r="A263" s="1">
        <v>45482</v>
      </c>
      <c r="B263" s="1" t="str">
        <f t="shared" si="45"/>
        <v>202407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f>I262*(1+((1+VLOOKUP($B263,'IPCA Hist'!$B:$C,2,0))^12 - 1)+$I$2)^(1/252)</f>
        <v>209791608.78805071</v>
      </c>
      <c r="J263" s="2">
        <f>J262*(1+((1+VLOOKUP($B263,'IPCA Hist'!$B:$C,2,0))^12 - 1)+$J$2)^(1/252)</f>
        <v>133528262.86501478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f>Q262*(1+((1+VLOOKUP($B263,'IPCA Hist'!$B:$C,2,0))^12 - 1)+$Q$2)^(1/252)</f>
        <v>45246167.611887284</v>
      </c>
      <c r="R263" s="2">
        <f>R262*(1+((1+VLOOKUP($B263,'IPCA Hist'!$B:$C,2,0))^12 - 1)+$R$2)^(1/252)</f>
        <v>45230425.940080591</v>
      </c>
      <c r="S263" s="2">
        <f>S262*(1+((1+VLOOKUP($B263,'IPCA Hist'!$B:$C,2,0))^12 - 1)+$S$2)^(1/252)</f>
        <v>46260472.470199898</v>
      </c>
      <c r="T263" s="2">
        <f>T262*(1+((1+VLOOKUP($B263,'IPCA Hist'!$B:$C,2,0))^12 - 1)+$T$2)^(1/252)</f>
        <v>233651576.34987077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f>AF262*(1+((1+VLOOKUP($B263,'IGPM Hist'!$B:$C,2,0))^12 - 1)+$AF$2)^(1/252)</f>
        <v>1600700.1284650599</v>
      </c>
      <c r="AG263" s="2">
        <f>350000*VLOOKUP(A263,'CVRDA6 Hist'!$A:$B,2,0)</f>
        <v>12057867.5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f>BA262*(1+VLOOKUP(A263,'SELIC Hist'!$A:$C,3,0))^(1/252)</f>
        <v>2642061.1557984008</v>
      </c>
      <c r="BB263" s="2">
        <f t="shared" si="44"/>
        <v>730009142.80936754</v>
      </c>
      <c r="BC263" s="2">
        <v>0</v>
      </c>
      <c r="BD263" s="2">
        <v>0</v>
      </c>
      <c r="BE263" s="2">
        <f t="shared" si="41"/>
        <v>7762.506375670433</v>
      </c>
      <c r="BF263" s="2">
        <f t="shared" si="46"/>
        <v>1687883.086092839</v>
      </c>
      <c r="BG263" s="2">
        <f t="shared" si="47"/>
        <v>37091819.992048033</v>
      </c>
      <c r="BH263" s="11">
        <f t="shared" si="48"/>
        <v>1.1007581044502381</v>
      </c>
      <c r="BI263" s="12">
        <f t="shared" si="49"/>
        <v>1.0633550271421655E-5</v>
      </c>
      <c r="BJ263" s="12">
        <f t="shared" si="50"/>
        <v>2.3290565924072304E-3</v>
      </c>
      <c r="BK263" s="12">
        <f t="shared" si="51"/>
        <v>5.1313999908697117E-2</v>
      </c>
      <c r="BL263" s="5">
        <f t="shared" si="52"/>
        <v>0.10075810445023814</v>
      </c>
      <c r="BM263" s="19">
        <f t="shared" si="43"/>
        <v>4.9338781568452728E-2</v>
      </c>
      <c r="BN263" s="19">
        <f t="shared" si="42"/>
        <v>9.8243565262143839E-2</v>
      </c>
      <c r="BO263" s="19" t="s">
        <v>53</v>
      </c>
    </row>
    <row r="264" spans="1:67" x14ac:dyDescent="0.25">
      <c r="A264" s="1">
        <v>45483</v>
      </c>
      <c r="B264" s="1" t="str">
        <f t="shared" si="45"/>
        <v>202407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f>I263*(1+((1+VLOOKUP($B264,'IPCA Hist'!$B:$C,2,0))^12 - 1)+$I$2)^(1/252)</f>
        <v>209873506.54540545</v>
      </c>
      <c r="J264" s="2">
        <f>J263*(1+((1+VLOOKUP($B264,'IPCA Hist'!$B:$C,2,0))^12 - 1)+$J$2)^(1/252)</f>
        <v>133578029.87751862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f>Q263*(1+((1+VLOOKUP($B264,'IPCA Hist'!$B:$C,2,0))^12 - 1)+$Q$2)^(1/252)</f>
        <v>45262998.501009233</v>
      </c>
      <c r="R264" s="2">
        <f>R263*(1+((1+VLOOKUP($B264,'IPCA Hist'!$B:$C,2,0))^12 - 1)+$R$2)^(1/252)</f>
        <v>45247267.321691915</v>
      </c>
      <c r="S264" s="2">
        <f>S263*(1+((1+VLOOKUP($B264,'IPCA Hist'!$B:$C,2,0))^12 - 1)+$S$2)^(1/252)</f>
        <v>46277496.640220545</v>
      </c>
      <c r="T264" s="2">
        <f>T263*(1+((1+VLOOKUP($B264,'IPCA Hist'!$B:$C,2,0))^12 - 1)+$T$2)^(1/252)</f>
        <v>233737477.18339977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f>AF263*(1+((1+VLOOKUP($B264,'IGPM Hist'!$B:$C,2,0))^12 - 1)+$AF$2)^(1/252)</f>
        <v>1601520.8011116195</v>
      </c>
      <c r="AG264" s="2">
        <f>350000*VLOOKUP(A264,'CVRDA6 Hist'!$A:$B,2,0)</f>
        <v>12004999.999999998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f>BA263*(1+VLOOKUP(A264,'SELIC Hist'!$A:$C,3,0))^(1/252)</f>
        <v>2643098.6824493608</v>
      </c>
      <c r="BB264" s="2">
        <f t="shared" si="44"/>
        <v>730226395.55280638</v>
      </c>
      <c r="BC264" s="2">
        <v>0</v>
      </c>
      <c r="BD264" s="2">
        <v>0</v>
      </c>
      <c r="BE264" s="2">
        <f t="shared" si="41"/>
        <v>217252.74343883991</v>
      </c>
      <c r="BF264" s="2">
        <f t="shared" si="46"/>
        <v>1905135.8295316789</v>
      </c>
      <c r="BG264" s="2">
        <f t="shared" si="47"/>
        <v>37309072.735486872</v>
      </c>
      <c r="BH264" s="11">
        <f t="shared" si="48"/>
        <v>1.1010856931118458</v>
      </c>
      <c r="BI264" s="12">
        <f t="shared" si="49"/>
        <v>2.9760277056634088E-4</v>
      </c>
      <c r="BJ264" s="12">
        <f t="shared" si="50"/>
        <v>2.6273524966682338E-3</v>
      </c>
      <c r="BK264" s="12">
        <f t="shared" si="51"/>
        <v>5.1626873867805179E-2</v>
      </c>
      <c r="BL264" s="5">
        <f t="shared" si="52"/>
        <v>0.10108569311184579</v>
      </c>
      <c r="BM264" s="19">
        <f t="shared" si="43"/>
        <v>4.9060711457660444E-2</v>
      </c>
      <c r="BN264" s="19">
        <f t="shared" si="42"/>
        <v>9.8224557524589029E-2</v>
      </c>
      <c r="BO264" s="19" t="s">
        <v>53</v>
      </c>
    </row>
    <row r="265" spans="1:67" x14ac:dyDescent="0.25">
      <c r="A265" s="1">
        <v>45484</v>
      </c>
      <c r="B265" s="1" t="str">
        <f t="shared" si="45"/>
        <v>202407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f>I264*(1+((1+VLOOKUP($B265,'IPCA Hist'!$B:$C,2,0))^12 - 1)+$I$2)^(1/252)</f>
        <v>209955436.27373701</v>
      </c>
      <c r="J265" s="2">
        <f>J264*(1+((1+VLOOKUP($B265,'IPCA Hist'!$B:$C,2,0))^12 - 1)+$J$2)^(1/252)</f>
        <v>133627815.43857153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f>Q264*(1+((1+VLOOKUP($B265,'IPCA Hist'!$B:$C,2,0))^12 - 1)+$Q$2)^(1/252)</f>
        <v>45279835.650967039</v>
      </c>
      <c r="R265" s="2">
        <f>R264*(1+((1+VLOOKUP($B265,'IPCA Hist'!$B:$C,2,0))^12 - 1)+$R$2)^(1/252)</f>
        <v>45264114.974129319</v>
      </c>
      <c r="S265" s="2">
        <f>S264*(1+((1+VLOOKUP($B265,'IPCA Hist'!$B:$C,2,0))^12 - 1)+$S$2)^(1/252)</f>
        <v>46294527.075252108</v>
      </c>
      <c r="T265" s="2">
        <f>T264*(1+((1+VLOOKUP($B265,'IPCA Hist'!$B:$C,2,0))^12 - 1)+$T$2)^(1/252)</f>
        <v>233823409.59794062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f>AF264*(1+((1+VLOOKUP($B265,'IGPM Hist'!$B:$C,2,0))^12 - 1)+$AF$2)^(1/252)</f>
        <v>1602341.8945138101</v>
      </c>
      <c r="AG265" s="2">
        <f>350000*VLOOKUP(A265,'CVRDA6 Hist'!$A:$B,2,0)</f>
        <v>12004999.999999998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f>BA264*(1+VLOOKUP(A265,'SELIC Hist'!$A:$C,3,0))^(1/252)</f>
        <v>2644136.6165328096</v>
      </c>
      <c r="BB265" s="2">
        <f t="shared" si="44"/>
        <v>730496617.52164435</v>
      </c>
      <c r="BC265" s="2">
        <v>0</v>
      </c>
      <c r="BD265" s="2">
        <v>0</v>
      </c>
      <c r="BE265" s="2">
        <f t="shared" ref="BE265:BE328" si="53">BB265-BB264-BC265+BD265</f>
        <v>270221.96883797646</v>
      </c>
      <c r="BF265" s="2">
        <f t="shared" si="46"/>
        <v>2175357.7983696554</v>
      </c>
      <c r="BG265" s="2">
        <f t="shared" si="47"/>
        <v>37579294.704324849</v>
      </c>
      <c r="BH265" s="11">
        <f t="shared" si="48"/>
        <v>1.1014931524226348</v>
      </c>
      <c r="BI265" s="12">
        <f t="shared" si="49"/>
        <v>3.7005231594422483E-4</v>
      </c>
      <c r="BJ265" s="12">
        <f t="shared" si="50"/>
        <v>2.998377070488667E-3</v>
      </c>
      <c r="BK265" s="12">
        <f t="shared" si="51"/>
        <v>5.2016030827989113E-2</v>
      </c>
      <c r="BL265" s="5">
        <f t="shared" si="52"/>
        <v>0.10149315242263479</v>
      </c>
      <c r="BM265" s="19">
        <f t="shared" si="43"/>
        <v>4.910105251174679E-2</v>
      </c>
      <c r="BN265" s="19">
        <f t="shared" si="42"/>
        <v>9.8285080117648915E-2</v>
      </c>
      <c r="BO265" s="19" t="s">
        <v>53</v>
      </c>
    </row>
    <row r="266" spans="1:67" x14ac:dyDescent="0.25">
      <c r="A266" s="1">
        <v>45485</v>
      </c>
      <c r="B266" s="1" t="str">
        <f t="shared" si="45"/>
        <v>202407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f>I265*(1+((1+VLOOKUP($B266,'IPCA Hist'!$B:$C,2,0))^12 - 1)+$I$2)^(1/252)</f>
        <v>210037397.98552611</v>
      </c>
      <c r="J266" s="2">
        <f>J265*(1+((1+VLOOKUP($B266,'IPCA Hist'!$B:$C,2,0))^12 - 1)+$J$2)^(1/252)</f>
        <v>133677619.55508666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f>Q265*(1+((1+VLOOKUP($B266,'IPCA Hist'!$B:$C,2,0))^12 - 1)+$Q$2)^(1/252)</f>
        <v>45296679.064089641</v>
      </c>
      <c r="R266" s="2">
        <f>R265*(1+((1+VLOOKUP($B266,'IPCA Hist'!$B:$C,2,0))^12 - 1)+$R$2)^(1/252)</f>
        <v>45280968.899727724</v>
      </c>
      <c r="S266" s="2">
        <f>S265*(1+((1+VLOOKUP($B266,'IPCA Hist'!$B:$C,2,0))^12 - 1)+$S$2)^(1/252)</f>
        <v>46311563.777600154</v>
      </c>
      <c r="T266" s="2">
        <f>T265*(1+((1+VLOOKUP($B266,'IPCA Hist'!$B:$C,2,0))^12 - 1)+$T$2)^(1/252)</f>
        <v>233909373.60510394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f>AF265*(1+((1+VLOOKUP($B266,'IGPM Hist'!$B:$C,2,0))^12 - 1)+$AF$2)^(1/252)</f>
        <v>1603163.4088873516</v>
      </c>
      <c r="AG266" s="2">
        <f>350000*VLOOKUP(A266,'CVRDA6 Hist'!$A:$B,2,0)</f>
        <v>12201670.6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f>BA265*(1+VLOOKUP(A266,'SELIC Hist'!$A:$C,3,0))^(1/252)</f>
        <v>2645174.9582087435</v>
      </c>
      <c r="BB266" s="2">
        <f t="shared" si="44"/>
        <v>730963611.8542304</v>
      </c>
      <c r="BC266" s="2">
        <v>0</v>
      </c>
      <c r="BD266" s="2">
        <v>0</v>
      </c>
      <c r="BE266" s="2">
        <f t="shared" si="53"/>
        <v>466994.33258605003</v>
      </c>
      <c r="BF266" s="2">
        <f t="shared" si="46"/>
        <v>2642352.1309557054</v>
      </c>
      <c r="BG266" s="2">
        <f t="shared" si="47"/>
        <v>38046289.036910899</v>
      </c>
      <c r="BH266" s="11">
        <f t="shared" si="48"/>
        <v>1.1021973186668386</v>
      </c>
      <c r="BI266" s="12">
        <f t="shared" si="49"/>
        <v>6.3928336064100755E-4</v>
      </c>
      <c r="BJ266" s="12">
        <f t="shared" si="50"/>
        <v>3.6395772436996765E-3</v>
      </c>
      <c r="BK266" s="12">
        <f t="shared" si="51"/>
        <v>5.2688567171625067E-2</v>
      </c>
      <c r="BL266" s="5">
        <f t="shared" si="52"/>
        <v>0.10219731866683857</v>
      </c>
      <c r="BM266" s="19">
        <f t="shared" si="43"/>
        <v>4.9597743164752961E-2</v>
      </c>
      <c r="BN266" s="19">
        <f t="shared" si="42"/>
        <v>9.8641194569453861E-2</v>
      </c>
      <c r="BO266" s="19" t="s">
        <v>53</v>
      </c>
    </row>
    <row r="267" spans="1:67" x14ac:dyDescent="0.25">
      <c r="A267" s="1">
        <v>45488</v>
      </c>
      <c r="B267" s="1" t="str">
        <f t="shared" si="45"/>
        <v>202407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f>I266*(1+((1+VLOOKUP($B267,'IPCA Hist'!$B:$C,2,0))^12 - 1)+$I$2)^(1/252)</f>
        <v>210119391.69325835</v>
      </c>
      <c r="J267" s="2">
        <f>J266*(1+((1+VLOOKUP($B267,'IPCA Hist'!$B:$C,2,0))^12 - 1)+$J$2)^(1/252)</f>
        <v>133727442.23397979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f>Q266*(1+((1+VLOOKUP($B267,'IPCA Hist'!$B:$C,2,0))^12 - 1)+$Q$2)^(1/252)</f>
        <v>45313528.742706835</v>
      </c>
      <c r="R267" s="2">
        <f>R266*(1+((1+VLOOKUP($B267,'IPCA Hist'!$B:$C,2,0))^12 - 1)+$R$2)^(1/252)</f>
        <v>45297829.100822918</v>
      </c>
      <c r="S267" s="2">
        <f>S266*(1+((1+VLOOKUP($B267,'IPCA Hist'!$B:$C,2,0))^12 - 1)+$S$2)^(1/252)</f>
        <v>46328606.749571092</v>
      </c>
      <c r="T267" s="2">
        <f>T266*(1+((1+VLOOKUP($B267,'IPCA Hist'!$B:$C,2,0))^12 - 1)+$T$2)^(1/252)</f>
        <v>233995369.21650457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f>AF266*(1+((1+VLOOKUP($B267,'IGPM Hist'!$B:$C,2,0))^12 - 1)+$AF$2)^(1/252)</f>
        <v>1603985.3444480745</v>
      </c>
      <c r="AG267" s="2">
        <f>350000*VLOOKUP(A267,'CVRDA6 Hist'!$A:$B,2,0)</f>
        <v>12142269.65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f>BA266*(1+VLOOKUP(A267,'SELIC Hist'!$A:$C,3,0))^(1/252)</f>
        <v>2646213.7076372229</v>
      </c>
      <c r="BB267" s="2">
        <f t="shared" si="44"/>
        <v>731174636.43892884</v>
      </c>
      <c r="BC267" s="2">
        <v>0</v>
      </c>
      <c r="BD267" s="2">
        <v>0</v>
      </c>
      <c r="BE267" s="2">
        <f t="shared" si="53"/>
        <v>211024.58469843864</v>
      </c>
      <c r="BF267" s="2">
        <f t="shared" si="46"/>
        <v>2853376.7156541441</v>
      </c>
      <c r="BG267" s="2">
        <f t="shared" si="47"/>
        <v>38257313.621609338</v>
      </c>
      <c r="BH267" s="11">
        <f t="shared" si="48"/>
        <v>1.1025155160813958</v>
      </c>
      <c r="BI267" s="12">
        <f t="shared" si="49"/>
        <v>2.8869369319650673E-4</v>
      </c>
      <c r="BJ267" s="12">
        <f t="shared" si="50"/>
        <v>3.9293216598923486E-3</v>
      </c>
      <c r="BK267" s="12">
        <f t="shared" si="51"/>
        <v>5.2992471721867496E-2</v>
      </c>
      <c r="BL267" s="5">
        <f t="shared" si="52"/>
        <v>0.10251551608139575</v>
      </c>
      <c r="BM267" s="19">
        <f t="shared" si="43"/>
        <v>4.9705064492438833E-2</v>
      </c>
      <c r="BN267" s="19">
        <f t="shared" si="42"/>
        <v>9.8612362679740162E-2</v>
      </c>
      <c r="BO267" s="19" t="s">
        <v>53</v>
      </c>
    </row>
    <row r="268" spans="1:67" x14ac:dyDescent="0.25">
      <c r="A268" s="1">
        <v>45489</v>
      </c>
      <c r="B268" s="1" t="str">
        <f t="shared" si="45"/>
        <v>202407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f>I267*(1+((1+VLOOKUP($B268,'IPCA Hist'!$B:$C,2,0))^12 - 1)+$I$2)^(1/252)</f>
        <v>210201417.40942416</v>
      </c>
      <c r="J268" s="2">
        <f>J267*(1+((1+VLOOKUP($B268,'IPCA Hist'!$B:$C,2,0))^12 - 1)+$J$2)^(1/252)</f>
        <v>133777283.48216927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f>Q267*(1+((1+VLOOKUP($B268,'IPCA Hist'!$B:$C,2,0))^12 - 1)+$Q$2)^(1/252)</f>
        <v>45330384.689149298</v>
      </c>
      <c r="R268" s="2">
        <f>R267*(1+((1+VLOOKUP($B268,'IPCA Hist'!$B:$C,2,0))^12 - 1)+$R$2)^(1/252)</f>
        <v>45314695.579751551</v>
      </c>
      <c r="S268" s="2">
        <f>S267*(1+((1+VLOOKUP($B268,'IPCA Hist'!$B:$C,2,0))^12 - 1)+$S$2)^(1/252)</f>
        <v>46345655.993472189</v>
      </c>
      <c r="T268" s="2">
        <f>T267*(1+((1+VLOOKUP($B268,'IPCA Hist'!$B:$C,2,0))^12 - 1)+$T$2)^(1/252)</f>
        <v>234081396.44376165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f>AF267*(1+((1+VLOOKUP($B268,'IGPM Hist'!$B:$C,2,0))^12 - 1)+$AF$2)^(1/252)</f>
        <v>1604807.7014119194</v>
      </c>
      <c r="AG268" s="2">
        <f>350000*VLOOKUP(A268,'CVRDA6 Hist'!$A:$B,2,0)</f>
        <v>12329183.999999998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f>BA267*(1+VLOOKUP(A268,'SELIC Hist'!$A:$C,3,0))^(1/252)</f>
        <v>2647252.8649783707</v>
      </c>
      <c r="BB268" s="2">
        <f t="shared" si="44"/>
        <v>731632078.16411853</v>
      </c>
      <c r="BC268" s="2">
        <v>0</v>
      </c>
      <c r="BD268" s="2">
        <v>0</v>
      </c>
      <c r="BE268" s="2">
        <f t="shared" si="53"/>
        <v>457441.72518968582</v>
      </c>
      <c r="BF268" s="2">
        <f t="shared" si="46"/>
        <v>3310818.4408438299</v>
      </c>
      <c r="BG268" s="2">
        <f t="shared" si="47"/>
        <v>38714755.346799023</v>
      </c>
      <c r="BH268" s="11">
        <f t="shared" si="48"/>
        <v>1.103205278245714</v>
      </c>
      <c r="BI268" s="12">
        <f t="shared" si="49"/>
        <v>6.256258113896962E-4</v>
      </c>
      <c r="BJ268" s="12">
        <f t="shared" si="50"/>
        <v>4.5574057563337877E-3</v>
      </c>
      <c r="BK268" s="12">
        <f t="shared" si="51"/>
        <v>5.3651250991375798E-2</v>
      </c>
      <c r="BL268" s="5">
        <f t="shared" si="52"/>
        <v>0.10320527824571402</v>
      </c>
      <c r="BM268" s="19">
        <f t="shared" si="43"/>
        <v>5.0054508793447638E-2</v>
      </c>
      <c r="BN268" s="19">
        <f t="shared" si="42"/>
        <v>9.895356196452143E-2</v>
      </c>
      <c r="BO268" s="19" t="s">
        <v>53</v>
      </c>
    </row>
    <row r="269" spans="1:67" x14ac:dyDescent="0.25">
      <c r="A269" s="1">
        <v>45490</v>
      </c>
      <c r="B269" s="1" t="str">
        <f t="shared" si="45"/>
        <v>202407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f>I268*(1+((1+VLOOKUP($B269,'IPCA Hist'!$B:$C,2,0))^12 - 1)+$I$2)^(1/252)</f>
        <v>210283475.14651895</v>
      </c>
      <c r="J269" s="2">
        <f>J268*(1+((1+VLOOKUP($B269,'IPCA Hist'!$B:$C,2,0))^12 - 1)+$J$2)^(1/252)</f>
        <v>133827143.30657601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f>Q268*(1+((1+VLOOKUP($B269,'IPCA Hist'!$B:$C,2,0))^12 - 1)+$Q$2)^(1/252)</f>
        <v>45347246.905748561</v>
      </c>
      <c r="R269" s="2">
        <f>R268*(1+((1+VLOOKUP($B269,'IPCA Hist'!$B:$C,2,0))^12 - 1)+$R$2)^(1/252)</f>
        <v>45331568.338851161</v>
      </c>
      <c r="S269" s="2">
        <f>S268*(1+((1+VLOOKUP($B269,'IPCA Hist'!$B:$C,2,0))^12 - 1)+$S$2)^(1/252)</f>
        <v>46362711.511611558</v>
      </c>
      <c r="T269" s="2">
        <f>T268*(1+((1+VLOOKUP($B269,'IPCA Hist'!$B:$C,2,0))^12 - 1)+$T$2)^(1/252)</f>
        <v>234167455.2984986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f>AF268*(1+((1+VLOOKUP($B269,'IGPM Hist'!$B:$C,2,0))^12 - 1)+$AF$2)^(1/252)</f>
        <v>1605630.4799949385</v>
      </c>
      <c r="AG269" s="2">
        <f>350000*VLOOKUP(A269,'CVRDA6 Hist'!$A:$B,2,0)</f>
        <v>12234854.100000001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f>BA268*(1+VLOOKUP(A269,'SELIC Hist'!$A:$C,3,0))^(1/252)</f>
        <v>2648292.4303923724</v>
      </c>
      <c r="BB269" s="2">
        <f t="shared" si="44"/>
        <v>731808377.51819217</v>
      </c>
      <c r="BC269" s="2">
        <v>0</v>
      </c>
      <c r="BD269" s="2">
        <v>0</v>
      </c>
      <c r="BE269" s="2">
        <f t="shared" si="53"/>
        <v>176299.35407364368</v>
      </c>
      <c r="BF269" s="2">
        <f t="shared" si="46"/>
        <v>3487117.7949174736</v>
      </c>
      <c r="BG269" s="2">
        <f t="shared" si="47"/>
        <v>38891054.700872667</v>
      </c>
      <c r="BH269" s="11">
        <f t="shared" si="48"/>
        <v>1.103471114563954</v>
      </c>
      <c r="BI269" s="12">
        <f t="shared" si="49"/>
        <v>2.409672283862907E-4</v>
      </c>
      <c r="BJ269" s="12">
        <f t="shared" si="50"/>
        <v>4.7994711701537796E-3</v>
      </c>
      <c r="BK269" s="12">
        <f t="shared" si="51"/>
        <v>5.3905146413012917E-2</v>
      </c>
      <c r="BL269" s="5">
        <f t="shared" si="52"/>
        <v>0.10347111456395397</v>
      </c>
      <c r="BM269" s="19">
        <f t="shared" si="43"/>
        <v>4.9563616135287702E-2</v>
      </c>
      <c r="BN269" s="19">
        <f t="shared" si="42"/>
        <v>9.8872267562835292E-2</v>
      </c>
      <c r="BO269" s="19" t="s">
        <v>53</v>
      </c>
    </row>
    <row r="270" spans="1:67" x14ac:dyDescent="0.25">
      <c r="A270" s="1">
        <v>45491</v>
      </c>
      <c r="B270" s="1" t="str">
        <f t="shared" si="45"/>
        <v>202407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f>I269*(1+((1+VLOOKUP($B270,'IPCA Hist'!$B:$C,2,0))^12 - 1)+$I$2)^(1/252)</f>
        <v>210365564.91704291</v>
      </c>
      <c r="J270" s="2">
        <f>J269*(1+((1+VLOOKUP($B270,'IPCA Hist'!$B:$C,2,0))^12 - 1)+$J$2)^(1/252)</f>
        <v>133877021.71412352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f>Q269*(1+((1+VLOOKUP($B270,'IPCA Hist'!$B:$C,2,0))^12 - 1)+$Q$2)^(1/252)</f>
        <v>45364115.394837029</v>
      </c>
      <c r="R270" s="2">
        <f>R269*(1+((1+VLOOKUP($B270,'IPCA Hist'!$B:$C,2,0))^12 - 1)+$R$2)^(1/252)</f>
        <v>45348447.380460143</v>
      </c>
      <c r="S270" s="2">
        <f>S269*(1+((1+VLOOKUP($B270,'IPCA Hist'!$B:$C,2,0))^12 - 1)+$S$2)^(1/252)</f>
        <v>46379773.306298167</v>
      </c>
      <c r="T270" s="2">
        <f>T269*(1+((1+VLOOKUP($B270,'IPCA Hist'!$B:$C,2,0))^12 - 1)+$T$2)^(1/252)</f>
        <v>234253545.79234311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f>AF269*(1+((1+VLOOKUP($B270,'IGPM Hist'!$B:$C,2,0))^12 - 1)+$AF$2)^(1/252)</f>
        <v>1606453.6804132939</v>
      </c>
      <c r="AG270" s="2">
        <f>350000*VLOOKUP(A270,'CVRDA6 Hist'!$A:$B,2,0)</f>
        <v>12202354.850000001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f>BA269*(1+VLOOKUP(A270,'SELIC Hist'!$A:$C,3,0))^(1/252)</f>
        <v>2649332.4040394765</v>
      </c>
      <c r="BB270" s="2">
        <f t="shared" si="44"/>
        <v>732046609.43955767</v>
      </c>
      <c r="BC270" s="2">
        <v>0</v>
      </c>
      <c r="BD270" s="2">
        <v>0</v>
      </c>
      <c r="BE270" s="2">
        <f t="shared" si="53"/>
        <v>238231.9213654995</v>
      </c>
      <c r="BF270" s="2">
        <f t="shared" si="46"/>
        <v>3725349.7162829731</v>
      </c>
      <c r="BG270" s="2">
        <f t="shared" si="47"/>
        <v>39129286.622238167</v>
      </c>
      <c r="BH270" s="11">
        <f t="shared" si="48"/>
        <v>1.1038303370761167</v>
      </c>
      <c r="BI270" s="12">
        <f t="shared" si="49"/>
        <v>3.2553866378703944E-4</v>
      </c>
      <c r="BJ270" s="12">
        <f t="shared" si="50"/>
        <v>5.1265722473723407E-3</v>
      </c>
      <c r="BK270" s="12">
        <f t="shared" si="51"/>
        <v>5.4248233286134484E-2</v>
      </c>
      <c r="BL270" s="5">
        <f t="shared" si="52"/>
        <v>0.10383033707611666</v>
      </c>
      <c r="BM270" s="19">
        <f t="shared" si="43"/>
        <v>4.9563720813571299E-2</v>
      </c>
      <c r="BN270" s="19">
        <f t="shared" si="42"/>
        <v>9.8883872286741781E-2</v>
      </c>
      <c r="BO270" s="19" t="s">
        <v>53</v>
      </c>
    </row>
    <row r="271" spans="1:67" x14ac:dyDescent="0.25">
      <c r="A271" s="1">
        <v>45492</v>
      </c>
      <c r="B271" s="1" t="str">
        <f t="shared" si="45"/>
        <v>202407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f>I270*(1+((1+VLOOKUP($B271,'IPCA Hist'!$B:$C,2,0))^12 - 1)+$I$2)^(1/252)</f>
        <v>210447686.73350114</v>
      </c>
      <c r="J271" s="2">
        <f>J270*(1+((1+VLOOKUP($B271,'IPCA Hist'!$B:$C,2,0))^12 - 1)+$J$2)^(1/252)</f>
        <v>133926918.71173787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f>Q270*(1+((1+VLOOKUP($B271,'IPCA Hist'!$B:$C,2,0))^12 - 1)+$Q$2)^(1/252)</f>
        <v>45380990.158747979</v>
      </c>
      <c r="R271" s="2">
        <f>R270*(1+((1+VLOOKUP($B271,'IPCA Hist'!$B:$C,2,0))^12 - 1)+$R$2)^(1/252)</f>
        <v>45365332.706917763</v>
      </c>
      <c r="S271" s="2">
        <f>S270*(1+((1+VLOOKUP($B271,'IPCA Hist'!$B:$C,2,0))^12 - 1)+$S$2)^(1/252)</f>
        <v>46396841.379841819</v>
      </c>
      <c r="T271" s="2">
        <f>T270*(1+((1+VLOOKUP($B271,'IPCA Hist'!$B:$C,2,0))^12 - 1)+$T$2)^(1/252)</f>
        <v>234339667.93692714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f>AF270*(1+((1+VLOOKUP($B271,'IGPM Hist'!$B:$C,2,0))^12 - 1)+$AF$2)^(1/252)</f>
        <v>1607277.302883259</v>
      </c>
      <c r="AG271" s="2">
        <f>350000*VLOOKUP(A271,'CVRDA6 Hist'!$A:$B,2,0)</f>
        <v>12195530.199999999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f>BA270*(1+VLOOKUP(A271,'SELIC Hist'!$A:$C,3,0))^(1/252)</f>
        <v>2650372.7860799944</v>
      </c>
      <c r="BB271" s="2">
        <f t="shared" si="44"/>
        <v>732310617.91663694</v>
      </c>
      <c r="BC271" s="2">
        <v>0</v>
      </c>
      <c r="BD271" s="2">
        <v>0</v>
      </c>
      <c r="BE271" s="2">
        <f t="shared" si="53"/>
        <v>264008.47707927227</v>
      </c>
      <c r="BF271" s="2">
        <f t="shared" si="46"/>
        <v>3989358.1933622453</v>
      </c>
      <c r="BG271" s="2">
        <f t="shared" si="47"/>
        <v>39393295.099317439</v>
      </c>
      <c r="BH271" s="11">
        <f t="shared" si="48"/>
        <v>1.1042284272557412</v>
      </c>
      <c r="BI271" s="12">
        <f t="shared" si="49"/>
        <v>3.6064435471039324E-4</v>
      </c>
      <c r="BJ271" s="12">
        <f t="shared" si="50"/>
        <v>5.4890654714228049E-3</v>
      </c>
      <c r="BK271" s="12">
        <f t="shared" si="51"/>
        <v>5.462844195993255E-2</v>
      </c>
      <c r="BL271" s="5">
        <f t="shared" si="52"/>
        <v>0.10422842725574122</v>
      </c>
      <c r="BM271" s="19">
        <f t="shared" si="43"/>
        <v>4.9466632274386635E-2</v>
      </c>
      <c r="BN271" s="19">
        <f t="shared" si="42"/>
        <v>9.8934031230470731E-2</v>
      </c>
      <c r="BO271" s="19" t="s">
        <v>53</v>
      </c>
    </row>
    <row r="272" spans="1:67" x14ac:dyDescent="0.25">
      <c r="A272" s="1">
        <v>45495</v>
      </c>
      <c r="B272" s="1" t="str">
        <f t="shared" si="45"/>
        <v>202407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f>I271*(1+((1+VLOOKUP($B272,'IPCA Hist'!$B:$C,2,0))^12 - 1)+$I$2)^(1/252)</f>
        <v>210529840.60840362</v>
      </c>
      <c r="J272" s="2">
        <f>J271*(1+((1+VLOOKUP($B272,'IPCA Hist'!$B:$C,2,0))^12 - 1)+$J$2)^(1/252)</f>
        <v>133976834.30634773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f>Q271*(1+((1+VLOOKUP($B272,'IPCA Hist'!$B:$C,2,0))^12 - 1)+$Q$2)^(1/252)</f>
        <v>45397871.199815542</v>
      </c>
      <c r="R272" s="2">
        <f>R271*(1+((1+VLOOKUP($B272,'IPCA Hist'!$B:$C,2,0))^12 - 1)+$R$2)^(1/252)</f>
        <v>45382224.320564166</v>
      </c>
      <c r="S272" s="2">
        <f>S271*(1+((1+VLOOKUP($B272,'IPCA Hist'!$B:$C,2,0))^12 - 1)+$S$2)^(1/252)</f>
        <v>46413915.734553188</v>
      </c>
      <c r="T272" s="2">
        <f>T271*(1+((1+VLOOKUP($B272,'IPCA Hist'!$B:$C,2,0))^12 - 1)+$T$2)^(1/252)</f>
        <v>234425821.74388692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f>AF271*(1+((1+VLOOKUP($B272,'IGPM Hist'!$B:$C,2,0))^12 - 1)+$AF$2)^(1/252)</f>
        <v>1608101.3476212183</v>
      </c>
      <c r="AG272" s="2">
        <f>350000*VLOOKUP(A272,'CVRDA6 Hist'!$A:$B,2,0)</f>
        <v>12402514.6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f>BA271*(1+VLOOKUP(A272,'SELIC Hist'!$A:$C,3,0))^(1/252)</f>
        <v>2651413.5766743007</v>
      </c>
      <c r="BB272" s="2">
        <f t="shared" si="44"/>
        <v>732788537.43786681</v>
      </c>
      <c r="BC272" s="2">
        <v>0</v>
      </c>
      <c r="BD272" s="2">
        <v>0</v>
      </c>
      <c r="BE272" s="2">
        <f t="shared" si="53"/>
        <v>477919.52122986317</v>
      </c>
      <c r="BF272" s="2">
        <f t="shared" si="46"/>
        <v>4467277.7145921085</v>
      </c>
      <c r="BG272" s="2">
        <f t="shared" si="47"/>
        <v>39871214.620547302</v>
      </c>
      <c r="BH272" s="11">
        <f t="shared" si="48"/>
        <v>1.1049490672524462</v>
      </c>
      <c r="BI272" s="12">
        <f t="shared" si="49"/>
        <v>6.52618587710041E-4</v>
      </c>
      <c r="BJ272" s="12">
        <f t="shared" si="50"/>
        <v>6.1452663252885564E-3</v>
      </c>
      <c r="BK272" s="12">
        <f t="shared" si="51"/>
        <v>5.5316712084283237E-2</v>
      </c>
      <c r="BL272" s="5">
        <f t="shared" si="52"/>
        <v>0.10494906725244624</v>
      </c>
      <c r="BM272" s="19">
        <f t="shared" si="43"/>
        <v>4.9849135390116261E-2</v>
      </c>
      <c r="BN272" s="19">
        <f t="shared" si="42"/>
        <v>9.9304941012128056E-2</v>
      </c>
      <c r="BO272" s="19" t="s">
        <v>53</v>
      </c>
    </row>
    <row r="273" spans="1:67" x14ac:dyDescent="0.25">
      <c r="A273" s="1">
        <v>45496</v>
      </c>
      <c r="B273" s="1" t="str">
        <f t="shared" si="45"/>
        <v>202407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f>I272*(1+((1+VLOOKUP($B273,'IPCA Hist'!$B:$C,2,0))^12 - 1)+$I$2)^(1/252)</f>
        <v>210612026.55426526</v>
      </c>
      <c r="J273" s="2">
        <f>J272*(1+((1+VLOOKUP($B273,'IPCA Hist'!$B:$C,2,0))^12 - 1)+$J$2)^(1/252)</f>
        <v>134026768.50488433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f>Q272*(1+((1+VLOOKUP($B273,'IPCA Hist'!$B:$C,2,0))^12 - 1)+$Q$2)^(1/252)</f>
        <v>45414758.52037473</v>
      </c>
      <c r="R273" s="2">
        <f>R272*(1+((1+VLOOKUP($B273,'IPCA Hist'!$B:$C,2,0))^12 - 1)+$R$2)^(1/252)</f>
        <v>45399122.223740354</v>
      </c>
      <c r="S273" s="2">
        <f>S272*(1+((1+VLOOKUP($B273,'IPCA Hist'!$B:$C,2,0))^12 - 1)+$S$2)^(1/252)</f>
        <v>46430996.372743778</v>
      </c>
      <c r="T273" s="2">
        <f>T272*(1+((1+VLOOKUP($B273,'IPCA Hist'!$B:$C,2,0))^12 - 1)+$T$2)^(1/252)</f>
        <v>234512007.22486296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f>AF272*(1+((1+VLOOKUP($B273,'IGPM Hist'!$B:$C,2,0))^12 - 1)+$AF$2)^(1/252)</f>
        <v>1608925.8148436665</v>
      </c>
      <c r="AG273" s="2">
        <f>350000*VLOOKUP(A273,'CVRDA6 Hist'!$A:$B,2,0)</f>
        <v>12398629.25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f>BA272*(1+VLOOKUP(A273,'SELIC Hist'!$A:$C,3,0))^(1/252)</f>
        <v>2652454.775982833</v>
      </c>
      <c r="BB273" s="2">
        <f t="shared" si="44"/>
        <v>733055689.24169791</v>
      </c>
      <c r="BC273" s="2">
        <v>0</v>
      </c>
      <c r="BD273" s="2">
        <v>0</v>
      </c>
      <c r="BE273" s="2">
        <f t="shared" si="53"/>
        <v>267151.80383110046</v>
      </c>
      <c r="BF273" s="2">
        <f t="shared" si="46"/>
        <v>4734429.518423209</v>
      </c>
      <c r="BG273" s="2">
        <f t="shared" si="47"/>
        <v>40138366.424378403</v>
      </c>
      <c r="BH273" s="11">
        <f t="shared" si="48"/>
        <v>1.1053518971568141</v>
      </c>
      <c r="BI273" s="12">
        <f t="shared" si="49"/>
        <v>3.6456875371593256E-4</v>
      </c>
      <c r="BJ273" s="12">
        <f t="shared" si="50"/>
        <v>6.5120754510898937E-3</v>
      </c>
      <c r="BK273" s="12">
        <f t="shared" si="51"/>
        <v>5.5701447582783503E-2</v>
      </c>
      <c r="BL273" s="5">
        <f t="shared" si="52"/>
        <v>0.10535189715681414</v>
      </c>
      <c r="BM273" s="19">
        <f t="shared" si="43"/>
        <v>4.9927448732983937E-2</v>
      </c>
      <c r="BN273" s="19">
        <f t="shared" si="42"/>
        <v>9.9359410249748814E-2</v>
      </c>
      <c r="BO273" s="19" t="s">
        <v>53</v>
      </c>
    </row>
    <row r="274" spans="1:67" x14ac:dyDescent="0.25">
      <c r="A274" s="1">
        <v>45497</v>
      </c>
      <c r="B274" s="1" t="str">
        <f t="shared" si="45"/>
        <v>202407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f>I273*(1+((1+VLOOKUP($B274,'IPCA Hist'!$B:$C,2,0))^12 - 1)+$I$2)^(1/252)</f>
        <v>210694244.5836058</v>
      </c>
      <c r="J274" s="2">
        <f>J273*(1+((1+VLOOKUP($B274,'IPCA Hist'!$B:$C,2,0))^12 - 1)+$J$2)^(1/252)</f>
        <v>134076721.31428151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f>Q273*(1+((1+VLOOKUP($B274,'IPCA Hist'!$B:$C,2,0))^12 - 1)+$Q$2)^(1/252)</f>
        <v>45431652.122761413</v>
      </c>
      <c r="R274" s="2">
        <f>R273*(1+((1+VLOOKUP($B274,'IPCA Hist'!$B:$C,2,0))^12 - 1)+$R$2)^(1/252)</f>
        <v>45416026.418788224</v>
      </c>
      <c r="S274" s="2">
        <f>S273*(1+((1+VLOOKUP($B274,'IPCA Hist'!$B:$C,2,0))^12 - 1)+$S$2)^(1/252)</f>
        <v>46448083.296725951</v>
      </c>
      <c r="T274" s="2">
        <f>T273*(1+((1+VLOOKUP($B274,'IPCA Hist'!$B:$C,2,0))^12 - 1)+$T$2)^(1/252)</f>
        <v>234598224.39150006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f>AF273*(1+((1+VLOOKUP($B274,'IGPM Hist'!$B:$C,2,0))^12 - 1)+$AF$2)^(1/252)</f>
        <v>1609750.7047672099</v>
      </c>
      <c r="AG274" s="2">
        <f>350000*VLOOKUP(A274,'CVRDA6 Hist'!$A:$B,2,0)</f>
        <v>12259529.1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f>BA273*(1+VLOOKUP(A274,'SELIC Hist'!$A:$C,3,0))^(1/252)</f>
        <v>2653496.3841660912</v>
      </c>
      <c r="BB274" s="2">
        <f t="shared" si="44"/>
        <v>733187728.31659627</v>
      </c>
      <c r="BC274" s="2">
        <v>0</v>
      </c>
      <c r="BD274" s="2">
        <v>0</v>
      </c>
      <c r="BE274" s="2">
        <f t="shared" si="53"/>
        <v>132039.07489836216</v>
      </c>
      <c r="BF274" s="2">
        <f t="shared" si="46"/>
        <v>4866468.5933215711</v>
      </c>
      <c r="BG274" s="2">
        <f t="shared" si="47"/>
        <v>40270405.499276765</v>
      </c>
      <c r="BH274" s="11">
        <f t="shared" si="48"/>
        <v>1.1055509947752893</v>
      </c>
      <c r="BI274" s="12">
        <f t="shared" si="49"/>
        <v>1.8012147894919117E-4</v>
      </c>
      <c r="BJ274" s="12">
        <f t="shared" si="50"/>
        <v>6.6933698947002629E-3</v>
      </c>
      <c r="BK274" s="12">
        <f t="shared" si="51"/>
        <v>5.5891602088850911E-2</v>
      </c>
      <c r="BL274" s="5">
        <f t="shared" si="52"/>
        <v>0.10555099477528929</v>
      </c>
      <c r="BM274" s="19">
        <f t="shared" si="43"/>
        <v>4.9621482401236205E-2</v>
      </c>
      <c r="BN274" s="19">
        <f t="shared" si="42"/>
        <v>9.9211161353855104E-2</v>
      </c>
      <c r="BO274" s="19" t="s">
        <v>53</v>
      </c>
    </row>
    <row r="275" spans="1:67" x14ac:dyDescent="0.25">
      <c r="A275" s="1">
        <v>45498</v>
      </c>
      <c r="B275" s="1" t="str">
        <f t="shared" si="45"/>
        <v>202407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f>I274*(1+((1+VLOOKUP($B275,'IPCA Hist'!$B:$C,2,0))^12 - 1)+$I$2)^(1/252)</f>
        <v>210776494.70894986</v>
      </c>
      <c r="J275" s="2">
        <f>J274*(1+((1+VLOOKUP($B275,'IPCA Hist'!$B:$C,2,0))^12 - 1)+$J$2)^(1/252)</f>
        <v>134126692.74147567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f>Q274*(1+((1+VLOOKUP($B275,'IPCA Hist'!$B:$C,2,0))^12 - 1)+$Q$2)^(1/252)</f>
        <v>45448552.009312339</v>
      </c>
      <c r="R275" s="2">
        <f>R274*(1+((1+VLOOKUP($B275,'IPCA Hist'!$B:$C,2,0))^12 - 1)+$R$2)^(1/252)</f>
        <v>45432936.908050522</v>
      </c>
      <c r="S275" s="2">
        <f>S274*(1+((1+VLOOKUP($B275,'IPCA Hist'!$B:$C,2,0))^12 - 1)+$S$2)^(1/252)</f>
        <v>46465176.508812927</v>
      </c>
      <c r="T275" s="2">
        <f>T274*(1+((1+VLOOKUP($B275,'IPCA Hist'!$B:$C,2,0))^12 - 1)+$T$2)^(1/252)</f>
        <v>234684473.25544727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f>AF274*(1+((1+VLOOKUP($B275,'IGPM Hist'!$B:$C,2,0))^12 - 1)+$AF$2)^(1/252)</f>
        <v>1610576.017608566</v>
      </c>
      <c r="AG275" s="2">
        <f>350000*VLOOKUP(A275,'CVRDA6 Hist'!$A:$B,2,0)</f>
        <v>12408716.949999999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f>BA274*(1+VLOOKUP(A275,'SELIC Hist'!$A:$C,3,0))^(1/252)</f>
        <v>2654538.4013846391</v>
      </c>
      <c r="BB275" s="2">
        <f t="shared" si="44"/>
        <v>733608157.50104177</v>
      </c>
      <c r="BC275" s="2">
        <v>0</v>
      </c>
      <c r="BD275" s="2">
        <v>0</v>
      </c>
      <c r="BE275" s="2">
        <f t="shared" si="53"/>
        <v>420429.18444550037</v>
      </c>
      <c r="BF275" s="2">
        <f t="shared" si="46"/>
        <v>5286897.7777670715</v>
      </c>
      <c r="BG275" s="2">
        <f t="shared" si="47"/>
        <v>40690834.683722265</v>
      </c>
      <c r="BH275" s="11">
        <f t="shared" si="48"/>
        <v>1.1061849468794296</v>
      </c>
      <c r="BI275" s="12">
        <f t="shared" si="49"/>
        <v>5.7342637936774743E-4</v>
      </c>
      <c r="BJ275" s="12">
        <f t="shared" si="50"/>
        <v>7.2706344289323876E-3</v>
      </c>
      <c r="BK275" s="12">
        <f t="shared" si="51"/>
        <v>5.6497078187241589E-2</v>
      </c>
      <c r="BL275" s="5">
        <f t="shared" si="52"/>
        <v>0.10618494687942959</v>
      </c>
      <c r="BM275" s="19">
        <f t="shared" si="43"/>
        <v>4.9856287976586033E-2</v>
      </c>
      <c r="BN275" s="19">
        <f t="shared" si="42"/>
        <v>9.949511059630356E-2</v>
      </c>
      <c r="BO275" s="19" t="s">
        <v>53</v>
      </c>
    </row>
    <row r="276" spans="1:67" x14ac:dyDescent="0.25">
      <c r="A276" s="1">
        <v>45499</v>
      </c>
      <c r="B276" s="1" t="str">
        <f t="shared" si="45"/>
        <v>202407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f>I275*(1+((1+VLOOKUP($B276,'IPCA Hist'!$B:$C,2,0))^12 - 1)+$I$2)^(1/252)</f>
        <v>210858776.94282699</v>
      </c>
      <c r="J276" s="2">
        <f>J275*(1+((1+VLOOKUP($B276,'IPCA Hist'!$B:$C,2,0))^12 - 1)+$J$2)^(1/252)</f>
        <v>134176682.79340582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f>Q275*(1+((1+VLOOKUP($B276,'IPCA Hist'!$B:$C,2,0))^12 - 1)+$Q$2)^(1/252)</f>
        <v>45465458.182365119</v>
      </c>
      <c r="R276" s="2">
        <f>R275*(1+((1+VLOOKUP($B276,'IPCA Hist'!$B:$C,2,0))^12 - 1)+$R$2)^(1/252)</f>
        <v>45449853.69387088</v>
      </c>
      <c r="S276" s="2">
        <f>S275*(1+((1+VLOOKUP($B276,'IPCA Hist'!$B:$C,2,0))^12 - 1)+$S$2)^(1/252)</f>
        <v>46482276.011318766</v>
      </c>
      <c r="T276" s="2">
        <f>T275*(1+((1+VLOOKUP($B276,'IPCA Hist'!$B:$C,2,0))^12 - 1)+$T$2)^(1/252)</f>
        <v>234770753.82835799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f>AF275*(1+((1+VLOOKUP($B276,'IGPM Hist'!$B:$C,2,0))^12 - 1)+$AF$2)^(1/252)</f>
        <v>1611401.7535845626</v>
      </c>
      <c r="AG276" s="2">
        <f>350000*VLOOKUP(A276,'CVRDA6 Hist'!$A:$B,2,0)</f>
        <v>12087533.5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f>BA275*(1+VLOOKUP(A276,'SELIC Hist'!$A:$C,3,0))^(1/252)</f>
        <v>2655580.8277991032</v>
      </c>
      <c r="BB276" s="2">
        <f t="shared" si="44"/>
        <v>733558317.53352916</v>
      </c>
      <c r="BC276" s="2">
        <v>0</v>
      </c>
      <c r="BD276" s="2">
        <v>0</v>
      </c>
      <c r="BE276" s="2">
        <f t="shared" si="53"/>
        <v>-49839.967512607574</v>
      </c>
      <c r="BF276" s="2">
        <f t="shared" si="46"/>
        <v>5237057.8102544639</v>
      </c>
      <c r="BG276" s="2">
        <f t="shared" si="47"/>
        <v>40640994.716209657</v>
      </c>
      <c r="BH276" s="11">
        <f t="shared" si="48"/>
        <v>1.1061097947409866</v>
      </c>
      <c r="BI276" s="12">
        <f t="shared" si="49"/>
        <v>-6.793813155292483E-5</v>
      </c>
      <c r="BJ276" s="12">
        <f t="shared" si="50"/>
        <v>7.2022023440612148E-3</v>
      </c>
      <c r="BK276" s="12">
        <f t="shared" si="51"/>
        <v>5.6425301749758461E-2</v>
      </c>
      <c r="BL276" s="5">
        <f t="shared" si="52"/>
        <v>0.10610979474098658</v>
      </c>
      <c r="BM276" s="19">
        <f t="shared" si="43"/>
        <v>4.9447711422256901E-2</v>
      </c>
      <c r="BN276" s="19">
        <f t="shared" si="42"/>
        <v>9.9074167281929526E-2</v>
      </c>
      <c r="BO276" s="19" t="s">
        <v>53</v>
      </c>
    </row>
    <row r="277" spans="1:67" x14ac:dyDescent="0.25">
      <c r="A277" s="1">
        <v>45502</v>
      </c>
      <c r="B277" s="1" t="str">
        <f t="shared" si="45"/>
        <v>202407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f>I276*(1+((1+VLOOKUP($B277,'IPCA Hist'!$B:$C,2,0))^12 - 1)+$I$2)^(1/252)</f>
        <v>210941091.2977716</v>
      </c>
      <c r="J277" s="2">
        <f>J276*(1+((1+VLOOKUP($B277,'IPCA Hist'!$B:$C,2,0))^12 - 1)+$J$2)^(1/252)</f>
        <v>134226691.47701353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f>Q276*(1+((1+VLOOKUP($B277,'IPCA Hist'!$B:$C,2,0))^12 - 1)+$Q$2)^(1/252)</f>
        <v>45482370.644258246</v>
      </c>
      <c r="R277" s="2">
        <f>R276*(1+((1+VLOOKUP($B277,'IPCA Hist'!$B:$C,2,0))^12 - 1)+$R$2)^(1/252)</f>
        <v>45466776.778593794</v>
      </c>
      <c r="S277" s="2">
        <f>S276*(1+((1+VLOOKUP($B277,'IPCA Hist'!$B:$C,2,0))^12 - 1)+$S$2)^(1/252)</f>
        <v>46499381.806558385</v>
      </c>
      <c r="T277" s="2">
        <f>T276*(1+((1+VLOOKUP($B277,'IPCA Hist'!$B:$C,2,0))^12 - 1)+$T$2)^(1/252)</f>
        <v>234857066.12188983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f>AF276*(1+((1+VLOOKUP($B277,'IGPM Hist'!$B:$C,2,0))^12 - 1)+$AF$2)^(1/252)</f>
        <v>1612227.9129121394</v>
      </c>
      <c r="AG277" s="2">
        <f>350000*VLOOKUP(A277,'CVRDA6 Hist'!$A:$B,2,0)</f>
        <v>12370845.9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f>BA276*(1+VLOOKUP(A277,'SELIC Hist'!$A:$C,3,0))^(1/252)</f>
        <v>2656623.6635701731</v>
      </c>
      <c r="BB277" s="2">
        <f t="shared" si="44"/>
        <v>734113075.60256767</v>
      </c>
      <c r="BC277" s="2">
        <v>0</v>
      </c>
      <c r="BD277" s="2">
        <v>0</v>
      </c>
      <c r="BE277" s="2">
        <f t="shared" si="53"/>
        <v>554758.06903851032</v>
      </c>
      <c r="BF277" s="2">
        <f t="shared" si="46"/>
        <v>5791815.8792929742</v>
      </c>
      <c r="BG277" s="2">
        <f t="shared" si="47"/>
        <v>41195752.785248168</v>
      </c>
      <c r="BH277" s="11">
        <f t="shared" si="48"/>
        <v>1.1069462971964945</v>
      </c>
      <c r="BI277" s="12">
        <f t="shared" si="49"/>
        <v>7.5625625908481986E-4</v>
      </c>
      <c r="BJ277" s="12">
        <f t="shared" si="50"/>
        <v>7.9639053137479099E-3</v>
      </c>
      <c r="BK277" s="12">
        <f t="shared" si="51"/>
        <v>5.7224229996462261E-2</v>
      </c>
      <c r="BL277" s="5">
        <f t="shared" si="52"/>
        <v>0.10694629719649451</v>
      </c>
      <c r="BM277" s="19">
        <f t="shared" si="43"/>
        <v>4.9794900553292498E-2</v>
      </c>
      <c r="BN277" s="19">
        <f t="shared" si="42"/>
        <v>9.9558939759215592E-2</v>
      </c>
      <c r="BO277" s="19" t="s">
        <v>53</v>
      </c>
    </row>
    <row r="278" spans="1:67" x14ac:dyDescent="0.25">
      <c r="A278" s="1">
        <v>45503</v>
      </c>
      <c r="B278" s="1" t="str">
        <f t="shared" si="45"/>
        <v>202407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f>I277*(1+((1+VLOOKUP($B278,'IPCA Hist'!$B:$C,2,0))^12 - 1)+$I$2)^(1/252)</f>
        <v>211023437.78632301</v>
      </c>
      <c r="J278" s="2">
        <f>J277*(1+((1+VLOOKUP($B278,'IPCA Hist'!$B:$C,2,0))^12 - 1)+$J$2)^(1/252)</f>
        <v>134276718.79924297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f>Q277*(1+((1+VLOOKUP($B278,'IPCA Hist'!$B:$C,2,0))^12 - 1)+$Q$2)^(1/252)</f>
        <v>45499289.397331066</v>
      </c>
      <c r="R278" s="2">
        <f>R277*(1+((1+VLOOKUP($B278,'IPCA Hist'!$B:$C,2,0))^12 - 1)+$R$2)^(1/252)</f>
        <v>45483706.164564639</v>
      </c>
      <c r="S278" s="2">
        <f>S277*(1+((1+VLOOKUP($B278,'IPCA Hist'!$B:$C,2,0))^12 - 1)+$S$2)^(1/252)</f>
        <v>46516493.896847561</v>
      </c>
      <c r="T278" s="2">
        <f>T277*(1+((1+VLOOKUP($B278,'IPCA Hist'!$B:$C,2,0))^12 - 1)+$T$2)^(1/252)</f>
        <v>234943410.14770475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f>AF277*(1+((1+VLOOKUP($B278,'IGPM Hist'!$B:$C,2,0))^12 - 1)+$AF$2)^(1/252)</f>
        <v>1613054.4958083471</v>
      </c>
      <c r="AG278" s="2">
        <f>350000*VLOOKUP(A278,'CVRDA6 Hist'!$A:$B,2,0)</f>
        <v>12292398.65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f>BA277*(1+VLOOKUP(A278,'SELIC Hist'!$A:$C,3,0))^(1/252)</f>
        <v>2657666.908858601</v>
      </c>
      <c r="BB278" s="2">
        <f t="shared" si="44"/>
        <v>734306176.24668097</v>
      </c>
      <c r="BC278" s="2">
        <v>0</v>
      </c>
      <c r="BD278" s="2">
        <v>0</v>
      </c>
      <c r="BE278" s="2">
        <f t="shared" si="53"/>
        <v>193100.64411330223</v>
      </c>
      <c r="BF278" s="2">
        <f t="shared" si="46"/>
        <v>5984916.5234062765</v>
      </c>
      <c r="BG278" s="2">
        <f t="shared" si="47"/>
        <v>41388853.42936147</v>
      </c>
      <c r="BH278" s="11">
        <f t="shared" si="48"/>
        <v>1.1072374676579551</v>
      </c>
      <c r="BI278" s="12">
        <f t="shared" si="49"/>
        <v>2.6303937435634417E-4</v>
      </c>
      <c r="BJ278" s="12">
        <f t="shared" si="50"/>
        <v>8.2290395087754042E-3</v>
      </c>
      <c r="BK278" s="12">
        <f t="shared" si="51"/>
        <v>5.7502321596474948E-2</v>
      </c>
      <c r="BL278" s="5">
        <f t="shared" si="52"/>
        <v>0.10723746765795505</v>
      </c>
      <c r="BM278" s="19">
        <f t="shared" si="43"/>
        <v>4.9551177452018536E-2</v>
      </c>
      <c r="BN278" s="19">
        <f t="shared" si="42"/>
        <v>9.9501764975559626E-2</v>
      </c>
      <c r="BO278" s="19" t="s">
        <v>53</v>
      </c>
    </row>
    <row r="279" spans="1:67" x14ac:dyDescent="0.25">
      <c r="A279" s="1">
        <v>45504</v>
      </c>
      <c r="B279" s="1" t="str">
        <f t="shared" si="45"/>
        <v>202407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f>I278*(1+((1+VLOOKUP($B279,'IPCA Hist'!$B:$C,2,0))^12 - 1)+$I$2)^(1/252)</f>
        <v>211105816.42102545</v>
      </c>
      <c r="J279" s="2">
        <f>J278*(1+((1+VLOOKUP($B279,'IPCA Hist'!$B:$C,2,0))^12 - 1)+$J$2)^(1/252)</f>
        <v>134326764.76704091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f>Q278*(1+((1+VLOOKUP($B279,'IPCA Hist'!$B:$C,2,0))^12 - 1)+$Q$2)^(1/252)</f>
        <v>45516214.443923801</v>
      </c>
      <c r="R279" s="2">
        <f>R278*(1+((1+VLOOKUP($B279,'IPCA Hist'!$B:$C,2,0))^12 - 1)+$R$2)^(1/252)</f>
        <v>45500641.854129657</v>
      </c>
      <c r="S279" s="2">
        <f>S278*(1+((1+VLOOKUP($B279,'IPCA Hist'!$B:$C,2,0))^12 - 1)+$S$2)^(1/252)</f>
        <v>46533612.284502909</v>
      </c>
      <c r="T279" s="2">
        <f>T278*(1+((1+VLOOKUP($B279,'IPCA Hist'!$B:$C,2,0))^12 - 1)+$T$2)^(1/252)</f>
        <v>235029785.91746894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f>AF278*(1+((1+VLOOKUP($B279,'IGPM Hist'!$B:$C,2,0))^12 - 1)+$AF$2)^(1/252)</f>
        <v>1613881.5024903477</v>
      </c>
      <c r="AG279" s="2">
        <f>350000*VLOOKUP(A279,'CVRDA6 Hist'!$A:$B,2,0)</f>
        <v>12092195.850000001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f>BA278*(1+VLOOKUP(A279,'SELIC Hist'!$A:$C,3,0))^(1/252)</f>
        <v>2658710.5638252031</v>
      </c>
      <c r="BB279" s="2">
        <f t="shared" si="44"/>
        <v>734377623.60440743</v>
      </c>
      <c r="BC279" s="2">
        <v>0</v>
      </c>
      <c r="BD279" s="2">
        <v>0</v>
      </c>
      <c r="BE279" s="2">
        <f t="shared" si="53"/>
        <v>71447.357726454735</v>
      </c>
      <c r="BF279" s="2">
        <f t="shared" si="46"/>
        <v>6056363.8811327312</v>
      </c>
      <c r="BG279" s="2">
        <f t="shared" si="47"/>
        <v>41460300.787087925</v>
      </c>
      <c r="BH279" s="11">
        <f t="shared" si="48"/>
        <v>1.1073452009087417</v>
      </c>
      <c r="BI279" s="12">
        <f t="shared" si="49"/>
        <v>9.7299137658879431E-5</v>
      </c>
      <c r="BJ279" s="12">
        <f t="shared" si="50"/>
        <v>8.3271393248822712E-3</v>
      </c>
      <c r="BK279" s="12">
        <f t="shared" si="51"/>
        <v>5.7605215660438525E-2</v>
      </c>
      <c r="BL279" s="5">
        <f t="shared" si="52"/>
        <v>0.10734520090874167</v>
      </c>
      <c r="BM279" s="19">
        <f t="shared" si="43"/>
        <v>4.9196619353981896E-2</v>
      </c>
      <c r="BN279" s="19">
        <f t="shared" si="42"/>
        <v>9.9262408030456939E-2</v>
      </c>
      <c r="BO279" s="19" t="s">
        <v>53</v>
      </c>
    </row>
    <row r="280" spans="1:67" x14ac:dyDescent="0.25">
      <c r="A280" s="1">
        <v>45505</v>
      </c>
      <c r="B280" s="1" t="str">
        <f t="shared" si="45"/>
        <v>202408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f>I279*(1+((1+VLOOKUP($B280,'IPCA Hist'!$B:$C,2,0))^12 - 1)+$I$2)^(1/252)</f>
        <v>211150190.92162734</v>
      </c>
      <c r="J280" s="2">
        <f>J279*(1+((1+VLOOKUP($B280,'IPCA Hist'!$B:$C,2,0))^12 - 1)+$J$2)^(1/252)</f>
        <v>134352516.84752479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f>Q279*(1+((1+VLOOKUP($B280,'IPCA Hist'!$B:$C,2,0))^12 - 1)+$Q$2)^(1/252)</f>
        <v>45524906.027543828</v>
      </c>
      <c r="R280" s="2">
        <f>R279*(1+((1+VLOOKUP($B280,'IPCA Hist'!$B:$C,2,0))^12 - 1)+$R$2)^(1/252)</f>
        <v>45509347.674145095</v>
      </c>
      <c r="S280" s="2">
        <f>S279*(1+((1+VLOOKUP($B280,'IPCA Hist'!$B:$C,2,0))^12 - 1)+$S$2)^(1/252)</f>
        <v>46542304.427184768</v>
      </c>
      <c r="T280" s="2">
        <f>T279*(1+((1+VLOOKUP($B280,'IPCA Hist'!$B:$C,2,0))^12 - 1)+$T$2)^(1/252)</f>
        <v>235073598.78539008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f>AF279*(1+((1+VLOOKUP($B280,'IGPM Hist'!$B:$C,2,0))^12 - 1)+$AF$2)^(1/252)</f>
        <v>1614476.0906370117</v>
      </c>
      <c r="AG280" s="2">
        <f>350000*VLOOKUP(A280,'CVRDA6 Hist'!$A:$B,2,0)</f>
        <v>12378190.999999998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f>BA279*(1+VLOOKUP(A280,'SELIC Hist'!$A:$C,3,0))^(1/252)</f>
        <v>2659754.6286308584</v>
      </c>
      <c r="BB280" s="2">
        <f t="shared" si="44"/>
        <v>734805286.40268373</v>
      </c>
      <c r="BC280" s="2">
        <v>0</v>
      </c>
      <c r="BD280" s="2">
        <v>0</v>
      </c>
      <c r="BE280" s="2">
        <f t="shared" si="53"/>
        <v>427662.7982763052</v>
      </c>
      <c r="BF280" s="2">
        <f t="shared" si="46"/>
        <v>427662.7982763052</v>
      </c>
      <c r="BG280" s="2">
        <f t="shared" si="47"/>
        <v>41887963.58536423</v>
      </c>
      <c r="BH280" s="11">
        <f t="shared" si="48"/>
        <v>1.1079900603544233</v>
      </c>
      <c r="BI280" s="12">
        <f t="shared" si="49"/>
        <v>5.8234726185868446E-4</v>
      </c>
      <c r="BJ280" s="12">
        <f t="shared" si="50"/>
        <v>5.8234726185868446E-4</v>
      </c>
      <c r="BK280" s="12">
        <f t="shared" si="51"/>
        <v>5.8221109161905815E-2</v>
      </c>
      <c r="BL280" s="5">
        <f t="shared" si="52"/>
        <v>0.10799006035442327</v>
      </c>
      <c r="BM280" s="19">
        <f t="shared" si="43"/>
        <v>4.9524675356227288E-2</v>
      </c>
      <c r="BN280" s="19">
        <f t="shared" si="42"/>
        <v>9.9556119573489754E-2</v>
      </c>
      <c r="BO280" s="19" t="s">
        <v>53</v>
      </c>
    </row>
    <row r="281" spans="1:67" x14ac:dyDescent="0.25">
      <c r="A281" s="1">
        <v>45506</v>
      </c>
      <c r="B281" s="1" t="str">
        <f t="shared" si="45"/>
        <v>202408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f>I280*(1+((1+VLOOKUP($B281,'IPCA Hist'!$B:$C,2,0))^12 - 1)+$I$2)^(1/252)</f>
        <v>211194574.74976146</v>
      </c>
      <c r="J281" s="2">
        <f>J280*(1+((1+VLOOKUP($B281,'IPCA Hist'!$B:$C,2,0))^12 - 1)+$J$2)^(1/252)</f>
        <v>134378273.86499685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f>Q280*(1+((1+VLOOKUP($B281,'IPCA Hist'!$B:$C,2,0))^12 - 1)+$Q$2)^(1/252)</f>
        <v>45533599.27087187</v>
      </c>
      <c r="R281" s="2">
        <f>R280*(1+((1+VLOOKUP($B281,'IPCA Hist'!$B:$C,2,0))^12 - 1)+$R$2)^(1/252)</f>
        <v>45518055.159879938</v>
      </c>
      <c r="S281" s="2">
        <f>S280*(1+((1+VLOOKUP($B281,'IPCA Hist'!$B:$C,2,0))^12 - 1)+$S$2)^(1/252)</f>
        <v>46550998.193496101</v>
      </c>
      <c r="T281" s="2">
        <f>T280*(1+((1+VLOOKUP($B281,'IPCA Hist'!$B:$C,2,0))^12 - 1)+$T$2)^(1/252)</f>
        <v>235117419.82064793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f>AF280*(1+((1+VLOOKUP($B281,'IGPM Hist'!$B:$C,2,0))^12 - 1)+$AF$2)^(1/252)</f>
        <v>1615070.8978425493</v>
      </c>
      <c r="AG281" s="2">
        <f>350000*VLOOKUP(A281,'CVRDA6 Hist'!$A:$B,2,0)</f>
        <v>12294970.799999999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f>BA280*(1+VLOOKUP(A281,'SELIC Hist'!$A:$C,3,0))^(1/252)</f>
        <v>2660799.1034365087</v>
      </c>
      <c r="BB281" s="2">
        <f t="shared" si="44"/>
        <v>734863761.86093307</v>
      </c>
      <c r="BC281" s="2">
        <v>0</v>
      </c>
      <c r="BD281" s="2">
        <v>0</v>
      </c>
      <c r="BE281" s="2">
        <f t="shared" si="53"/>
        <v>58475.458249330521</v>
      </c>
      <c r="BF281" s="2">
        <f t="shared" si="46"/>
        <v>486138.25652563572</v>
      </c>
      <c r="BG281" s="2">
        <f t="shared" si="47"/>
        <v>41946439.04361356</v>
      </c>
      <c r="BH281" s="11">
        <f t="shared" si="48"/>
        <v>1.1080782336810362</v>
      </c>
      <c r="BI281" s="12">
        <f t="shared" si="49"/>
        <v>7.9579528524664767E-5</v>
      </c>
      <c r="BJ281" s="12">
        <f t="shared" si="50"/>
        <v>6.6197313330396135E-4</v>
      </c>
      <c r="BK281" s="12">
        <f t="shared" si="51"/>
        <v>5.8305321898847851E-2</v>
      </c>
      <c r="BL281" s="5">
        <f t="shared" si="52"/>
        <v>0.1080782336810362</v>
      </c>
      <c r="BM281" s="19">
        <f t="shared" si="43"/>
        <v>4.9326338677758041E-2</v>
      </c>
      <c r="BN281" s="19">
        <f t="shared" si="42"/>
        <v>9.9278844344161232E-2</v>
      </c>
      <c r="BO281" s="19" t="s">
        <v>53</v>
      </c>
    </row>
    <row r="282" spans="1:67" x14ac:dyDescent="0.25">
      <c r="A282" s="1">
        <v>45509</v>
      </c>
      <c r="B282" s="1" t="str">
        <f t="shared" si="45"/>
        <v>202408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f>I281*(1+((1+VLOOKUP($B282,'IPCA Hist'!$B:$C,2,0))^12 - 1)+$I$2)^(1/252)</f>
        <v>211238967.90738845</v>
      </c>
      <c r="J282" s="2">
        <f>J281*(1+((1+VLOOKUP($B282,'IPCA Hist'!$B:$C,2,0))^12 - 1)+$J$2)^(1/252)</f>
        <v>134404035.82040355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f>Q281*(1+((1+VLOOKUP($B282,'IPCA Hist'!$B:$C,2,0))^12 - 1)+$Q$2)^(1/252)</f>
        <v>45542294.174224854</v>
      </c>
      <c r="R282" s="2">
        <f>R281*(1+((1+VLOOKUP($B282,'IPCA Hist'!$B:$C,2,0))^12 - 1)+$R$2)^(1/252)</f>
        <v>45526764.311652899</v>
      </c>
      <c r="S282" s="2">
        <f>S281*(1+((1+VLOOKUP($B282,'IPCA Hist'!$B:$C,2,0))^12 - 1)+$S$2)^(1/252)</f>
        <v>46559693.58374019</v>
      </c>
      <c r="T282" s="2">
        <f>T281*(1+((1+VLOOKUP($B282,'IPCA Hist'!$B:$C,2,0))^12 - 1)+$T$2)^(1/252)</f>
        <v>235161249.02476498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f>AF281*(1+((1+VLOOKUP($B282,'IGPM Hist'!$B:$C,2,0))^12 - 1)+$AF$2)^(1/252)</f>
        <v>1615665.9241876665</v>
      </c>
      <c r="AG282" s="2">
        <f>350000*VLOOKUP(A282,'CVRDA6 Hist'!$A:$B,2,0)</f>
        <v>12343944.9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f>BA281*(1+VLOOKUP(A282,'SELIC Hist'!$A:$C,3,0))^(1/252)</f>
        <v>2661843.9884031597</v>
      </c>
      <c r="BB282" s="2">
        <f t="shared" si="44"/>
        <v>735054459.63476574</v>
      </c>
      <c r="BC282" s="2">
        <v>0</v>
      </c>
      <c r="BD282" s="2">
        <v>0</v>
      </c>
      <c r="BE282" s="2">
        <f t="shared" si="53"/>
        <v>190697.77383267879</v>
      </c>
      <c r="BF282" s="2">
        <f t="shared" si="46"/>
        <v>676836.03035831451</v>
      </c>
      <c r="BG282" s="2">
        <f t="shared" si="47"/>
        <v>42137136.817446239</v>
      </c>
      <c r="BH282" s="11">
        <f t="shared" si="48"/>
        <v>1.1083657809290599</v>
      </c>
      <c r="BI282" s="12">
        <f t="shared" si="49"/>
        <v>2.595008540764443E-4</v>
      </c>
      <c r="BJ282" s="12">
        <f t="shared" si="50"/>
        <v>9.2164576997388892E-4</v>
      </c>
      <c r="BK282" s="12">
        <f t="shared" si="51"/>
        <v>5.8579953033754295E-2</v>
      </c>
      <c r="BL282" s="5">
        <f t="shared" si="52"/>
        <v>0.10836578092905991</v>
      </c>
      <c r="BM282" s="19">
        <f t="shared" si="43"/>
        <v>4.8937453412359444E-2</v>
      </c>
      <c r="BN282" s="19">
        <f t="shared" si="42"/>
        <v>9.9199968458341781E-2</v>
      </c>
      <c r="BO282" s="19" t="s">
        <v>53</v>
      </c>
    </row>
    <row r="283" spans="1:67" x14ac:dyDescent="0.25">
      <c r="A283" s="1">
        <v>45510</v>
      </c>
      <c r="B283" s="1" t="str">
        <f t="shared" si="45"/>
        <v>202408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f>I282*(1+((1+VLOOKUP($B283,'IPCA Hist'!$B:$C,2,0))^12 - 1)+$I$2)^(1/252)</f>
        <v>211283370.39646935</v>
      </c>
      <c r="J283" s="2">
        <f>J282*(1+((1+VLOOKUP($B283,'IPCA Hist'!$B:$C,2,0))^12 - 1)+$J$2)^(1/252)</f>
        <v>134429802.71469158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f>Q282*(1+((1+VLOOKUP($B283,'IPCA Hist'!$B:$C,2,0))^12 - 1)+$Q$2)^(1/252)</f>
        <v>45550990.737919778</v>
      </c>
      <c r="R283" s="2">
        <f>R282*(1+((1+VLOOKUP($B283,'IPCA Hist'!$B:$C,2,0))^12 - 1)+$R$2)^(1/252)</f>
        <v>45535475.129782744</v>
      </c>
      <c r="S283" s="2">
        <f>S282*(1+((1+VLOOKUP($B283,'IPCA Hist'!$B:$C,2,0))^12 - 1)+$S$2)^(1/252)</f>
        <v>46568390.598220371</v>
      </c>
      <c r="T283" s="2">
        <f>T282*(1+((1+VLOOKUP($B283,'IPCA Hist'!$B:$C,2,0))^12 - 1)+$T$2)^(1/252)</f>
        <v>235205086.39926404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f>AF282*(1+((1+VLOOKUP($B283,'IGPM Hist'!$B:$C,2,0))^12 - 1)+$AF$2)^(1/252)</f>
        <v>1616261.1697530989</v>
      </c>
      <c r="AG283" s="2">
        <f>350000*VLOOKUP(A283,'CVRDA6 Hist'!$A:$B,2,0)</f>
        <v>12444520.9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f>BA282*(1+VLOOKUP(A283,'SELIC Hist'!$A:$C,3,0))^(1/252)</f>
        <v>2662889.2836918798</v>
      </c>
      <c r="BB283" s="2">
        <f t="shared" si="44"/>
        <v>735296787.32979274</v>
      </c>
      <c r="BC283" s="2">
        <v>0</v>
      </c>
      <c r="BD283" s="2">
        <v>0</v>
      </c>
      <c r="BE283" s="2">
        <f t="shared" si="53"/>
        <v>242327.69502699375</v>
      </c>
      <c r="BF283" s="2">
        <f t="shared" si="46"/>
        <v>919163.72538530827</v>
      </c>
      <c r="BG283" s="2">
        <f t="shared" si="47"/>
        <v>42379464.512473233</v>
      </c>
      <c r="BH283" s="11">
        <f t="shared" si="48"/>
        <v>1.1087311793310679</v>
      </c>
      <c r="BI283" s="12">
        <f t="shared" si="49"/>
        <v>3.296731172102163E-4</v>
      </c>
      <c r="BJ283" s="12">
        <f t="shared" si="50"/>
        <v>1.2516227290180204E-3</v>
      </c>
      <c r="BK283" s="12">
        <f t="shared" si="51"/>
        <v>5.8928938386687113E-2</v>
      </c>
      <c r="BL283" s="5">
        <f t="shared" si="52"/>
        <v>0.10873117933106791</v>
      </c>
      <c r="BM283" s="19">
        <f t="shared" si="43"/>
        <v>4.8879588629804349E-2</v>
      </c>
      <c r="BN283" s="19">
        <f t="shared" si="42"/>
        <v>9.9198204426074188E-2</v>
      </c>
      <c r="BO283" s="19" t="s">
        <v>53</v>
      </c>
    </row>
    <row r="284" spans="1:67" x14ac:dyDescent="0.25">
      <c r="A284" s="1">
        <v>45511</v>
      </c>
      <c r="B284" s="1" t="str">
        <f t="shared" si="45"/>
        <v>202408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f>I283*(1+((1+VLOOKUP($B284,'IPCA Hist'!$B:$C,2,0))^12 - 1)+$I$2)^(1/252)</f>
        <v>211327782.21896568</v>
      </c>
      <c r="J284" s="2">
        <f>J283*(1+((1+VLOOKUP($B284,'IPCA Hist'!$B:$C,2,0))^12 - 1)+$J$2)^(1/252)</f>
        <v>134455574.54880777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f>Q283*(1+((1+VLOOKUP($B284,'IPCA Hist'!$B:$C,2,0))^12 - 1)+$Q$2)^(1/252)</f>
        <v>45559688.962273687</v>
      </c>
      <c r="R284" s="2">
        <f>R283*(1+((1+VLOOKUP($B284,'IPCA Hist'!$B:$C,2,0))^12 - 1)+$R$2)^(1/252)</f>
        <v>45544187.614588305</v>
      </c>
      <c r="S284" s="2">
        <f>S283*(1+((1+VLOOKUP($B284,'IPCA Hist'!$B:$C,2,0))^12 - 1)+$S$2)^(1/252)</f>
        <v>46577089.237240046</v>
      </c>
      <c r="T284" s="2">
        <f>T283*(1+((1+VLOOKUP($B284,'IPCA Hist'!$B:$C,2,0))^12 - 1)+$T$2)^(1/252)</f>
        <v>235248931.94566816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f>AF283*(1+((1+VLOOKUP($B284,'IGPM Hist'!$B:$C,2,0))^12 - 1)+$AF$2)^(1/252)</f>
        <v>1616856.634619612</v>
      </c>
      <c r="AG284" s="2">
        <f>350000*VLOOKUP(A284,'CVRDA6 Hist'!$A:$B,2,0)</f>
        <v>12453829.15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f>BA283*(1+VLOOKUP(A284,'SELIC Hist'!$A:$C,3,0))^(1/252)</f>
        <v>2663934.9894638006</v>
      </c>
      <c r="BB284" s="2">
        <f t="shared" si="44"/>
        <v>735447875.30162692</v>
      </c>
      <c r="BC284" s="2">
        <v>0</v>
      </c>
      <c r="BD284" s="2">
        <v>0</v>
      </c>
      <c r="BE284" s="2">
        <f t="shared" si="53"/>
        <v>151087.97183418274</v>
      </c>
      <c r="BF284" s="2">
        <f t="shared" si="46"/>
        <v>1070251.697219491</v>
      </c>
      <c r="BG284" s="2">
        <f t="shared" si="47"/>
        <v>42530552.484307416</v>
      </c>
      <c r="BH284" s="11">
        <f t="shared" si="48"/>
        <v>1.1089590001893677</v>
      </c>
      <c r="BI284" s="12">
        <f t="shared" si="49"/>
        <v>2.0547889564825894E-4</v>
      </c>
      <c r="BJ284" s="12">
        <f t="shared" si="50"/>
        <v>1.4573588067223753E-3</v>
      </c>
      <c r="BK284" s="12">
        <f t="shared" si="51"/>
        <v>5.9146525935516836E-2</v>
      </c>
      <c r="BL284" s="5">
        <f t="shared" si="52"/>
        <v>0.10895900018936766</v>
      </c>
      <c r="BM284" s="19">
        <f t="shared" si="43"/>
        <v>4.8474478194314052E-2</v>
      </c>
      <c r="BN284" s="19">
        <f t="shared" si="42"/>
        <v>9.9059969929206071E-2</v>
      </c>
      <c r="BO284" s="19" t="s">
        <v>53</v>
      </c>
    </row>
    <row r="285" spans="1:67" x14ac:dyDescent="0.25">
      <c r="A285" s="1">
        <v>45512</v>
      </c>
      <c r="B285" s="1" t="str">
        <f t="shared" si="45"/>
        <v>202408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f>I284*(1+((1+VLOOKUP($B285,'IPCA Hist'!$B:$C,2,0))^12 - 1)+$I$2)^(1/252)</f>
        <v>211372203.37683928</v>
      </c>
      <c r="J285" s="2">
        <f>J284*(1+((1+VLOOKUP($B285,'IPCA Hist'!$B:$C,2,0))^12 - 1)+$J$2)^(1/252)</f>
        <v>134481351.32369915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f>Q284*(1+((1+VLOOKUP($B285,'IPCA Hist'!$B:$C,2,0))^12 - 1)+$Q$2)^(1/252)</f>
        <v>45568388.847603694</v>
      </c>
      <c r="R285" s="2">
        <f>R284*(1+((1+VLOOKUP($B285,'IPCA Hist'!$B:$C,2,0))^12 - 1)+$R$2)^(1/252)</f>
        <v>45552901.766388476</v>
      </c>
      <c r="S285" s="2">
        <f>S284*(1+((1+VLOOKUP($B285,'IPCA Hist'!$B:$C,2,0))^12 - 1)+$S$2)^(1/252)</f>
        <v>46585789.501102664</v>
      </c>
      <c r="T285" s="2">
        <f>T284*(1+((1+VLOOKUP($B285,'IPCA Hist'!$B:$C,2,0))^12 - 1)+$T$2)^(1/252)</f>
        <v>235292785.6655007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f>AF284*(1+((1+VLOOKUP($B285,'IGPM Hist'!$B:$C,2,0))^12 - 1)+$AF$2)^(1/252)</f>
        <v>1617452.318868001</v>
      </c>
      <c r="AG285" s="2">
        <f>350000*VLOOKUP(A285,'CVRDA6 Hist'!$A:$B,2,0)</f>
        <v>12447727.949999999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f>BA284*(1+VLOOKUP(A285,'SELIC Hist'!$A:$C,3,0))^(1/252)</f>
        <v>2664981.1058801175</v>
      </c>
      <c r="BB285" s="2">
        <f t="shared" si="44"/>
        <v>735583581.85588217</v>
      </c>
      <c r="BC285" s="2">
        <v>0</v>
      </c>
      <c r="BD285" s="2">
        <v>0</v>
      </c>
      <c r="BE285" s="2">
        <f t="shared" si="53"/>
        <v>135706.55425524712</v>
      </c>
      <c r="BF285" s="2">
        <f t="shared" si="46"/>
        <v>1205958.2514747381</v>
      </c>
      <c r="BG285" s="2">
        <f t="shared" si="47"/>
        <v>42666259.038562663</v>
      </c>
      <c r="BH285" s="11">
        <f t="shared" si="48"/>
        <v>1.1091636278860133</v>
      </c>
      <c r="BI285" s="12">
        <f t="shared" si="49"/>
        <v>1.8452232824728299E-4</v>
      </c>
      <c r="BJ285" s="12">
        <f t="shared" si="50"/>
        <v>1.6421500502097341E-3</v>
      </c>
      <c r="BK285" s="12">
        <f t="shared" si="51"/>
        <v>5.9341962118437452E-2</v>
      </c>
      <c r="BL285" s="5">
        <f t="shared" si="52"/>
        <v>0.1091636278860133</v>
      </c>
      <c r="BM285" s="19">
        <f t="shared" si="43"/>
        <v>4.8569467651880416E-2</v>
      </c>
      <c r="BN285" s="19">
        <f t="shared" si="42"/>
        <v>9.889872630879637E-2</v>
      </c>
      <c r="BO285" s="19" t="s">
        <v>53</v>
      </c>
    </row>
    <row r="286" spans="1:67" x14ac:dyDescent="0.25">
      <c r="A286" s="1">
        <v>45513</v>
      </c>
      <c r="B286" s="1" t="str">
        <f t="shared" si="45"/>
        <v>202408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f>I285*(1+((1+VLOOKUP($B286,'IPCA Hist'!$B:$C,2,0))^12 - 1)+$I$2)^(1/252)</f>
        <v>211416633.87205246</v>
      </c>
      <c r="J286" s="2">
        <f>J285*(1+((1+VLOOKUP($B286,'IPCA Hist'!$B:$C,2,0))^12 - 1)+$J$2)^(1/252)</f>
        <v>134507133.04031292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f>Q285*(1+((1+VLOOKUP($B286,'IPCA Hist'!$B:$C,2,0))^12 - 1)+$Q$2)^(1/252)</f>
        <v>45577090.394226976</v>
      </c>
      <c r="R286" s="2">
        <f>R285*(1+((1+VLOOKUP($B286,'IPCA Hist'!$B:$C,2,0))^12 - 1)+$R$2)^(1/252)</f>
        <v>45561617.585502207</v>
      </c>
      <c r="S286" s="2">
        <f>S285*(1+((1+VLOOKUP($B286,'IPCA Hist'!$B:$C,2,0))^12 - 1)+$S$2)^(1/252)</f>
        <v>46594491.39011173</v>
      </c>
      <c r="T286" s="2">
        <f>T285*(1+((1+VLOOKUP($B286,'IPCA Hist'!$B:$C,2,0))^12 - 1)+$T$2)^(1/252)</f>
        <v>235336647.5602853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f>AF285*(1+((1+VLOOKUP($B286,'IGPM Hist'!$B:$C,2,0))^12 - 1)+$AF$2)^(1/252)</f>
        <v>1618048.2225790906</v>
      </c>
      <c r="AG286" s="2">
        <f>350000*VLOOKUP(A286,'CVRDA6 Hist'!$A:$B,2,0)</f>
        <v>12301248.4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f>BA285*(1+VLOOKUP(A286,'SELIC Hist'!$A:$C,3,0))^(1/252)</f>
        <v>2666027.6331020887</v>
      </c>
      <c r="BB286" s="2">
        <f t="shared" si="44"/>
        <v>735578938.09817278</v>
      </c>
      <c r="BC286" s="2">
        <v>0</v>
      </c>
      <c r="BD286" s="2">
        <v>0</v>
      </c>
      <c r="BE286" s="2">
        <f t="shared" si="53"/>
        <v>-4643.7577093839645</v>
      </c>
      <c r="BF286" s="2">
        <f t="shared" si="46"/>
        <v>1201314.4937653542</v>
      </c>
      <c r="BG286" s="2">
        <f t="shared" si="47"/>
        <v>42661615.280853279</v>
      </c>
      <c r="BH286" s="11">
        <f t="shared" si="48"/>
        <v>1.1091566257080487</v>
      </c>
      <c r="BI286" s="12">
        <f t="shared" si="49"/>
        <v>-6.3130252277998622E-6</v>
      </c>
      <c r="BJ286" s="12">
        <f t="shared" si="50"/>
        <v>1.6358266580471792E-3</v>
      </c>
      <c r="BK286" s="12">
        <f t="shared" si="51"/>
        <v>5.9335274465905696E-2</v>
      </c>
      <c r="BL286" s="5">
        <f t="shared" si="52"/>
        <v>0.10915662570804874</v>
      </c>
      <c r="BM286" s="19">
        <f t="shared" si="43"/>
        <v>4.7777848127419364E-2</v>
      </c>
      <c r="BN286" s="19">
        <f t="shared" si="42"/>
        <v>9.8527865456483621E-2</v>
      </c>
      <c r="BO286" s="19" t="s">
        <v>53</v>
      </c>
    </row>
    <row r="287" spans="1:67" x14ac:dyDescent="0.25">
      <c r="A287" s="1">
        <v>45516</v>
      </c>
      <c r="B287" s="1" t="str">
        <f t="shared" si="45"/>
        <v>202408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f>I286*(1+((1+VLOOKUP($B287,'IPCA Hist'!$B:$C,2,0))^12 - 1)+$I$2)^(1/252)</f>
        <v>211461073.70656794</v>
      </c>
      <c r="J287" s="2">
        <f>J286*(1+((1+VLOOKUP($B287,'IPCA Hist'!$B:$C,2,0))^12 - 1)+$J$2)^(1/252)</f>
        <v>134532919.69959646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f>Q286*(1+((1+VLOOKUP($B287,'IPCA Hist'!$B:$C,2,0))^12 - 1)+$Q$2)^(1/252)</f>
        <v>45585793.602460764</v>
      </c>
      <c r="R287" s="2">
        <f>R286*(1+((1+VLOOKUP($B287,'IPCA Hist'!$B:$C,2,0))^12 - 1)+$R$2)^(1/252)</f>
        <v>45570335.072248511</v>
      </c>
      <c r="S287" s="2">
        <f>S286*(1+((1+VLOOKUP($B287,'IPCA Hist'!$B:$C,2,0))^12 - 1)+$S$2)^(1/252)</f>
        <v>46603194.90457081</v>
      </c>
      <c r="T287" s="2">
        <f>T286*(1+((1+VLOOKUP($B287,'IPCA Hist'!$B:$C,2,0))^12 - 1)+$T$2)^(1/252)</f>
        <v>235380517.6315459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f>AF286*(1+((1+VLOOKUP($B287,'IGPM Hist'!$B:$C,2,0))^12 - 1)+$AF$2)^(1/252)</f>
        <v>1618644.3458337358</v>
      </c>
      <c r="AG287" s="2">
        <f>350000*VLOOKUP(A287,'CVRDA6 Hist'!$A:$B,2,0)</f>
        <v>12165231.050000001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f>BA286*(1+VLOOKUP(A287,'SELIC Hist'!$A:$C,3,0))^(1/252)</f>
        <v>2667074.571291036</v>
      </c>
      <c r="BB287" s="2">
        <f t="shared" si="44"/>
        <v>735584784.58411515</v>
      </c>
      <c r="BC287" s="2">
        <v>0</v>
      </c>
      <c r="BD287" s="2">
        <v>0</v>
      </c>
      <c r="BE287" s="2">
        <f t="shared" si="53"/>
        <v>5846.485942363739</v>
      </c>
      <c r="BF287" s="2">
        <f t="shared" si="46"/>
        <v>1207160.9797077179</v>
      </c>
      <c r="BG287" s="2">
        <f t="shared" si="47"/>
        <v>42667461.766795643</v>
      </c>
      <c r="BH287" s="11">
        <f t="shared" si="48"/>
        <v>1.109165441442546</v>
      </c>
      <c r="BI287" s="12">
        <f t="shared" si="49"/>
        <v>7.948142122460311E-6</v>
      </c>
      <c r="BJ287" s="12">
        <f t="shared" si="50"/>
        <v>1.643787801952401E-3</v>
      </c>
      <c r="BK287" s="12">
        <f t="shared" si="51"/>
        <v>5.9343694213222387E-2</v>
      </c>
      <c r="BL287" s="5">
        <f t="shared" si="52"/>
        <v>0.10916544144254603</v>
      </c>
      <c r="BM287" s="19">
        <f t="shared" si="43"/>
        <v>4.7174239094041059E-2</v>
      </c>
      <c r="BN287" s="19">
        <f t="shared" si="42"/>
        <v>9.8172789254920678E-2</v>
      </c>
      <c r="BO287" s="19" t="s">
        <v>53</v>
      </c>
    </row>
    <row r="288" spans="1:67" x14ac:dyDescent="0.25">
      <c r="A288" s="1">
        <v>45517</v>
      </c>
      <c r="B288" s="1" t="str">
        <f t="shared" si="45"/>
        <v>202408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f>I287*(1+((1+VLOOKUP($B288,'IPCA Hist'!$B:$C,2,0))^12 - 1)+$I$2)^(1/252)</f>
        <v>211505522.88234887</v>
      </c>
      <c r="J288" s="2">
        <f>J287*(1+((1+VLOOKUP($B288,'IPCA Hist'!$B:$C,2,0))^12 - 1)+$J$2)^(1/252)</f>
        <v>134558711.30249736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f>Q287*(1+((1+VLOOKUP($B288,'IPCA Hist'!$B:$C,2,0))^12 - 1)+$Q$2)^(1/252)</f>
        <v>45594498.47262235</v>
      </c>
      <c r="R288" s="2">
        <f>R287*(1+((1+VLOOKUP($B288,'IPCA Hist'!$B:$C,2,0))^12 - 1)+$R$2)^(1/252)</f>
        <v>45579054.226946458</v>
      </c>
      <c r="S288" s="2">
        <f>S287*(1+((1+VLOOKUP($B288,'IPCA Hist'!$B:$C,2,0))^12 - 1)+$S$2)^(1/252)</f>
        <v>46611900.044783533</v>
      </c>
      <c r="T288" s="2">
        <f>T287*(1+((1+VLOOKUP($B288,'IPCA Hist'!$B:$C,2,0))^12 - 1)+$T$2)^(1/252)</f>
        <v>235424395.88080671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f>AF287*(1+((1+VLOOKUP($B288,'IGPM Hist'!$B:$C,2,0))^12 - 1)+$AF$2)^(1/252)</f>
        <v>1619240.6887128209</v>
      </c>
      <c r="AG288" s="2">
        <f>350000*VLOOKUP(A288,'CVRDA6 Hist'!$A:$B,2,0)</f>
        <v>12445122.899999999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f>BA287*(1+VLOOKUP(A288,'SELIC Hist'!$A:$C,3,0))^(1/252)</f>
        <v>2668121.9206083445</v>
      </c>
      <c r="BB288" s="2">
        <f t="shared" si="44"/>
        <v>736006568.31932652</v>
      </c>
      <c r="BC288" s="2">
        <v>0</v>
      </c>
      <c r="BD288" s="2">
        <v>0</v>
      </c>
      <c r="BE288" s="2">
        <f t="shared" si="53"/>
        <v>421783.73521137238</v>
      </c>
      <c r="BF288" s="2">
        <f t="shared" si="46"/>
        <v>1628944.7149190903</v>
      </c>
      <c r="BG288" s="2">
        <f t="shared" si="47"/>
        <v>43089245.502007015</v>
      </c>
      <c r="BH288" s="11">
        <f t="shared" si="48"/>
        <v>1.1098014360316995</v>
      </c>
      <c r="BI288" s="12">
        <f t="shared" si="49"/>
        <v>5.7339921114585302E-4</v>
      </c>
      <c r="BJ288" s="12">
        <f t="shared" si="50"/>
        <v>2.2181295597272221E-3</v>
      </c>
      <c r="BK288" s="12">
        <f t="shared" si="51"/>
        <v>5.9951121051816658E-2</v>
      </c>
      <c r="BL288" s="5">
        <f t="shared" si="52"/>
        <v>0.10980143603169945</v>
      </c>
      <c r="BM288" s="19">
        <f t="shared" si="43"/>
        <v>4.7073714875893735E-2</v>
      </c>
      <c r="BN288" s="19">
        <f t="shared" si="42"/>
        <v>9.8438583543911884E-2</v>
      </c>
      <c r="BO288" s="19" t="s">
        <v>53</v>
      </c>
    </row>
    <row r="289" spans="1:67" x14ac:dyDescent="0.25">
      <c r="A289" s="1">
        <v>45518</v>
      </c>
      <c r="B289" s="1" t="str">
        <f t="shared" si="45"/>
        <v>202408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f>I288*(1+((1+VLOOKUP($B289,'IPCA Hist'!$B:$C,2,0))^12 - 1)+$I$2)^(1/252)</f>
        <v>211549981.40135872</v>
      </c>
      <c r="J289" s="2">
        <f>J288*(1+((1+VLOOKUP($B289,'IPCA Hist'!$B:$C,2,0))^12 - 1)+$J$2)^(1/252)</f>
        <v>134584507.84996337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f>Q288*(1+((1+VLOOKUP($B289,'IPCA Hist'!$B:$C,2,0))^12 - 1)+$Q$2)^(1/252)</f>
        <v>45603205.00502909</v>
      </c>
      <c r="R289" s="2">
        <f>R288*(1+((1+VLOOKUP($B289,'IPCA Hist'!$B:$C,2,0))^12 - 1)+$R$2)^(1/252)</f>
        <v>45587775.049915195</v>
      </c>
      <c r="S289" s="2">
        <f>S288*(1+((1+VLOOKUP($B289,'IPCA Hist'!$B:$C,2,0))^12 - 1)+$S$2)^(1/252)</f>
        <v>46620606.811053574</v>
      </c>
      <c r="T289" s="2">
        <f>T288*(1+((1+VLOOKUP($B289,'IPCA Hist'!$B:$C,2,0))^12 - 1)+$T$2)^(1/252)</f>
        <v>235468282.30959225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f>AF288*(1+((1+VLOOKUP($B289,'IGPM Hist'!$B:$C,2,0))^12 - 1)+$AF$2)^(1/252)</f>
        <v>1619837.2512972604</v>
      </c>
      <c r="AG289" s="2">
        <f>350000*VLOOKUP(A289,'CVRDA6 Hist'!$A:$B,2,0)</f>
        <v>12473995.800000001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f>BA288*(1+VLOOKUP(A289,'SELIC Hist'!$A:$C,3,0))^(1/252)</f>
        <v>2669169.6812154623</v>
      </c>
      <c r="BB289" s="2">
        <f t="shared" si="44"/>
        <v>736177361.15942478</v>
      </c>
      <c r="BC289" s="2">
        <v>0</v>
      </c>
      <c r="BD289" s="2">
        <v>0</v>
      </c>
      <c r="BE289" s="2">
        <f t="shared" si="53"/>
        <v>170792.84009826183</v>
      </c>
      <c r="BF289" s="2">
        <f t="shared" si="46"/>
        <v>1799737.5550173521</v>
      </c>
      <c r="BG289" s="2">
        <f t="shared" si="47"/>
        <v>43260038.342105277</v>
      </c>
      <c r="BH289" s="11">
        <f t="shared" si="48"/>
        <v>1.1100589692486078</v>
      </c>
      <c r="BI289" s="12">
        <f t="shared" si="49"/>
        <v>2.3205341833865134E-4</v>
      </c>
      <c r="BJ289" s="12">
        <f t="shared" si="50"/>
        <v>2.4506977026126364E-3</v>
      </c>
      <c r="BK289" s="12">
        <f t="shared" si="51"/>
        <v>6.0197086332728578E-2</v>
      </c>
      <c r="BL289" s="5">
        <f t="shared" si="52"/>
        <v>0.11005896924860781</v>
      </c>
      <c r="BM289" s="19">
        <f t="shared" si="43"/>
        <v>4.6910925619137345E-2</v>
      </c>
      <c r="BN289" s="19">
        <f t="shared" si="42"/>
        <v>9.8329617337562292E-2</v>
      </c>
      <c r="BO289" s="19" t="s">
        <v>53</v>
      </c>
    </row>
    <row r="290" spans="1:67" s="17" customFormat="1" x14ac:dyDescent="0.25">
      <c r="A290" s="13">
        <v>45519</v>
      </c>
      <c r="B290" s="13" t="str">
        <f t="shared" si="45"/>
        <v>202408</v>
      </c>
      <c r="C290" s="14">
        <v>0</v>
      </c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f>I289*(1+((1+VLOOKUP($B290,'IPCA Hist'!$B:$C,2,0))^12 - 1)+$I$2)^(1/252) - 5977626.06580003</f>
        <v>205616823.19976145</v>
      </c>
      <c r="J290" s="14">
        <f>J289*(1+((1+VLOOKUP($B290,'IPCA Hist'!$B:$C,2,0))^12 - 1)+$J$2)^(1/252) - 3775342.77840002</f>
        <v>130834966.5645424</v>
      </c>
      <c r="K290" s="14">
        <v>0</v>
      </c>
      <c r="L290" s="14">
        <v>0</v>
      </c>
      <c r="M290" s="2">
        <v>0</v>
      </c>
      <c r="N290" s="14">
        <v>0</v>
      </c>
      <c r="O290" s="14">
        <v>0</v>
      </c>
      <c r="P290" s="14">
        <v>0</v>
      </c>
      <c r="Q290" s="14">
        <f>Q289*(1+((1+VLOOKUP($B290,'IPCA Hist'!$B:$C,2,0))^12 - 1)+$Q$2)^(1/252) - 1258429.59647491</f>
        <v>44353483.603523493</v>
      </c>
      <c r="R290" s="14">
        <f>R289*(1+((1+VLOOKUP($B290,'IPCA Hist'!$B:$C,2,0))^12 - 1)+$R$2)^(1/252) - 1258429.59647491</f>
        <v>44338067.944999002</v>
      </c>
      <c r="S290" s="14">
        <f>S289*(1+((1+VLOOKUP($B290,'IPCA Hist'!$B:$C,2,0))^12 - 1)+$S$2)^(1/252) - 1283598.1884044</f>
        <v>45345717.015280277</v>
      </c>
      <c r="T290" s="14">
        <f>T289*(1+((1+VLOOKUP($B290,'IPCA Hist'!$B:$C,2,0))^12 - 1)+$T$2)^(1/252) - 6480912.42184577</f>
        <v>229031264.49758148</v>
      </c>
      <c r="U290" s="14">
        <v>0</v>
      </c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14">
        <v>0</v>
      </c>
      <c r="AC290" s="2">
        <v>0</v>
      </c>
      <c r="AD290" s="2">
        <v>0</v>
      </c>
      <c r="AE290" s="14">
        <v>0</v>
      </c>
      <c r="AF290" s="14">
        <f>AF289*(1+((1+VLOOKUP($B290,'IGPM Hist'!$B:$C,2,0))^12 - 1)+$AF$2)^(1/252)</f>
        <v>1620434.0336679982</v>
      </c>
      <c r="AG290" s="14">
        <f>350000*VLOOKUP(A290,'CVRDA6 Hist'!$A:$B,2,0)</f>
        <v>12357567.949999999</v>
      </c>
      <c r="AH290" s="14">
        <v>0</v>
      </c>
      <c r="AI290" s="14">
        <v>0</v>
      </c>
      <c r="AJ290" s="14">
        <v>0</v>
      </c>
      <c r="AK290" s="14">
        <v>0</v>
      </c>
      <c r="AL290" s="14">
        <v>0</v>
      </c>
      <c r="AM290" s="14">
        <v>0</v>
      </c>
      <c r="AN290" s="14">
        <v>0</v>
      </c>
      <c r="AO290" s="14">
        <v>0</v>
      </c>
      <c r="AP290" s="2">
        <v>0</v>
      </c>
      <c r="AQ290" s="2">
        <v>0</v>
      </c>
      <c r="AR290" s="2">
        <v>0</v>
      </c>
      <c r="AS290" s="14">
        <v>0</v>
      </c>
      <c r="AT290" s="14">
        <v>0</v>
      </c>
      <c r="AU290" s="2">
        <v>0</v>
      </c>
      <c r="AV290" s="14">
        <v>0</v>
      </c>
      <c r="AW290" s="14">
        <v>0</v>
      </c>
      <c r="AX290" s="2">
        <v>0</v>
      </c>
      <c r="AY290" s="2">
        <v>0</v>
      </c>
      <c r="AZ290" s="14">
        <v>0</v>
      </c>
      <c r="BA290" s="14">
        <f>BA289*(1+VLOOKUP(A290,'SELIC Hist'!$A:$C,3,0))^(1/252) + 20034338.6474</f>
        <v>22704556.500673901</v>
      </c>
      <c r="BB290" s="14">
        <f t="shared" si="44"/>
        <v>736202881.3100301</v>
      </c>
      <c r="BC290" s="14">
        <v>0</v>
      </c>
      <c r="BD290" s="14">
        <v>0</v>
      </c>
      <c r="BE290" s="2">
        <f t="shared" si="53"/>
        <v>25520.15060532093</v>
      </c>
      <c r="BF290" s="2">
        <f t="shared" si="46"/>
        <v>1825257.705622673</v>
      </c>
      <c r="BG290" s="2">
        <f t="shared" si="47"/>
        <v>43285558.492710598</v>
      </c>
      <c r="BH290" s="15">
        <f t="shared" si="48"/>
        <v>1.1100974502907732</v>
      </c>
      <c r="BI290" s="16">
        <f t="shared" si="49"/>
        <v>3.4665763920083137E-5</v>
      </c>
      <c r="BJ290" s="16">
        <f t="shared" si="50"/>
        <v>2.4854484218406192E-3</v>
      </c>
      <c r="BK290" s="16">
        <f t="shared" si="51"/>
        <v>6.0233838874632184E-2</v>
      </c>
      <c r="BL290" s="5">
        <f t="shared" si="52"/>
        <v>0.11009745029077322</v>
      </c>
      <c r="BM290" s="19">
        <f t="shared" si="43"/>
        <v>4.6391800853642584E-2</v>
      </c>
      <c r="BN290" s="19">
        <f t="shared" si="42"/>
        <v>9.8003935421529409E-2</v>
      </c>
      <c r="BO290" s="19" t="s">
        <v>53</v>
      </c>
    </row>
    <row r="291" spans="1:67" x14ac:dyDescent="0.25">
      <c r="A291" s="1">
        <v>45520</v>
      </c>
      <c r="B291" s="1" t="str">
        <f t="shared" si="45"/>
        <v>202408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f>I290*(1+((1+VLOOKUP($B291,'IPCA Hist'!$B:$C,2,0))^12 - 1)+$I$2)^(1/252)</f>
        <v>205660043.91248044</v>
      </c>
      <c r="J291" s="2">
        <f>J290*(1+((1+VLOOKUP($B291,'IPCA Hist'!$B:$C,2,0))^12 - 1)+$J$2)^(1/252)</f>
        <v>130860049.22468774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f>Q290*(1+((1+VLOOKUP($B291,'IPCA Hist'!$B:$C,2,0))^12 - 1)+$Q$2)^(1/252)</f>
        <v>44361953.15698459</v>
      </c>
      <c r="R291" s="2">
        <f>R290*(1+((1+VLOOKUP($B291,'IPCA Hist'!$B:$C,2,0))^12 - 1)+$R$2)^(1/252)</f>
        <v>44346551.325092822</v>
      </c>
      <c r="S291" s="2">
        <f>S290*(1+((1+VLOOKUP($B291,'IPCA Hist'!$B:$C,2,0))^12 - 1)+$S$2)^(1/252)</f>
        <v>45354187.267705522</v>
      </c>
      <c r="T291" s="2">
        <f>T290*(1+((1+VLOOKUP($B291,'IPCA Hist'!$B:$C,2,0))^12 - 1)+$T$2)^(1/252)</f>
        <v>229073959.15648216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f>AF290*(1+((1+VLOOKUP($B291,'IGPM Hist'!$B:$C,2,0))^12 - 1)+$AF$2)^(1/252)</f>
        <v>1621031.0359060082</v>
      </c>
      <c r="AG291" s="2">
        <f>350000*VLOOKUP(A291,'CVRDA6 Hist'!$A:$B,2,0)</f>
        <v>12004999.999999998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f>BA290*(1+VLOOKUP(A291,'SELIC Hist'!$A:$C,3,0))^(1/252)</f>
        <v>22713472.487503342</v>
      </c>
      <c r="BB291" s="2">
        <f t="shared" si="44"/>
        <v>735996247.56684244</v>
      </c>
      <c r="BC291" s="2">
        <v>0</v>
      </c>
      <c r="BD291" s="2">
        <v>0</v>
      </c>
      <c r="BE291" s="2">
        <f t="shared" si="53"/>
        <v>-206633.74318766594</v>
      </c>
      <c r="BF291" s="2">
        <f t="shared" si="46"/>
        <v>1618623.9624350071</v>
      </c>
      <c r="BG291" s="2">
        <f t="shared" si="47"/>
        <v>43078924.749522932</v>
      </c>
      <c r="BH291" s="11">
        <f t="shared" si="48"/>
        <v>1.1097858736897031</v>
      </c>
      <c r="BI291" s="12">
        <f t="shared" si="49"/>
        <v>-2.8067499928818851E-4</v>
      </c>
      <c r="BJ291" s="12">
        <f t="shared" si="50"/>
        <v>2.204075819318474E-3</v>
      </c>
      <c r="BK291" s="12">
        <f t="shared" si="51"/>
        <v>5.9936257742660759E-2</v>
      </c>
      <c r="BL291" s="5">
        <f t="shared" si="52"/>
        <v>0.10978587368970305</v>
      </c>
      <c r="BM291" s="19">
        <f t="shared" si="43"/>
        <v>4.5433561663886124E-2</v>
      </c>
      <c r="BN291" s="19">
        <f t="shared" si="42"/>
        <v>9.7332217738817839E-2</v>
      </c>
      <c r="BO291" s="19" t="s">
        <v>53</v>
      </c>
    </row>
    <row r="292" spans="1:67" x14ac:dyDescent="0.25">
      <c r="A292" s="1">
        <v>45523</v>
      </c>
      <c r="B292" s="1" t="str">
        <f t="shared" si="45"/>
        <v>202408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f>I291*(1+((1+VLOOKUP($B292,'IPCA Hist'!$B:$C,2,0))^12 - 1)+$I$2)^(1/252)</f>
        <v>205703273.71020511</v>
      </c>
      <c r="J292" s="2">
        <f>J291*(1+((1+VLOOKUP($B292,'IPCA Hist'!$B:$C,2,0))^12 - 1)+$J$2)^(1/252)</f>
        <v>130885136.69348522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f>Q291*(1+((1+VLOOKUP($B292,'IPCA Hist'!$B:$C,2,0))^12 - 1)+$Q$2)^(1/252)</f>
        <v>44370424.327755764</v>
      </c>
      <c r="R292" s="2">
        <f>R291*(1+((1+VLOOKUP($B292,'IPCA Hist'!$B:$C,2,0))^12 - 1)+$R$2)^(1/252)</f>
        <v>44355036.328345731</v>
      </c>
      <c r="S292" s="2">
        <f>S291*(1+((1+VLOOKUP($B292,'IPCA Hist'!$B:$C,2,0))^12 - 1)+$S$2)^(1/252)</f>
        <v>45362659.102312744</v>
      </c>
      <c r="T292" s="2">
        <f>T291*(1+((1+VLOOKUP($B292,'IPCA Hist'!$B:$C,2,0))^12 - 1)+$T$2)^(1/252)</f>
        <v>229116661.77426961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f>AF291*(1+((1+VLOOKUP($B292,'IGPM Hist'!$B:$C,2,0))^12 - 1)+$AF$2)^(1/252)</f>
        <v>1621628.2580922944</v>
      </c>
      <c r="AG292" s="2">
        <f>350000*VLOOKUP(A292,'CVRDA6 Hist'!$A:$B,2,0)</f>
        <v>12080062.399999999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f>BA291*(1+VLOOKUP(A292,'SELIC Hist'!$A:$C,3,0))^(1/252)</f>
        <v>22722391.975604486</v>
      </c>
      <c r="BB292" s="2">
        <f t="shared" si="44"/>
        <v>736217274.57007098</v>
      </c>
      <c r="BC292" s="2">
        <v>0</v>
      </c>
      <c r="BD292" s="2">
        <v>0</v>
      </c>
      <c r="BE292" s="2">
        <f t="shared" si="53"/>
        <v>221027.00322854519</v>
      </c>
      <c r="BF292" s="2">
        <f t="shared" si="46"/>
        <v>1839650.9656635523</v>
      </c>
      <c r="BG292" s="2">
        <f t="shared" si="47"/>
        <v>43299951.752751477</v>
      </c>
      <c r="BH292" s="11">
        <f t="shared" si="48"/>
        <v>1.1101191534403783</v>
      </c>
      <c r="BI292" s="12">
        <f t="shared" si="49"/>
        <v>3.0030995940433236E-4</v>
      </c>
      <c r="BJ292" s="12">
        <f t="shared" si="50"/>
        <v>2.5050476846426584E-3</v>
      </c>
      <c r="BK292" s="12">
        <f t="shared" si="51"/>
        <v>6.0254567157194572E-2</v>
      </c>
      <c r="BL292" s="5">
        <f t="shared" si="52"/>
        <v>0.11011915344037826</v>
      </c>
      <c r="BM292" s="19">
        <f t="shared" si="43"/>
        <v>4.4757557997581854E-2</v>
      </c>
      <c r="BN292" s="19">
        <f t="shared" si="42"/>
        <v>9.7294640371900831E-2</v>
      </c>
      <c r="BO292" s="19" t="s">
        <v>53</v>
      </c>
    </row>
    <row r="293" spans="1:67" x14ac:dyDescent="0.25">
      <c r="A293" s="1">
        <v>45524</v>
      </c>
      <c r="B293" s="1" t="str">
        <f t="shared" si="45"/>
        <v>202408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f>I292*(1+((1+VLOOKUP($B293,'IPCA Hist'!$B:$C,2,0))^12 - 1)+$I$2)^(1/252)</f>
        <v>205746512.59484512</v>
      </c>
      <c r="J293" s="2">
        <f>J292*(1+((1+VLOOKUP($B293,'IPCA Hist'!$B:$C,2,0))^12 - 1)+$J$2)^(1/252)</f>
        <v>130910228.97185668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f>Q292*(1+((1+VLOOKUP($B293,'IPCA Hist'!$B:$C,2,0))^12 - 1)+$Q$2)^(1/252)</f>
        <v>44378897.116145842</v>
      </c>
      <c r="R293" s="2">
        <f>R292*(1+((1+VLOOKUP($B293,'IPCA Hist'!$B:$C,2,0))^12 - 1)+$R$2)^(1/252)</f>
        <v>44363522.95506829</v>
      </c>
      <c r="S293" s="2">
        <f>S292*(1+((1+VLOOKUP($B293,'IPCA Hist'!$B:$C,2,0))^12 - 1)+$S$2)^(1/252)</f>
        <v>45371132.519397475</v>
      </c>
      <c r="T293" s="2">
        <f>T292*(1+((1+VLOOKUP($B293,'IPCA Hist'!$B:$C,2,0))^12 - 1)+$T$2)^(1/252)</f>
        <v>229159372.35242745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f>AF292*(1+((1+VLOOKUP($B293,'IGPM Hist'!$B:$C,2,0))^12 - 1)+$AF$2)^(1/252)</f>
        <v>1622225.7003078903</v>
      </c>
      <c r="AG293" s="2">
        <f>350000*VLOOKUP(A293,'CVRDA6 Hist'!$A:$B,2,0)</f>
        <v>12067695.5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f>BA292*(1+VLOOKUP(A293,'SELIC Hist'!$A:$C,3,0))^(1/252)</f>
        <v>22731314.966352262</v>
      </c>
      <c r="BB293" s="2">
        <f t="shared" si="44"/>
        <v>736350902.6764009</v>
      </c>
      <c r="BC293" s="2">
        <v>0</v>
      </c>
      <c r="BD293" s="2">
        <v>0</v>
      </c>
      <c r="BE293" s="2">
        <f t="shared" si="53"/>
        <v>133628.10632991791</v>
      </c>
      <c r="BF293" s="2">
        <f t="shared" si="46"/>
        <v>1973279.0719934702</v>
      </c>
      <c r="BG293" s="2">
        <f t="shared" si="47"/>
        <v>43433579.859081395</v>
      </c>
      <c r="BH293" s="11">
        <f t="shared" si="48"/>
        <v>1.1103206471099767</v>
      </c>
      <c r="BI293" s="12">
        <f t="shared" si="49"/>
        <v>1.8150634458824477E-4</v>
      </c>
      <c r="BJ293" s="12">
        <f t="shared" si="50"/>
        <v>2.6870087112791374E-3</v>
      </c>
      <c r="BK293" s="12">
        <f t="shared" si="51"/>
        <v>6.0447010088012343E-2</v>
      </c>
      <c r="BL293" s="5">
        <f t="shared" si="52"/>
        <v>0.11032064710997669</v>
      </c>
      <c r="BM293" s="19">
        <f t="shared" si="43"/>
        <v>4.4705988759909721E-2</v>
      </c>
      <c r="BN293" s="19">
        <f t="shared" si="42"/>
        <v>9.7126743205313337E-2</v>
      </c>
      <c r="BO293" s="19" t="s">
        <v>53</v>
      </c>
    </row>
    <row r="294" spans="1:67" x14ac:dyDescent="0.25">
      <c r="A294" s="1">
        <v>45525</v>
      </c>
      <c r="B294" s="1" t="str">
        <f t="shared" si="45"/>
        <v>202408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f>I293*(1+((1+VLOOKUP($B294,'IPCA Hist'!$B:$C,2,0))^12 - 1)+$I$2)^(1/252)</f>
        <v>205789760.56831056</v>
      </c>
      <c r="J294" s="2">
        <f>J293*(1+((1+VLOOKUP($B294,'IPCA Hist'!$B:$C,2,0))^12 - 1)+$J$2)^(1/252)</f>
        <v>130935326.06072421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f>Q293*(1+((1+VLOOKUP($B294,'IPCA Hist'!$B:$C,2,0))^12 - 1)+$Q$2)^(1/252)</f>
        <v>44387371.522463724</v>
      </c>
      <c r="R294" s="2">
        <f>R293*(1+((1+VLOOKUP($B294,'IPCA Hist'!$B:$C,2,0))^12 - 1)+$R$2)^(1/252)</f>
        <v>44372011.205571122</v>
      </c>
      <c r="S294" s="2">
        <f>S293*(1+((1+VLOOKUP($B294,'IPCA Hist'!$B:$C,2,0))^12 - 1)+$S$2)^(1/252)</f>
        <v>45379607.519255318</v>
      </c>
      <c r="T294" s="2">
        <f>T293*(1+((1+VLOOKUP($B294,'IPCA Hist'!$B:$C,2,0))^12 - 1)+$T$2)^(1/252)</f>
        <v>229202090.89243963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f>AF293*(1+((1+VLOOKUP($B294,'IGPM Hist'!$B:$C,2,0))^12 - 1)+$AF$2)^(1/252)</f>
        <v>1622823.3626338593</v>
      </c>
      <c r="AG294" s="2">
        <f>350000*VLOOKUP(A294,'CVRDA6 Hist'!$A:$B,2,0)</f>
        <v>12065043.550000001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f>BA293*(1+VLOOKUP(A294,'SELIC Hist'!$A:$C,3,0))^(1/252) - 20000000</f>
        <v>2740241.4611221477</v>
      </c>
      <c r="BB294" s="2">
        <f t="shared" si="44"/>
        <v>716494276.14252055</v>
      </c>
      <c r="BC294" s="2">
        <v>0</v>
      </c>
      <c r="BD294" s="2">
        <v>20000000</v>
      </c>
      <c r="BE294" s="2">
        <f t="shared" si="53"/>
        <v>143373.46611964703</v>
      </c>
      <c r="BF294" s="2">
        <f t="shared" si="46"/>
        <v>2116652.5381131172</v>
      </c>
      <c r="BG294" s="2">
        <f t="shared" si="47"/>
        <v>43576953.325201042</v>
      </c>
      <c r="BH294" s="11">
        <f t="shared" si="48"/>
        <v>1.1105368355048055</v>
      </c>
      <c r="BI294" s="12">
        <f t="shared" si="49"/>
        <v>1.9470807409693869E-4</v>
      </c>
      <c r="BJ294" s="12">
        <f t="shared" si="50"/>
        <v>2.8822399676673438E-3</v>
      </c>
      <c r="BK294" s="12">
        <f t="shared" si="51"/>
        <v>6.0653487683028473E-2</v>
      </c>
      <c r="BL294" s="5">
        <f t="shared" si="52"/>
        <v>0.11053683550480553</v>
      </c>
      <c r="BM294" s="19">
        <f t="shared" si="43"/>
        <v>4.4566707535665939E-2</v>
      </c>
      <c r="BN294" s="19">
        <f t="shared" si="42"/>
        <v>9.4897184312431548E-2</v>
      </c>
      <c r="BO294" s="19" t="s">
        <v>53</v>
      </c>
    </row>
    <row r="295" spans="1:67" x14ac:dyDescent="0.25">
      <c r="A295" s="1">
        <v>45526</v>
      </c>
      <c r="B295" s="1" t="str">
        <f t="shared" si="45"/>
        <v>202408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f>I294*(1+((1+VLOOKUP($B295,'IPCA Hist'!$B:$C,2,0))^12 - 1)+$I$2)^(1/252)</f>
        <v>205833017.63251191</v>
      </c>
      <c r="J295" s="2">
        <f>J294*(1+((1+VLOOKUP($B295,'IPCA Hist'!$B:$C,2,0))^12 - 1)+$J$2)^(1/252)</f>
        <v>130960427.96101002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f>Q294*(1+((1+VLOOKUP($B295,'IPCA Hist'!$B:$C,2,0))^12 - 1)+$Q$2)^(1/252)</f>
        <v>44395847.547018364</v>
      </c>
      <c r="R295" s="2">
        <f>R294*(1+((1+VLOOKUP($B295,'IPCA Hist'!$B:$C,2,0))^12 - 1)+$R$2)^(1/252)</f>
        <v>44380501.080164917</v>
      </c>
      <c r="S295" s="2">
        <f>S294*(1+((1+VLOOKUP($B295,'IPCA Hist'!$B:$C,2,0))^12 - 1)+$S$2)^(1/252)</f>
        <v>45388084.102181926</v>
      </c>
      <c r="T295" s="2">
        <f>T294*(1+((1+VLOOKUP($B295,'IPCA Hist'!$B:$C,2,0))^12 - 1)+$T$2)^(1/252)</f>
        <v>229244817.39579037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f>AF294*(1+((1+VLOOKUP($B295,'IGPM Hist'!$B:$C,2,0))^12 - 1)+$AF$2)^(1/252)</f>
        <v>1623421.2451512946</v>
      </c>
      <c r="AG295" s="2">
        <f>350000*VLOOKUP(A295,'CVRDA6 Hist'!$A:$B,2,0)</f>
        <v>12153372.700000001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f>BA294*(1+VLOOKUP(A295,'SELIC Hist'!$A:$C,3,0))^(1/252) + BC295</f>
        <v>43141317.542778976</v>
      </c>
      <c r="BB295" s="2">
        <f t="shared" si="44"/>
        <v>757120807.20660782</v>
      </c>
      <c r="BC295" s="2">
        <v>40400000</v>
      </c>
      <c r="BD295" s="2">
        <v>0</v>
      </c>
      <c r="BE295" s="2">
        <f t="shared" si="53"/>
        <v>226531.06408727169</v>
      </c>
      <c r="BF295" s="2">
        <f t="shared" si="46"/>
        <v>2343183.6022003889</v>
      </c>
      <c r="BG295" s="2">
        <f t="shared" si="47"/>
        <v>43803484.389288314</v>
      </c>
      <c r="BH295" s="11">
        <f t="shared" si="48"/>
        <v>1.1108879493928456</v>
      </c>
      <c r="BI295" s="12">
        <f t="shared" si="49"/>
        <v>3.1616590896832442E-4</v>
      </c>
      <c r="BJ295" s="12">
        <f t="shared" si="50"/>
        <v>3.1993171426549782E-3</v>
      </c>
      <c r="BK295" s="12">
        <f t="shared" si="51"/>
        <v>6.0988830157062246E-2</v>
      </c>
      <c r="BL295" s="5">
        <f t="shared" si="52"/>
        <v>0.11088794939284563</v>
      </c>
      <c r="BM295" s="19">
        <f t="shared" si="43"/>
        <v>4.4310577074029522E-2</v>
      </c>
      <c r="BN295" s="19">
        <f t="shared" si="42"/>
        <v>9.4901837277384438E-2</v>
      </c>
      <c r="BO295" s="19" t="s">
        <v>53</v>
      </c>
    </row>
    <row r="296" spans="1:67" x14ac:dyDescent="0.25">
      <c r="A296" s="1">
        <v>45527</v>
      </c>
      <c r="B296" s="1" t="str">
        <f t="shared" si="45"/>
        <v>202408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f>I295*(1+((1+VLOOKUP($B296,'IPCA Hist'!$B:$C,2,0))^12 - 1)+$I$2)^(1/252)</f>
        <v>205876283.78936005</v>
      </c>
      <c r="J296" s="2">
        <f>J295*(1+((1+VLOOKUP($B296,'IPCA Hist'!$B:$C,2,0))^12 - 1)+$J$2)^(1/252)</f>
        <v>130985534.67363653</v>
      </c>
      <c r="K296" s="2">
        <v>19767913.106164999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f>Q295*(1+((1+VLOOKUP($B296,'IPCA Hist'!$B:$C,2,0))^12 - 1)+$Q$2)^(1/252)</f>
        <v>44404325.190118767</v>
      </c>
      <c r="R296" s="2">
        <f>R295*(1+((1+VLOOKUP($B296,'IPCA Hist'!$B:$C,2,0))^12 - 1)+$R$2)^(1/252)</f>
        <v>44388992.579160415</v>
      </c>
      <c r="S296" s="2">
        <f>S295*(1+((1+VLOOKUP($B296,'IPCA Hist'!$B:$C,2,0))^12 - 1)+$S$2)^(1/252)</f>
        <v>45396562.268472999</v>
      </c>
      <c r="T296" s="2">
        <f>T295*(1+((1+VLOOKUP($B296,'IPCA Hist'!$B:$C,2,0))^12 - 1)+$T$2)^(1/252)</f>
        <v>229287551.86396411</v>
      </c>
      <c r="U296" s="2">
        <v>19997003.499770001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f>AF295*(1+((1+VLOOKUP($B296,'IGPM Hist'!$B:$C,2,0))^12 - 1)+$AF$2)^(1/252)</f>
        <v>1624019.3479413197</v>
      </c>
      <c r="AG296" s="2">
        <f>350000*VLOOKUP(A296,'CVRDA6 Hist'!$A:$B,2,0)</f>
        <v>12016238.5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f>BA295*(1+VLOOKUP(A296,'SELIC Hist'!$A:$C,3,0))^(1/252) - U296 - K296</f>
        <v>3393342.3564662784</v>
      </c>
      <c r="BB296" s="2">
        <f t="shared" si="44"/>
        <v>757137767.1750555</v>
      </c>
      <c r="BC296" s="2">
        <v>0</v>
      </c>
      <c r="BD296" s="2">
        <v>0</v>
      </c>
      <c r="BE296" s="2">
        <f t="shared" si="53"/>
        <v>16959.968447685242</v>
      </c>
      <c r="BF296" s="2">
        <f t="shared" si="46"/>
        <v>2360143.5706480742</v>
      </c>
      <c r="BG296" s="2">
        <f t="shared" si="47"/>
        <v>43820444.357735999</v>
      </c>
      <c r="BH296" s="11">
        <f t="shared" si="48"/>
        <v>1.1109128339613203</v>
      </c>
      <c r="BI296" s="12">
        <f t="shared" si="49"/>
        <v>2.2400610690143097E-5</v>
      </c>
      <c r="BJ296" s="12">
        <f t="shared" si="50"/>
        <v>3.2217894200028407E-3</v>
      </c>
      <c r="BK296" s="12">
        <f t="shared" si="51"/>
        <v>6.1012596954793219E-2</v>
      </c>
      <c r="BL296" s="5">
        <f t="shared" si="52"/>
        <v>0.11091283396132035</v>
      </c>
      <c r="BM296" s="19">
        <f t="shared" si="43"/>
        <v>4.3450114188631206E-2</v>
      </c>
      <c r="BN296" s="19">
        <f t="shared" si="42"/>
        <v>9.4584944451881814E-2</v>
      </c>
      <c r="BO296" s="19" t="s">
        <v>53</v>
      </c>
    </row>
    <row r="297" spans="1:67" x14ac:dyDescent="0.25">
      <c r="A297" s="1">
        <v>45530</v>
      </c>
      <c r="B297" s="1" t="str">
        <f t="shared" si="45"/>
        <v>202408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f>I296*(1+((1+VLOOKUP($B297,'IPCA Hist'!$B:$C,2,0))^12 - 1)+$I$2)^(1/252)</f>
        <v>205919559.04076624</v>
      </c>
      <c r="J297" s="2">
        <f>J296*(1+((1+VLOOKUP($B297,'IPCA Hist'!$B:$C,2,0))^12 - 1)+$J$2)^(1/252)</f>
        <v>131010646.19952631</v>
      </c>
      <c r="K297" s="2">
        <f>K296*(1+((1+VLOOKUP($B297,'IPCA Hist'!$B:$C,2,0))^12 - 1)+$K$2)^(1/252)</f>
        <v>19772794.220171906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f>Q296*(1+((1+VLOOKUP($B297,'IPCA Hist'!$B:$C,2,0))^12 - 1)+$Q$2)^(1/252)</f>
        <v>44412804.452074006</v>
      </c>
      <c r="R297" s="2">
        <f>R296*(1+((1+VLOOKUP($B297,'IPCA Hist'!$B:$C,2,0))^12 - 1)+$R$2)^(1/252)</f>
        <v>44397485.702868417</v>
      </c>
      <c r="S297" s="2">
        <f>S296*(1+((1+VLOOKUP($B297,'IPCA Hist'!$B:$C,2,0))^12 - 1)+$S$2)^(1/252)</f>
        <v>45405042.018424302</v>
      </c>
      <c r="T297" s="2">
        <f>T296*(1+((1+VLOOKUP($B297,'IPCA Hist'!$B:$C,2,0))^12 - 1)+$T$2)^(1/252)</f>
        <v>229330294.29844561</v>
      </c>
      <c r="U297" s="2">
        <f>U296*(1+((1+VLOOKUP($B297,'IPCA Hist'!$B:$C,2,0))^12 - 1)+$U$2)^(1/252)</f>
        <v>20001747.023746539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f>AF296*(1+((1+VLOOKUP($B297,'IGPM Hist'!$B:$C,2,0))^12 - 1)+$AF$2)^(1/252)</f>
        <v>1624617.6710850876</v>
      </c>
      <c r="AG297" s="2">
        <f>350000*VLOOKUP(A297,'CVRDA6 Hist'!$A:$B,2,0)</f>
        <v>11676410.200000001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f>BA296*(1+VLOOKUP(A297,'SELIC Hist'!$A:$C,3,0))^(1/252)</f>
        <v>3394674.9081836902</v>
      </c>
      <c r="BB297" s="2">
        <f t="shared" si="44"/>
        <v>756946075.73529208</v>
      </c>
      <c r="BC297" s="2">
        <v>0</v>
      </c>
      <c r="BD297" s="2">
        <v>0</v>
      </c>
      <c r="BE297" s="2">
        <f t="shared" si="53"/>
        <v>-191691.43976342678</v>
      </c>
      <c r="BF297" s="2">
        <f t="shared" si="46"/>
        <v>2168452.1308846474</v>
      </c>
      <c r="BG297" s="2">
        <f t="shared" si="47"/>
        <v>43628752.917972572</v>
      </c>
      <c r="BH297" s="11">
        <f t="shared" si="48"/>
        <v>1.1106315740772859</v>
      </c>
      <c r="BI297" s="12">
        <f t="shared" si="49"/>
        <v>-2.5317907529398553E-4</v>
      </c>
      <c r="BJ297" s="12">
        <f t="shared" si="50"/>
        <v>2.9677946550425993E-3</v>
      </c>
      <c r="BK297" s="12">
        <f t="shared" si="51"/>
        <v>6.0743970766620858E-2</v>
      </c>
      <c r="BL297" s="5">
        <f t="shared" si="52"/>
        <v>0.11063157407728585</v>
      </c>
      <c r="BM297" s="19">
        <f t="shared" si="43"/>
        <v>4.2793711627433506E-2</v>
      </c>
      <c r="BN297" s="19">
        <f t="shared" si="42"/>
        <v>9.3966590087991575E-2</v>
      </c>
      <c r="BO297" s="19" t="s">
        <v>53</v>
      </c>
    </row>
    <row r="298" spans="1:67" x14ac:dyDescent="0.25">
      <c r="A298" s="1">
        <v>45531</v>
      </c>
      <c r="B298" s="1" t="str">
        <f t="shared" si="45"/>
        <v>202408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f>I297*(1+((1+VLOOKUP($B298,'IPCA Hist'!$B:$C,2,0))^12 - 1)+$I$2)^(1/252)</f>
        <v>205962843.38864216</v>
      </c>
      <c r="J298" s="2">
        <f>J297*(1+((1+VLOOKUP($B298,'IPCA Hist'!$B:$C,2,0))^12 - 1)+$J$2)^(1/252)</f>
        <v>131035762.53960213</v>
      </c>
      <c r="K298" s="2">
        <f>K297*(1+((1+VLOOKUP($B298,'IPCA Hist'!$B:$C,2,0))^12 - 1)+$K$2)^(1/252)</f>
        <v>19777676.539428648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f>Q297*(1+((1+VLOOKUP($B298,'IPCA Hist'!$B:$C,2,0))^12 - 1)+$Q$2)^(1/252)</f>
        <v>44421285.333193213</v>
      </c>
      <c r="R298" s="2">
        <f>R297*(1+((1+VLOOKUP($B298,'IPCA Hist'!$B:$C,2,0))^12 - 1)+$R$2)^(1/252)</f>
        <v>44405980.451599792</v>
      </c>
      <c r="S298" s="2">
        <f>S297*(1+((1+VLOOKUP($B298,'IPCA Hist'!$B:$C,2,0))^12 - 1)+$S$2)^(1/252)</f>
        <v>45413523.352331653</v>
      </c>
      <c r="T298" s="2">
        <f>T297*(1+((1+VLOOKUP($B298,'IPCA Hist'!$B:$C,2,0))^12 - 1)+$T$2)^(1/252)</f>
        <v>229373044.70071992</v>
      </c>
      <c r="U298" s="2">
        <f>U297*(1+((1+VLOOKUP($B298,'IPCA Hist'!$B:$C,2,0))^12 - 1)+$U$2)^(1/252)</f>
        <v>20006491.67294265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f>AF297*(1+((1+VLOOKUP($B298,'IGPM Hist'!$B:$C,2,0))^12 - 1)+$AF$2)^(1/252)</f>
        <v>1625216.2146637812</v>
      </c>
      <c r="AG298" s="2">
        <f>350000*VLOOKUP(A298,'CVRDA6 Hist'!$A:$B,2,0)</f>
        <v>11468773.75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f>BA297*(1+VLOOKUP(A298,'SELIC Hist'!$A:$C,3,0))^(1/252)</f>
        <v>3396007.9831887316</v>
      </c>
      <c r="BB298" s="2">
        <f t="shared" si="44"/>
        <v>756886605.92631257</v>
      </c>
      <c r="BC298" s="2">
        <v>0</v>
      </c>
      <c r="BD298" s="2">
        <v>0</v>
      </c>
      <c r="BE298" s="2">
        <f t="shared" si="53"/>
        <v>-59469.808979511261</v>
      </c>
      <c r="BF298" s="2">
        <f t="shared" si="46"/>
        <v>2108982.3219051361</v>
      </c>
      <c r="BG298" s="2">
        <f t="shared" si="47"/>
        <v>43569283.108993061</v>
      </c>
      <c r="BH298" s="11">
        <f t="shared" si="48"/>
        <v>1.1105443168080109</v>
      </c>
      <c r="BI298" s="12">
        <f t="shared" si="49"/>
        <v>-7.8565449885936722E-5</v>
      </c>
      <c r="BJ298" s="12">
        <f t="shared" si="50"/>
        <v>2.8889960390343639E-3</v>
      </c>
      <c r="BK298" s="12">
        <f t="shared" si="51"/>
        <v>6.0660632939343762E-2</v>
      </c>
      <c r="BL298" s="5">
        <f t="shared" si="52"/>
        <v>0.11054431680801091</v>
      </c>
      <c r="BM298" s="19">
        <f t="shared" si="43"/>
        <v>4.2724374217961492E-2</v>
      </c>
      <c r="BN298" s="19">
        <f t="shared" si="42"/>
        <v>9.353954501498607E-2</v>
      </c>
      <c r="BO298" s="19" t="s">
        <v>53</v>
      </c>
    </row>
    <row r="299" spans="1:67" x14ac:dyDescent="0.25">
      <c r="A299" s="1">
        <v>45532</v>
      </c>
      <c r="B299" s="1" t="str">
        <f t="shared" si="45"/>
        <v>202408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f>I298*(1+((1+VLOOKUP($B299,'IPCA Hist'!$B:$C,2,0))^12 - 1)+$I$2)^(1/252)</f>
        <v>206006136.8348999</v>
      </c>
      <c r="J299" s="2">
        <f>J298*(1+((1+VLOOKUP($B299,'IPCA Hist'!$B:$C,2,0))^12 - 1)+$J$2)^(1/252)</f>
        <v>131060883.69478694</v>
      </c>
      <c r="K299" s="2">
        <f>K298*(1+((1+VLOOKUP($B299,'IPCA Hist'!$B:$C,2,0))^12 - 1)+$K$2)^(1/252)</f>
        <v>19782560.064232823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f>Q298*(1+((1+VLOOKUP($B299,'IPCA Hist'!$B:$C,2,0))^12 - 1)+$Q$2)^(1/252)</f>
        <v>44429767.833785571</v>
      </c>
      <c r="R299" s="2">
        <f>R298*(1+((1+VLOOKUP($B299,'IPCA Hist'!$B:$C,2,0))^12 - 1)+$R$2)^(1/252)</f>
        <v>44414476.825665459</v>
      </c>
      <c r="S299" s="2">
        <f>S298*(1+((1+VLOOKUP($B299,'IPCA Hist'!$B:$C,2,0))^12 - 1)+$S$2)^(1/252)</f>
        <v>45422006.270490922</v>
      </c>
      <c r="T299" s="2">
        <f>T298*(1+((1+VLOOKUP($B299,'IPCA Hist'!$B:$C,2,0))^12 - 1)+$T$2)^(1/252)</f>
        <v>229415803.07227233</v>
      </c>
      <c r="U299" s="2">
        <f>U298*(1+((1+VLOOKUP($B299,'IPCA Hist'!$B:$C,2,0))^12 - 1)+$U$2)^(1/252)</f>
        <v>20011237.44762525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f>AF298*(1+((1+VLOOKUP($B299,'IGPM Hist'!$B:$C,2,0))^12 - 1)+$AF$2)^(1/252)</f>
        <v>1625814.9787586136</v>
      </c>
      <c r="AG299" s="2">
        <f>350000*VLOOKUP(A299,'CVRDA6 Hist'!$A:$B,2,0)</f>
        <v>11781138.6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105467663.046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f>BA298*(1+VLOOKUP(A299,'SELIC Hist'!$A:$C,3,0))^(1/252) + 105000000-AS299</f>
        <v>2929678.5356868953</v>
      </c>
      <c r="BB299" s="2">
        <f t="shared" si="44"/>
        <v>862347167.20420468</v>
      </c>
      <c r="BC299" s="2">
        <v>105000000</v>
      </c>
      <c r="BD299" s="2">
        <v>0</v>
      </c>
      <c r="BE299" s="2">
        <f t="shared" si="53"/>
        <v>460561.27789211273</v>
      </c>
      <c r="BF299" s="2">
        <f t="shared" si="46"/>
        <v>2569543.5997972488</v>
      </c>
      <c r="BG299" s="2">
        <f t="shared" si="47"/>
        <v>44029844.386885174</v>
      </c>
      <c r="BH299" s="11">
        <f t="shared" si="48"/>
        <v>1.1112200768303182</v>
      </c>
      <c r="BI299" s="12">
        <f t="shared" si="49"/>
        <v>6.0849442213140037E-4</v>
      </c>
      <c r="BJ299" s="12">
        <f t="shared" si="50"/>
        <v>3.4992483991411749E-3</v>
      </c>
      <c r="BK299" s="12">
        <f t="shared" si="51"/>
        <v>6.1306039018261815E-2</v>
      </c>
      <c r="BL299" s="5">
        <f t="shared" si="52"/>
        <v>0.1112200768303182</v>
      </c>
      <c r="BM299" s="19">
        <f t="shared" si="43"/>
        <v>4.2168213490167306E-2</v>
      </c>
      <c r="BN299" s="19">
        <f t="shared" si="42"/>
        <v>9.386375756437304E-2</v>
      </c>
      <c r="BO299" s="19" t="s">
        <v>53</v>
      </c>
    </row>
    <row r="300" spans="1:67" x14ac:dyDescent="0.25">
      <c r="A300" s="1">
        <v>45533</v>
      </c>
      <c r="B300" s="1" t="str">
        <f t="shared" si="45"/>
        <v>202408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f>I299*(1+((1+VLOOKUP($B300,'IPCA Hist'!$B:$C,2,0))^12 - 1)+$I$2)^(1/252)</f>
        <v>206049439.38145193</v>
      </c>
      <c r="J300" s="2">
        <f>J299*(1+((1+VLOOKUP($B300,'IPCA Hist'!$B:$C,2,0))^12 - 1)+$J$2)^(1/252)</f>
        <v>131086009.66600384</v>
      </c>
      <c r="K300" s="2">
        <f>K299*(1+((1+VLOOKUP($B300,'IPCA Hist'!$B:$C,2,0))^12 - 1)+$K$2)^(1/252)</f>
        <v>19787444.794882104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f>Q299*(1+((1+VLOOKUP($B300,'IPCA Hist'!$B:$C,2,0))^12 - 1)+$Q$2)^(1/252)</f>
        <v>44438251.954160333</v>
      </c>
      <c r="R300" s="2">
        <f>R299*(1+((1+VLOOKUP($B300,'IPCA Hist'!$B:$C,2,0))^12 - 1)+$R$2)^(1/252)</f>
        <v>44422974.825376399</v>
      </c>
      <c r="S300" s="2">
        <f>S299*(1+((1+VLOOKUP($B300,'IPCA Hist'!$B:$C,2,0))^12 - 1)+$S$2)^(1/252)</f>
        <v>45430490.773198031</v>
      </c>
      <c r="T300" s="2">
        <f>T299*(1+((1+VLOOKUP($B300,'IPCA Hist'!$B:$C,2,0))^12 - 1)+$T$2)^(1/252)</f>
        <v>229458569.41458845</v>
      </c>
      <c r="U300" s="2">
        <f>U299*(1+((1+VLOOKUP($B300,'IPCA Hist'!$B:$C,2,0))^12 - 1)+$U$2)^(1/252)</f>
        <v>20015984.348061316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f>AF299*(1+((1+VLOOKUP($B300,'IGPM Hist'!$B:$C,2,0))^12 - 1)+$AF$2)^(1/252)</f>
        <v>1626413.9634508274</v>
      </c>
      <c r="AG300" s="2">
        <f>350000*VLOOKUP(A300,'CVRDA6 Hist'!$A:$B,2,0)</f>
        <v>11812625.299999999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f>AS299*(1+AS$2)^(1/252)</f>
        <v>105514651.71365355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f>BA299*(1+VLOOKUP(A300,'SELIC Hist'!$A:$C,3,0))^(1/252)</f>
        <v>2930829.0085110576</v>
      </c>
      <c r="BB300" s="2">
        <f t="shared" si="44"/>
        <v>862573685.14333785</v>
      </c>
      <c r="BC300" s="2">
        <v>0</v>
      </c>
      <c r="BD300" s="2">
        <v>0</v>
      </c>
      <c r="BE300" s="2">
        <f t="shared" si="53"/>
        <v>226517.93913316727</v>
      </c>
      <c r="BF300" s="2">
        <f t="shared" si="46"/>
        <v>2796061.5389304161</v>
      </c>
      <c r="BG300" s="2">
        <f t="shared" si="47"/>
        <v>44256362.326018341</v>
      </c>
      <c r="BH300" s="11">
        <f t="shared" si="48"/>
        <v>1.1115119677198577</v>
      </c>
      <c r="BI300" s="12">
        <f t="shared" si="49"/>
        <v>2.6267604017027324E-4</v>
      </c>
      <c r="BJ300" s="12">
        <f t="shared" si="50"/>
        <v>3.7628436080245908E-3</v>
      </c>
      <c r="BK300" s="12">
        <f t="shared" si="51"/>
        <v>6.1584818685999965E-2</v>
      </c>
      <c r="BL300" s="5">
        <f t="shared" si="52"/>
        <v>0.11151196771985772</v>
      </c>
      <c r="BM300" s="19">
        <f t="shared" si="43"/>
        <v>4.2468744426797489E-2</v>
      </c>
      <c r="BN300" s="19">
        <f t="shared" si="42"/>
        <v>9.3809904058451465E-2</v>
      </c>
      <c r="BO300" s="19" t="s">
        <v>53</v>
      </c>
    </row>
    <row r="301" spans="1:67" x14ac:dyDescent="0.25">
      <c r="A301" s="1">
        <v>45534</v>
      </c>
      <c r="B301" s="1" t="str">
        <f t="shared" si="45"/>
        <v>202408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f>I300*(1+((1+VLOOKUP($B301,'IPCA Hist'!$B:$C,2,0))^12 - 1)+$I$2)^(1/252)</f>
        <v>206092751.03021115</v>
      </c>
      <c r="J301" s="2">
        <f>J300*(1+((1+VLOOKUP($B301,'IPCA Hist'!$B:$C,2,0))^12 - 1)+$J$2)^(1/252)</f>
        <v>131111140.45417613</v>
      </c>
      <c r="K301" s="2">
        <f>K300*(1+((1+VLOOKUP($B301,'IPCA Hist'!$B:$C,2,0))^12 - 1)+$K$2)^(1/252)</f>
        <v>19792330.731674243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f>Q300*(1+((1+VLOOKUP($B301,'IPCA Hist'!$B:$C,2,0))^12 - 1)+$Q$2)^(1/252)</f>
        <v>44446737.694626808</v>
      </c>
      <c r="R301" s="2">
        <f>R300*(1+((1+VLOOKUP($B301,'IPCA Hist'!$B:$C,2,0))^12 - 1)+$R$2)^(1/252)</f>
        <v>44431474.451043658</v>
      </c>
      <c r="S301" s="2">
        <f>S300*(1+((1+VLOOKUP($B301,'IPCA Hist'!$B:$C,2,0))^12 - 1)+$S$2)^(1/252)</f>
        <v>45438976.860748969</v>
      </c>
      <c r="T301" s="2">
        <f>T300*(1+((1+VLOOKUP($B301,'IPCA Hist'!$B:$C,2,0))^12 - 1)+$T$2)^(1/252)</f>
        <v>229501343.72915414</v>
      </c>
      <c r="U301" s="2">
        <f>U300*(1+((1+VLOOKUP($B301,'IPCA Hist'!$B:$C,2,0))^12 - 1)+$U$2)^(1/252)</f>
        <v>20020732.374517888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f>AF300*(1+((1+VLOOKUP($B301,'IGPM Hist'!$B:$C,2,0))^12 - 1)+$AF$2)^(1/252)</f>
        <v>1627013.1688216953</v>
      </c>
      <c r="AG301" s="2">
        <f>350000*VLOOKUP(A301,'CVRDA6 Hist'!$A:$B,2,0)</f>
        <v>11829740.300000001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f t="shared" ref="AS301:AS364" si="54">AS300*(1+AS$2)^(1/252)</f>
        <v>105561661.3160166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f>BA300*(1+VLOOKUP(A301,'SELIC Hist'!$A:$C,3,0))^(1/252)</f>
        <v>2931979.9331212104</v>
      </c>
      <c r="BB301" s="2">
        <f t="shared" si="44"/>
        <v>862785882.04411244</v>
      </c>
      <c r="BC301" s="2">
        <v>0</v>
      </c>
      <c r="BD301" s="2">
        <v>0</v>
      </c>
      <c r="BE301" s="2">
        <f t="shared" si="53"/>
        <v>212196.90077459812</v>
      </c>
      <c r="BF301" s="2">
        <f t="shared" si="46"/>
        <v>3008258.4397050142</v>
      </c>
      <c r="BG301" s="2">
        <f t="shared" si="47"/>
        <v>44468559.226792939</v>
      </c>
      <c r="BH301" s="11">
        <f t="shared" si="48"/>
        <v>1.1117854045273867</v>
      </c>
      <c r="BI301" s="12">
        <f t="shared" si="49"/>
        <v>2.4600437554433974E-4</v>
      </c>
      <c r="BJ301" s="12">
        <f t="shared" si="50"/>
        <v>4.0097736595610112E-3</v>
      </c>
      <c r="BK301" s="12">
        <f t="shared" si="51"/>
        <v>6.1845973196408055E-2</v>
      </c>
      <c r="BL301" s="5">
        <f t="shared" si="52"/>
        <v>0.11178540452738672</v>
      </c>
      <c r="BM301" s="19">
        <f t="shared" si="43"/>
        <v>4.3173564248629281E-2</v>
      </c>
      <c r="BN301" s="19">
        <f t="shared" si="42"/>
        <v>9.3737821318556236E-2</v>
      </c>
      <c r="BO301" s="19" t="s">
        <v>53</v>
      </c>
    </row>
    <row r="302" spans="1:67" x14ac:dyDescent="0.25">
      <c r="A302" s="1">
        <v>45537</v>
      </c>
      <c r="B302" s="1" t="str">
        <f t="shared" si="45"/>
        <v>202409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f>I301*(1+((1+VLOOKUP($B302,'IPCA Hist'!$B:$C,2,0))^12 - 1)+$I$2)^(1/252)</f>
        <v>206178770.59347841</v>
      </c>
      <c r="J302" s="2">
        <f>J301*(1+((1+VLOOKUP($B302,'IPCA Hist'!$B:$C,2,0))^12 - 1)+$J$2)^(1/252)</f>
        <v>131163563.06062756</v>
      </c>
      <c r="K302" s="2">
        <f>K301*(1+((1+VLOOKUP($B302,'IPCA Hist'!$B:$C,2,0))^12 - 1)+$K$2)^(1/252)</f>
        <v>19801281.84264563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f>Q301*(1+((1+VLOOKUP($B302,'IPCA Hist'!$B:$C,2,0))^12 - 1)+$Q$2)^(1/252)</f>
        <v>44464477.072241597</v>
      </c>
      <c r="R302" s="2">
        <f>R301*(1+((1+VLOOKUP($B302,'IPCA Hist'!$B:$C,2,0))^12 - 1)+$R$2)^(1/252)</f>
        <v>44449223.687299177</v>
      </c>
      <c r="S302" s="2">
        <f>S301*(1+((1+VLOOKUP($B302,'IPCA Hist'!$B:$C,2,0))^12 - 1)+$S$2)^(1/252)</f>
        <v>45456932.72595001</v>
      </c>
      <c r="T302" s="2">
        <f>T301*(1+((1+VLOOKUP($B302,'IPCA Hist'!$B:$C,2,0))^12 - 1)+$T$2)^(1/252)</f>
        <v>229591952.00803563</v>
      </c>
      <c r="U302" s="2">
        <f>U301*(1+((1+VLOOKUP($B302,'IPCA Hist'!$B:$C,2,0))^12 - 1)+$U$2)^(1/252)</f>
        <v>20029602.165384382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f>AF301*(1+((1+VLOOKUP($B302,'IGPM Hist'!$B:$C,2,0))^12 - 1)+$AF$2)^(1/252)</f>
        <v>1627858.5879463605</v>
      </c>
      <c r="AG302" s="2">
        <f>350000*VLOOKUP(A302,'CVRDA6 Hist'!$A:$B,2,0)</f>
        <v>11590308.799999999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f t="shared" si="54"/>
        <v>105608691.86241612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f>BA301*(1+VLOOKUP(A302,'SELIC Hist'!$A:$C,3,0))^(1/252)</f>
        <v>2933131.3096947684</v>
      </c>
      <c r="BB302" s="2">
        <f t="shared" si="44"/>
        <v>862895793.7157197</v>
      </c>
      <c r="BC302" s="2">
        <v>0</v>
      </c>
      <c r="BD302" s="2">
        <v>0</v>
      </c>
      <c r="BE302" s="2">
        <f t="shared" si="53"/>
        <v>109911.67160725594</v>
      </c>
      <c r="BF302" s="2">
        <f t="shared" si="46"/>
        <v>109911.67160725594</v>
      </c>
      <c r="BG302" s="2">
        <f t="shared" si="47"/>
        <v>44578470.898400195</v>
      </c>
      <c r="BH302" s="11">
        <f t="shared" si="48"/>
        <v>1.1119270366458802</v>
      </c>
      <c r="BI302" s="12">
        <f t="shared" si="49"/>
        <v>1.2739159726038451E-4</v>
      </c>
      <c r="BJ302" s="12">
        <f t="shared" si="50"/>
        <v>1.2739159726038451E-4</v>
      </c>
      <c r="BK302" s="12">
        <f t="shared" si="51"/>
        <v>6.1981243450978107E-2</v>
      </c>
      <c r="BL302" s="5">
        <f t="shared" si="52"/>
        <v>0.11192703664588022</v>
      </c>
      <c r="BM302" s="19">
        <f t="shared" si="43"/>
        <v>4.2213521473904558E-2</v>
      </c>
      <c r="BN302" s="19">
        <f t="shared" si="42"/>
        <v>9.3536050561410677E-2</v>
      </c>
      <c r="BO302" s="19" t="s">
        <v>53</v>
      </c>
    </row>
    <row r="303" spans="1:67" x14ac:dyDescent="0.25">
      <c r="A303" s="1">
        <v>45538</v>
      </c>
      <c r="B303" s="1" t="str">
        <f t="shared" si="45"/>
        <v>202409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f>I302*(1+((1+VLOOKUP($B303,'IPCA Hist'!$B:$C,2,0))^12 - 1)+$I$2)^(1/252)</f>
        <v>206264826.05982926</v>
      </c>
      <c r="J303" s="2">
        <f>J302*(1+((1+VLOOKUP($B303,'IPCA Hist'!$B:$C,2,0))^12 - 1)+$J$2)^(1/252)</f>
        <v>131216006.62738533</v>
      </c>
      <c r="K303" s="2">
        <f>K302*(1+((1+VLOOKUP($B303,'IPCA Hist'!$B:$C,2,0))^12 - 1)+$K$2)^(1/252)</f>
        <v>19810237.00177025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f>Q302*(1+((1+VLOOKUP($B303,'IPCA Hist'!$B:$C,2,0))^12 - 1)+$Q$2)^(1/252)</f>
        <v>44482223.529915228</v>
      </c>
      <c r="R303" s="2">
        <f>R302*(1+((1+VLOOKUP($B303,'IPCA Hist'!$B:$C,2,0))^12 - 1)+$R$2)^(1/252)</f>
        <v>44466980.013920061</v>
      </c>
      <c r="S303" s="2">
        <f>S302*(1+((1+VLOOKUP($B303,'IPCA Hist'!$B:$C,2,0))^12 - 1)+$S$2)^(1/252)</f>
        <v>45474895.686669424</v>
      </c>
      <c r="T303" s="2">
        <f>T302*(1+((1+VLOOKUP($B303,'IPCA Hist'!$B:$C,2,0))^12 - 1)+$T$2)^(1/252)</f>
        <v>229682596.05951899</v>
      </c>
      <c r="U303" s="2">
        <f>U302*(1+((1+VLOOKUP($B303,'IPCA Hist'!$B:$C,2,0))^12 - 1)+$U$2)^(1/252)</f>
        <v>20038475.885836896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f>AF302*(1+((1+VLOOKUP($B303,'IGPM Hist'!$B:$C,2,0))^12 - 1)+$AF$2)^(1/252)</f>
        <v>1628704.4463627967</v>
      </c>
      <c r="AG303" s="2">
        <v>11539500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f t="shared" si="54"/>
        <v>105655743.36218324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-11539500</v>
      </c>
      <c r="BA303" s="2">
        <f>BA302*(1+VLOOKUP(A303,'SELIC Hist'!$A:$C,3,0))^(1/252) + AG303</f>
        <v>14473783.138409216</v>
      </c>
      <c r="BB303" s="2">
        <f t="shared" si="44"/>
        <v>863194471.81180072</v>
      </c>
      <c r="BC303" s="2">
        <v>0</v>
      </c>
      <c r="BD303" s="2">
        <v>0</v>
      </c>
      <c r="BE303" s="2">
        <f t="shared" si="53"/>
        <v>298678.09608101845</v>
      </c>
      <c r="BF303" s="2">
        <f t="shared" si="46"/>
        <v>408589.76768827438</v>
      </c>
      <c r="BG303" s="2">
        <f t="shared" si="47"/>
        <v>44877148.994481213</v>
      </c>
      <c r="BH303" s="11">
        <f t="shared" si="48"/>
        <v>1.1123119130732602</v>
      </c>
      <c r="BI303" s="12">
        <f t="shared" si="49"/>
        <v>3.4613460658428075E-4</v>
      </c>
      <c r="BJ303" s="12">
        <f t="shared" si="50"/>
        <v>4.7357029848504872E-4</v>
      </c>
      <c r="BK303" s="12">
        <f t="shared" si="51"/>
        <v>6.2348831910879809E-2</v>
      </c>
      <c r="BL303" s="5">
        <f t="shared" si="52"/>
        <v>0.11231191307326016</v>
      </c>
      <c r="BM303" s="19">
        <f t="shared" si="43"/>
        <v>4.2034357922151599E-2</v>
      </c>
      <c r="BN303" s="19">
        <f t="shared" si="42"/>
        <v>9.3573443862171146E-2</v>
      </c>
      <c r="BO303" s="19" t="s">
        <v>53</v>
      </c>
    </row>
    <row r="304" spans="1:67" x14ac:dyDescent="0.25">
      <c r="A304" s="1">
        <v>45539</v>
      </c>
      <c r="B304" s="1" t="str">
        <f t="shared" si="45"/>
        <v>202409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f>I303*(1+((1+VLOOKUP($B304,'IPCA Hist'!$B:$C,2,0))^12 - 1)+$I$2)^(1/252)</f>
        <v>206350917.44424903</v>
      </c>
      <c r="J304" s="2">
        <f>J303*(1+((1+VLOOKUP($B304,'IPCA Hist'!$B:$C,2,0))^12 - 1)+$J$2)^(1/252)</f>
        <v>131268471.16283007</v>
      </c>
      <c r="K304" s="2">
        <f>K303*(1+((1+VLOOKUP($B304,'IPCA Hist'!$B:$C,2,0))^12 - 1)+$K$2)^(1/252)</f>
        <v>19819196.210878886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f>Q303*(1+((1+VLOOKUP($B304,'IPCA Hist'!$B:$C,2,0))^12 - 1)+$Q$2)^(1/252)</f>
        <v>44499977.070473462</v>
      </c>
      <c r="R304" s="2">
        <f>R303*(1+((1+VLOOKUP($B304,'IPCA Hist'!$B:$C,2,0))^12 - 1)+$R$2)^(1/252)</f>
        <v>44484743.433738731</v>
      </c>
      <c r="S304" s="2">
        <f>S303*(1+((1+VLOOKUP($B304,'IPCA Hist'!$B:$C,2,0))^12 - 1)+$S$2)^(1/252)</f>
        <v>45492865.745711103</v>
      </c>
      <c r="T304" s="2">
        <f>T303*(1+((1+VLOOKUP($B304,'IPCA Hist'!$B:$C,2,0))^12 - 1)+$T$2)^(1/252)</f>
        <v>229773275.89772746</v>
      </c>
      <c r="U304" s="2">
        <f>U303*(1+((1+VLOOKUP($B304,'IPCA Hist'!$B:$C,2,0))^12 - 1)+$U$2)^(1/252)</f>
        <v>20047353.537616353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f>AF303*(1+((1+VLOOKUP($B304,'IGPM Hist'!$B:$C,2,0))^12 - 1)+$AF$2)^(1/252)</f>
        <v>1629550.7442992663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f t="shared" si="54"/>
        <v>105702815.82465327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f>BA303*(1+VLOOKUP(A304,'SELIC Hist'!$A:$C,3,0))^(1/252)</f>
        <v>14479466.934075095</v>
      </c>
      <c r="BB304" s="2">
        <f t="shared" si="44"/>
        <v>863548634.00625277</v>
      </c>
      <c r="BC304" s="2">
        <v>0</v>
      </c>
      <c r="BD304" s="2">
        <v>0</v>
      </c>
      <c r="BE304" s="2">
        <f t="shared" si="53"/>
        <v>354162.19445204735</v>
      </c>
      <c r="BF304" s="2">
        <f t="shared" si="46"/>
        <v>762751.96214032173</v>
      </c>
      <c r="BG304" s="2">
        <f t="shared" si="47"/>
        <v>45231311.188933261</v>
      </c>
      <c r="BH304" s="11">
        <f t="shared" si="48"/>
        <v>1.1127682862787351</v>
      </c>
      <c r="BI304" s="12">
        <f t="shared" si="49"/>
        <v>4.1029247292168058E-4</v>
      </c>
      <c r="BJ304" s="12">
        <f t="shared" si="50"/>
        <v>8.8405707373562237E-4</v>
      </c>
      <c r="BK304" s="12">
        <f t="shared" si="51"/>
        <v>6.2784705640229976E-2</v>
      </c>
      <c r="BL304" s="5">
        <f t="shared" si="52"/>
        <v>0.11276828627873514</v>
      </c>
      <c r="BM304" s="19">
        <f t="shared" si="43"/>
        <v>4.1823266402393644E-2</v>
      </c>
      <c r="BN304" s="19">
        <f t="shared" si="42"/>
        <v>9.3666157529660898E-2</v>
      </c>
      <c r="BO304" s="19" t="s">
        <v>53</v>
      </c>
    </row>
    <row r="305" spans="1:67" x14ac:dyDescent="0.25">
      <c r="A305" s="1">
        <v>45540</v>
      </c>
      <c r="B305" s="1" t="str">
        <f t="shared" si="45"/>
        <v>202409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f>I304*(1+((1+VLOOKUP($B305,'IPCA Hist'!$B:$C,2,0))^12 - 1)+$I$2)^(1/252)</f>
        <v>206437044.76172927</v>
      </c>
      <c r="J305" s="2">
        <f>J304*(1+((1+VLOOKUP($B305,'IPCA Hist'!$B:$C,2,0))^12 - 1)+$J$2)^(1/252)</f>
        <v>131320956.67534575</v>
      </c>
      <c r="K305" s="2">
        <f>K304*(1+((1+VLOOKUP($B305,'IPCA Hist'!$B:$C,2,0))^12 - 1)+$K$2)^(1/252)</f>
        <v>19828159.471803147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f>Q304*(1+((1+VLOOKUP($B305,'IPCA Hist'!$B:$C,2,0))^12 - 1)+$Q$2)^(1/252)</f>
        <v>44517737.696743183</v>
      </c>
      <c r="R305" s="2">
        <f>R304*(1+((1+VLOOKUP($B305,'IPCA Hist'!$B:$C,2,0))^12 - 1)+$R$2)^(1/252)</f>
        <v>44502513.949588738</v>
      </c>
      <c r="S305" s="2">
        <f>S304*(1+((1+VLOOKUP($B305,'IPCA Hist'!$B:$C,2,0))^12 - 1)+$S$2)^(1/252)</f>
        <v>45510842.905880056</v>
      </c>
      <c r="T305" s="2">
        <f>T304*(1+((1+VLOOKUP($B305,'IPCA Hist'!$B:$C,2,0))^12 - 1)+$T$2)^(1/252)</f>
        <v>229863991.53678977</v>
      </c>
      <c r="U305" s="2">
        <f>U304*(1+((1+VLOOKUP($B305,'IPCA Hist'!$B:$C,2,0))^12 - 1)+$U$2)^(1/252)</f>
        <v>20056235.122464452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f>AF304*(1+((1+VLOOKUP($B305,'IGPM Hist'!$B:$C,2,0))^12 - 1)+$AF$2)^(1/252)</f>
        <v>1630397.4819841499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f t="shared" si="54"/>
        <v>105749909.25916563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f>BA304*(1+VLOOKUP(A305,'SELIC Hist'!$A:$C,3,0))^(1/252)</f>
        <v>14485152.961744374</v>
      </c>
      <c r="BB305" s="2">
        <f t="shared" si="44"/>
        <v>863902941.82323849</v>
      </c>
      <c r="BC305" s="2">
        <v>0</v>
      </c>
      <c r="BD305" s="2">
        <v>0</v>
      </c>
      <c r="BE305" s="2">
        <f t="shared" si="53"/>
        <v>354307.81698572636</v>
      </c>
      <c r="BF305" s="2">
        <f t="shared" si="46"/>
        <v>1117059.7791260481</v>
      </c>
      <c r="BG305" s="2">
        <f t="shared" si="47"/>
        <v>45585619.005918987</v>
      </c>
      <c r="BH305" s="11">
        <f t="shared" si="48"/>
        <v>1.1132248471333257</v>
      </c>
      <c r="BI305" s="12">
        <f t="shared" si="49"/>
        <v>4.1029283474403044E-4</v>
      </c>
      <c r="BJ305" s="12">
        <f t="shared" si="50"/>
        <v>1.294712630762529E-3</v>
      </c>
      <c r="BK305" s="12">
        <f t="shared" si="51"/>
        <v>6.3220758589829673E-2</v>
      </c>
      <c r="BL305" s="5">
        <f t="shared" si="52"/>
        <v>0.1132248471333257</v>
      </c>
      <c r="BM305" s="19">
        <f t="shared" si="43"/>
        <v>4.2649867939398289E-2</v>
      </c>
      <c r="BN305" s="19">
        <f t="shared" si="42"/>
        <v>9.3758877811179975E-2</v>
      </c>
      <c r="BO305" s="19" t="s">
        <v>53</v>
      </c>
    </row>
    <row r="306" spans="1:67" x14ac:dyDescent="0.25">
      <c r="A306" s="1">
        <v>45541</v>
      </c>
      <c r="B306" s="1" t="str">
        <f t="shared" si="45"/>
        <v>202409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f>I305*(1+((1+VLOOKUP($B306,'IPCA Hist'!$B:$C,2,0))^12 - 1)+$I$2)^(1/252)</f>
        <v>206523208.02726784</v>
      </c>
      <c r="J306" s="2">
        <f>J305*(1+((1+VLOOKUP($B306,'IPCA Hist'!$B:$C,2,0))^12 - 1)+$J$2)^(1/252)</f>
        <v>131373463.1733197</v>
      </c>
      <c r="K306" s="2">
        <f>K305*(1+((1+VLOOKUP($B306,'IPCA Hist'!$B:$C,2,0))^12 - 1)+$K$2)^(1/252)</f>
        <v>19837126.786375478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f>Q305*(1+((1+VLOOKUP($B306,'IPCA Hist'!$B:$C,2,0))^12 - 1)+$Q$2)^(1/252)</f>
        <v>44535505.411552414</v>
      </c>
      <c r="R306" s="2">
        <f>R305*(1+((1+VLOOKUP($B306,'IPCA Hist'!$B:$C,2,0))^12 - 1)+$R$2)^(1/252)</f>
        <v>44520291.564304769</v>
      </c>
      <c r="S306" s="2">
        <f>S305*(1+((1+VLOOKUP($B306,'IPCA Hist'!$B:$C,2,0))^12 - 1)+$S$2)^(1/252)</f>
        <v>45528827.169982389</v>
      </c>
      <c r="T306" s="2">
        <f>T305*(1+((1+VLOOKUP($B306,'IPCA Hist'!$B:$C,2,0))^12 - 1)+$T$2)^(1/252)</f>
        <v>229954742.99084032</v>
      </c>
      <c r="U306" s="2">
        <f>U305*(1+((1+VLOOKUP($B306,'IPCA Hist'!$B:$C,2,0))^12 - 1)+$U$2)^(1/252)</f>
        <v>20065120.642123658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f>AF305*(1+((1+VLOOKUP($B306,'IGPM Hist'!$B:$C,2,0))^12 - 1)+$AF$2)^(1/252)</f>
        <v>1631244.6596459469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f t="shared" si="54"/>
        <v>105797023.67506394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f>BA305*(1+VLOOKUP(A306,'SELIC Hist'!$A:$C,3,0))^(1/252)</f>
        <v>14490841.222293552</v>
      </c>
      <c r="BB306" s="2">
        <f t="shared" si="44"/>
        <v>864257395.32277</v>
      </c>
      <c r="BC306" s="2">
        <v>0</v>
      </c>
      <c r="BD306" s="2">
        <v>0</v>
      </c>
      <c r="BE306" s="2">
        <f t="shared" si="53"/>
        <v>354453.49953150749</v>
      </c>
      <c r="BF306" s="2">
        <f t="shared" si="46"/>
        <v>1471513.2786575556</v>
      </c>
      <c r="BG306" s="2">
        <f t="shared" si="47"/>
        <v>45940072.505450495</v>
      </c>
      <c r="BH306" s="11">
        <f t="shared" si="48"/>
        <v>1.1136815957143631</v>
      </c>
      <c r="BI306" s="12">
        <f t="shared" si="49"/>
        <v>4.1029319657526209E-4</v>
      </c>
      <c r="BJ306" s="12">
        <f t="shared" si="50"/>
        <v>1.7055370391216851E-3</v>
      </c>
      <c r="BK306" s="12">
        <f t="shared" si="51"/>
        <v>6.3656990833536709E-2</v>
      </c>
      <c r="BL306" s="5">
        <f t="shared" si="52"/>
        <v>0.11368159571436309</v>
      </c>
      <c r="BM306" s="19">
        <f t="shared" si="43"/>
        <v>4.2518377590587964E-2</v>
      </c>
      <c r="BN306" s="19">
        <f t="shared" si="42"/>
        <v>9.3851604706837177E-2</v>
      </c>
      <c r="BO306" s="19" t="s">
        <v>53</v>
      </c>
    </row>
    <row r="307" spans="1:67" x14ac:dyDescent="0.25">
      <c r="A307" s="1">
        <v>45544</v>
      </c>
      <c r="B307" s="1" t="str">
        <f t="shared" si="45"/>
        <v>202409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f>I306*(1+((1+VLOOKUP($B307,'IPCA Hist'!$B:$C,2,0))^12 - 1)+$I$2)^(1/252)</f>
        <v>206609407.25586885</v>
      </c>
      <c r="J307" s="2">
        <f>J306*(1+((1+VLOOKUP($B307,'IPCA Hist'!$B:$C,2,0))^12 - 1)+$J$2)^(1/252)</f>
        <v>131425990.6651426</v>
      </c>
      <c r="K307" s="2">
        <f>K306*(1+((1+VLOOKUP($B307,'IPCA Hist'!$B:$C,2,0))^12 - 1)+$K$2)^(1/252)</f>
        <v>19846098.156429142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f>Q306*(1+((1+VLOOKUP($B307,'IPCA Hist'!$B:$C,2,0))^12 - 1)+$Q$2)^(1/252)</f>
        <v>44553280.217730299</v>
      </c>
      <c r="R307" s="2">
        <f>R306*(1+((1+VLOOKUP($B307,'IPCA Hist'!$B:$C,2,0))^12 - 1)+$R$2)^(1/252)</f>
        <v>44538076.280722633</v>
      </c>
      <c r="S307" s="2">
        <f>S306*(1+((1+VLOOKUP($B307,'IPCA Hist'!$B:$C,2,0))^12 - 1)+$S$2)^(1/252)</f>
        <v>45546818.54082533</v>
      </c>
      <c r="T307" s="2">
        <f>T306*(1+((1+VLOOKUP($B307,'IPCA Hist'!$B:$C,2,0))^12 - 1)+$T$2)^(1/252)</f>
        <v>230045530.27401903</v>
      </c>
      <c r="U307" s="2">
        <f>U306*(1+((1+VLOOKUP($B307,'IPCA Hist'!$B:$C,2,0))^12 - 1)+$U$2)^(1/252)</f>
        <v>20074010.098337214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f>AF306*(1+((1+VLOOKUP($B307,'IGPM Hist'!$B:$C,2,0))^12 - 1)+$AF$2)^(1/252)</f>
        <v>1632092.2775132759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f t="shared" si="54"/>
        <v>105844159.08169596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f>BA306*(1+VLOOKUP(A307,'SELIC Hist'!$A:$C,3,0))^(1/252)</f>
        <v>14496531.716599472</v>
      </c>
      <c r="BB307" s="2">
        <f t="shared" si="44"/>
        <v>864611994.56488371</v>
      </c>
      <c r="BC307" s="2">
        <v>0</v>
      </c>
      <c r="BD307" s="2">
        <v>0</v>
      </c>
      <c r="BE307" s="2">
        <f t="shared" si="53"/>
        <v>354599.24211370945</v>
      </c>
      <c r="BF307" s="2">
        <f t="shared" si="46"/>
        <v>1826112.520771265</v>
      </c>
      <c r="BG307" s="2">
        <f t="shared" si="47"/>
        <v>46294671.747564204</v>
      </c>
      <c r="BH307" s="11">
        <f t="shared" si="48"/>
        <v>1.1141385320992105</v>
      </c>
      <c r="BI307" s="12">
        <f t="shared" si="49"/>
        <v>4.1029355841537551E-4</v>
      </c>
      <c r="BJ307" s="12">
        <f t="shared" si="50"/>
        <v>2.1165303683978731E-3</v>
      </c>
      <c r="BK307" s="12">
        <f t="shared" si="51"/>
        <v>6.4093402445239089E-2</v>
      </c>
      <c r="BL307" s="5">
        <f t="shared" si="52"/>
        <v>0.11413853209921054</v>
      </c>
      <c r="BM307" s="19">
        <f t="shared" si="43"/>
        <v>4.3021217912121212E-2</v>
      </c>
      <c r="BN307" s="19">
        <f t="shared" si="42"/>
        <v>9.3944338216740864E-2</v>
      </c>
      <c r="BO307" s="19" t="s">
        <v>53</v>
      </c>
    </row>
    <row r="308" spans="1:67" x14ac:dyDescent="0.25">
      <c r="A308" s="1">
        <v>45545</v>
      </c>
      <c r="B308" s="1" t="str">
        <f t="shared" si="45"/>
        <v>202409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f>I307*(1+((1+VLOOKUP($B308,'IPCA Hist'!$B:$C,2,0))^12 - 1)+$I$2)^(1/252)</f>
        <v>206695642.46254265</v>
      </c>
      <c r="J308" s="2">
        <f>J307*(1+((1+VLOOKUP($B308,'IPCA Hist'!$B:$C,2,0))^12 - 1)+$J$2)^(1/252)</f>
        <v>131478539.15920849</v>
      </c>
      <c r="K308" s="2">
        <f>K307*(1+((1+VLOOKUP($B308,'IPCA Hist'!$B:$C,2,0))^12 - 1)+$K$2)^(1/252)</f>
        <v>19855073.583798237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f>Q307*(1+((1+VLOOKUP($B308,'IPCA Hist'!$B:$C,2,0))^12 - 1)+$Q$2)^(1/252)</f>
        <v>44571062.11810711</v>
      </c>
      <c r="R308" s="2">
        <f>R307*(1+((1+VLOOKUP($B308,'IPCA Hist'!$B:$C,2,0))^12 - 1)+$R$2)^(1/252)</f>
        <v>44555868.10167928</v>
      </c>
      <c r="S308" s="2">
        <f>S307*(1+((1+VLOOKUP($B308,'IPCA Hist'!$B:$C,2,0))^12 - 1)+$S$2)^(1/252)</f>
        <v>45564817.021217212</v>
      </c>
      <c r="T308" s="2">
        <f>T307*(1+((1+VLOOKUP($B308,'IPCA Hist'!$B:$C,2,0))^12 - 1)+$T$2)^(1/252)</f>
        <v>230136353.40047142</v>
      </c>
      <c r="U308" s="2">
        <f>U307*(1+((1+VLOOKUP($B308,'IPCA Hist'!$B:$C,2,0))^12 - 1)+$U$2)^(1/252)</f>
        <v>20082903.492849134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f>AF307*(1+((1+VLOOKUP($B308,'IGPM Hist'!$B:$C,2,0))^12 - 1)+$AF$2)^(1/252)</f>
        <v>1632940.3358148737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f t="shared" si="54"/>
        <v>105891315.48841362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f>BA307*(1+VLOOKUP(A308,'SELIC Hist'!$A:$C,3,0))^(1/252)</f>
        <v>14502224.44553932</v>
      </c>
      <c r="BB308" s="2">
        <f t="shared" si="44"/>
        <v>864966739.60964119</v>
      </c>
      <c r="BC308" s="2">
        <v>0</v>
      </c>
      <c r="BD308" s="2">
        <v>0</v>
      </c>
      <c r="BE308" s="2">
        <f t="shared" si="53"/>
        <v>354745.04475748539</v>
      </c>
      <c r="BF308" s="2">
        <f t="shared" si="46"/>
        <v>2180857.5655287504</v>
      </c>
      <c r="BG308" s="2">
        <f t="shared" si="47"/>
        <v>46649416.792321689</v>
      </c>
      <c r="BH308" s="11">
        <f t="shared" si="48"/>
        <v>1.1145956563652628</v>
      </c>
      <c r="BI308" s="12">
        <f t="shared" si="49"/>
        <v>4.1029392026414868E-4</v>
      </c>
      <c r="BJ308" s="12">
        <f t="shared" si="50"/>
        <v>2.5276926882042972E-3</v>
      </c>
      <c r="BK308" s="12">
        <f t="shared" si="51"/>
        <v>6.4529993498855465E-2</v>
      </c>
      <c r="BL308" s="5">
        <f t="shared" si="52"/>
        <v>0.11459565636526281</v>
      </c>
      <c r="BM308" s="19">
        <f t="shared" si="43"/>
        <v>4.2754586992136634E-2</v>
      </c>
      <c r="BN308" s="19">
        <f t="shared" si="42"/>
        <v>9.4037078340998503E-2</v>
      </c>
      <c r="BO308" s="19" t="s">
        <v>53</v>
      </c>
    </row>
    <row r="309" spans="1:67" x14ac:dyDescent="0.25">
      <c r="A309" s="1">
        <v>45546</v>
      </c>
      <c r="B309" s="1" t="str">
        <f t="shared" si="45"/>
        <v>202409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f>I308*(1+((1+VLOOKUP($B309,'IPCA Hist'!$B:$C,2,0))^12 - 1)+$I$2)^(1/252)</f>
        <v>206781913.66230586</v>
      </c>
      <c r="J309" s="2">
        <f>J308*(1+((1+VLOOKUP($B309,'IPCA Hist'!$B:$C,2,0))^12 - 1)+$J$2)^(1/252)</f>
        <v>131531108.66391478</v>
      </c>
      <c r="K309" s="2">
        <f>K308*(1+((1+VLOOKUP($B309,'IPCA Hist'!$B:$C,2,0))^12 - 1)+$K$2)^(1/252)</f>
        <v>19864053.070317693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f>Q308*(1+((1+VLOOKUP($B309,'IPCA Hist'!$B:$C,2,0))^12 - 1)+$Q$2)^(1/252)</f>
        <v>44588851.115514249</v>
      </c>
      <c r="R309" s="2">
        <f>R308*(1+((1+VLOOKUP($B309,'IPCA Hist'!$B:$C,2,0))^12 - 1)+$R$2)^(1/252)</f>
        <v>44573667.030012794</v>
      </c>
      <c r="S309" s="2">
        <f>S308*(1+((1+VLOOKUP($B309,'IPCA Hist'!$B:$C,2,0))^12 - 1)+$S$2)^(1/252)</f>
        <v>45582822.613967471</v>
      </c>
      <c r="T309" s="2">
        <f>T308*(1+((1+VLOOKUP($B309,'IPCA Hist'!$B:$C,2,0))^12 - 1)+$T$2)^(1/252)</f>
        <v>230227212.3843486</v>
      </c>
      <c r="U309" s="2">
        <f>U308*(1+((1+VLOOKUP($B309,'IPCA Hist'!$B:$C,2,0))^12 - 1)+$U$2)^(1/252)</f>
        <v>20091800.827404201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f>AF308*(1+((1+VLOOKUP($B309,'IGPM Hist'!$B:$C,2,0))^12 - 1)+$AF$2)^(1/252)</f>
        <v>1633788.8347795962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f t="shared" si="54"/>
        <v>105938492.90457302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f>BA308*(1+VLOOKUP(A309,'SELIC Hist'!$A:$C,3,0))^(1/252)</f>
        <v>14507919.409990627</v>
      </c>
      <c r="BB309" s="2">
        <f t="shared" si="44"/>
        <v>865321630.51712906</v>
      </c>
      <c r="BC309" s="2">
        <v>0</v>
      </c>
      <c r="BD309" s="2">
        <v>0</v>
      </c>
      <c r="BE309" s="2">
        <f t="shared" si="53"/>
        <v>354890.90748786926</v>
      </c>
      <c r="BF309" s="2">
        <f t="shared" si="46"/>
        <v>2535748.4730166197</v>
      </c>
      <c r="BG309" s="2">
        <f t="shared" si="47"/>
        <v>47004307.699809559</v>
      </c>
      <c r="BH309" s="11">
        <f t="shared" si="48"/>
        <v>1.115052968589948</v>
      </c>
      <c r="BI309" s="12">
        <f t="shared" si="49"/>
        <v>4.1029428212246977E-4</v>
      </c>
      <c r="BJ309" s="12">
        <f t="shared" si="50"/>
        <v>2.9390240681836932E-3</v>
      </c>
      <c r="BK309" s="12">
        <f t="shared" si="51"/>
        <v>6.4966764068336014E-2</v>
      </c>
      <c r="BL309" s="5">
        <f t="shared" si="52"/>
        <v>0.11505296858994796</v>
      </c>
      <c r="BM309" s="19">
        <f t="shared" si="43"/>
        <v>4.2784628005907654E-2</v>
      </c>
      <c r="BN309" s="19">
        <f t="shared" si="42"/>
        <v>9.4129825079718676E-2</v>
      </c>
      <c r="BO309" s="19" t="s">
        <v>53</v>
      </c>
    </row>
    <row r="310" spans="1:67" x14ac:dyDescent="0.25">
      <c r="A310" s="1">
        <v>45547</v>
      </c>
      <c r="B310" s="1" t="str">
        <f t="shared" si="45"/>
        <v>202409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f>I309*(1+((1+VLOOKUP($B310,'IPCA Hist'!$B:$C,2,0))^12 - 1)+$I$2)^(1/252)</f>
        <v>206868220.87018138</v>
      </c>
      <c r="J310" s="2">
        <f>J309*(1+((1+VLOOKUP($B310,'IPCA Hist'!$B:$C,2,0))^12 - 1)+$J$2)^(1/252)</f>
        <v>131583699.18766223</v>
      </c>
      <c r="K310" s="2">
        <f>K309*(1+((1+VLOOKUP($B310,'IPCA Hist'!$B:$C,2,0))^12 - 1)+$K$2)^(1/252)</f>
        <v>19873036.617823265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f>Q309*(1+((1+VLOOKUP($B310,'IPCA Hist'!$B:$C,2,0))^12 - 1)+$Q$2)^(1/252)</f>
        <v>44606647.212784253</v>
      </c>
      <c r="R310" s="2">
        <f>R309*(1+((1+VLOOKUP($B310,'IPCA Hist'!$B:$C,2,0))^12 - 1)+$R$2)^(1/252)</f>
        <v>44591473.068562388</v>
      </c>
      <c r="S310" s="2">
        <f>S309*(1+((1+VLOOKUP($B310,'IPCA Hist'!$B:$C,2,0))^12 - 1)+$S$2)^(1/252)</f>
        <v>45600835.321886659</v>
      </c>
      <c r="T310" s="2">
        <f>T309*(1+((1+VLOOKUP($B310,'IPCA Hist'!$B:$C,2,0))^12 - 1)+$T$2)^(1/252)</f>
        <v>230318107.23980725</v>
      </c>
      <c r="U310" s="2">
        <f>U309*(1+((1+VLOOKUP($B310,'IPCA Hist'!$B:$C,2,0))^12 - 1)+$U$2)^(1/252)</f>
        <v>20100702.103747975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f>AF309*(1+((1+VLOOKUP($B310,'IGPM Hist'!$B:$C,2,0))^12 - 1)+$AF$2)^(1/252)</f>
        <v>1634637.7746364183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f t="shared" si="54"/>
        <v>105985691.33953445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f>BA309*(1+VLOOKUP(A310,'SELIC Hist'!$A:$C,3,0))^(1/252)</f>
        <v>14513616.61083127</v>
      </c>
      <c r="BB310" s="2">
        <f t="shared" si="44"/>
        <v>865676667.34745741</v>
      </c>
      <c r="BC310" s="2">
        <v>0</v>
      </c>
      <c r="BD310" s="2">
        <v>0</v>
      </c>
      <c r="BE310" s="2">
        <f t="shared" si="53"/>
        <v>355036.8303283453</v>
      </c>
      <c r="BF310" s="2">
        <f t="shared" si="46"/>
        <v>2890785.303344965</v>
      </c>
      <c r="BG310" s="2">
        <f t="shared" si="47"/>
        <v>47359344.530137904</v>
      </c>
      <c r="BH310" s="11">
        <f t="shared" si="48"/>
        <v>1.1155104688507238</v>
      </c>
      <c r="BI310" s="12">
        <f t="shared" si="49"/>
        <v>4.1029464398834037E-4</v>
      </c>
      <c r="BJ310" s="12">
        <f t="shared" si="50"/>
        <v>3.3505245780056647E-3</v>
      </c>
      <c r="BK310" s="12">
        <f t="shared" si="51"/>
        <v>6.5403714227658893E-2</v>
      </c>
      <c r="BL310" s="5">
        <f t="shared" si="52"/>
        <v>0.1155104688507238</v>
      </c>
      <c r="BM310" s="19">
        <f t="shared" si="43"/>
        <v>4.350894285005924E-2</v>
      </c>
      <c r="BN310" s="19">
        <f t="shared" si="42"/>
        <v>9.4222578433007742E-2</v>
      </c>
      <c r="BO310" s="19" t="s">
        <v>53</v>
      </c>
    </row>
    <row r="311" spans="1:67" x14ac:dyDescent="0.25">
      <c r="A311" s="1">
        <v>45548</v>
      </c>
      <c r="B311" s="1" t="str">
        <f t="shared" si="45"/>
        <v>202409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f>I310*(1+((1+VLOOKUP($B311,'IPCA Hist'!$B:$C,2,0))^12 - 1)+$I$2)^(1/252)</f>
        <v>206954564.10119838</v>
      </c>
      <c r="J311" s="2">
        <f>J310*(1+((1+VLOOKUP($B311,'IPCA Hist'!$B:$C,2,0))^12 - 1)+$J$2)^(1/252)</f>
        <v>131636310.73885494</v>
      </c>
      <c r="K311" s="2">
        <f>K310*(1+((1+VLOOKUP($B311,'IPCA Hist'!$B:$C,2,0))^12 - 1)+$K$2)^(1/252)</f>
        <v>19882024.228151541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f>Q310*(1+((1+VLOOKUP($B311,'IPCA Hist'!$B:$C,2,0))^12 - 1)+$Q$2)^(1/252)</f>
        <v>44624450.412750781</v>
      </c>
      <c r="R311" s="2">
        <f>R310*(1+((1+VLOOKUP($B311,'IPCA Hist'!$B:$C,2,0))^12 - 1)+$R$2)^(1/252)</f>
        <v>44609286.220168412</v>
      </c>
      <c r="S311" s="2">
        <f>S310*(1+((1+VLOOKUP($B311,'IPCA Hist'!$B:$C,2,0))^12 - 1)+$S$2)^(1/252)</f>
        <v>45618855.147786431</v>
      </c>
      <c r="T311" s="2">
        <f>T310*(1+((1+VLOOKUP($B311,'IPCA Hist'!$B:$C,2,0))^12 - 1)+$T$2)^(1/252)</f>
        <v>230409037.98100966</v>
      </c>
      <c r="U311" s="2">
        <f>U310*(1+((1+VLOOKUP($B311,'IPCA Hist'!$B:$C,2,0))^12 - 1)+$U$2)^(1/252)</f>
        <v>20109607.32362679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f>AF310*(1+((1+VLOOKUP($B311,'IGPM Hist'!$B:$C,2,0))^12 - 1)+$AF$2)^(1/252)</f>
        <v>1635487.1556144338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f t="shared" si="54"/>
        <v>106032910.80266233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f>BA310*(1+VLOOKUP(A311,'SELIC Hist'!$A:$C,3,0))^(1/252)</f>
        <v>14519316.04893947</v>
      </c>
      <c r="BB311" s="2">
        <f t="shared" si="44"/>
        <v>866031850.16076314</v>
      </c>
      <c r="BC311" s="2">
        <v>0</v>
      </c>
      <c r="BD311" s="2">
        <v>0</v>
      </c>
      <c r="BE311" s="2">
        <f t="shared" si="53"/>
        <v>355182.81330573559</v>
      </c>
      <c r="BF311" s="2">
        <f t="shared" si="46"/>
        <v>3245968.1166507006</v>
      </c>
      <c r="BG311" s="2">
        <f t="shared" si="47"/>
        <v>47714527.34344364</v>
      </c>
      <c r="BH311" s="11">
        <f t="shared" si="48"/>
        <v>1.1159681572250826</v>
      </c>
      <c r="BI311" s="12">
        <f t="shared" si="49"/>
        <v>4.1029500586420298E-4</v>
      </c>
      <c r="BJ311" s="12">
        <f t="shared" si="50"/>
        <v>3.7621942873713454E-3</v>
      </c>
      <c r="BK311" s="12">
        <f t="shared" si="51"/>
        <v>6.5840844050835567E-2</v>
      </c>
      <c r="BL311" s="5">
        <f t="shared" si="52"/>
        <v>0.11596815722508258</v>
      </c>
      <c r="BM311" s="19">
        <f t="shared" si="43"/>
        <v>4.3728588667541368E-2</v>
      </c>
      <c r="BN311" s="19">
        <f t="shared" si="42"/>
        <v>9.4315338400975168E-2</v>
      </c>
      <c r="BO311" s="19" t="s">
        <v>53</v>
      </c>
    </row>
    <row r="312" spans="1:67" x14ac:dyDescent="0.25">
      <c r="A312" s="1">
        <v>45551</v>
      </c>
      <c r="B312" s="1" t="str">
        <f t="shared" si="45"/>
        <v>202409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f>I311*(1+((1+VLOOKUP($B312,'IPCA Hist'!$B:$C,2,0))^12 - 1)+$I$2)^(1/252)</f>
        <v>207040943.37039229</v>
      </c>
      <c r="J312" s="2">
        <f>J311*(1+((1+VLOOKUP($B312,'IPCA Hist'!$B:$C,2,0))^12 - 1)+$J$2)^(1/252)</f>
        <v>131688943.32590039</v>
      </c>
      <c r="K312" s="2">
        <f>K311*(1+((1+VLOOKUP($B312,'IPCA Hist'!$B:$C,2,0))^12 - 1)+$K$2)^(1/252)</f>
        <v>19891015.903139934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f>Q311*(1+((1+VLOOKUP($B312,'IPCA Hist'!$B:$C,2,0))^12 - 1)+$Q$2)^(1/252)</f>
        <v>44642260.718248636</v>
      </c>
      <c r="R312" s="2">
        <f>R311*(1+((1+VLOOKUP($B312,'IPCA Hist'!$B:$C,2,0))^12 - 1)+$R$2)^(1/252)</f>
        <v>44627106.487672344</v>
      </c>
      <c r="S312" s="2">
        <f>S311*(1+((1+VLOOKUP($B312,'IPCA Hist'!$B:$C,2,0))^12 - 1)+$S$2)^(1/252)</f>
        <v>45636882.094479568</v>
      </c>
      <c r="T312" s="2">
        <f>T311*(1+((1+VLOOKUP($B312,'IPCA Hist'!$B:$C,2,0))^12 - 1)+$T$2)^(1/252)</f>
        <v>230500004.62212369</v>
      </c>
      <c r="U312" s="2">
        <f>U311*(1+((1+VLOOKUP($B312,'IPCA Hist'!$B:$C,2,0))^12 - 1)+$U$2)^(1/252)</f>
        <v>20118516.488787748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f>AF311*(1+((1+VLOOKUP($B312,'IGPM Hist'!$B:$C,2,0))^12 - 1)+$AF$2)^(1/252)</f>
        <v>1636336.9779428556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f t="shared" si="54"/>
        <v>106080151.30332528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f>BA311*(1+VLOOKUP(A312,'SELIC Hist'!$A:$C,3,0))^(1/252)</f>
        <v>14525017.725193795</v>
      </c>
      <c r="BB312" s="2">
        <f t="shared" si="44"/>
        <v>866387179.01720655</v>
      </c>
      <c r="BC312" s="2">
        <v>0</v>
      </c>
      <c r="BD312" s="2">
        <v>0</v>
      </c>
      <c r="BE312" s="2">
        <f t="shared" si="53"/>
        <v>355328.85644340515</v>
      </c>
      <c r="BF312" s="2">
        <f t="shared" si="46"/>
        <v>3601296.9730941057</v>
      </c>
      <c r="BG312" s="2">
        <f t="shared" si="47"/>
        <v>48069856.199887045</v>
      </c>
      <c r="BH312" s="11">
        <f t="shared" si="48"/>
        <v>1.1164260337905467</v>
      </c>
      <c r="BI312" s="12">
        <f t="shared" si="49"/>
        <v>4.1029536774828124E-4</v>
      </c>
      <c r="BJ312" s="12">
        <f t="shared" si="50"/>
        <v>4.1740332660082924E-3</v>
      </c>
      <c r="BK312" s="12">
        <f t="shared" si="51"/>
        <v>6.6278153611906587E-2</v>
      </c>
      <c r="BL312" s="5">
        <f t="shared" si="52"/>
        <v>0.11642603379054672</v>
      </c>
      <c r="BM312" s="19">
        <f t="shared" si="43"/>
        <v>4.3489665923369891E-2</v>
      </c>
      <c r="BN312" s="19">
        <f t="shared" si="42"/>
        <v>9.4408104983727537E-2</v>
      </c>
      <c r="BO312" s="19" t="s">
        <v>53</v>
      </c>
    </row>
    <row r="313" spans="1:67" x14ac:dyDescent="0.25">
      <c r="A313" s="1">
        <v>45552</v>
      </c>
      <c r="B313" s="1" t="str">
        <f t="shared" si="45"/>
        <v>202409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f>I312*(1+((1+VLOOKUP($B313,'IPCA Hist'!$B:$C,2,0))^12 - 1)+$I$2)^(1/252)</f>
        <v>207127358.69280484</v>
      </c>
      <c r="J313" s="2">
        <f>J312*(1+((1+VLOOKUP($B313,'IPCA Hist'!$B:$C,2,0))^12 - 1)+$J$2)^(1/252)</f>
        <v>131741596.95720942</v>
      </c>
      <c r="K313" s="2">
        <f>K312*(1+((1+VLOOKUP($B313,'IPCA Hist'!$B:$C,2,0))^12 - 1)+$K$2)^(1/252)</f>
        <v>19900011.644626696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f>Q312*(1+((1+VLOOKUP($B313,'IPCA Hist'!$B:$C,2,0))^12 - 1)+$Q$2)^(1/252)</f>
        <v>44660078.13211374</v>
      </c>
      <c r="R313" s="2">
        <f>R312*(1+((1+VLOOKUP($B313,'IPCA Hist'!$B:$C,2,0))^12 - 1)+$R$2)^(1/252)</f>
        <v>44644933.873916812</v>
      </c>
      <c r="S313" s="2">
        <f>S312*(1+((1+VLOOKUP($B313,'IPCA Hist'!$B:$C,2,0))^12 - 1)+$S$2)^(1/252)</f>
        <v>45654916.164779954</v>
      </c>
      <c r="T313" s="2">
        <f>T312*(1+((1+VLOOKUP($B313,'IPCA Hist'!$B:$C,2,0))^12 - 1)+$T$2)^(1/252)</f>
        <v>230591007.1773228</v>
      </c>
      <c r="U313" s="2">
        <f>U312*(1+((1+VLOOKUP($B313,'IPCA Hist'!$B:$C,2,0))^12 - 1)+$U$2)^(1/252)</f>
        <v>20127429.600978728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f>AF312*(1+((1+VLOOKUP($B313,'IGPM Hist'!$B:$C,2,0))^12 - 1)+$AF$2)^(1/252)</f>
        <v>1637187.2418510155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f t="shared" si="54"/>
        <v>106127412.85089608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f>BA312*(1+VLOOKUP(A313,'SELIC Hist'!$A:$C,3,0))^(1/252)</f>
        <v>14530721.640473153</v>
      </c>
      <c r="BB313" s="2">
        <f t="shared" si="44"/>
        <v>866742653.9769733</v>
      </c>
      <c r="BC313" s="2">
        <v>0</v>
      </c>
      <c r="BD313" s="2">
        <v>0</v>
      </c>
      <c r="BE313" s="2">
        <f t="shared" si="53"/>
        <v>355474.95976674557</v>
      </c>
      <c r="BF313" s="2">
        <f t="shared" si="46"/>
        <v>3956771.9328608513</v>
      </c>
      <c r="BG313" s="2">
        <f t="shared" si="47"/>
        <v>48425331.15965379</v>
      </c>
      <c r="BH313" s="11">
        <f t="shared" si="48"/>
        <v>1.1168840986246713</v>
      </c>
      <c r="BI313" s="12">
        <f t="shared" si="49"/>
        <v>4.1029572964124128E-4</v>
      </c>
      <c r="BJ313" s="12">
        <f t="shared" si="50"/>
        <v>4.5860415836740387E-3</v>
      </c>
      <c r="BK313" s="12">
        <f t="shared" si="51"/>
        <v>6.6715642984943369E-2</v>
      </c>
      <c r="BL313" s="5">
        <f t="shared" si="52"/>
        <v>0.11688409862467131</v>
      </c>
      <c r="BM313" s="19">
        <f t="shared" si="43"/>
        <v>4.3708209729416581E-2</v>
      </c>
      <c r="BN313" s="19">
        <f t="shared" si="42"/>
        <v>9.4500878181372094E-2</v>
      </c>
      <c r="BO313" s="19" t="s">
        <v>53</v>
      </c>
    </row>
    <row r="314" spans="1:67" x14ac:dyDescent="0.25">
      <c r="A314" s="1">
        <v>45553</v>
      </c>
      <c r="B314" s="1" t="str">
        <f t="shared" si="45"/>
        <v>202409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f>I313*(1+((1+VLOOKUP($B314,'IPCA Hist'!$B:$C,2,0))^12 - 1)+$I$2)^(1/252)</f>
        <v>207213810.08348402</v>
      </c>
      <c r="J314" s="2">
        <f>J313*(1+((1+VLOOKUP($B314,'IPCA Hist'!$B:$C,2,0))^12 - 1)+$J$2)^(1/252)</f>
        <v>131794271.64119622</v>
      </c>
      <c r="K314" s="2">
        <f>K313*(1+((1+VLOOKUP($B314,'IPCA Hist'!$B:$C,2,0))^12 - 1)+$K$2)^(1/252)</f>
        <v>19909011.454450909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f>Q313*(1+((1+VLOOKUP($B314,'IPCA Hist'!$B:$C,2,0))^12 - 1)+$Q$2)^(1/252)</f>
        <v>44677902.657183155</v>
      </c>
      <c r="R314" s="2">
        <f>R313*(1+((1+VLOOKUP($B314,'IPCA Hist'!$B:$C,2,0))^12 - 1)+$R$2)^(1/252)</f>
        <v>44662768.381745562</v>
      </c>
      <c r="S314" s="2">
        <f>S313*(1+((1+VLOOKUP($B314,'IPCA Hist'!$B:$C,2,0))^12 - 1)+$S$2)^(1/252)</f>
        <v>45672957.36150258</v>
      </c>
      <c r="T314" s="2">
        <f>T313*(1+((1+VLOOKUP($B314,'IPCA Hist'!$B:$C,2,0))^12 - 1)+$T$2)^(1/252)</f>
        <v>230682045.66078606</v>
      </c>
      <c r="U314" s="2">
        <f>U313*(1+((1+VLOOKUP($B314,'IPCA Hist'!$B:$C,2,0))^12 - 1)+$U$2)^(1/252)</f>
        <v>20136346.661948387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f>AF313*(1+((1+VLOOKUP($B314,'IGPM Hist'!$B:$C,2,0))^12 - 1)+$AF$2)^(1/252)</f>
        <v>1638037.9475683644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f t="shared" si="54"/>
        <v>106174695.45475169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f>BA313*(1+VLOOKUP(A314,'SELIC Hist'!$A:$C,3,0))^(1/252)</f>
        <v>14536558.274102321</v>
      </c>
      <c r="BB314" s="2">
        <f t="shared" si="44"/>
        <v>867098405.5787195</v>
      </c>
      <c r="BC314" s="2">
        <v>0</v>
      </c>
      <c r="BD314" s="2">
        <v>0</v>
      </c>
      <c r="BE314" s="2">
        <f t="shared" si="53"/>
        <v>355751.60174620152</v>
      </c>
      <c r="BF314" s="2">
        <f t="shared" si="46"/>
        <v>4312523.5346070528</v>
      </c>
      <c r="BG314" s="2">
        <f t="shared" si="47"/>
        <v>48781082.761399992</v>
      </c>
      <c r="BH314" s="11">
        <f t="shared" si="48"/>
        <v>1.1173425199394957</v>
      </c>
      <c r="BI314" s="12">
        <f t="shared" si="49"/>
        <v>4.1044663039691009E-4</v>
      </c>
      <c r="BJ314" s="12">
        <f t="shared" si="50"/>
        <v>4.998370539385899E-3</v>
      </c>
      <c r="BK314" s="12">
        <f t="shared" si="51"/>
        <v>6.7153472826198213E-2</v>
      </c>
      <c r="BL314" s="5">
        <f t="shared" si="52"/>
        <v>0.11734251993949574</v>
      </c>
      <c r="BM314" s="19">
        <f t="shared" si="43"/>
        <v>4.382761319861439E-2</v>
      </c>
      <c r="BN314" s="19">
        <f t="shared" si="42"/>
        <v>9.4593822705310693E-2</v>
      </c>
      <c r="BO314" s="19" t="s">
        <v>53</v>
      </c>
    </row>
    <row r="315" spans="1:67" x14ac:dyDescent="0.25">
      <c r="A315" s="1">
        <v>45554</v>
      </c>
      <c r="B315" s="1" t="str">
        <f t="shared" si="45"/>
        <v>202409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f>I314*(1+((1+VLOOKUP($B315,'IPCA Hist'!$B:$C,2,0))^12 - 1)+$I$2)^(1/252)</f>
        <v>207300297.55748409</v>
      </c>
      <c r="J315" s="2">
        <f>J314*(1+((1+VLOOKUP($B315,'IPCA Hist'!$B:$C,2,0))^12 - 1)+$J$2)^(1/252)</f>
        <v>131846967.38627836</v>
      </c>
      <c r="K315" s="2">
        <f>K314*(1+((1+VLOOKUP($B315,'IPCA Hist'!$B:$C,2,0))^12 - 1)+$K$2)^(1/252)</f>
        <v>19918015.334452484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f>Q314*(1+((1+VLOOKUP($B315,'IPCA Hist'!$B:$C,2,0))^12 - 1)+$Q$2)^(1/252)</f>
        <v>44695734.296295077</v>
      </c>
      <c r="R315" s="2">
        <f>R314*(1+((1+VLOOKUP($B315,'IPCA Hist'!$B:$C,2,0))^12 - 1)+$R$2)^(1/252)</f>
        <v>44680610.014003493</v>
      </c>
      <c r="S315" s="2">
        <f>S314*(1+((1+VLOOKUP($B315,'IPCA Hist'!$B:$C,2,0))^12 - 1)+$S$2)^(1/252)</f>
        <v>45691005.687463552</v>
      </c>
      <c r="T315" s="2">
        <f>T314*(1+((1+VLOOKUP($B315,'IPCA Hist'!$B:$C,2,0))^12 - 1)+$T$2)^(1/252)</f>
        <v>230773120.08669814</v>
      </c>
      <c r="U315" s="2">
        <f>U314*(1+((1+VLOOKUP($B315,'IPCA Hist'!$B:$C,2,0))^12 - 1)+$U$2)^(1/252)</f>
        <v>20145267.673446149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f>AF314*(1+((1+VLOOKUP($B315,'IGPM Hist'!$B:$C,2,0))^12 - 1)+$AF$2)^(1/252)</f>
        <v>1638889.095324473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f t="shared" si="54"/>
        <v>106221999.12427326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f>BA314*(1+VLOOKUP(A315,'SELIC Hist'!$A:$C,3,0))^(1/252)</f>
        <v>14542397.252163718</v>
      </c>
      <c r="BB315" s="2">
        <f t="shared" si="44"/>
        <v>867454303.50788295</v>
      </c>
      <c r="BC315" s="2">
        <v>0</v>
      </c>
      <c r="BD315" s="2">
        <v>0</v>
      </c>
      <c r="BE315" s="2">
        <f t="shared" si="53"/>
        <v>355897.92916345596</v>
      </c>
      <c r="BF315" s="2">
        <f t="shared" si="46"/>
        <v>4668421.4637705088</v>
      </c>
      <c r="BG315" s="2">
        <f t="shared" si="47"/>
        <v>49136980.690563448</v>
      </c>
      <c r="BH315" s="11">
        <f t="shared" si="48"/>
        <v>1.1178011298117481</v>
      </c>
      <c r="BI315" s="12">
        <f t="shared" si="49"/>
        <v>4.1044698833903048E-4</v>
      </c>
      <c r="BJ315" s="12">
        <f t="shared" si="50"/>
        <v>5.4108690938594606E-3</v>
      </c>
      <c r="BK315" s="12">
        <f t="shared" si="51"/>
        <v>6.7591482755215315E-2</v>
      </c>
      <c r="BL315" s="5">
        <f t="shared" si="52"/>
        <v>0.11780112981174806</v>
      </c>
      <c r="BM315" s="19">
        <f t="shared" si="43"/>
        <v>4.3891441162277056E-2</v>
      </c>
      <c r="BN315" s="19">
        <f t="shared" si="42"/>
        <v>9.4686773867963092E-2</v>
      </c>
      <c r="BO315" s="19" t="s">
        <v>53</v>
      </c>
    </row>
    <row r="316" spans="1:67" x14ac:dyDescent="0.25">
      <c r="A316" s="1">
        <v>45555</v>
      </c>
      <c r="B316" s="1" t="str">
        <f t="shared" si="45"/>
        <v>202409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f>I315*(1+((1+VLOOKUP($B316,'IPCA Hist'!$B:$C,2,0))^12 - 1)+$I$2)^(1/252)</f>
        <v>207386821.12986562</v>
      </c>
      <c r="J316" s="2">
        <f>J315*(1+((1+VLOOKUP($B316,'IPCA Hist'!$B:$C,2,0))^12 - 1)+$J$2)^(1/252)</f>
        <v>131899684.20087676</v>
      </c>
      <c r="K316" s="2">
        <f>K315*(1+((1+VLOOKUP($B316,'IPCA Hist'!$B:$C,2,0))^12 - 1)+$K$2)^(1/252)</f>
        <v>19927023.28647216</v>
      </c>
      <c r="L316" s="2">
        <v>12129757.0744</v>
      </c>
      <c r="M316" s="2">
        <v>0</v>
      </c>
      <c r="N316" s="2">
        <v>0</v>
      </c>
      <c r="O316" s="2">
        <v>0</v>
      </c>
      <c r="P316" s="2">
        <v>0</v>
      </c>
      <c r="Q316" s="2">
        <f>Q315*(1+((1+VLOOKUP($B316,'IPCA Hist'!$B:$C,2,0))^12 - 1)+$Q$2)^(1/252)</f>
        <v>44713573.052288823</v>
      </c>
      <c r="R316" s="2">
        <f>R315*(1+((1+VLOOKUP($B316,'IPCA Hist'!$B:$C,2,0))^12 - 1)+$R$2)^(1/252)</f>
        <v>44698458.773536623</v>
      </c>
      <c r="S316" s="2">
        <f>S315*(1+((1+VLOOKUP($B316,'IPCA Hist'!$B:$C,2,0))^12 - 1)+$S$2)^(1/252)</f>
        <v>45709061.145480096</v>
      </c>
      <c r="T316" s="2">
        <f>T315*(1+((1+VLOOKUP($B316,'IPCA Hist'!$B:$C,2,0))^12 - 1)+$T$2)^(1/252)</f>
        <v>230864230.46924928</v>
      </c>
      <c r="U316" s="2">
        <f>U315*(1+((1+VLOOKUP($B316,'IPCA Hist'!$B:$C,2,0))^12 - 1)+$U$2)^(1/252)</f>
        <v>20154192.637222223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f>AF315*(1+((1+VLOOKUP($B316,'IGPM Hist'!$B:$C,2,0))^12 - 1)+$AF$2)^(1/252)</f>
        <v>1639740.6853490307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f t="shared" si="54"/>
        <v>106269323.86884609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f>BA315*(1+VLOOKUP(A316,'SELIC Hist'!$A:$C,3,0))^(1/252) - L316</f>
        <v>2418481.5011990424</v>
      </c>
      <c r="BB316" s="2">
        <f t="shared" si="44"/>
        <v>867810347.82478559</v>
      </c>
      <c r="BC316" s="2">
        <v>0</v>
      </c>
      <c r="BD316" s="2">
        <v>0</v>
      </c>
      <c r="BE316" s="2">
        <f t="shared" si="53"/>
        <v>356044.31690263748</v>
      </c>
      <c r="BF316" s="2">
        <f t="shared" si="46"/>
        <v>5024465.7806731462</v>
      </c>
      <c r="BG316" s="2">
        <f t="shared" si="47"/>
        <v>49493025.007466085</v>
      </c>
      <c r="BH316" s="11">
        <f t="shared" si="48"/>
        <v>1.1182599283191592</v>
      </c>
      <c r="BI316" s="12">
        <f t="shared" si="49"/>
        <v>4.1044734629003266E-4</v>
      </c>
      <c r="BJ316" s="12">
        <f t="shared" si="50"/>
        <v>5.8235373170101301E-3</v>
      </c>
      <c r="BK316" s="12">
        <f t="shared" si="51"/>
        <v>6.8029672846233957E-2</v>
      </c>
      <c r="BL316" s="5">
        <f t="shared" si="52"/>
        <v>0.11825992831915921</v>
      </c>
      <c r="BM316" s="19">
        <f t="shared" si="43"/>
        <v>4.3945697552143281E-2</v>
      </c>
      <c r="BN316" s="19">
        <f t="shared" si="42"/>
        <v>9.4780716793274378E-2</v>
      </c>
      <c r="BO316" s="19" t="s">
        <v>53</v>
      </c>
    </row>
    <row r="317" spans="1:67" x14ac:dyDescent="0.25">
      <c r="A317" s="1">
        <v>45558</v>
      </c>
      <c r="B317" s="1" t="str">
        <f t="shared" si="45"/>
        <v>202409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f>I316*(1+((1+VLOOKUP($B317,'IPCA Hist'!$B:$C,2,0))^12 - 1)+$I$2)^(1/252)</f>
        <v>207473380.81569543</v>
      </c>
      <c r="J317" s="2">
        <f>J316*(1+((1+VLOOKUP($B317,'IPCA Hist'!$B:$C,2,0))^12 - 1)+$J$2)^(1/252)</f>
        <v>131952422.09341571</v>
      </c>
      <c r="K317" s="2">
        <f>K316*(1+((1+VLOOKUP($B317,'IPCA Hist'!$B:$C,2,0))^12 - 1)+$K$2)^(1/252)</f>
        <v>19936035.312351517</v>
      </c>
      <c r="L317" s="2">
        <f>L316*(1+((1+VLOOKUP($B317,'IPCA Hist'!$B:$C,2,0))^12 - 1)+$L$2)^(1/252)</f>
        <v>12135290.448061951</v>
      </c>
      <c r="M317" s="2">
        <v>0</v>
      </c>
      <c r="N317" s="2">
        <v>0</v>
      </c>
      <c r="O317" s="2">
        <v>0</v>
      </c>
      <c r="P317" s="2">
        <v>0</v>
      </c>
      <c r="Q317" s="2">
        <f>Q316*(1+((1+VLOOKUP($B317,'IPCA Hist'!$B:$C,2,0))^12 - 1)+$Q$2)^(1/252)</f>
        <v>44731418.928004846</v>
      </c>
      <c r="R317" s="2">
        <f>R316*(1+((1+VLOOKUP($B317,'IPCA Hist'!$B:$C,2,0))^12 - 1)+$R$2)^(1/252)</f>
        <v>44716314.663192123</v>
      </c>
      <c r="S317" s="2">
        <f>S316*(1+((1+VLOOKUP($B317,'IPCA Hist'!$B:$C,2,0))^12 - 1)+$S$2)^(1/252)</f>
        <v>45727123.738370545</v>
      </c>
      <c r="T317" s="2">
        <f>T316*(1+((1+VLOOKUP($B317,'IPCA Hist'!$B:$C,2,0))^12 - 1)+$T$2)^(1/252)</f>
        <v>230955376.82263535</v>
      </c>
      <c r="U317" s="2">
        <f>U316*(1+((1+VLOOKUP($B317,'IPCA Hist'!$B:$C,2,0))^12 - 1)+$U$2)^(1/252)</f>
        <v>20163121.555027585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f>AF316*(1+((1+VLOOKUP($B317,'IGPM Hist'!$B:$C,2,0))^12 - 1)+$AF$2)^(1/252)</f>
        <v>1640592.7178718466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f t="shared" si="54"/>
        <v>106316669.69785969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f>BA316*(1+VLOOKUP(A317,'SELIC Hist'!$A:$C,3,0))^(1/252)</f>
        <v>2419452.9457570403</v>
      </c>
      <c r="BB317" s="2">
        <f t="shared" si="44"/>
        <v>868167199.7382437</v>
      </c>
      <c r="BC317" s="2">
        <v>0</v>
      </c>
      <c r="BD317" s="2">
        <v>0</v>
      </c>
      <c r="BE317" s="2">
        <f t="shared" si="53"/>
        <v>356851.9134581089</v>
      </c>
      <c r="BF317" s="2">
        <f t="shared" si="46"/>
        <v>5381317.6941312551</v>
      </c>
      <c r="BG317" s="2">
        <f t="shared" si="47"/>
        <v>49849876.920924194</v>
      </c>
      <c r="BH317" s="11">
        <f t="shared" si="48"/>
        <v>1.1187197674950395</v>
      </c>
      <c r="BI317" s="12">
        <f t="shared" si="49"/>
        <v>4.112095624955181E-4</v>
      </c>
      <c r="BJ317" s="12">
        <f t="shared" si="50"/>
        <v>6.2371415737378921E-3</v>
      </c>
      <c r="BK317" s="12">
        <f t="shared" si="51"/>
        <v>6.8468856860737226E-2</v>
      </c>
      <c r="BL317" s="5">
        <f t="shared" si="52"/>
        <v>0.11871976749503954</v>
      </c>
      <c r="BM317" s="19">
        <f t="shared" si="43"/>
        <v>4.4192171831448412E-2</v>
      </c>
      <c r="BN317" s="19">
        <f t="shared" si="42"/>
        <v>9.4875500631101284E-2</v>
      </c>
      <c r="BO317" s="19" t="s">
        <v>53</v>
      </c>
    </row>
    <row r="318" spans="1:67" x14ac:dyDescent="0.25">
      <c r="A318" s="1">
        <v>45559</v>
      </c>
      <c r="B318" s="1" t="str">
        <f t="shared" si="45"/>
        <v>202409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f>I317*(1+((1+VLOOKUP($B318,'IPCA Hist'!$B:$C,2,0))^12 - 1)+$I$2)^(1/252)</f>
        <v>207559976.6300467</v>
      </c>
      <c r="J318" s="2">
        <f>J317*(1+((1+VLOOKUP($B318,'IPCA Hist'!$B:$C,2,0))^12 - 1)+$J$2)^(1/252)</f>
        <v>132005181.07232289</v>
      </c>
      <c r="K318" s="2">
        <f>K317*(1+((1+VLOOKUP($B318,'IPCA Hist'!$B:$C,2,0))^12 - 1)+$K$2)^(1/252)</f>
        <v>19945051.413932964</v>
      </c>
      <c r="L318" s="2">
        <f>L317*(1+((1+VLOOKUP($B318,'IPCA Hist'!$B:$C,2,0))^12 - 1)+$L$2)^(1/252)</f>
        <v>12140826.345947914</v>
      </c>
      <c r="M318" s="2">
        <v>0</v>
      </c>
      <c r="N318" s="2">
        <v>0</v>
      </c>
      <c r="O318" s="2">
        <v>0</v>
      </c>
      <c r="P318" s="2">
        <v>0</v>
      </c>
      <c r="Q318" s="2">
        <f>Q317*(1+((1+VLOOKUP($B318,'IPCA Hist'!$B:$C,2,0))^12 - 1)+$Q$2)^(1/252)</f>
        <v>44749271.926284745</v>
      </c>
      <c r="R318" s="2">
        <f>R317*(1+((1+VLOOKUP($B318,'IPCA Hist'!$B:$C,2,0))^12 - 1)+$R$2)^(1/252)</f>
        <v>44734177.685818292</v>
      </c>
      <c r="S318" s="2">
        <f>S317*(1+((1+VLOOKUP($B318,'IPCA Hist'!$B:$C,2,0))^12 - 1)+$S$2)^(1/252)</f>
        <v>45745193.468954347</v>
      </c>
      <c r="T318" s="2">
        <f>T317*(1+((1+VLOOKUP($B318,'IPCA Hist'!$B:$C,2,0))^12 - 1)+$T$2)^(1/252)</f>
        <v>231046559.16105783</v>
      </c>
      <c r="U318" s="2">
        <f>U317*(1+((1+VLOOKUP($B318,'IPCA Hist'!$B:$C,2,0))^12 - 1)+$U$2)^(1/252)</f>
        <v>20172054.428613991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f>AF317*(1+((1+VLOOKUP($B318,'IGPM Hist'!$B:$C,2,0))^12 - 1)+$AF$2)^(1/252)</f>
        <v>1641445.1931228489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f t="shared" si="54"/>
        <v>106364036.62070774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f>BA317*(1+VLOOKUP(A318,'SELIC Hist'!$A:$C,3,0))^(1/252)</f>
        <v>2420424.7805204331</v>
      </c>
      <c r="BB318" s="2">
        <f t="shared" si="44"/>
        <v>868524198.7273308</v>
      </c>
      <c r="BC318" s="2">
        <v>0</v>
      </c>
      <c r="BD318" s="2">
        <v>0</v>
      </c>
      <c r="BE318" s="2">
        <f t="shared" si="53"/>
        <v>356998.9890871048</v>
      </c>
      <c r="BF318" s="2">
        <f t="shared" si="46"/>
        <v>5738316.6832183599</v>
      </c>
      <c r="BG318" s="2">
        <f t="shared" si="47"/>
        <v>50206875.910011299</v>
      </c>
      <c r="BH318" s="11">
        <f t="shared" si="48"/>
        <v>1.119179796192493</v>
      </c>
      <c r="BI318" s="12">
        <f t="shared" si="49"/>
        <v>4.1120994803156563E-4</v>
      </c>
      <c r="BJ318" s="12">
        <f t="shared" si="50"/>
        <v>6.6509162964318858E-3</v>
      </c>
      <c r="BK318" s="12">
        <f t="shared" si="51"/>
        <v>6.8908221883840381E-2</v>
      </c>
      <c r="BL318" s="5">
        <f t="shared" si="52"/>
        <v>0.11917979619249297</v>
      </c>
      <c r="BM318" s="19">
        <f t="shared" si="43"/>
        <v>4.4567641527295088E-2</v>
      </c>
      <c r="BN318" s="19">
        <f t="shared" si="42"/>
        <v>9.4970291758568859E-2</v>
      </c>
      <c r="BO318" s="19" t="s">
        <v>53</v>
      </c>
    </row>
    <row r="319" spans="1:67" x14ac:dyDescent="0.25">
      <c r="A319" s="1">
        <v>45560</v>
      </c>
      <c r="B319" s="1" t="str">
        <f t="shared" si="45"/>
        <v>202409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f>I318*(1+((1+VLOOKUP($B319,'IPCA Hist'!$B:$C,2,0))^12 - 1)+$I$2)^(1/252)</f>
        <v>207646608.58799881</v>
      </c>
      <c r="J319" s="2">
        <f>J318*(1+((1+VLOOKUP($B319,'IPCA Hist'!$B:$C,2,0))^12 - 1)+$J$2)^(1/252)</f>
        <v>132057961.14602932</v>
      </c>
      <c r="K319" s="2">
        <f>K318*(1+((1+VLOOKUP($B319,'IPCA Hist'!$B:$C,2,0))^12 - 1)+$K$2)^(1/252)</f>
        <v>19954071.593059745</v>
      </c>
      <c r="L319" s="2">
        <f>L318*(1+((1+VLOOKUP($B319,'IPCA Hist'!$B:$C,2,0))^12 - 1)+$L$2)^(1/252)</f>
        <v>12146364.769209396</v>
      </c>
      <c r="M319" s="2">
        <v>0</v>
      </c>
      <c r="N319" s="2">
        <v>0</v>
      </c>
      <c r="O319" s="2">
        <v>0</v>
      </c>
      <c r="P319" s="2">
        <v>0</v>
      </c>
      <c r="Q319" s="2">
        <f>Q318*(1+((1+VLOOKUP($B319,'IPCA Hist'!$B:$C,2,0))^12 - 1)+$Q$2)^(1/252)</f>
        <v>44767132.049971245</v>
      </c>
      <c r="R319" s="2">
        <f>R318*(1+((1+VLOOKUP($B319,'IPCA Hist'!$B:$C,2,0))^12 - 1)+$R$2)^(1/252)</f>
        <v>44752047.844264567</v>
      </c>
      <c r="S319" s="2">
        <f>S318*(1+((1+VLOOKUP($B319,'IPCA Hist'!$B:$C,2,0))^12 - 1)+$S$2)^(1/252)</f>
        <v>45763270.340052068</v>
      </c>
      <c r="T319" s="2">
        <f>T318*(1+((1+VLOOKUP($B319,'IPCA Hist'!$B:$C,2,0))^12 - 1)+$T$2)^(1/252)</f>
        <v>231137777.49872378</v>
      </c>
      <c r="U319" s="2">
        <f>U318*(1+((1+VLOOKUP($B319,'IPCA Hist'!$B:$C,2,0))^12 - 1)+$U$2)^(1/252)</f>
        <v>20180991.259733971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f>AF318*(1+((1+VLOOKUP($B319,'IGPM Hist'!$B:$C,2,0))^12 - 1)+$AF$2)^(1/252)</f>
        <v>1642298.1113320854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f t="shared" si="54"/>
        <v>106411424.64678811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f>BA318*(1+VLOOKUP(A319,'SELIC Hist'!$A:$C,3,0))^(1/252)</f>
        <v>2421397.0056459564</v>
      </c>
      <c r="BB319" s="2">
        <f t="shared" si="44"/>
        <v>868881344.85280895</v>
      </c>
      <c r="BC319" s="2">
        <v>0</v>
      </c>
      <c r="BD319" s="2">
        <v>0</v>
      </c>
      <c r="BE319" s="2">
        <f t="shared" si="53"/>
        <v>357146.12547814846</v>
      </c>
      <c r="BF319" s="2">
        <f t="shared" si="46"/>
        <v>6095462.8086965084</v>
      </c>
      <c r="BG319" s="2">
        <f t="shared" si="47"/>
        <v>50564022.035489447</v>
      </c>
      <c r="BH319" s="11">
        <f t="shared" si="48"/>
        <v>1.1196400144898175</v>
      </c>
      <c r="BI319" s="12">
        <f t="shared" si="49"/>
        <v>4.1121033357671699E-4</v>
      </c>
      <c r="BJ319" s="12">
        <f t="shared" si="50"/>
        <v>7.0648615555175542E-3</v>
      </c>
      <c r="BK319" s="12">
        <f t="shared" si="51"/>
        <v>6.934776799032405E-2</v>
      </c>
      <c r="BL319" s="5">
        <f t="shared" si="52"/>
        <v>0.11964001448981754</v>
      </c>
      <c r="BM319" s="19">
        <f t="shared" si="43"/>
        <v>4.4573770907676558E-2</v>
      </c>
      <c r="BN319" s="19">
        <f t="shared" si="42"/>
        <v>9.5065090175976641E-2</v>
      </c>
      <c r="BO319" s="19" t="s">
        <v>53</v>
      </c>
    </row>
    <row r="320" spans="1:67" x14ac:dyDescent="0.25">
      <c r="A320" s="1">
        <v>45561</v>
      </c>
      <c r="B320" s="1" t="str">
        <f t="shared" si="45"/>
        <v>202409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f>I319*(1+((1+VLOOKUP($B320,'IPCA Hist'!$B:$C,2,0))^12 - 1)+$I$2)^(1/252)</f>
        <v>207733276.70463747</v>
      </c>
      <c r="J320" s="2">
        <f>J319*(1+((1+VLOOKUP($B320,'IPCA Hist'!$B:$C,2,0))^12 - 1)+$J$2)^(1/252)</f>
        <v>132110762.32296942</v>
      </c>
      <c r="K320" s="2">
        <f>K319*(1+((1+VLOOKUP($B320,'IPCA Hist'!$B:$C,2,0))^12 - 1)+$K$2)^(1/252)</f>
        <v>19963095.851575933</v>
      </c>
      <c r="L320" s="2">
        <f>L319*(1+((1+VLOOKUP($B320,'IPCA Hist'!$B:$C,2,0))^12 - 1)+$L$2)^(1/252)</f>
        <v>12151905.718998427</v>
      </c>
      <c r="M320" s="2">
        <v>0</v>
      </c>
      <c r="N320" s="2">
        <v>0</v>
      </c>
      <c r="O320" s="2">
        <v>0</v>
      </c>
      <c r="P320" s="2">
        <v>0</v>
      </c>
      <c r="Q320" s="2">
        <f>Q319*(1+((1+VLOOKUP($B320,'IPCA Hist'!$B:$C,2,0))^12 - 1)+$Q$2)^(1/252)</f>
        <v>44784999.301908202</v>
      </c>
      <c r="R320" s="2">
        <f>R319*(1+((1+VLOOKUP($B320,'IPCA Hist'!$B:$C,2,0))^12 - 1)+$R$2)^(1/252)</f>
        <v>44769925.141381532</v>
      </c>
      <c r="S320" s="2">
        <f>S319*(1+((1+VLOOKUP($B320,'IPCA Hist'!$B:$C,2,0))^12 - 1)+$S$2)^(1/252)</f>
        <v>45781354.354485378</v>
      </c>
      <c r="T320" s="2">
        <f>T319*(1+((1+VLOOKUP($B320,'IPCA Hist'!$B:$C,2,0))^12 - 1)+$T$2)^(1/252)</f>
        <v>231229031.84984586</v>
      </c>
      <c r="U320" s="2">
        <f>U319*(1+((1+VLOOKUP($B320,'IPCA Hist'!$B:$C,2,0))^12 - 1)+$U$2)^(1/252)</f>
        <v>20189932.050140832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f>AF319*(1+((1+VLOOKUP($B320,'IGPM Hist'!$B:$C,2,0))^12 - 1)+$AF$2)^(1/252)</f>
        <v>1643151.4727297239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f t="shared" si="54"/>
        <v>106458833.78550285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f>BA319*(1+VLOOKUP(A320,'SELIC Hist'!$A:$C,3,0))^(1/252)</f>
        <v>2422369.6212904095</v>
      </c>
      <c r="BB320" s="2">
        <f t="shared" si="44"/>
        <v>869238638.17546606</v>
      </c>
      <c r="BC320" s="2">
        <v>0</v>
      </c>
      <c r="BD320" s="2">
        <v>0</v>
      </c>
      <c r="BE320" s="2">
        <f t="shared" si="53"/>
        <v>357293.32265710831</v>
      </c>
      <c r="BF320" s="2">
        <f t="shared" si="46"/>
        <v>6452756.1313536167</v>
      </c>
      <c r="BG320" s="2">
        <f t="shared" si="47"/>
        <v>50921315.358146556</v>
      </c>
      <c r="BH320" s="11">
        <f t="shared" si="48"/>
        <v>1.1201004224653448</v>
      </c>
      <c r="BI320" s="12">
        <f t="shared" si="49"/>
        <v>4.1121071913186036E-4</v>
      </c>
      <c r="BJ320" s="12">
        <f t="shared" si="50"/>
        <v>7.4789774214503169E-3</v>
      </c>
      <c r="BK320" s="12">
        <f t="shared" si="51"/>
        <v>6.9787495255001497E-2</v>
      </c>
      <c r="BL320" s="5">
        <f t="shared" si="52"/>
        <v>0.1201004224653448</v>
      </c>
      <c r="BM320" s="19">
        <f t="shared" si="43"/>
        <v>4.5991231456087522E-2</v>
      </c>
      <c r="BN320" s="19">
        <f t="shared" ref="BN320:BN383" si="55">BH320/BH68 - 1</f>
        <v>9.5159895883624168E-2</v>
      </c>
      <c r="BO320" s="19" t="s">
        <v>53</v>
      </c>
    </row>
    <row r="321" spans="1:67" x14ac:dyDescent="0.25">
      <c r="A321" s="1">
        <v>45562</v>
      </c>
      <c r="B321" s="1" t="str">
        <f t="shared" si="45"/>
        <v>202409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f>I320*(1+((1+VLOOKUP($B321,'IPCA Hist'!$B:$C,2,0))^12 - 1)+$I$2)^(1/252)</f>
        <v>207819980.99505472</v>
      </c>
      <c r="J321" s="2">
        <f>J320*(1+((1+VLOOKUP($B321,'IPCA Hist'!$B:$C,2,0))^12 - 1)+$J$2)^(1/252)</f>
        <v>132163584.61158095</v>
      </c>
      <c r="K321" s="2">
        <f>K320*(1+((1+VLOOKUP($B321,'IPCA Hist'!$B:$C,2,0))^12 - 1)+$K$2)^(1/252)</f>
        <v>19972124.191326439</v>
      </c>
      <c r="L321" s="2">
        <f>L320*(1+((1+VLOOKUP($B321,'IPCA Hist'!$B:$C,2,0))^12 - 1)+$L$2)^(1/252)</f>
        <v>12157449.196467562</v>
      </c>
      <c r="M321" s="2">
        <v>0</v>
      </c>
      <c r="N321" s="2">
        <v>0</v>
      </c>
      <c r="O321" s="2">
        <v>0</v>
      </c>
      <c r="P321" s="2">
        <v>0</v>
      </c>
      <c r="Q321" s="2">
        <f>Q320*(1+((1+VLOOKUP($B321,'IPCA Hist'!$B:$C,2,0))^12 - 1)+$Q$2)^(1/252)</f>
        <v>44802873.684940614</v>
      </c>
      <c r="R321" s="2">
        <f>R320*(1+((1+VLOOKUP($B321,'IPCA Hist'!$B:$C,2,0))^12 - 1)+$R$2)^(1/252)</f>
        <v>44787809.580020897</v>
      </c>
      <c r="S321" s="2">
        <f>S320*(1+((1+VLOOKUP($B321,'IPCA Hist'!$B:$C,2,0))^12 - 1)+$S$2)^(1/252)</f>
        <v>45799445.515077069</v>
      </c>
      <c r="T321" s="2">
        <f>T320*(1+((1+VLOOKUP($B321,'IPCA Hist'!$B:$C,2,0))^12 - 1)+$T$2)^(1/252)</f>
        <v>231320322.22864237</v>
      </c>
      <c r="U321" s="2">
        <f>U320*(1+((1+VLOOKUP($B321,'IPCA Hist'!$B:$C,2,0))^12 - 1)+$U$2)^(1/252)</f>
        <v>20198876.801588658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f>AF320*(1+((1+VLOOKUP($B321,'IGPM Hist'!$B:$C,2,0))^12 - 1)+$AF$2)^(1/252)</f>
        <v>1644005.277546051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f t="shared" si="54"/>
        <v>106506264.04625821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f>BA320*(1+VLOOKUP(A321,'SELIC Hist'!$A:$C,3,0))^(1/252)</f>
        <v>2423342.6276106541</v>
      </c>
      <c r="BB321" s="2">
        <f t="shared" si="44"/>
        <v>869596078.75611424</v>
      </c>
      <c r="BC321" s="2">
        <v>0</v>
      </c>
      <c r="BD321" s="2">
        <v>0</v>
      </c>
      <c r="BE321" s="2">
        <f t="shared" si="53"/>
        <v>357440.58064818382</v>
      </c>
      <c r="BF321" s="2">
        <f t="shared" si="46"/>
        <v>6810196.7120018005</v>
      </c>
      <c r="BG321" s="2">
        <f t="shared" si="47"/>
        <v>51278755.93879474</v>
      </c>
      <c r="BH321" s="11">
        <f t="shared" si="48"/>
        <v>1.1205610201974365</v>
      </c>
      <c r="BI321" s="12">
        <f t="shared" si="49"/>
        <v>4.1121110469544142E-4</v>
      </c>
      <c r="BJ321" s="12">
        <f t="shared" si="50"/>
        <v>7.8932639647131264E-3</v>
      </c>
      <c r="BK321" s="12">
        <f t="shared" si="51"/>
        <v>7.0227403752714634E-2</v>
      </c>
      <c r="BL321" s="5">
        <f t="shared" si="52"/>
        <v>0.12056102019743653</v>
      </c>
      <c r="BM321" s="19">
        <f t="shared" si="43"/>
        <v>4.4679819861621617E-2</v>
      </c>
      <c r="BN321" s="19">
        <f t="shared" si="55"/>
        <v>9.9388551831379734E-2</v>
      </c>
      <c r="BO321" s="19" t="s">
        <v>53</v>
      </c>
    </row>
    <row r="322" spans="1:67" x14ac:dyDescent="0.25">
      <c r="A322" s="1">
        <v>45565</v>
      </c>
      <c r="B322" s="1" t="str">
        <f t="shared" si="45"/>
        <v>202409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f>I321*(1+((1+VLOOKUP($B322,'IPCA Hist'!$B:$C,2,0))^12 - 1)+$I$2)^(1/252)</f>
        <v>207906721.47434887</v>
      </c>
      <c r="J322" s="2">
        <f>J321*(1+((1+VLOOKUP($B322,'IPCA Hist'!$B:$C,2,0))^12 - 1)+$J$2)^(1/252)</f>
        <v>132216428.02030507</v>
      </c>
      <c r="K322" s="2">
        <f>K321*(1+((1+VLOOKUP($B322,'IPCA Hist'!$B:$C,2,0))^12 - 1)+$K$2)^(1/252)</f>
        <v>19981156.614157006</v>
      </c>
      <c r="L322" s="2">
        <f>L321*(1+((1+VLOOKUP($B322,'IPCA Hist'!$B:$C,2,0))^12 - 1)+$L$2)^(1/252)</f>
        <v>12162995.202769881</v>
      </c>
      <c r="M322" s="2">
        <v>0</v>
      </c>
      <c r="N322" s="2">
        <v>0</v>
      </c>
      <c r="O322" s="2">
        <v>0</v>
      </c>
      <c r="P322" s="2">
        <v>0</v>
      </c>
      <c r="Q322" s="2">
        <f>Q321*(1+((1+VLOOKUP($B322,'IPCA Hist'!$B:$C,2,0))^12 - 1)+$Q$2)^(1/252)</f>
        <v>44820755.201914608</v>
      </c>
      <c r="R322" s="2">
        <f>R321*(1+((1+VLOOKUP($B322,'IPCA Hist'!$B:$C,2,0))^12 - 1)+$R$2)^(1/252)</f>
        <v>44805701.163035519</v>
      </c>
      <c r="S322" s="2">
        <f>S321*(1+((1+VLOOKUP($B322,'IPCA Hist'!$B:$C,2,0))^12 - 1)+$S$2)^(1/252)</f>
        <v>45817543.824651055</v>
      </c>
      <c r="T322" s="2">
        <f>T321*(1+((1+VLOOKUP($B322,'IPCA Hist'!$B:$C,2,0))^12 - 1)+$T$2)^(1/252)</f>
        <v>231411648.64933723</v>
      </c>
      <c r="U322" s="2">
        <f>U321*(1+((1+VLOOKUP($B322,'IPCA Hist'!$B:$C,2,0))^12 - 1)+$U$2)^(1/252)</f>
        <v>20207825.515832309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f>AF321*(1+((1+VLOOKUP($B322,'IGPM Hist'!$B:$C,2,0))^12 - 1)+$AF$2)^(1/252)</f>
        <v>1644859.5260114735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f t="shared" si="54"/>
        <v>106553715.43846463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f>BA321*(1+VLOOKUP(A322,'SELIC Hist'!$A:$C,3,0))^(1/252)</f>
        <v>2424316.0247636153</v>
      </c>
      <c r="BB322" s="2">
        <f t="shared" si="44"/>
        <v>869953666.65559125</v>
      </c>
      <c r="BC322" s="2">
        <v>0</v>
      </c>
      <c r="BD322" s="2">
        <v>0</v>
      </c>
      <c r="BE322" s="2">
        <f t="shared" si="53"/>
        <v>357587.899477005</v>
      </c>
      <c r="BF322" s="2">
        <f t="shared" si="46"/>
        <v>7167784.6114788055</v>
      </c>
      <c r="BG322" s="2">
        <f t="shared" si="47"/>
        <v>51636343.838271745</v>
      </c>
      <c r="BH322" s="11">
        <f t="shared" si="48"/>
        <v>1.1210218077644889</v>
      </c>
      <c r="BI322" s="12">
        <f t="shared" si="49"/>
        <v>4.112114902685704E-4</v>
      </c>
      <c r="BJ322" s="12">
        <f t="shared" si="50"/>
        <v>8.3077212558197999E-3</v>
      </c>
      <c r="BK322" s="12">
        <f t="shared" si="51"/>
        <v>7.0667493558338013E-2</v>
      </c>
      <c r="BL322" s="5">
        <f t="shared" si="52"/>
        <v>0.1210218077644889</v>
      </c>
      <c r="BM322" s="19">
        <f t="shared" ref="BM322:BM385" si="56">BH322/BH196 - 1</f>
        <v>4.4682733477300562E-2</v>
      </c>
      <c r="BN322" s="19">
        <f t="shared" si="55"/>
        <v>9.7106340877631592E-2</v>
      </c>
      <c r="BO322" s="19" t="s">
        <v>53</v>
      </c>
    </row>
    <row r="323" spans="1:67" x14ac:dyDescent="0.25">
      <c r="A323" s="1">
        <v>45566</v>
      </c>
      <c r="B323" s="1" t="str">
        <f t="shared" si="45"/>
        <v>202410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f>I322*(1+((1+VLOOKUP($B323,'IPCA Hist'!$B:$C,2,0))^12 - 1)+$I$2)^(1/252)</f>
        <v>208004724.19424194</v>
      </c>
      <c r="J323" s="2">
        <f>J322*(1+((1+VLOOKUP($B323,'IPCA Hist'!$B:$C,2,0))^12 - 1)+$J$2)^(1/252)</f>
        <v>132276462.94490129</v>
      </c>
      <c r="K323" s="2">
        <f>K322*(1+((1+VLOOKUP($B323,'IPCA Hist'!$B:$C,2,0))^12 - 1)+$K$2)^(1/252)</f>
        <v>19991262.681152895</v>
      </c>
      <c r="L323" s="2">
        <f>L322*(1+((1+VLOOKUP($B323,'IPCA Hist'!$B:$C,2,0))^12 - 1)+$L$2)^(1/252)</f>
        <v>12169194.167305693</v>
      </c>
      <c r="M323" s="2">
        <v>0</v>
      </c>
      <c r="N323" s="2">
        <v>0</v>
      </c>
      <c r="O323" s="2">
        <v>0</v>
      </c>
      <c r="P323" s="2">
        <v>0</v>
      </c>
      <c r="Q323" s="2">
        <f>Q322*(1+((1+VLOOKUP($B323,'IPCA Hist'!$B:$C,2,0))^12 - 1)+$Q$2)^(1/252)</f>
        <v>44841075.018599331</v>
      </c>
      <c r="R323" s="2">
        <f>R322*(1+((1+VLOOKUP($B323,'IPCA Hist'!$B:$C,2,0))^12 - 1)+$R$2)^(1/252)</f>
        <v>44826030.022237629</v>
      </c>
      <c r="S323" s="2">
        <f>S322*(1+((1+VLOOKUP($B323,'IPCA Hist'!$B:$C,2,0))^12 - 1)+$S$2)^(1/252)</f>
        <v>45838136.964745805</v>
      </c>
      <c r="T323" s="2">
        <f>T322*(1+((1+VLOOKUP($B323,'IPCA Hist'!$B:$C,2,0))^12 - 1)+$T$2)^(1/252)</f>
        <v>231515576.8235139</v>
      </c>
      <c r="U323" s="2">
        <f>U322*(1+((1+VLOOKUP($B323,'IPCA Hist'!$B:$C,2,0))^12 - 1)+$U$2)^(1/252)</f>
        <v>20217862.375611421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f>AF322*(1+((1+VLOOKUP($B323,'IGPM Hist'!$B:$C,2,0))^12 - 1)+$AF$2)^(1/252)</f>
        <v>1646374.7109823329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f t="shared" si="54"/>
        <v>106601187.97153673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f>BA322*(1+VLOOKUP(A323,'SELIC Hist'!$A:$C,3,0))^(1/252)</f>
        <v>2425289.8129062806</v>
      </c>
      <c r="BB323" s="2">
        <f t="shared" ref="BB323:BB386" si="57">SUM(C323:BA323)</f>
        <v>870353177.68773532</v>
      </c>
      <c r="BC323" s="2">
        <v>0</v>
      </c>
      <c r="BD323" s="2">
        <v>0</v>
      </c>
      <c r="BE323" s="2">
        <f t="shared" si="53"/>
        <v>399511.03214406967</v>
      </c>
      <c r="BF323" s="2">
        <f t="shared" si="46"/>
        <v>399511.03214406967</v>
      </c>
      <c r="BG323" s="2">
        <f t="shared" si="47"/>
        <v>52035854.870415814</v>
      </c>
      <c r="BH323" s="11">
        <f t="shared" si="48"/>
        <v>1.1215366174568231</v>
      </c>
      <c r="BI323" s="12">
        <f t="shared" si="49"/>
        <v>4.5923254014201831E-4</v>
      </c>
      <c r="BJ323" s="12">
        <f t="shared" si="50"/>
        <v>4.5923254014201831E-4</v>
      </c>
      <c r="BK323" s="12">
        <f t="shared" si="51"/>
        <v>7.115917891105239E-2</v>
      </c>
      <c r="BL323" s="5">
        <f t="shared" si="52"/>
        <v>0.12153661745682309</v>
      </c>
      <c r="BM323" s="19">
        <f t="shared" si="56"/>
        <v>4.4728400151580638E-2</v>
      </c>
      <c r="BN323" s="19">
        <f t="shared" si="55"/>
        <v>9.6754774962152013E-2</v>
      </c>
      <c r="BO323" s="19" t="s">
        <v>53</v>
      </c>
    </row>
    <row r="324" spans="1:67" x14ac:dyDescent="0.25">
      <c r="A324" s="1">
        <v>45567</v>
      </c>
      <c r="B324" s="1" t="str">
        <f t="shared" ref="B324:B387" si="58">_xlfn.CONCAT(TEXT(YEAR(A324),"0000"),TEXT(MONTH(A324),"00"))</f>
        <v>202410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f>I323*(1+((1+VLOOKUP($B324,'IPCA Hist'!$B:$C,2,0))^12 - 1)+$I$2)^(1/252)</f>
        <v>208102773.1104919</v>
      </c>
      <c r="J324" s="2">
        <f>J323*(1+((1+VLOOKUP($B324,'IPCA Hist'!$B:$C,2,0))^12 - 1)+$J$2)^(1/252)</f>
        <v>132336525.12928833</v>
      </c>
      <c r="K324" s="2">
        <f>K323*(1+((1+VLOOKUP($B324,'IPCA Hist'!$B:$C,2,0))^12 - 1)+$K$2)^(1/252)</f>
        <v>20001373.859594136</v>
      </c>
      <c r="L324" s="2">
        <f>L323*(1+((1+VLOOKUP($B324,'IPCA Hist'!$B:$C,2,0))^12 - 1)+$L$2)^(1/252)</f>
        <v>12175396.291191703</v>
      </c>
      <c r="M324" s="2">
        <v>0</v>
      </c>
      <c r="N324" s="2">
        <v>0</v>
      </c>
      <c r="O324" s="2">
        <v>0</v>
      </c>
      <c r="P324" s="2">
        <v>0</v>
      </c>
      <c r="Q324" s="2">
        <f>Q323*(1+((1+VLOOKUP($B324,'IPCA Hist'!$B:$C,2,0))^12 - 1)+$Q$2)^(1/252)</f>
        <v>44861404.047421344</v>
      </c>
      <c r="R324" s="2">
        <f>R323*(1+((1+VLOOKUP($B324,'IPCA Hist'!$B:$C,2,0))^12 - 1)+$R$2)^(1/252)</f>
        <v>44846368.104875721</v>
      </c>
      <c r="S324" s="2">
        <f>S323*(1+((1+VLOOKUP($B324,'IPCA Hist'!$B:$C,2,0))^12 - 1)+$S$2)^(1/252)</f>
        <v>45858739.36062739</v>
      </c>
      <c r="T324" s="2">
        <f>T323*(1+((1+VLOOKUP($B324,'IPCA Hist'!$B:$C,2,0))^12 - 1)+$T$2)^(1/252)</f>
        <v>231619551.67237377</v>
      </c>
      <c r="U324" s="2">
        <f>U323*(1+((1+VLOOKUP($B324,'IPCA Hist'!$B:$C,2,0))^12 - 1)+$U$2)^(1/252)</f>
        <v>20227904.220516428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f>AF323*(1+((1+VLOOKUP($B324,'IGPM Hist'!$B:$C,2,0))^12 - 1)+$AF$2)^(1/252)</f>
        <v>1647891.2916866636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f t="shared" si="54"/>
        <v>106648681.65489332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f>BA323*(1+VLOOKUP(A324,'SELIC Hist'!$A:$C,3,0))^(1/252)</f>
        <v>2426263.9921957012</v>
      </c>
      <c r="BB324" s="2">
        <f t="shared" si="57"/>
        <v>870752872.73515642</v>
      </c>
      <c r="BC324" s="2">
        <v>0</v>
      </c>
      <c r="BD324" s="2">
        <v>0</v>
      </c>
      <c r="BE324" s="2">
        <f t="shared" si="53"/>
        <v>399695.04742109776</v>
      </c>
      <c r="BF324" s="2">
        <f t="shared" si="46"/>
        <v>799206.07956516743</v>
      </c>
      <c r="BG324" s="2">
        <f t="shared" si="47"/>
        <v>52435549.917836912</v>
      </c>
      <c r="BH324" s="11">
        <f t="shared" si="48"/>
        <v>1.1220516642711402</v>
      </c>
      <c r="BI324" s="12">
        <f t="shared" si="49"/>
        <v>4.5923316840523754E-4</v>
      </c>
      <c r="BJ324" s="12">
        <f t="shared" si="50"/>
        <v>9.1867660336175661E-4</v>
      </c>
      <c r="BK324" s="12">
        <f t="shared" si="51"/>
        <v>7.1651090734650147E-2</v>
      </c>
      <c r="BL324" s="5">
        <f t="shared" si="52"/>
        <v>0.12205166427114023</v>
      </c>
      <c r="BM324" s="19">
        <f t="shared" si="56"/>
        <v>4.5072785505694046E-2</v>
      </c>
      <c r="BN324" s="19">
        <f t="shared" si="55"/>
        <v>9.6727885942354153E-2</v>
      </c>
      <c r="BO324" s="19" t="s">
        <v>53</v>
      </c>
    </row>
    <row r="325" spans="1:67" x14ac:dyDescent="0.25">
      <c r="A325" s="1">
        <v>45568</v>
      </c>
      <c r="B325" s="1" t="str">
        <f t="shared" si="58"/>
        <v>202410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f>I324*(1+((1+VLOOKUP($B325,'IPCA Hist'!$B:$C,2,0))^12 - 1)+$I$2)^(1/252)</f>
        <v>208200868.24487472</v>
      </c>
      <c r="J325" s="2">
        <f>J324*(1+((1+VLOOKUP($B325,'IPCA Hist'!$B:$C,2,0))^12 - 1)+$J$2)^(1/252)</f>
        <v>132396614.58584394</v>
      </c>
      <c r="K325" s="2">
        <f>K324*(1+((1+VLOOKUP($B325,'IPCA Hist'!$B:$C,2,0))^12 - 1)+$K$2)^(1/252)</f>
        <v>20011490.152066</v>
      </c>
      <c r="L325" s="2">
        <f>L324*(1+((1+VLOOKUP($B325,'IPCA Hist'!$B:$C,2,0))^12 - 1)+$L$2)^(1/252)</f>
        <v>12181601.5760381</v>
      </c>
      <c r="M325" s="2">
        <v>0</v>
      </c>
      <c r="N325" s="2">
        <v>0</v>
      </c>
      <c r="O325" s="2">
        <v>0</v>
      </c>
      <c r="P325" s="2">
        <v>0</v>
      </c>
      <c r="Q325" s="2">
        <f>Q324*(1+((1+VLOOKUP($B325,'IPCA Hist'!$B:$C,2,0))^12 - 1)+$Q$2)^(1/252)</f>
        <v>44881742.292557031</v>
      </c>
      <c r="R325" s="2">
        <f>R324*(1+((1+VLOOKUP($B325,'IPCA Hist'!$B:$C,2,0))^12 - 1)+$R$2)^(1/252)</f>
        <v>44866715.415134579</v>
      </c>
      <c r="S325" s="2">
        <f>S324*(1+((1+VLOOKUP($B325,'IPCA Hist'!$B:$C,2,0))^12 - 1)+$S$2)^(1/252)</f>
        <v>45879351.016455919</v>
      </c>
      <c r="T325" s="2">
        <f>T324*(1+((1+VLOOKUP($B325,'IPCA Hist'!$B:$C,2,0))^12 - 1)+$T$2)^(1/252)</f>
        <v>231723573.21687868</v>
      </c>
      <c r="U325" s="2">
        <f>U324*(1+((1+VLOOKUP($B325,'IPCA Hist'!$B:$C,2,0))^12 - 1)+$U$2)^(1/252)</f>
        <v>20237951.053023349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f>AF324*(1+((1+VLOOKUP($B325,'IGPM Hist'!$B:$C,2,0))^12 - 1)+$AF$2)^(1/252)</f>
        <v>1649409.2694101646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f t="shared" si="54"/>
        <v>106696196.49795745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f>BA324*(1+VLOOKUP(A325,'SELIC Hist'!$A:$C,3,0))^(1/252)</f>
        <v>2427238.5627889913</v>
      </c>
      <c r="BB325" s="2">
        <f t="shared" si="57"/>
        <v>871152751.88302875</v>
      </c>
      <c r="BC325" s="2">
        <v>0</v>
      </c>
      <c r="BD325" s="2">
        <v>0</v>
      </c>
      <c r="BE325" s="2">
        <f t="shared" si="53"/>
        <v>399879.14787232876</v>
      </c>
      <c r="BF325" s="2">
        <f t="shared" ref="BF325:BF388" si="59">IF(MONTH(A325)=MONTH(A324),BE325+BF324,BE325)</f>
        <v>1199085.2274374962</v>
      </c>
      <c r="BG325" s="2">
        <f t="shared" ref="BG325:BG388" si="60">IF(YEAR(A325)=YEAR(A324),BE325+BG324,BE325)</f>
        <v>52835429.065709241</v>
      </c>
      <c r="BH325" s="11">
        <f t="shared" ref="BH325:BH388" si="61">(1+(BB325-BB324-BC325+BD325)/BB324)*BH324</f>
        <v>1.1225669483171958</v>
      </c>
      <c r="BI325" s="12">
        <f t="shared" ref="BI325:BI388" si="62">BH325/BH324 - 1</f>
        <v>4.5923379685941512E-4</v>
      </c>
      <c r="BJ325" s="12">
        <f t="shared" ref="BJ325:BJ388" si="63">IF(MONTH(A325)=MONTH(A324),(1+BI325)*(1+BJ324) - 1,BI325)</f>
        <v>1.3783322875657866E-3</v>
      </c>
      <c r="BK325" s="12">
        <f t="shared" ref="BK325:BK388" si="64">IF(YEAR(A325)=YEAR(A324),(1+BI325)*(1+BK324) - 1,BI325)</f>
        <v>7.2143229133956766E-2</v>
      </c>
      <c r="BL325" s="5">
        <f t="shared" ref="BL325:BL388" si="65">(1+BI325)*(1+BL324) - 1</f>
        <v>0.12256694831719583</v>
      </c>
      <c r="BM325" s="19">
        <f t="shared" si="56"/>
        <v>4.5173420550785659E-2</v>
      </c>
      <c r="BN325" s="19">
        <f t="shared" si="55"/>
        <v>9.6881370833790559E-2</v>
      </c>
      <c r="BO325" s="19" t="s">
        <v>53</v>
      </c>
    </row>
    <row r="326" spans="1:67" x14ac:dyDescent="0.25">
      <c r="A326" s="1">
        <v>45569</v>
      </c>
      <c r="B326" s="1" t="str">
        <f t="shared" si="58"/>
        <v>202410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f>I325*(1+((1+VLOOKUP($B326,'IPCA Hist'!$B:$C,2,0))^12 - 1)+$I$2)^(1/252)</f>
        <v>208299009.61917663</v>
      </c>
      <c r="J326" s="2">
        <f>J325*(1+((1+VLOOKUP($B326,'IPCA Hist'!$B:$C,2,0))^12 - 1)+$J$2)^(1/252)</f>
        <v>132456731.32695144</v>
      </c>
      <c r="K326" s="2">
        <f>K325*(1+((1+VLOOKUP($B326,'IPCA Hist'!$B:$C,2,0))^12 - 1)+$K$2)^(1/252)</f>
        <v>20021611.561155055</v>
      </c>
      <c r="L326" s="2">
        <f>L325*(1+((1+VLOOKUP($B326,'IPCA Hist'!$B:$C,2,0))^12 - 1)+$L$2)^(1/252)</f>
        <v>12187810.02345589</v>
      </c>
      <c r="M326" s="2">
        <v>0</v>
      </c>
      <c r="N326" s="2">
        <v>0</v>
      </c>
      <c r="O326" s="2">
        <v>0</v>
      </c>
      <c r="P326" s="2">
        <v>0</v>
      </c>
      <c r="Q326" s="2">
        <f>Q325*(1+((1+VLOOKUP($B326,'IPCA Hist'!$B:$C,2,0))^12 - 1)+$Q$2)^(1/252)</f>
        <v>44902089.758184671</v>
      </c>
      <c r="R326" s="2">
        <f>R325*(1+((1+VLOOKUP($B326,'IPCA Hist'!$B:$C,2,0))^12 - 1)+$R$2)^(1/252)</f>
        <v>44887071.957200877</v>
      </c>
      <c r="S326" s="2">
        <f>S325*(1+((1+VLOOKUP($B326,'IPCA Hist'!$B:$C,2,0))^12 - 1)+$S$2)^(1/252)</f>
        <v>45899971.936393358</v>
      </c>
      <c r="T326" s="2">
        <f>T325*(1+((1+VLOOKUP($B326,'IPCA Hist'!$B:$C,2,0))^12 - 1)+$T$2)^(1/252)</f>
        <v>231827641.47799987</v>
      </c>
      <c r="U326" s="2">
        <f>U325*(1+((1+VLOOKUP($B326,'IPCA Hist'!$B:$C,2,0))^12 - 1)+$U$2)^(1/252)</f>
        <v>20248002.875609435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f>AF325*(1+((1+VLOOKUP($B326,'IGPM Hist'!$B:$C,2,0))^12 - 1)+$AF$2)^(1/252)</f>
        <v>1650928.6454397193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f t="shared" si="54"/>
        <v>106743732.51015632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f>BA325*(1+VLOOKUP(A326,'SELIC Hist'!$A:$C,3,0))^(1/252)</f>
        <v>2428213.5248433277</v>
      </c>
      <c r="BB326" s="2">
        <f t="shared" si="57"/>
        <v>871552815.21656668</v>
      </c>
      <c r="BC326" s="2">
        <v>0</v>
      </c>
      <c r="BD326" s="2">
        <v>0</v>
      </c>
      <c r="BE326" s="2">
        <f t="shared" si="53"/>
        <v>400063.33353793621</v>
      </c>
      <c r="BF326" s="2">
        <f t="shared" si="59"/>
        <v>1599148.5609754324</v>
      </c>
      <c r="BG326" s="2">
        <f t="shared" si="60"/>
        <v>53235492.399247177</v>
      </c>
      <c r="BH326" s="11">
        <f t="shared" si="61"/>
        <v>1.123082469704797</v>
      </c>
      <c r="BI326" s="12">
        <f t="shared" si="62"/>
        <v>4.5923442550477311E-4</v>
      </c>
      <c r="BJ326" s="12">
        <f t="shared" si="63"/>
        <v>1.8381996907068654E-3</v>
      </c>
      <c r="BK326" s="12">
        <f t="shared" si="64"/>
        <v>7.2635594213847021E-2</v>
      </c>
      <c r="BL326" s="5">
        <f t="shared" si="65"/>
        <v>0.12308246970479697</v>
      </c>
      <c r="BM326" s="19">
        <f t="shared" si="56"/>
        <v>4.4890360910473159E-2</v>
      </c>
      <c r="BN326" s="19">
        <f t="shared" si="55"/>
        <v>9.7034876771306289E-2</v>
      </c>
      <c r="BO326" s="19" t="s">
        <v>53</v>
      </c>
    </row>
    <row r="327" spans="1:67" x14ac:dyDescent="0.25">
      <c r="A327" s="1">
        <v>45572</v>
      </c>
      <c r="B327" s="1" t="str">
        <f t="shared" si="58"/>
        <v>202410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f>I326*(1+((1+VLOOKUP($B327,'IPCA Hist'!$B:$C,2,0))^12 - 1)+$I$2)^(1/252)</f>
        <v>208397197.2551941</v>
      </c>
      <c r="J327" s="2">
        <f>J326*(1+((1+VLOOKUP($B327,'IPCA Hist'!$B:$C,2,0))^12 - 1)+$J$2)^(1/252)</f>
        <v>132516875.36499985</v>
      </c>
      <c r="K327" s="2">
        <f>K326*(1+((1+VLOOKUP($B327,'IPCA Hist'!$B:$C,2,0))^12 - 1)+$K$2)^(1/252)</f>
        <v>20031738.089449186</v>
      </c>
      <c r="L327" s="2">
        <f>L326*(1+((1+VLOOKUP($B327,'IPCA Hist'!$B:$C,2,0))^12 - 1)+$L$2)^(1/252)</f>
        <v>12194021.635056904</v>
      </c>
      <c r="M327" s="2">
        <v>0</v>
      </c>
      <c r="N327" s="2">
        <v>0</v>
      </c>
      <c r="O327" s="2">
        <v>0</v>
      </c>
      <c r="P327" s="2">
        <v>0</v>
      </c>
      <c r="Q327" s="2">
        <f>Q326*(1+((1+VLOOKUP($B327,'IPCA Hist'!$B:$C,2,0))^12 - 1)+$Q$2)^(1/252)</f>
        <v>44922446.448484451</v>
      </c>
      <c r="R327" s="2">
        <f>R326*(1+((1+VLOOKUP($B327,'IPCA Hist'!$B:$C,2,0))^12 - 1)+$R$2)^(1/252)</f>
        <v>44907437.735263191</v>
      </c>
      <c r="S327" s="2">
        <f>S326*(1+((1+VLOOKUP($B327,'IPCA Hist'!$B:$C,2,0))^12 - 1)+$S$2)^(1/252)</f>
        <v>45920602.124603555</v>
      </c>
      <c r="T327" s="2">
        <f>T326*(1+((1+VLOOKUP($B327,'IPCA Hist'!$B:$C,2,0))^12 - 1)+$T$2)^(1/252)</f>
        <v>231931756.47671801</v>
      </c>
      <c r="U327" s="2">
        <f>U326*(1+((1+VLOOKUP($B327,'IPCA Hist'!$B:$C,2,0))^12 - 1)+$U$2)^(1/252)</f>
        <v>20258059.690753169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f>AF326*(1+((1+VLOOKUP($B327,'IGPM Hist'!$B:$C,2,0))^12 - 1)+$AF$2)^(1/252)</f>
        <v>1652449.4210633966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f t="shared" si="54"/>
        <v>106791289.70092133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f>BA326*(1+VLOOKUP(A327,'SELIC Hist'!$A:$C,3,0))^(1/252)+BC327</f>
        <v>110929188.87851594</v>
      </c>
      <c r="BB327" s="2">
        <f t="shared" si="57"/>
        <v>980453062.82102323</v>
      </c>
      <c r="BC327" s="2">
        <v>108500000</v>
      </c>
      <c r="BD327" s="2">
        <v>0</v>
      </c>
      <c r="BE327" s="2">
        <f t="shared" si="53"/>
        <v>400247.60445654392</v>
      </c>
      <c r="BF327" s="2">
        <f t="shared" si="59"/>
        <v>1999396.1654319763</v>
      </c>
      <c r="BG327" s="2">
        <f t="shared" si="60"/>
        <v>53635740.003703721</v>
      </c>
      <c r="BH327" s="11">
        <f t="shared" si="61"/>
        <v>1.1235982285438006</v>
      </c>
      <c r="BI327" s="12">
        <f t="shared" si="62"/>
        <v>4.5923505434042333E-4</v>
      </c>
      <c r="BJ327" s="12">
        <f t="shared" si="63"/>
        <v>2.2982789107821588E-3</v>
      </c>
      <c r="BK327" s="12">
        <f t="shared" si="64"/>
        <v>7.3128186079243207E-2</v>
      </c>
      <c r="BL327" s="5">
        <f t="shared" si="65"/>
        <v>0.12359822854380065</v>
      </c>
      <c r="BM327" s="19">
        <f t="shared" si="56"/>
        <v>4.5010856364848362E-2</v>
      </c>
      <c r="BN327" s="19">
        <f t="shared" si="55"/>
        <v>9.718840375778437E-2</v>
      </c>
      <c r="BO327" s="19" t="s">
        <v>53</v>
      </c>
    </row>
    <row r="328" spans="1:67" x14ac:dyDescent="0.25">
      <c r="A328" s="1">
        <v>45573</v>
      </c>
      <c r="B328" s="1" t="str">
        <f t="shared" si="58"/>
        <v>202410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f>I327*(1+((1+VLOOKUP($B328,'IPCA Hist'!$B:$C,2,0))^12 - 1)+$I$2)^(1/252)</f>
        <v>208495431.17473394</v>
      </c>
      <c r="J328" s="2">
        <f>J327*(1+((1+VLOOKUP($B328,'IPCA Hist'!$B:$C,2,0))^12 - 1)+$J$2)^(1/252)</f>
        <v>132577046.71238372</v>
      </c>
      <c r="K328" s="2">
        <f>K327*(1+((1+VLOOKUP($B328,'IPCA Hist'!$B:$C,2,0))^12 - 1)+$K$2)^(1/252)</f>
        <v>20041869.739537582</v>
      </c>
      <c r="L328" s="2">
        <f>L327*(1+((1+VLOOKUP($B328,'IPCA Hist'!$B:$C,2,0))^12 - 1)+$L$2)^(1/252)</f>
        <v>12200236.412453791</v>
      </c>
      <c r="M328" s="2">
        <v>0</v>
      </c>
      <c r="N328" s="2">
        <v>0</v>
      </c>
      <c r="O328" s="2">
        <v>0</v>
      </c>
      <c r="P328" s="2">
        <v>0</v>
      </c>
      <c r="Q328" s="2">
        <f>Q327*(1+((1+VLOOKUP($B328,'IPCA Hist'!$B:$C,2,0))^12 - 1)+$Q$2)^(1/252)</f>
        <v>44942812.367638431</v>
      </c>
      <c r="R328" s="2">
        <f>R327*(1+((1+VLOOKUP($B328,'IPCA Hist'!$B:$C,2,0))^12 - 1)+$R$2)^(1/252)</f>
        <v>44927812.753512003</v>
      </c>
      <c r="S328" s="2">
        <f>S327*(1+((1+VLOOKUP($B328,'IPCA Hist'!$B:$C,2,0))^12 - 1)+$S$2)^(1/252)</f>
        <v>45941241.585252218</v>
      </c>
      <c r="T328" s="2">
        <f>T327*(1+((1+VLOOKUP($B328,'IPCA Hist'!$B:$C,2,0))^12 - 1)+$T$2)^(1/252)</f>
        <v>232035918.23402324</v>
      </c>
      <c r="U328" s="2">
        <f>U327*(1+((1+VLOOKUP($B328,'IPCA Hist'!$B:$C,2,0))^12 - 1)+$U$2)^(1/252)</f>
        <v>20268121.500934266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f>AF327*(1+((1+VLOOKUP($B328,'IGPM Hist'!$B:$C,2,0))^12 - 1)+$AF$2)^(1/252)</f>
        <v>1653971.5975704519</v>
      </c>
      <c r="AG328" s="2">
        <v>0</v>
      </c>
      <c r="AH328" s="2">
        <v>0</v>
      </c>
      <c r="AI328" s="2">
        <v>0</v>
      </c>
      <c r="AJ328" s="2">
        <v>54290521.956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f t="shared" si="54"/>
        <v>106838868.0796881</v>
      </c>
      <c r="AT328" s="2">
        <v>0</v>
      </c>
      <c r="AU328" s="2">
        <v>0</v>
      </c>
      <c r="AV328" s="2">
        <v>54224884.164499998</v>
      </c>
      <c r="AW328" s="2">
        <v>0</v>
      </c>
      <c r="AX328" s="2">
        <v>0</v>
      </c>
      <c r="AY328" s="2">
        <v>0</v>
      </c>
      <c r="AZ328" s="2">
        <v>0</v>
      </c>
      <c r="BA328" s="2">
        <f>BA327*(1+VLOOKUP(A328,'SELIC Hist'!$A:$C,3,0))^(1/252) - SUM(AV328,AJ328)</f>
        <v>2458340.2858720422</v>
      </c>
      <c r="BB328" s="2">
        <f t="shared" si="57"/>
        <v>980897076.56409955</v>
      </c>
      <c r="BC328" s="2">
        <v>0</v>
      </c>
      <c r="BD328" s="2">
        <v>0</v>
      </c>
      <c r="BE328" s="2">
        <f t="shared" si="53"/>
        <v>444013.74307632446</v>
      </c>
      <c r="BF328" s="2">
        <f t="shared" si="59"/>
        <v>2443409.9085083008</v>
      </c>
      <c r="BG328" s="2">
        <f t="shared" si="60"/>
        <v>54079753.746780045</v>
      </c>
      <c r="BH328" s="11">
        <f t="shared" si="61"/>
        <v>1.1241070678489014</v>
      </c>
      <c r="BI328" s="12">
        <f t="shared" si="62"/>
        <v>4.5286588406256989E-4</v>
      </c>
      <c r="BJ328" s="12">
        <f t="shared" si="63"/>
        <v>2.7521856069554484E-3</v>
      </c>
      <c r="BK328" s="12">
        <f t="shared" si="64"/>
        <v>7.3614169223944481E-2</v>
      </c>
      <c r="BL328" s="5">
        <f t="shared" si="65"/>
        <v>0.12410706784890135</v>
      </c>
      <c r="BM328" s="19">
        <f t="shared" si="56"/>
        <v>4.5278235271146272E-2</v>
      </c>
      <c r="BN328" s="19">
        <f t="shared" si="55"/>
        <v>9.7334965156621989E-2</v>
      </c>
      <c r="BO328" s="19" t="s">
        <v>53</v>
      </c>
    </row>
    <row r="329" spans="1:67" x14ac:dyDescent="0.25">
      <c r="A329" s="1">
        <v>45574</v>
      </c>
      <c r="B329" s="1" t="str">
        <f t="shared" si="58"/>
        <v>202410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f>I328*(1+((1+VLOOKUP($B329,'IPCA Hist'!$B:$C,2,0))^12 - 1)+$I$2)^(1/252)</f>
        <v>208593711.39961317</v>
      </c>
      <c r="J329" s="2">
        <f>J328*(1+((1+VLOOKUP($B329,'IPCA Hist'!$B:$C,2,0))^12 - 1)+$J$2)^(1/252)</f>
        <v>132637245.3815033</v>
      </c>
      <c r="K329" s="2">
        <f>K328*(1+((1+VLOOKUP($B329,'IPCA Hist'!$B:$C,2,0))^12 - 1)+$K$2)^(1/252)</f>
        <v>20052006.514010746</v>
      </c>
      <c r="L329" s="2">
        <f>L328*(1+((1+VLOOKUP($B329,'IPCA Hist'!$B:$C,2,0))^12 - 1)+$L$2)^(1/252)</f>
        <v>12206454.357260024</v>
      </c>
      <c r="M329" s="2">
        <v>0</v>
      </c>
      <c r="N329" s="2">
        <v>0</v>
      </c>
      <c r="O329" s="2">
        <v>0</v>
      </c>
      <c r="P329" s="2">
        <v>0</v>
      </c>
      <c r="Q329" s="2">
        <f>Q328*(1+((1+VLOOKUP($B329,'IPCA Hist'!$B:$C,2,0))^12 - 1)+$Q$2)^(1/252)</f>
        <v>44963187.519830592</v>
      </c>
      <c r="R329" s="2">
        <f>R328*(1+((1+VLOOKUP($B329,'IPCA Hist'!$B:$C,2,0))^12 - 1)+$R$2)^(1/252)</f>
        <v>44948197.016139686</v>
      </c>
      <c r="S329" s="2">
        <f>S328*(1+((1+VLOOKUP($B329,'IPCA Hist'!$B:$C,2,0))^12 - 1)+$S$2)^(1/252)</f>
        <v>45961890.322506942</v>
      </c>
      <c r="T329" s="2">
        <f>T328*(1+((1+VLOOKUP($B329,'IPCA Hist'!$B:$C,2,0))^12 - 1)+$T$2)^(1/252)</f>
        <v>232140126.77091506</v>
      </c>
      <c r="U329" s="2">
        <f>U328*(1+((1+VLOOKUP($B329,'IPCA Hist'!$B:$C,2,0))^12 - 1)+$U$2)^(1/252)</f>
        <v>20278188.308633666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f>AF328*(1+((1+VLOOKUP($B329,'IGPM Hist'!$B:$C,2,0))^12 - 1)+$AF$2)^(1/252)</f>
        <v>1655495.1762513281</v>
      </c>
      <c r="AG329" s="2">
        <v>0</v>
      </c>
      <c r="AH329" s="2">
        <v>0</v>
      </c>
      <c r="AI329" s="2">
        <v>0</v>
      </c>
      <c r="AJ329" s="2">
        <f t="shared" ref="AJ329:AJ360" si="66">AJ328*(1+AJ$2)^(1/252)</f>
        <v>54315517.456889249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f t="shared" si="54"/>
        <v>106886467.65589647</v>
      </c>
      <c r="AT329" s="2">
        <v>0</v>
      </c>
      <c r="AU329" s="2">
        <v>0</v>
      </c>
      <c r="AV329" s="2">
        <f>AV328*(1+AV$2)^(1/252)</f>
        <v>54249561.704127587</v>
      </c>
      <c r="AW329" s="2">
        <v>0</v>
      </c>
      <c r="AX329" s="2">
        <v>0</v>
      </c>
      <c r="AY329" s="2">
        <v>0</v>
      </c>
      <c r="AZ329" s="2">
        <v>0</v>
      </c>
      <c r="BA329" s="2">
        <f>BA328*(1+VLOOKUP(A329,'SELIC Hist'!$A:$C,3,0))^(1/252)</f>
        <v>2459327.7407238707</v>
      </c>
      <c r="BB329" s="2">
        <f t="shared" si="57"/>
        <v>981347377.3243016</v>
      </c>
      <c r="BC329" s="2">
        <v>0</v>
      </c>
      <c r="BD329" s="2">
        <v>0</v>
      </c>
      <c r="BE329" s="2">
        <f t="shared" ref="BE329:BE392" si="67">BB329-BB328-BC329+BD329</f>
        <v>450300.76020205021</v>
      </c>
      <c r="BF329" s="2">
        <f t="shared" si="59"/>
        <v>2893710.668710351</v>
      </c>
      <c r="BG329" s="2">
        <f t="shared" si="60"/>
        <v>54530054.506982096</v>
      </c>
      <c r="BH329" s="11">
        <f t="shared" si="61"/>
        <v>1.1246231120693346</v>
      </c>
      <c r="BI329" s="12">
        <f t="shared" si="62"/>
        <v>4.5907034587089335E-4</v>
      </c>
      <c r="BJ329" s="12">
        <f t="shared" si="63"/>
        <v>3.212519399624858E-3</v>
      </c>
      <c r="BK329" s="12">
        <f t="shared" si="64"/>
        <v>7.4107033651942045E-2</v>
      </c>
      <c r="BL329" s="5">
        <f t="shared" si="65"/>
        <v>0.12462311206933463</v>
      </c>
      <c r="BM329" s="19">
        <f t="shared" si="56"/>
        <v>4.4404115492502561E-2</v>
      </c>
      <c r="BN329" s="19">
        <f t="shared" si="55"/>
        <v>9.7488351208967705E-2</v>
      </c>
      <c r="BO329" s="19" t="s">
        <v>53</v>
      </c>
    </row>
    <row r="330" spans="1:67" x14ac:dyDescent="0.25">
      <c r="A330" s="1">
        <v>45575</v>
      </c>
      <c r="B330" s="1" t="str">
        <f t="shared" si="58"/>
        <v>202410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f>I329*(1+((1+VLOOKUP($B330,'IPCA Hist'!$B:$C,2,0))^12 - 1)+$I$2)^(1/252)</f>
        <v>208692037.95165911</v>
      </c>
      <c r="J330" s="2">
        <f>J329*(1+((1+VLOOKUP($B330,'IPCA Hist'!$B:$C,2,0))^12 - 1)+$J$2)^(1/252)</f>
        <v>132697471.38476446</v>
      </c>
      <c r="K330" s="2">
        <f>K329*(1+((1+VLOOKUP($B330,'IPCA Hist'!$B:$C,2,0))^12 - 1)+$K$2)^(1/252)</f>
        <v>20062148.415460486</v>
      </c>
      <c r="L330" s="2">
        <f>L329*(1+((1+VLOOKUP($B330,'IPCA Hist'!$B:$C,2,0))^12 - 1)+$L$2)^(1/252)</f>
        <v>12212675.4710899</v>
      </c>
      <c r="M330" s="2">
        <v>0</v>
      </c>
      <c r="N330" s="2">
        <v>0</v>
      </c>
      <c r="O330" s="2">
        <v>0</v>
      </c>
      <c r="P330" s="2">
        <v>0</v>
      </c>
      <c r="Q330" s="2">
        <f>Q329*(1+((1+VLOOKUP($B330,'IPCA Hist'!$B:$C,2,0))^12 - 1)+$Q$2)^(1/252)</f>
        <v>44983571.909246787</v>
      </c>
      <c r="R330" s="2">
        <f>R329*(1+((1+VLOOKUP($B330,'IPCA Hist'!$B:$C,2,0))^12 - 1)+$R$2)^(1/252)</f>
        <v>44968590.527340524</v>
      </c>
      <c r="S330" s="2">
        <f>S329*(1+((1+VLOOKUP($B330,'IPCA Hist'!$B:$C,2,0))^12 - 1)+$S$2)^(1/252)</f>
        <v>45982548.340537183</v>
      </c>
      <c r="T330" s="2">
        <f>T329*(1+((1+VLOOKUP($B330,'IPCA Hist'!$B:$C,2,0))^12 - 1)+$T$2)^(1/252)</f>
        <v>232244382.10840243</v>
      </c>
      <c r="U330" s="2">
        <f>U329*(1+((1+VLOOKUP($B330,'IPCA Hist'!$B:$C,2,0))^12 - 1)+$U$2)^(1/252)</f>
        <v>20288260.116333548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f>AF329*(1+((1+VLOOKUP($B330,'IGPM Hist'!$B:$C,2,0))^12 - 1)+$AF$2)^(1/252)</f>
        <v>1657020.1583976569</v>
      </c>
      <c r="AG330" s="2">
        <v>0</v>
      </c>
      <c r="AH330" s="2">
        <v>0</v>
      </c>
      <c r="AI330" s="2">
        <v>0</v>
      </c>
      <c r="AJ330" s="2">
        <f t="shared" si="66"/>
        <v>54340524.465773672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f t="shared" si="54"/>
        <v>106934088.43899046</v>
      </c>
      <c r="AT330" s="2">
        <v>0</v>
      </c>
      <c r="AU330" s="2">
        <v>0</v>
      </c>
      <c r="AV330" s="2">
        <f t="shared" ref="AV330:AW393" si="68">AV329*(1+AV$2)^(1/252)</f>
        <v>54274250.474410094</v>
      </c>
      <c r="AW330" s="2">
        <v>0</v>
      </c>
      <c r="AX330" s="2">
        <v>0</v>
      </c>
      <c r="AY330" s="2">
        <v>0</v>
      </c>
      <c r="AZ330" s="2">
        <v>0</v>
      </c>
      <c r="BA330" s="2">
        <f>BA329*(1+VLOOKUP(A330,'SELIC Hist'!$A:$C,3,0))^(1/252)</f>
        <v>2460315.5922120358</v>
      </c>
      <c r="BB330" s="2">
        <f t="shared" si="57"/>
        <v>981797885.35461855</v>
      </c>
      <c r="BC330" s="2">
        <v>0</v>
      </c>
      <c r="BD330" s="2">
        <v>0</v>
      </c>
      <c r="BE330" s="2">
        <f t="shared" si="67"/>
        <v>450508.03031694889</v>
      </c>
      <c r="BF330" s="2">
        <f t="shared" si="59"/>
        <v>3344218.6990272999</v>
      </c>
      <c r="BG330" s="2">
        <f t="shared" si="60"/>
        <v>54980562.537299044</v>
      </c>
      <c r="BH330" s="11">
        <f t="shared" si="61"/>
        <v>1.1251393938211121</v>
      </c>
      <c r="BI330" s="12">
        <f t="shared" si="62"/>
        <v>4.5907090672137052E-4</v>
      </c>
      <c r="BJ330" s="12">
        <f t="shared" si="63"/>
        <v>3.6730650805398835E-3</v>
      </c>
      <c r="BK330" s="12">
        <f t="shared" si="64"/>
        <v>7.4600124941796464E-2</v>
      </c>
      <c r="BL330" s="5">
        <f t="shared" si="65"/>
        <v>0.12513939382111205</v>
      </c>
      <c r="BM330" s="19">
        <f t="shared" si="56"/>
        <v>4.4649313662683765E-2</v>
      </c>
      <c r="BN330" s="19">
        <f t="shared" si="55"/>
        <v>9.7641758192650308E-2</v>
      </c>
      <c r="BO330" s="19" t="s">
        <v>53</v>
      </c>
    </row>
    <row r="331" spans="1:67" x14ac:dyDescent="0.25">
      <c r="A331" s="1">
        <v>45576</v>
      </c>
      <c r="B331" s="1" t="str">
        <f t="shared" si="58"/>
        <v>202410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f>I330*(1+((1+VLOOKUP($B331,'IPCA Hist'!$B:$C,2,0))^12 - 1)+$I$2)^(1/252)</f>
        <v>208790410.85270941</v>
      </c>
      <c r="J331" s="2">
        <f>J330*(1+((1+VLOOKUP($B331,'IPCA Hist'!$B:$C,2,0))^12 - 1)+$J$2)^(1/252)</f>
        <v>132757724.73457868</v>
      </c>
      <c r="K331" s="2">
        <f>K330*(1+((1+VLOOKUP($B331,'IPCA Hist'!$B:$C,2,0))^12 - 1)+$K$2)^(1/252)</f>
        <v>20072295.446479924</v>
      </c>
      <c r="L331" s="2">
        <f>L330*(1+((1+VLOOKUP($B331,'IPCA Hist'!$B:$C,2,0))^12 - 1)+$L$2)^(1/252)</f>
        <v>12218899.755558532</v>
      </c>
      <c r="M331" s="2">
        <v>0</v>
      </c>
      <c r="N331" s="2">
        <v>0</v>
      </c>
      <c r="O331" s="2">
        <v>0</v>
      </c>
      <c r="P331" s="2">
        <v>0</v>
      </c>
      <c r="Q331" s="2">
        <f>Q330*(1+((1+VLOOKUP($B331,'IPCA Hist'!$B:$C,2,0))^12 - 1)+$Q$2)^(1/252)</f>
        <v>45003965.540074788</v>
      </c>
      <c r="R331" s="2">
        <f>R330*(1+((1+VLOOKUP($B331,'IPCA Hist'!$B:$C,2,0))^12 - 1)+$R$2)^(1/252)</f>
        <v>44988993.291310698</v>
      </c>
      <c r="S331" s="2">
        <f>S330*(1+((1+VLOOKUP($B331,'IPCA Hist'!$B:$C,2,0))^12 - 1)+$S$2)^(1/252)</f>
        <v>46003215.643514276</v>
      </c>
      <c r="T331" s="2">
        <f>T330*(1+((1+VLOOKUP($B331,'IPCA Hist'!$B:$C,2,0))^12 - 1)+$T$2)^(1/252)</f>
        <v>232348684.26750371</v>
      </c>
      <c r="U331" s="2">
        <f>U330*(1+((1+VLOOKUP($B331,'IPCA Hist'!$B:$C,2,0))^12 - 1)+$U$2)^(1/252)</f>
        <v>20298336.926517319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f>AF330*(1+((1+VLOOKUP($B331,'IGPM Hist'!$B:$C,2,0))^12 - 1)+$AF$2)^(1/252)</f>
        <v>1658546.5453022597</v>
      </c>
      <c r="AG331" s="2">
        <v>0</v>
      </c>
      <c r="AH331" s="2">
        <v>0</v>
      </c>
      <c r="AI331" s="2">
        <v>0</v>
      </c>
      <c r="AJ331" s="2">
        <f t="shared" si="66"/>
        <v>54365542.987951584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f t="shared" si="54"/>
        <v>106981730.43841831</v>
      </c>
      <c r="AT331" s="2">
        <v>0</v>
      </c>
      <c r="AU331" s="2">
        <v>0</v>
      </c>
      <c r="AV331" s="2">
        <f t="shared" si="68"/>
        <v>54298950.48045855</v>
      </c>
      <c r="AW331" s="2">
        <v>0</v>
      </c>
      <c r="AX331" s="2">
        <v>0</v>
      </c>
      <c r="AY331" s="2">
        <v>0</v>
      </c>
      <c r="AZ331" s="2">
        <v>0</v>
      </c>
      <c r="BA331" s="2">
        <f>BA330*(1+VLOOKUP(A331,'SELIC Hist'!$A:$C,3,0))^(1/252)</f>
        <v>2461303.840495856</v>
      </c>
      <c r="BB331" s="2">
        <f t="shared" si="57"/>
        <v>982248600.75087392</v>
      </c>
      <c r="BC331" s="2">
        <v>0</v>
      </c>
      <c r="BD331" s="2">
        <v>0</v>
      </c>
      <c r="BE331" s="2">
        <f t="shared" si="67"/>
        <v>450715.39625537395</v>
      </c>
      <c r="BF331" s="2">
        <f t="shared" si="59"/>
        <v>3794934.0952826738</v>
      </c>
      <c r="BG331" s="2">
        <f t="shared" si="60"/>
        <v>55431277.933554418</v>
      </c>
      <c r="BH331" s="11">
        <f t="shared" si="61"/>
        <v>1.1256559132140476</v>
      </c>
      <c r="BI331" s="12">
        <f t="shared" si="62"/>
        <v>4.5907146774171181E-4</v>
      </c>
      <c r="BJ331" s="12">
        <f t="shared" si="63"/>
        <v>4.133822747659277E-3</v>
      </c>
      <c r="BK331" s="12">
        <f t="shared" si="64"/>
        <v>7.5093443198388954E-2</v>
      </c>
      <c r="BL331" s="5">
        <f t="shared" si="65"/>
        <v>0.12565591321404757</v>
      </c>
      <c r="BM331" s="19">
        <f t="shared" si="56"/>
        <v>4.4502860208492034E-2</v>
      </c>
      <c r="BN331" s="19">
        <f t="shared" si="55"/>
        <v>9.7795186110491317E-2</v>
      </c>
      <c r="BO331" s="19" t="s">
        <v>53</v>
      </c>
    </row>
    <row r="332" spans="1:67" x14ac:dyDescent="0.25">
      <c r="A332" s="1">
        <v>45579</v>
      </c>
      <c r="B332" s="1" t="str">
        <f t="shared" si="58"/>
        <v>202410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f>I331*(1+((1+VLOOKUP($B332,'IPCA Hist'!$B:$C,2,0))^12 - 1)+$I$2)^(1/252)</f>
        <v>208888830.12461197</v>
      </c>
      <c r="J332" s="2">
        <f>J331*(1+((1+VLOOKUP($B332,'IPCA Hist'!$B:$C,2,0))^12 - 1)+$J$2)^(1/252)</f>
        <v>132818005.4433631</v>
      </c>
      <c r="K332" s="2">
        <f>K331*(1+((1+VLOOKUP($B332,'IPCA Hist'!$B:$C,2,0))^12 - 1)+$K$2)^(1/252)</f>
        <v>20082447.609663494</v>
      </c>
      <c r="L332" s="2">
        <f>L331*(1+((1+VLOOKUP($B332,'IPCA Hist'!$B:$C,2,0))^12 - 1)+$L$2)^(1/252)</f>
        <v>12225127.212281862</v>
      </c>
      <c r="M332" s="2">
        <v>0</v>
      </c>
      <c r="N332" s="2">
        <v>0</v>
      </c>
      <c r="O332" s="2">
        <v>0</v>
      </c>
      <c r="P332" s="2">
        <v>0</v>
      </c>
      <c r="Q332" s="2">
        <f>Q331*(1+((1+VLOOKUP($B332,'IPCA Hist'!$B:$C,2,0))^12 - 1)+$Q$2)^(1/252)</f>
        <v>45024368.416504256</v>
      </c>
      <c r="R332" s="2">
        <f>R331*(1+((1+VLOOKUP($B332,'IPCA Hist'!$B:$C,2,0))^12 - 1)+$R$2)^(1/252)</f>
        <v>45009405.312248297</v>
      </c>
      <c r="S332" s="2">
        <f>S331*(1+((1+VLOOKUP($B332,'IPCA Hist'!$B:$C,2,0))^12 - 1)+$S$2)^(1/252)</f>
        <v>46023892.235611431</v>
      </c>
      <c r="T332" s="2">
        <f>T331*(1+((1+VLOOKUP($B332,'IPCA Hist'!$B:$C,2,0))^12 - 1)+$T$2)^(1/252)</f>
        <v>232453033.26924676</v>
      </c>
      <c r="U332" s="2">
        <f>U331*(1+((1+VLOOKUP($B332,'IPCA Hist'!$B:$C,2,0))^12 - 1)+$U$2)^(1/252)</f>
        <v>20308418.741669625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f>AF331*(1+((1+VLOOKUP($B332,'IGPM Hist'!$B:$C,2,0))^12 - 1)+$AF$2)^(1/252)</f>
        <v>1660074.3382591491</v>
      </c>
      <c r="AG332" s="2">
        <v>0</v>
      </c>
      <c r="AH332" s="2">
        <v>0</v>
      </c>
      <c r="AI332" s="2">
        <v>0</v>
      </c>
      <c r="AJ332" s="2">
        <f t="shared" si="66"/>
        <v>54390573.028723732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f t="shared" si="54"/>
        <v>107029393.66363247</v>
      </c>
      <c r="AT332" s="2">
        <v>0</v>
      </c>
      <c r="AU332" s="2">
        <v>0</v>
      </c>
      <c r="AV332" s="2">
        <f t="shared" si="68"/>
        <v>54323661.727386311</v>
      </c>
      <c r="AW332" s="2">
        <v>0</v>
      </c>
      <c r="AX332" s="2">
        <v>0</v>
      </c>
      <c r="AY332" s="2">
        <v>0</v>
      </c>
      <c r="AZ332" s="2">
        <v>0</v>
      </c>
      <c r="BA332" s="2">
        <f>BA331*(1+VLOOKUP(A332,'SELIC Hist'!$A:$C,3,0))^(1/252)</f>
        <v>2462292.4857347147</v>
      </c>
      <c r="BB332" s="2">
        <f t="shared" si="57"/>
        <v>982699523.60893714</v>
      </c>
      <c r="BC332" s="2">
        <v>0</v>
      </c>
      <c r="BD332" s="2">
        <v>0</v>
      </c>
      <c r="BE332" s="2">
        <f t="shared" si="67"/>
        <v>450922.85806322098</v>
      </c>
      <c r="BF332" s="2">
        <f t="shared" si="59"/>
        <v>4245856.9533458948</v>
      </c>
      <c r="BG332" s="2">
        <f t="shared" si="60"/>
        <v>55882200.791617639</v>
      </c>
      <c r="BH332" s="11">
        <f t="shared" si="61"/>
        <v>1.1261726703580071</v>
      </c>
      <c r="BI332" s="12">
        <f t="shared" si="62"/>
        <v>4.5907202893280541E-4</v>
      </c>
      <c r="BJ332" s="12">
        <f t="shared" si="63"/>
        <v>4.5947924989881983E-3</v>
      </c>
      <c r="BK332" s="12">
        <f t="shared" si="64"/>
        <v>7.5586988526650467E-2</v>
      </c>
      <c r="BL332" s="5">
        <f t="shared" si="65"/>
        <v>0.12617267035800706</v>
      </c>
      <c r="BM332" s="19">
        <f t="shared" si="56"/>
        <v>4.4569240035637003E-2</v>
      </c>
      <c r="BN332" s="19">
        <f t="shared" si="55"/>
        <v>9.7948634965311143E-2</v>
      </c>
      <c r="BO332" s="19" t="s">
        <v>53</v>
      </c>
    </row>
    <row r="333" spans="1:67" x14ac:dyDescent="0.25">
      <c r="A333" s="1">
        <v>45580</v>
      </c>
      <c r="B333" s="1" t="str">
        <f t="shared" si="58"/>
        <v>202410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f>I332*(1+((1+VLOOKUP($B333,'IPCA Hist'!$B:$C,2,0))^12 - 1)+$I$2)^(1/252)</f>
        <v>208987295.78922501</v>
      </c>
      <c r="J333" s="2">
        <f>J332*(1+((1+VLOOKUP($B333,'IPCA Hist'!$B:$C,2,0))^12 - 1)+$J$2)^(1/252)</f>
        <v>132878313.52354047</v>
      </c>
      <c r="K333" s="2">
        <f>K332*(1+((1+VLOOKUP($B333,'IPCA Hist'!$B:$C,2,0))^12 - 1)+$K$2)^(1/252)</f>
        <v>20092604.907606941</v>
      </c>
      <c r="L333" s="2">
        <f>L332*(1+((1+VLOOKUP($B333,'IPCA Hist'!$B:$C,2,0))^12 - 1)+$L$2)^(1/252)</f>
        <v>12231357.842876656</v>
      </c>
      <c r="M333" s="2">
        <v>0</v>
      </c>
      <c r="N333" s="2">
        <v>0</v>
      </c>
      <c r="O333" s="2">
        <v>0</v>
      </c>
      <c r="P333" s="2">
        <v>0</v>
      </c>
      <c r="Q333" s="2">
        <f>Q332*(1+((1+VLOOKUP($B333,'IPCA Hist'!$B:$C,2,0))^12 - 1)+$Q$2)^(1/252)</f>
        <v>45044780.542726748</v>
      </c>
      <c r="R333" s="2">
        <f>R332*(1+((1+VLOOKUP($B333,'IPCA Hist'!$B:$C,2,0))^12 - 1)+$R$2)^(1/252)</f>
        <v>45029826.594353311</v>
      </c>
      <c r="S333" s="2">
        <f>S332*(1+((1+VLOOKUP($B333,'IPCA Hist'!$B:$C,2,0))^12 - 1)+$S$2)^(1/252)</f>
        <v>46044578.12100374</v>
      </c>
      <c r="T333" s="2">
        <f>T332*(1+((1+VLOOKUP($B333,'IPCA Hist'!$B:$C,2,0))^12 - 1)+$T$2)^(1/252)</f>
        <v>232557429.13466886</v>
      </c>
      <c r="U333" s="2">
        <f>U332*(1+((1+VLOOKUP($B333,'IPCA Hist'!$B:$C,2,0))^12 - 1)+$U$2)^(1/252)</f>
        <v>20318505.564276341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f>AF332*(1+((1+VLOOKUP($B333,'IGPM Hist'!$B:$C,2,0))^12 - 1)+$AF$2)^(1/252)</f>
        <v>1661603.5385635295</v>
      </c>
      <c r="AG333" s="2">
        <v>0</v>
      </c>
      <c r="AH333" s="2">
        <v>0</v>
      </c>
      <c r="AI333" s="2">
        <v>0</v>
      </c>
      <c r="AJ333" s="2">
        <f t="shared" si="66"/>
        <v>54415614.593393311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f t="shared" si="54"/>
        <v>107077078.12408958</v>
      </c>
      <c r="AT333" s="2">
        <v>0</v>
      </c>
      <c r="AU333" s="2">
        <v>0</v>
      </c>
      <c r="AV333" s="2">
        <f t="shared" si="68"/>
        <v>54348384.220309056</v>
      </c>
      <c r="AW333" s="2">
        <v>0</v>
      </c>
      <c r="AX333" s="2">
        <v>0</v>
      </c>
      <c r="AY333" s="2">
        <v>0</v>
      </c>
      <c r="AZ333" s="2">
        <v>0</v>
      </c>
      <c r="BA333" s="2">
        <f>BA332*(1+VLOOKUP(A333,'SELIC Hist'!$A:$C,3,0))^(1/252)</f>
        <v>2463281.5280880588</v>
      </c>
      <c r="BB333" s="2">
        <f t="shared" si="57"/>
        <v>983150654.02472162</v>
      </c>
      <c r="BC333" s="2">
        <v>0</v>
      </c>
      <c r="BD333" s="2">
        <v>0</v>
      </c>
      <c r="BE333" s="2">
        <f t="shared" si="67"/>
        <v>451130.41578447819</v>
      </c>
      <c r="BF333" s="2">
        <f t="shared" si="59"/>
        <v>4696987.369130373</v>
      </c>
      <c r="BG333" s="2">
        <f t="shared" si="60"/>
        <v>56333331.207402118</v>
      </c>
      <c r="BH333" s="11">
        <f t="shared" si="61"/>
        <v>1.1266896653629073</v>
      </c>
      <c r="BI333" s="12">
        <f t="shared" si="62"/>
        <v>4.5907259029465131E-4</v>
      </c>
      <c r="BJ333" s="12">
        <f t="shared" si="63"/>
        <v>5.0559744325773259E-3</v>
      </c>
      <c r="BK333" s="12">
        <f t="shared" si="64"/>
        <v>7.6080761031560584E-2</v>
      </c>
      <c r="BL333" s="5">
        <f t="shared" si="65"/>
        <v>0.12668966536290727</v>
      </c>
      <c r="BM333" s="19">
        <f t="shared" si="56"/>
        <v>4.4727163708169204E-2</v>
      </c>
      <c r="BN333" s="19">
        <f t="shared" si="55"/>
        <v>9.8102104759933306E-2</v>
      </c>
      <c r="BO333" s="19" t="s">
        <v>53</v>
      </c>
    </row>
    <row r="334" spans="1:67" x14ac:dyDescent="0.25">
      <c r="A334" s="1">
        <v>45581</v>
      </c>
      <c r="B334" s="1" t="str">
        <f t="shared" si="58"/>
        <v>202410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f>I333*(1+((1+VLOOKUP($B334,'IPCA Hist'!$B:$C,2,0))^12 - 1)+$I$2)^(1/252)</f>
        <v>209085807.86841705</v>
      </c>
      <c r="J334" s="2">
        <f>J333*(1+((1+VLOOKUP($B334,'IPCA Hist'!$B:$C,2,0))^12 - 1)+$J$2)^(1/252)</f>
        <v>132938648.98753919</v>
      </c>
      <c r="K334" s="2">
        <f>K333*(1+((1+VLOOKUP($B334,'IPCA Hist'!$B:$C,2,0))^12 - 1)+$K$2)^(1/252)</f>
        <v>20102767.342907324</v>
      </c>
      <c r="L334" s="2">
        <f>L333*(1+((1+VLOOKUP($B334,'IPCA Hist'!$B:$C,2,0))^12 - 1)+$L$2)^(1/252)</f>
        <v>12237591.648960501</v>
      </c>
      <c r="M334" s="2">
        <v>0</v>
      </c>
      <c r="N334" s="2">
        <v>0</v>
      </c>
      <c r="O334" s="2">
        <v>0</v>
      </c>
      <c r="P334" s="2">
        <v>0</v>
      </c>
      <c r="Q334" s="2">
        <f>Q333*(1+((1+VLOOKUP($B334,'IPCA Hist'!$B:$C,2,0))^12 - 1)+$Q$2)^(1/252)</f>
        <v>45065201.922935724</v>
      </c>
      <c r="R334" s="2">
        <f>R333*(1+((1+VLOOKUP($B334,'IPCA Hist'!$B:$C,2,0))^12 - 1)+$R$2)^(1/252)</f>
        <v>45050257.141827635</v>
      </c>
      <c r="S334" s="2">
        <f>S333*(1+((1+VLOOKUP($B334,'IPCA Hist'!$B:$C,2,0))^12 - 1)+$S$2)^(1/252)</f>
        <v>46065273.30386816</v>
      </c>
      <c r="T334" s="2">
        <f>T333*(1+((1+VLOOKUP($B334,'IPCA Hist'!$B:$C,2,0))^12 - 1)+$T$2)^(1/252)</f>
        <v>232661871.88481671</v>
      </c>
      <c r="U334" s="2">
        <f>U333*(1+((1+VLOOKUP($B334,'IPCA Hist'!$B:$C,2,0))^12 - 1)+$U$2)^(1/252)</f>
        <v>20328597.39682458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f>AF333*(1+((1+VLOOKUP($B334,'IGPM Hist'!$B:$C,2,0))^12 - 1)+$AF$2)^(1/252)</f>
        <v>1663134.1475117984</v>
      </c>
      <c r="AG334" s="2">
        <v>0</v>
      </c>
      <c r="AH334" s="2">
        <v>0</v>
      </c>
      <c r="AI334" s="2">
        <v>0</v>
      </c>
      <c r="AJ334" s="2">
        <f t="shared" si="66"/>
        <v>54440667.687265955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f t="shared" si="54"/>
        <v>107124783.82925051</v>
      </c>
      <c r="AT334" s="2">
        <v>0</v>
      </c>
      <c r="AU334" s="2">
        <v>0</v>
      </c>
      <c r="AV334" s="2">
        <f t="shared" si="68"/>
        <v>54373117.964344792</v>
      </c>
      <c r="AW334" s="2">
        <v>0</v>
      </c>
      <c r="AX334" s="2">
        <v>0</v>
      </c>
      <c r="AY334" s="2">
        <v>0</v>
      </c>
      <c r="AZ334" s="2">
        <v>0</v>
      </c>
      <c r="BA334" s="2">
        <f>BA333*(1+VLOOKUP(A334,'SELIC Hist'!$A:$C,3,0))^(1/252)</f>
        <v>2464270.9677153998</v>
      </c>
      <c r="BB334" s="2">
        <f t="shared" si="57"/>
        <v>983601992.09418547</v>
      </c>
      <c r="BC334" s="2">
        <v>0</v>
      </c>
      <c r="BD334" s="2">
        <v>0</v>
      </c>
      <c r="BE334" s="2">
        <f t="shared" si="67"/>
        <v>451338.06946384907</v>
      </c>
      <c r="BF334" s="2">
        <f t="shared" si="59"/>
        <v>5148325.4385942221</v>
      </c>
      <c r="BG334" s="2">
        <f t="shared" si="60"/>
        <v>56784669.276865967</v>
      </c>
      <c r="BH334" s="11">
        <f t="shared" si="61"/>
        <v>1.1272068983387165</v>
      </c>
      <c r="BI334" s="12">
        <f t="shared" si="62"/>
        <v>4.5907315182702746E-4</v>
      </c>
      <c r="BJ334" s="12">
        <f t="shared" si="63"/>
        <v>5.5173686465226357E-3</v>
      </c>
      <c r="BK334" s="12">
        <f t="shared" si="64"/>
        <v>7.6574760818147736E-2</v>
      </c>
      <c r="BL334" s="5">
        <f t="shared" si="65"/>
        <v>0.12720689833871646</v>
      </c>
      <c r="BM334" s="19">
        <f t="shared" si="56"/>
        <v>4.4840931710079079E-2</v>
      </c>
      <c r="BN334" s="19">
        <f t="shared" si="55"/>
        <v>9.8255595497179327E-2</v>
      </c>
      <c r="BO334" s="19" t="s">
        <v>53</v>
      </c>
    </row>
    <row r="335" spans="1:67" x14ac:dyDescent="0.25">
      <c r="A335" s="1">
        <v>45582</v>
      </c>
      <c r="B335" s="1" t="str">
        <f t="shared" si="58"/>
        <v>202410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f>I334*(1+((1+VLOOKUP($B335,'IPCA Hist'!$B:$C,2,0))^12 - 1)+$I$2)^(1/252)</f>
        <v>209184366.38406694</v>
      </c>
      <c r="J335" s="2">
        <f>J334*(1+((1+VLOOKUP($B335,'IPCA Hist'!$B:$C,2,0))^12 - 1)+$J$2)^(1/252)</f>
        <v>132999011.84779333</v>
      </c>
      <c r="K335" s="2">
        <f>K334*(1+((1+VLOOKUP($B335,'IPCA Hist'!$B:$C,2,0))^12 - 1)+$K$2)^(1/252)</f>
        <v>20112934.918163016</v>
      </c>
      <c r="L335" s="2">
        <f>L334*(1+((1+VLOOKUP($B335,'IPCA Hist'!$B:$C,2,0))^12 - 1)+$L$2)^(1/252)</f>
        <v>12243828.63215181</v>
      </c>
      <c r="M335" s="2">
        <v>0</v>
      </c>
      <c r="N335" s="2">
        <v>0</v>
      </c>
      <c r="O335" s="2">
        <v>0</v>
      </c>
      <c r="P335" s="2">
        <v>0</v>
      </c>
      <c r="Q335" s="2">
        <f>Q334*(1+((1+VLOOKUP($B335,'IPCA Hist'!$B:$C,2,0))^12 - 1)+$Q$2)^(1/252)</f>
        <v>45085632.561326556</v>
      </c>
      <c r="R335" s="2">
        <f>R334*(1+((1+VLOOKUP($B335,'IPCA Hist'!$B:$C,2,0))^12 - 1)+$R$2)^(1/252)</f>
        <v>45070696.958875082</v>
      </c>
      <c r="S335" s="2">
        <f>S334*(1+((1+VLOOKUP($B335,'IPCA Hist'!$B:$C,2,0))^12 - 1)+$S$2)^(1/252)</f>
        <v>46085977.788383529</v>
      </c>
      <c r="T335" s="2">
        <f>T334*(1+((1+VLOOKUP($B335,'IPCA Hist'!$B:$C,2,0))^12 - 1)+$T$2)^(1/252)</f>
        <v>232766361.54074651</v>
      </c>
      <c r="U335" s="2">
        <f>U334*(1+((1+VLOOKUP($B335,'IPCA Hist'!$B:$C,2,0))^12 - 1)+$U$2)^(1/252)</f>
        <v>20338694.241802685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f>AF334*(1+((1+VLOOKUP($B335,'IGPM Hist'!$B:$C,2,0))^12 - 1)+$AF$2)^(1/252)</f>
        <v>1664666.1664015474</v>
      </c>
      <c r="AG335" s="2">
        <v>0</v>
      </c>
      <c r="AH335" s="2">
        <v>0</v>
      </c>
      <c r="AI335" s="2">
        <v>0</v>
      </c>
      <c r="AJ335" s="2">
        <f t="shared" si="66"/>
        <v>54465732.315649733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f t="shared" si="54"/>
        <v>107172510.78858036</v>
      </c>
      <c r="AT335" s="2">
        <v>0</v>
      </c>
      <c r="AU335" s="2">
        <v>0</v>
      </c>
      <c r="AV335" s="2">
        <f t="shared" si="68"/>
        <v>54397862.964613862</v>
      </c>
      <c r="AW335" s="2">
        <v>0</v>
      </c>
      <c r="AX335" s="2">
        <v>0</v>
      </c>
      <c r="AY335" s="2">
        <v>0</v>
      </c>
      <c r="AZ335" s="2">
        <v>0</v>
      </c>
      <c r="BA335" s="2">
        <f>BA334*(1+VLOOKUP(A335,'SELIC Hist'!$A:$C,3,0))^(1/252)</f>
        <v>2465260.8047763128</v>
      </c>
      <c r="BB335" s="2">
        <f t="shared" si="57"/>
        <v>984053537.91333115</v>
      </c>
      <c r="BC335" s="2">
        <v>0</v>
      </c>
      <c r="BD335" s="2">
        <v>0</v>
      </c>
      <c r="BE335" s="2">
        <f t="shared" si="67"/>
        <v>451545.81914567947</v>
      </c>
      <c r="BF335" s="2">
        <f t="shared" si="59"/>
        <v>5599871.2577399015</v>
      </c>
      <c r="BG335" s="2">
        <f t="shared" si="60"/>
        <v>57236215.096011646</v>
      </c>
      <c r="BH335" s="11">
        <f t="shared" si="61"/>
        <v>1.1277243693954528</v>
      </c>
      <c r="BI335" s="12">
        <f t="shared" si="62"/>
        <v>4.5907371352948978E-4</v>
      </c>
      <c r="BJ335" s="12">
        <f t="shared" si="63"/>
        <v>5.9789752389656226E-3</v>
      </c>
      <c r="BK335" s="12">
        <f t="shared" si="64"/>
        <v>7.7068987991488536E-2</v>
      </c>
      <c r="BL335" s="5">
        <f t="shared" si="65"/>
        <v>0.12772436939545284</v>
      </c>
      <c r="BM335" s="19">
        <f t="shared" si="56"/>
        <v>4.4519125511684576E-2</v>
      </c>
      <c r="BN335" s="19">
        <f t="shared" si="55"/>
        <v>9.8409107179871391E-2</v>
      </c>
      <c r="BO335" s="19" t="s">
        <v>53</v>
      </c>
    </row>
    <row r="336" spans="1:67" x14ac:dyDescent="0.25">
      <c r="A336" s="1">
        <v>45583</v>
      </c>
      <c r="B336" s="1" t="str">
        <f t="shared" si="58"/>
        <v>202410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f>I335*(1+((1+VLOOKUP($B336,'IPCA Hist'!$B:$C,2,0))^12 - 1)+$I$2)^(1/252)</f>
        <v>209282971.35806379</v>
      </c>
      <c r="J336" s="2">
        <f>J335*(1+((1+VLOOKUP($B336,'IPCA Hist'!$B:$C,2,0))^12 - 1)+$J$2)^(1/252)</f>
        <v>133059402.11674257</v>
      </c>
      <c r="K336" s="2">
        <f>K335*(1+((1+VLOOKUP($B336,'IPCA Hist'!$B:$C,2,0))^12 - 1)+$K$2)^(1/252)</f>
        <v>20123107.635973703</v>
      </c>
      <c r="L336" s="2">
        <f>L335*(1+((1+VLOOKUP($B336,'IPCA Hist'!$B:$C,2,0))^12 - 1)+$L$2)^(1/252)</f>
        <v>12250068.794069819</v>
      </c>
      <c r="M336" s="2">
        <v>0</v>
      </c>
      <c r="N336" s="2">
        <v>0</v>
      </c>
      <c r="O336" s="2">
        <v>0</v>
      </c>
      <c r="P336" s="2">
        <v>0</v>
      </c>
      <c r="Q336" s="2">
        <f>Q335*(1+((1+VLOOKUP($B336,'IPCA Hist'!$B:$C,2,0))^12 - 1)+$Q$2)^(1/252)</f>
        <v>45106072.462096497</v>
      </c>
      <c r="R336" s="2">
        <f>R335*(1+((1+VLOOKUP($B336,'IPCA Hist'!$B:$C,2,0))^12 - 1)+$R$2)^(1/252)</f>
        <v>45091146.049701355</v>
      </c>
      <c r="S336" s="2">
        <f>S335*(1+((1+VLOOKUP($B336,'IPCA Hist'!$B:$C,2,0))^12 - 1)+$S$2)^(1/252)</f>
        <v>46106691.578730561</v>
      </c>
      <c r="T336" s="2">
        <f>T335*(1+((1+VLOOKUP($B336,'IPCA Hist'!$B:$C,2,0))^12 - 1)+$T$2)^(1/252)</f>
        <v>232870898.12352386</v>
      </c>
      <c r="U336" s="2">
        <f>U335*(1+((1+VLOOKUP($B336,'IPCA Hist'!$B:$C,2,0))^12 - 1)+$U$2)^(1/252)</f>
        <v>20348796.101700243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f>AF335*(1+((1+VLOOKUP($B336,'IGPM Hist'!$B:$C,2,0))^12 - 1)+$AF$2)^(1/252)</f>
        <v>1666199.5965315634</v>
      </c>
      <c r="AG336" s="2">
        <v>0</v>
      </c>
      <c r="AH336" s="2">
        <v>0</v>
      </c>
      <c r="AI336" s="2">
        <v>0</v>
      </c>
      <c r="AJ336" s="2">
        <f t="shared" si="66"/>
        <v>54490808.483855166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f t="shared" si="54"/>
        <v>107220259.01154841</v>
      </c>
      <c r="AT336" s="2">
        <v>0</v>
      </c>
      <c r="AU336" s="2">
        <v>0</v>
      </c>
      <c r="AV336" s="2">
        <f t="shared" si="68"/>
        <v>54422619.226238936</v>
      </c>
      <c r="AW336" s="2">
        <v>0</v>
      </c>
      <c r="AX336" s="2">
        <v>0</v>
      </c>
      <c r="AY336" s="2">
        <v>0</v>
      </c>
      <c r="AZ336" s="2">
        <v>0</v>
      </c>
      <c r="BA336" s="2">
        <f>BA335*(1+VLOOKUP(A336,'SELIC Hist'!$A:$C,3,0))^(1/252)</f>
        <v>2466251.0394304367</v>
      </c>
      <c r="BB336" s="2">
        <f t="shared" si="57"/>
        <v>984505291.57820678</v>
      </c>
      <c r="BC336" s="2">
        <v>0</v>
      </c>
      <c r="BD336" s="2">
        <v>0</v>
      </c>
      <c r="BE336" s="2">
        <f t="shared" si="67"/>
        <v>451753.66487562656</v>
      </c>
      <c r="BF336" s="2">
        <f t="shared" si="59"/>
        <v>6051624.9226155281</v>
      </c>
      <c r="BG336" s="2">
        <f t="shared" si="60"/>
        <v>57687968.760887273</v>
      </c>
      <c r="BH336" s="11">
        <f t="shared" si="61"/>
        <v>1.1282420786431877</v>
      </c>
      <c r="BI336" s="12">
        <f t="shared" si="62"/>
        <v>4.5907427540337054E-4</v>
      </c>
      <c r="BJ336" s="12">
        <f t="shared" si="63"/>
        <v>6.4407943080944108E-3</v>
      </c>
      <c r="BK336" s="12">
        <f t="shared" si="64"/>
        <v>7.7563442656710224E-2</v>
      </c>
      <c r="BL336" s="5">
        <f t="shared" si="65"/>
        <v>0.12824207864318771</v>
      </c>
      <c r="BM336" s="19">
        <f t="shared" si="56"/>
        <v>4.5423065366732462E-2</v>
      </c>
      <c r="BN336" s="19">
        <f t="shared" si="55"/>
        <v>9.8562639810833019E-2</v>
      </c>
      <c r="BO336" s="19" t="s">
        <v>53</v>
      </c>
    </row>
    <row r="337" spans="1:67" x14ac:dyDescent="0.25">
      <c r="A337" s="1">
        <v>45586</v>
      </c>
      <c r="B337" s="1" t="str">
        <f t="shared" si="58"/>
        <v>202410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f>I336*(1+((1+VLOOKUP($B337,'IPCA Hist'!$B:$C,2,0))^12 - 1)+$I$2)^(1/252)</f>
        <v>209381622.81230703</v>
      </c>
      <c r="J337" s="2">
        <f>J336*(1+((1+VLOOKUP($B337,'IPCA Hist'!$B:$C,2,0))^12 - 1)+$J$2)^(1/252)</f>
        <v>133119819.80683227</v>
      </c>
      <c r="K337" s="2">
        <f>K336*(1+((1+VLOOKUP($B337,'IPCA Hist'!$B:$C,2,0))^12 - 1)+$K$2)^(1/252)</f>
        <v>20133285.498940382</v>
      </c>
      <c r="L337" s="2">
        <f>L336*(1+((1+VLOOKUP($B337,'IPCA Hist'!$B:$C,2,0))^12 - 1)+$L$2)^(1/252)</f>
        <v>12256312.136334592</v>
      </c>
      <c r="M337" s="2">
        <v>0</v>
      </c>
      <c r="N337" s="2">
        <v>0</v>
      </c>
      <c r="O337" s="2">
        <v>0</v>
      </c>
      <c r="P337" s="2">
        <v>0</v>
      </c>
      <c r="Q337" s="2">
        <f>Q336*(1+((1+VLOOKUP($B337,'IPCA Hist'!$B:$C,2,0))^12 - 1)+$Q$2)^(1/252)</f>
        <v>45126521.629444726</v>
      </c>
      <c r="R337" s="2">
        <f>R336*(1+((1+VLOOKUP($B337,'IPCA Hist'!$B:$C,2,0))^12 - 1)+$R$2)^(1/252)</f>
        <v>45111604.41851408</v>
      </c>
      <c r="S337" s="2">
        <f>S336*(1+((1+VLOOKUP($B337,'IPCA Hist'!$B:$C,2,0))^12 - 1)+$S$2)^(1/252)</f>
        <v>46127414.679091856</v>
      </c>
      <c r="T337" s="2">
        <f>T336*(1+((1+VLOOKUP($B337,'IPCA Hist'!$B:$C,2,0))^12 - 1)+$T$2)^(1/252)</f>
        <v>232975481.65422389</v>
      </c>
      <c r="U337" s="2">
        <f>U336*(1+((1+VLOOKUP($B337,'IPCA Hist'!$B:$C,2,0))^12 - 1)+$U$2)^(1/252)</f>
        <v>20358902.979008071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f>AF336*(1+((1+VLOOKUP($B337,'IGPM Hist'!$B:$C,2,0))^12 - 1)+$AF$2)^(1/252)</f>
        <v>1667734.43920183</v>
      </c>
      <c r="AG337" s="2">
        <v>0</v>
      </c>
      <c r="AH337" s="2">
        <v>0</v>
      </c>
      <c r="AI337" s="2">
        <v>0</v>
      </c>
      <c r="AJ337" s="2">
        <f t="shared" si="66"/>
        <v>54515896.197195224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f t="shared" si="54"/>
        <v>107268028.5076282</v>
      </c>
      <c r="AT337" s="2">
        <v>0</v>
      </c>
      <c r="AU337" s="2">
        <v>0</v>
      </c>
      <c r="AV337" s="2">
        <f t="shared" si="68"/>
        <v>54447386.754345007</v>
      </c>
      <c r="AW337" s="2">
        <v>0</v>
      </c>
      <c r="AX337" s="2">
        <v>0</v>
      </c>
      <c r="AY337" s="2">
        <v>0</v>
      </c>
      <c r="AZ337" s="2">
        <v>0</v>
      </c>
      <c r="BA337" s="2">
        <f>BA336*(1+VLOOKUP(A337,'SELIC Hist'!$A:$C,3,0))^(1/252)</f>
        <v>2467241.6718374752</v>
      </c>
      <c r="BB337" s="2">
        <f t="shared" si="57"/>
        <v>984957253.18490469</v>
      </c>
      <c r="BC337" s="2">
        <v>0</v>
      </c>
      <c r="BD337" s="2">
        <v>0</v>
      </c>
      <c r="BE337" s="2">
        <f t="shared" si="67"/>
        <v>451961.60669791698</v>
      </c>
      <c r="BF337" s="2">
        <f t="shared" si="59"/>
        <v>6503586.5293134451</v>
      </c>
      <c r="BG337" s="2">
        <f t="shared" si="60"/>
        <v>58139930.36758519</v>
      </c>
      <c r="BH337" s="11">
        <f t="shared" si="61"/>
        <v>1.1287600261920427</v>
      </c>
      <c r="BI337" s="12">
        <f t="shared" si="62"/>
        <v>4.5907483744800359E-4</v>
      </c>
      <c r="BJ337" s="12">
        <f t="shared" si="63"/>
        <v>6.9028259521424218E-3</v>
      </c>
      <c r="BK337" s="12">
        <f t="shared" si="64"/>
        <v>7.8058124918987781E-2</v>
      </c>
      <c r="BL337" s="5">
        <f t="shared" si="65"/>
        <v>0.12876002619204274</v>
      </c>
      <c r="BM337" s="19">
        <f t="shared" si="56"/>
        <v>4.5059999567532039E-2</v>
      </c>
      <c r="BN337" s="19">
        <f t="shared" si="55"/>
        <v>9.8716193392888174E-2</v>
      </c>
      <c r="BO337" s="19" t="s">
        <v>53</v>
      </c>
    </row>
    <row r="338" spans="1:67" x14ac:dyDescent="0.25">
      <c r="A338" s="1">
        <v>45587</v>
      </c>
      <c r="B338" s="1" t="str">
        <f t="shared" si="58"/>
        <v>202410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f>I337*(1+((1+VLOOKUP($B338,'IPCA Hist'!$B:$C,2,0))^12 - 1)+$I$2)^(1/252)</f>
        <v>209480320.7687065</v>
      </c>
      <c r="J338" s="2">
        <f>J337*(1+((1+VLOOKUP($B338,'IPCA Hist'!$B:$C,2,0))^12 - 1)+$J$2)^(1/252)</f>
        <v>133180264.93051341</v>
      </c>
      <c r="K338" s="2">
        <f>K337*(1+((1+VLOOKUP($B338,'IPCA Hist'!$B:$C,2,0))^12 - 1)+$K$2)^(1/252)</f>
        <v>20143468.509665374</v>
      </c>
      <c r="L338" s="2">
        <f>L337*(1+((1+VLOOKUP($B338,'IPCA Hist'!$B:$C,2,0))^12 - 1)+$L$2)^(1/252)</f>
        <v>12262558.660567017</v>
      </c>
      <c r="M338" s="2">
        <v>0</v>
      </c>
      <c r="N338" s="2">
        <v>0</v>
      </c>
      <c r="O338" s="2">
        <v>0</v>
      </c>
      <c r="P338" s="2">
        <v>0</v>
      </c>
      <c r="Q338" s="2">
        <f>Q337*(1+((1+VLOOKUP($B338,'IPCA Hist'!$B:$C,2,0))^12 - 1)+$Q$2)^(1/252)</f>
        <v>45146980.067572303</v>
      </c>
      <c r="R338" s="2">
        <f>R337*(1+((1+VLOOKUP($B338,'IPCA Hist'!$B:$C,2,0))^12 - 1)+$R$2)^(1/252)</f>
        <v>45132072.069522783</v>
      </c>
      <c r="S338" s="2">
        <f>S337*(1+((1+VLOOKUP($B338,'IPCA Hist'!$B:$C,2,0))^12 - 1)+$S$2)^(1/252)</f>
        <v>46148147.093651891</v>
      </c>
      <c r="T338" s="2">
        <f>T337*(1+((1+VLOOKUP($B338,'IPCA Hist'!$B:$C,2,0))^12 - 1)+$T$2)^(1/252)</f>
        <v>233080112.15393111</v>
      </c>
      <c r="U338" s="2">
        <f>U337*(1+((1+VLOOKUP($B338,'IPCA Hist'!$B:$C,2,0))^12 - 1)+$U$2)^(1/252)</f>
        <v>20369014.876218226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f>AF337*(1+((1+VLOOKUP($B338,'IGPM Hist'!$B:$C,2,0))^12 - 1)+$AF$2)^(1/252)</f>
        <v>1669270.6957135277</v>
      </c>
      <c r="AG338" s="2">
        <v>0</v>
      </c>
      <c r="AH338" s="2">
        <v>0</v>
      </c>
      <c r="AI338" s="2">
        <v>0</v>
      </c>
      <c r="AJ338" s="2">
        <f t="shared" si="66"/>
        <v>54540995.460985318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f t="shared" si="54"/>
        <v>107315819.28629747</v>
      </c>
      <c r="AT338" s="2">
        <v>0</v>
      </c>
      <c r="AU338" s="2">
        <v>0</v>
      </c>
      <c r="AV338" s="2">
        <f t="shared" si="68"/>
        <v>54472165.554059416</v>
      </c>
      <c r="AW338" s="2">
        <v>0</v>
      </c>
      <c r="AX338" s="2">
        <v>0</v>
      </c>
      <c r="AY338" s="2">
        <v>0</v>
      </c>
      <c r="AZ338" s="2">
        <v>0</v>
      </c>
      <c r="BA338" s="2">
        <f>BA337*(1+VLOOKUP(A338,'SELIC Hist'!$A:$C,3,0))^(1/252)</f>
        <v>2468232.7021571957</v>
      </c>
      <c r="BB338" s="2">
        <f t="shared" si="57"/>
        <v>985409422.82956147</v>
      </c>
      <c r="BC338" s="2">
        <v>0</v>
      </c>
      <c r="BD338" s="2">
        <v>0</v>
      </c>
      <c r="BE338" s="2">
        <f t="shared" si="67"/>
        <v>452169.64465677738</v>
      </c>
      <c r="BF338" s="2">
        <f t="shared" si="59"/>
        <v>6955756.1739702225</v>
      </c>
      <c r="BG338" s="2">
        <f t="shared" si="60"/>
        <v>58592100.012241967</v>
      </c>
      <c r="BH338" s="11">
        <f t="shared" si="61"/>
        <v>1.1292782121521905</v>
      </c>
      <c r="BI338" s="12">
        <f t="shared" si="62"/>
        <v>4.5907539966294486E-4</v>
      </c>
      <c r="BJ338" s="12">
        <f t="shared" si="63"/>
        <v>7.365070269388152E-3</v>
      </c>
      <c r="BK338" s="12">
        <f t="shared" si="64"/>
        <v>7.8553034883544814E-2</v>
      </c>
      <c r="BL338" s="5">
        <f t="shared" si="65"/>
        <v>0.12927821215219049</v>
      </c>
      <c r="BM338" s="19">
        <f t="shared" si="56"/>
        <v>4.5397690645975208E-2</v>
      </c>
      <c r="BN338" s="19">
        <f t="shared" si="55"/>
        <v>9.8869767928860153E-2</v>
      </c>
      <c r="BO338" s="19" t="s">
        <v>53</v>
      </c>
    </row>
    <row r="339" spans="1:67" x14ac:dyDescent="0.25">
      <c r="A339" s="1">
        <v>45588</v>
      </c>
      <c r="B339" s="1" t="str">
        <f t="shared" si="58"/>
        <v>202410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f>I338*(1+((1+VLOOKUP($B339,'IPCA Hist'!$B:$C,2,0))^12 - 1)+$I$2)^(1/252)</f>
        <v>209579065.24918225</v>
      </c>
      <c r="J339" s="2">
        <f>J338*(1+((1+VLOOKUP($B339,'IPCA Hist'!$B:$C,2,0))^12 - 1)+$J$2)^(1/252)</f>
        <v>133240737.50024265</v>
      </c>
      <c r="K339" s="2">
        <f>K338*(1+((1+VLOOKUP($B339,'IPCA Hist'!$B:$C,2,0))^12 - 1)+$K$2)^(1/252)</f>
        <v>20153656.670752306</v>
      </c>
      <c r="L339" s="2">
        <f>L338*(1+((1+VLOOKUP($B339,'IPCA Hist'!$B:$C,2,0))^12 - 1)+$L$2)^(1/252)</f>
        <v>12268808.368388807</v>
      </c>
      <c r="M339" s="2">
        <v>0</v>
      </c>
      <c r="N339" s="2">
        <v>0</v>
      </c>
      <c r="O339" s="2">
        <v>0</v>
      </c>
      <c r="P339" s="2">
        <v>0</v>
      </c>
      <c r="Q339" s="2">
        <f>Q338*(1+((1+VLOOKUP($B339,'IPCA Hist'!$B:$C,2,0))^12 - 1)+$Q$2)^(1/252)</f>
        <v>45167447.780682206</v>
      </c>
      <c r="R339" s="2">
        <f>R338*(1+((1+VLOOKUP($B339,'IPCA Hist'!$B:$C,2,0))^12 - 1)+$R$2)^(1/252)</f>
        <v>45152549.006938897</v>
      </c>
      <c r="S339" s="2">
        <f>S338*(1+((1+VLOOKUP($B339,'IPCA Hist'!$B:$C,2,0))^12 - 1)+$S$2)^(1/252)</f>
        <v>46168888.82659702</v>
      </c>
      <c r="T339" s="2">
        <f>T338*(1+((1+VLOOKUP($B339,'IPCA Hist'!$B:$C,2,0))^12 - 1)+$T$2)^(1/252)</f>
        <v>233184789.64373958</v>
      </c>
      <c r="U339" s="2">
        <f>U338*(1+((1+VLOOKUP($B339,'IPCA Hist'!$B:$C,2,0))^12 - 1)+$U$2)^(1/252)</f>
        <v>20379131.795824002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f>AF338*(1+((1+VLOOKUP($B339,'IGPM Hist'!$B:$C,2,0))^12 - 1)+$AF$2)^(1/252)</f>
        <v>1670808.3673690364</v>
      </c>
      <c r="AG339" s="2">
        <v>0</v>
      </c>
      <c r="AH339" s="2">
        <v>0</v>
      </c>
      <c r="AI339" s="2">
        <v>0</v>
      </c>
      <c r="AJ339" s="2">
        <f t="shared" si="66"/>
        <v>54566106.280543298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f t="shared" si="54"/>
        <v>107363631.35703817</v>
      </c>
      <c r="AT339" s="2">
        <v>0</v>
      </c>
      <c r="AU339" s="2">
        <v>0</v>
      </c>
      <c r="AV339" s="2">
        <f t="shared" si="68"/>
        <v>54496955.630511828</v>
      </c>
      <c r="AW339" s="2">
        <v>0</v>
      </c>
      <c r="AX339" s="2">
        <v>0</v>
      </c>
      <c r="AY339" s="2">
        <v>0</v>
      </c>
      <c r="AZ339" s="2">
        <v>0</v>
      </c>
      <c r="BA339" s="2">
        <f>BA338*(1+VLOOKUP(A339,'SELIC Hist'!$A:$C,3,0))^(1/252)</f>
        <v>2469224.1305494304</v>
      </c>
      <c r="BB339" s="2">
        <f t="shared" si="57"/>
        <v>985861800.60835969</v>
      </c>
      <c r="BC339" s="2">
        <v>0</v>
      </c>
      <c r="BD339" s="2">
        <v>0</v>
      </c>
      <c r="BE339" s="2">
        <f t="shared" si="67"/>
        <v>452377.77879822254</v>
      </c>
      <c r="BF339" s="2">
        <f t="shared" si="59"/>
        <v>7408133.952768445</v>
      </c>
      <c r="BG339" s="2">
        <f t="shared" si="60"/>
        <v>59044477.79104019</v>
      </c>
      <c r="BH339" s="11">
        <f t="shared" si="61"/>
        <v>1.1297966366338559</v>
      </c>
      <c r="BI339" s="12">
        <f t="shared" si="62"/>
        <v>4.5907596204952661E-4</v>
      </c>
      <c r="BJ339" s="12">
        <f t="shared" si="63"/>
        <v>7.8275273581571714E-3</v>
      </c>
      <c r="BK339" s="12">
        <f t="shared" si="64"/>
        <v>7.9048172655655335E-2</v>
      </c>
      <c r="BL339" s="5">
        <f t="shared" si="65"/>
        <v>0.12979663663385588</v>
      </c>
      <c r="BM339" s="19">
        <f t="shared" si="56"/>
        <v>4.508620369029126E-2</v>
      </c>
      <c r="BN339" s="19">
        <f t="shared" si="55"/>
        <v>9.9023363421574251E-2</v>
      </c>
      <c r="BO339" s="19" t="s">
        <v>53</v>
      </c>
    </row>
    <row r="340" spans="1:67" x14ac:dyDescent="0.25">
      <c r="A340" s="1">
        <v>45589</v>
      </c>
      <c r="B340" s="1" t="str">
        <f t="shared" si="58"/>
        <v>202410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f>I339*(1+((1+VLOOKUP($B340,'IPCA Hist'!$B:$C,2,0))^12 - 1)+$I$2)^(1/252)</f>
        <v>209677856.27566478</v>
      </c>
      <c r="J340" s="2">
        <f>J339*(1+((1+VLOOKUP($B340,'IPCA Hist'!$B:$C,2,0))^12 - 1)+$J$2)^(1/252)</f>
        <v>133301237.52848229</v>
      </c>
      <c r="K340" s="2">
        <f>K339*(1+((1+VLOOKUP($B340,'IPCA Hist'!$B:$C,2,0))^12 - 1)+$K$2)^(1/252)</f>
        <v>20163849.984806132</v>
      </c>
      <c r="L340" s="2">
        <f>L339*(1+((1+VLOOKUP($B340,'IPCA Hist'!$B:$C,2,0))^12 - 1)+$L$2)^(1/252)</f>
        <v>12275061.261422506</v>
      </c>
      <c r="M340" s="2">
        <v>0</v>
      </c>
      <c r="N340" s="2">
        <v>0</v>
      </c>
      <c r="O340" s="2">
        <v>0</v>
      </c>
      <c r="P340" s="2">
        <v>0</v>
      </c>
      <c r="Q340" s="2">
        <f>Q339*(1+((1+VLOOKUP($B340,'IPCA Hist'!$B:$C,2,0))^12 - 1)+$Q$2)^(1/252)</f>
        <v>45187924.772979319</v>
      </c>
      <c r="R340" s="2">
        <f>R339*(1+((1+VLOOKUP($B340,'IPCA Hist'!$B:$C,2,0))^12 - 1)+$R$2)^(1/252)</f>
        <v>45173035.234975778</v>
      </c>
      <c r="S340" s="2">
        <f>S339*(1+((1+VLOOKUP($B340,'IPCA Hist'!$B:$C,2,0))^12 - 1)+$S$2)^(1/252)</f>
        <v>46189639.882115491</v>
      </c>
      <c r="T340" s="2">
        <f>T339*(1+((1+VLOOKUP($B340,'IPCA Hist'!$B:$C,2,0))^12 - 1)+$T$2)^(1/252)</f>
        <v>233289514.1447528</v>
      </c>
      <c r="U340" s="2">
        <f>U339*(1+((1+VLOOKUP($B340,'IPCA Hist'!$B:$C,2,0))^12 - 1)+$U$2)^(1/252)</f>
        <v>20389253.740319934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f>AF339*(1+((1+VLOOKUP($B340,'IGPM Hist'!$B:$C,2,0))^12 - 1)+$AF$2)^(1/252)</f>
        <v>1672347.4554719352</v>
      </c>
      <c r="AG340" s="2">
        <v>0</v>
      </c>
      <c r="AH340" s="2">
        <v>0</v>
      </c>
      <c r="AI340" s="2">
        <v>0</v>
      </c>
      <c r="AJ340" s="2">
        <f t="shared" si="66"/>
        <v>54591228.661189474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f t="shared" si="54"/>
        <v>107411464.7293365</v>
      </c>
      <c r="AT340" s="2">
        <v>0</v>
      </c>
      <c r="AU340" s="2">
        <v>0</v>
      </c>
      <c r="AV340" s="2">
        <f t="shared" si="68"/>
        <v>54521756.98883424</v>
      </c>
      <c r="AW340" s="2">
        <v>0</v>
      </c>
      <c r="AX340" s="2">
        <v>0</v>
      </c>
      <c r="AY340" s="2">
        <v>0</v>
      </c>
      <c r="AZ340" s="2">
        <v>0</v>
      </c>
      <c r="BA340" s="2">
        <f>BA339*(1+VLOOKUP(A340,'SELIC Hist'!$A:$C,3,0))^(1/252)</f>
        <v>2470215.9571740748</v>
      </c>
      <c r="BB340" s="2">
        <f t="shared" si="57"/>
        <v>986314386.61752534</v>
      </c>
      <c r="BC340" s="2">
        <v>0</v>
      </c>
      <c r="BD340" s="2">
        <v>0</v>
      </c>
      <c r="BE340" s="2">
        <f t="shared" si="67"/>
        <v>452586.00916564465</v>
      </c>
      <c r="BF340" s="2">
        <f t="shared" si="59"/>
        <v>7860719.9619340897</v>
      </c>
      <c r="BG340" s="2">
        <f t="shared" si="60"/>
        <v>59497063.800205834</v>
      </c>
      <c r="BH340" s="11">
        <f t="shared" si="61"/>
        <v>1.130315299747314</v>
      </c>
      <c r="BI340" s="12">
        <f t="shared" si="62"/>
        <v>4.5907652460663861E-4</v>
      </c>
      <c r="BJ340" s="12">
        <f t="shared" si="63"/>
        <v>8.2901973168196808E-3</v>
      </c>
      <c r="BK340" s="12">
        <f t="shared" si="64"/>
        <v>7.9543538340641318E-2</v>
      </c>
      <c r="BL340" s="5">
        <f t="shared" si="65"/>
        <v>0.13031529974731404</v>
      </c>
      <c r="BM340" s="19">
        <f t="shared" si="56"/>
        <v>4.5064676273643078E-2</v>
      </c>
      <c r="BN340" s="19">
        <f t="shared" si="55"/>
        <v>9.9176979873855098E-2</v>
      </c>
      <c r="BO340" s="19" t="s">
        <v>53</v>
      </c>
    </row>
    <row r="341" spans="1:67" x14ac:dyDescent="0.25">
      <c r="A341" s="1">
        <v>45590</v>
      </c>
      <c r="B341" s="1" t="str">
        <f t="shared" si="58"/>
        <v>202410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f>I340*(1+((1+VLOOKUP($B341,'IPCA Hist'!$B:$C,2,0))^12 - 1)+$I$2)^(1/252)</f>
        <v>209776693.87009481</v>
      </c>
      <c r="J341" s="2">
        <f>J340*(1+((1+VLOOKUP($B341,'IPCA Hist'!$B:$C,2,0))^12 - 1)+$J$2)^(1/252)</f>
        <v>133361765.02770029</v>
      </c>
      <c r="K341" s="2">
        <f>K340*(1+((1+VLOOKUP($B341,'IPCA Hist'!$B:$C,2,0))^12 - 1)+$K$2)^(1/252)</f>
        <v>20174048.454433117</v>
      </c>
      <c r="L341" s="2">
        <f>L340*(1+((1+VLOOKUP($B341,'IPCA Hist'!$B:$C,2,0))^12 - 1)+$L$2)^(1/252)</f>
        <v>12281317.341291478</v>
      </c>
      <c r="M341" s="2">
        <v>0</v>
      </c>
      <c r="N341" s="2">
        <v>0</v>
      </c>
      <c r="O341" s="2">
        <v>0</v>
      </c>
      <c r="P341" s="2">
        <v>0</v>
      </c>
      <c r="Q341" s="2">
        <f>Q340*(1+((1+VLOOKUP($B341,'IPCA Hist'!$B:$C,2,0))^12 - 1)+$Q$2)^(1/252)</f>
        <v>45208411.048670426</v>
      </c>
      <c r="R341" s="2">
        <f>R340*(1+((1+VLOOKUP($B341,'IPCA Hist'!$B:$C,2,0))^12 - 1)+$R$2)^(1/252)</f>
        <v>45193530.757848687</v>
      </c>
      <c r="S341" s="2">
        <f>S340*(1+((1+VLOOKUP($B341,'IPCA Hist'!$B:$C,2,0))^12 - 1)+$S$2)^(1/252)</f>
        <v>46210400.264397413</v>
      </c>
      <c r="T341" s="2">
        <f>T340*(1+((1+VLOOKUP($B341,'IPCA Hist'!$B:$C,2,0))^12 - 1)+$T$2)^(1/252)</f>
        <v>233394285.67808372</v>
      </c>
      <c r="U341" s="2">
        <f>U340*(1+((1+VLOOKUP($B341,'IPCA Hist'!$B:$C,2,0))^12 - 1)+$U$2)^(1/252)</f>
        <v>20399380.712201793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f>AF340*(1+((1+VLOOKUP($B341,'IGPM Hist'!$B:$C,2,0))^12 - 1)+$AF$2)^(1/252)</f>
        <v>1673887.9613270038</v>
      </c>
      <c r="AG341" s="2">
        <v>0</v>
      </c>
      <c r="AH341" s="2">
        <v>0</v>
      </c>
      <c r="AI341" s="2">
        <v>0</v>
      </c>
      <c r="AJ341" s="2">
        <f t="shared" si="66"/>
        <v>54616362.608246602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f t="shared" si="54"/>
        <v>107459319.41268286</v>
      </c>
      <c r="AT341" s="2">
        <v>0</v>
      </c>
      <c r="AU341" s="2">
        <v>0</v>
      </c>
      <c r="AV341" s="2">
        <f t="shared" si="68"/>
        <v>54546569.634160988</v>
      </c>
      <c r="AW341" s="2">
        <v>0</v>
      </c>
      <c r="AX341" s="2">
        <v>0</v>
      </c>
      <c r="AY341" s="2">
        <v>0</v>
      </c>
      <c r="AZ341" s="2">
        <v>0</v>
      </c>
      <c r="BA341" s="2">
        <f>BA340*(1+VLOOKUP(A341,'SELIC Hist'!$A:$C,3,0))^(1/252)</f>
        <v>2471208.1821910893</v>
      </c>
      <c r="BB341" s="2">
        <f t="shared" si="57"/>
        <v>986767180.95333028</v>
      </c>
      <c r="BC341" s="2">
        <v>0</v>
      </c>
      <c r="BD341" s="2">
        <v>0</v>
      </c>
      <c r="BE341" s="2">
        <f t="shared" si="67"/>
        <v>452794.33580493927</v>
      </c>
      <c r="BF341" s="2">
        <f t="shared" si="59"/>
        <v>8313514.2977390289</v>
      </c>
      <c r="BG341" s="2">
        <f t="shared" si="60"/>
        <v>59949858.136010773</v>
      </c>
      <c r="BH341" s="11">
        <f t="shared" si="61"/>
        <v>1.1308342016028923</v>
      </c>
      <c r="BI341" s="12">
        <f t="shared" si="62"/>
        <v>4.5907708733494701E-4</v>
      </c>
      <c r="BJ341" s="12">
        <f t="shared" si="63"/>
        <v>8.7530802437922883E-3</v>
      </c>
      <c r="BK341" s="12">
        <f t="shared" si="64"/>
        <v>8.0039132043874028E-2</v>
      </c>
      <c r="BL341" s="5">
        <f t="shared" si="65"/>
        <v>0.13083420160289227</v>
      </c>
      <c r="BM341" s="19">
        <f t="shared" si="56"/>
        <v>4.5057783972834997E-2</v>
      </c>
      <c r="BN341" s="19">
        <f t="shared" si="55"/>
        <v>9.9330617288527545E-2</v>
      </c>
      <c r="BO341" s="19" t="s">
        <v>53</v>
      </c>
    </row>
    <row r="342" spans="1:67" x14ac:dyDescent="0.25">
      <c r="A342" s="1">
        <v>45593</v>
      </c>
      <c r="B342" s="1" t="str">
        <f t="shared" si="58"/>
        <v>202410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f>I341*(1+((1+VLOOKUP($B342,'IPCA Hist'!$B:$C,2,0))^12 - 1)+$I$2)^(1/252)</f>
        <v>209875578.05442351</v>
      </c>
      <c r="J342" s="2">
        <f>J341*(1+((1+VLOOKUP($B342,'IPCA Hist'!$B:$C,2,0))^12 - 1)+$J$2)^(1/252)</f>
        <v>133422320.01037028</v>
      </c>
      <c r="K342" s="2">
        <f>K341*(1+((1+VLOOKUP($B342,'IPCA Hist'!$B:$C,2,0))^12 - 1)+$K$2)^(1/252)</f>
        <v>20184252.082240846</v>
      </c>
      <c r="L342" s="2">
        <f>L341*(1+((1+VLOOKUP($B342,'IPCA Hist'!$B:$C,2,0))^12 - 1)+$L$2)^(1/252)</f>
        <v>12287576.609619921</v>
      </c>
      <c r="M342" s="2">
        <v>0</v>
      </c>
      <c r="N342" s="2">
        <v>0</v>
      </c>
      <c r="O342" s="2">
        <v>0</v>
      </c>
      <c r="P342" s="2">
        <v>0</v>
      </c>
      <c r="Q342" s="2">
        <f>Q341*(1+((1+VLOOKUP($B342,'IPCA Hist'!$B:$C,2,0))^12 - 1)+$Q$2)^(1/252)</f>
        <v>45228906.611964226</v>
      </c>
      <c r="R342" s="2">
        <f>R341*(1+((1+VLOOKUP($B342,'IPCA Hist'!$B:$C,2,0))^12 - 1)+$R$2)^(1/252)</f>
        <v>45214035.579774797</v>
      </c>
      <c r="S342" s="2">
        <f>S341*(1+((1+VLOOKUP($B342,'IPCA Hist'!$B:$C,2,0))^12 - 1)+$S$2)^(1/252)</f>
        <v>46231169.977634795</v>
      </c>
      <c r="T342" s="2">
        <f>T341*(1+((1+VLOOKUP($B342,'IPCA Hist'!$B:$C,2,0))^12 - 1)+$T$2)^(1/252)</f>
        <v>233499104.26485482</v>
      </c>
      <c r="U342" s="2">
        <f>U341*(1+((1+VLOOKUP($B342,'IPCA Hist'!$B:$C,2,0))^12 - 1)+$U$2)^(1/252)</f>
        <v>20409512.713966589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f>AF341*(1+((1+VLOOKUP($B342,'IGPM Hist'!$B:$C,2,0))^12 - 1)+$AF$2)^(1/252)</f>
        <v>1675429.8862402244</v>
      </c>
      <c r="AG342" s="2">
        <v>0</v>
      </c>
      <c r="AH342" s="2">
        <v>0</v>
      </c>
      <c r="AI342" s="2">
        <v>0</v>
      </c>
      <c r="AJ342" s="2">
        <f t="shared" si="66"/>
        <v>54641508.127039894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f t="shared" si="54"/>
        <v>107507195.4165719</v>
      </c>
      <c r="AT342" s="2">
        <v>0</v>
      </c>
      <c r="AU342" s="2">
        <v>0</v>
      </c>
      <c r="AV342" s="2">
        <f t="shared" si="68"/>
        <v>54571393.571628749</v>
      </c>
      <c r="AW342" s="2">
        <v>0</v>
      </c>
      <c r="AX342" s="2">
        <v>0</v>
      </c>
      <c r="AY342" s="2">
        <v>0</v>
      </c>
      <c r="AZ342" s="2">
        <v>0</v>
      </c>
      <c r="BA342" s="2">
        <f>BA341*(1+VLOOKUP(A342,'SELIC Hist'!$A:$C,3,0))^(1/252)</f>
        <v>2472200.8057604982</v>
      </c>
      <c r="BB342" s="2">
        <f t="shared" si="57"/>
        <v>987220183.71209109</v>
      </c>
      <c r="BC342" s="2">
        <v>0</v>
      </c>
      <c r="BD342" s="2">
        <v>0</v>
      </c>
      <c r="BE342" s="2">
        <f t="shared" si="67"/>
        <v>453002.7587608099</v>
      </c>
      <c r="BF342" s="2">
        <f t="shared" si="59"/>
        <v>8766517.0564998388</v>
      </c>
      <c r="BG342" s="2">
        <f t="shared" si="60"/>
        <v>60402860.894771583</v>
      </c>
      <c r="BH342" s="11">
        <f t="shared" si="61"/>
        <v>1.1313533423109692</v>
      </c>
      <c r="BI342" s="12">
        <f t="shared" si="62"/>
        <v>4.5907765023467384E-4</v>
      </c>
      <c r="BJ342" s="12">
        <f t="shared" si="63"/>
        <v>9.2161762375375655E-3</v>
      </c>
      <c r="BK342" s="12">
        <f t="shared" si="64"/>
        <v>8.0534953870774251E-2</v>
      </c>
      <c r="BL342" s="5">
        <f t="shared" si="65"/>
        <v>0.13135334231096918</v>
      </c>
      <c r="BM342" s="19">
        <f t="shared" si="56"/>
        <v>4.5510982411301359E-2</v>
      </c>
      <c r="BN342" s="19">
        <f t="shared" si="55"/>
        <v>9.9484275668418443E-2</v>
      </c>
      <c r="BO342" s="19" t="s">
        <v>53</v>
      </c>
    </row>
    <row r="343" spans="1:67" x14ac:dyDescent="0.25">
      <c r="A343" s="1">
        <v>45594</v>
      </c>
      <c r="B343" s="1" t="str">
        <f t="shared" si="58"/>
        <v>202410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f>I342*(1+((1+VLOOKUP($B343,'IPCA Hist'!$B:$C,2,0))^12 - 1)+$I$2)^(1/252)</f>
        <v>209974508.85061231</v>
      </c>
      <c r="J343" s="2">
        <f>J342*(1+((1+VLOOKUP($B343,'IPCA Hist'!$B:$C,2,0))^12 - 1)+$J$2)^(1/252)</f>
        <v>133482902.48897155</v>
      </c>
      <c r="K343" s="2">
        <f>K342*(1+((1+VLOOKUP($B343,'IPCA Hist'!$B:$C,2,0))^12 - 1)+$K$2)^(1/252)</f>
        <v>20194460.870838225</v>
      </c>
      <c r="L343" s="2">
        <f>L342*(1+((1+VLOOKUP($B343,'IPCA Hist'!$B:$C,2,0))^12 - 1)+$L$2)^(1/252)</f>
        <v>12293839.068032857</v>
      </c>
      <c r="M343" s="2">
        <v>0</v>
      </c>
      <c r="N343" s="2">
        <v>0</v>
      </c>
      <c r="O343" s="2">
        <v>0</v>
      </c>
      <c r="P343" s="2">
        <v>0</v>
      </c>
      <c r="Q343" s="2">
        <f>Q342*(1+((1+VLOOKUP($B343,'IPCA Hist'!$B:$C,2,0))^12 - 1)+$Q$2)^(1/252)</f>
        <v>45249411.467071317</v>
      </c>
      <c r="R343" s="2">
        <f>R342*(1+((1+VLOOKUP($B343,'IPCA Hist'!$B:$C,2,0))^12 - 1)+$R$2)^(1/252)</f>
        <v>45234549.704973191</v>
      </c>
      <c r="S343" s="2">
        <f>S342*(1+((1+VLOOKUP($B343,'IPCA Hist'!$B:$C,2,0))^12 - 1)+$S$2)^(1/252)</f>
        <v>46251949.026021533</v>
      </c>
      <c r="T343" s="2">
        <f>T342*(1+((1+VLOOKUP($B343,'IPCA Hist'!$B:$C,2,0))^12 - 1)+$T$2)^(1/252)</f>
        <v>233603969.92619804</v>
      </c>
      <c r="U343" s="2">
        <f>U342*(1+((1+VLOOKUP($B343,'IPCA Hist'!$B:$C,2,0))^12 - 1)+$U$2)^(1/252)</f>
        <v>20419649.748112574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f>AF342*(1+((1+VLOOKUP($B343,'IGPM Hist'!$B:$C,2,0))^12 - 1)+$AF$2)^(1/252)</f>
        <v>1676973.2315187817</v>
      </c>
      <c r="AG343" s="2">
        <v>0</v>
      </c>
      <c r="AH343" s="2">
        <v>0</v>
      </c>
      <c r="AI343" s="2">
        <v>0</v>
      </c>
      <c r="AJ343" s="2">
        <f t="shared" si="66"/>
        <v>54666665.222897001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f t="shared" si="54"/>
        <v>107555092.7505025</v>
      </c>
      <c r="AT343" s="2">
        <v>0</v>
      </c>
      <c r="AU343" s="2">
        <v>0</v>
      </c>
      <c r="AV343" s="2">
        <f t="shared" si="68"/>
        <v>54596228.806376532</v>
      </c>
      <c r="AW343" s="2">
        <v>0</v>
      </c>
      <c r="AX343" s="2">
        <v>0</v>
      </c>
      <c r="AY343" s="2">
        <v>0</v>
      </c>
      <c r="AZ343" s="2">
        <v>0</v>
      </c>
      <c r="BA343" s="2">
        <f>BA342*(1+VLOOKUP(A343,'SELIC Hist'!$A:$C,3,0))^(1/252)</f>
        <v>2473193.8280423898</v>
      </c>
      <c r="BB343" s="2">
        <f t="shared" si="57"/>
        <v>987673394.99016881</v>
      </c>
      <c r="BC343" s="2">
        <v>0</v>
      </c>
      <c r="BD343" s="2">
        <v>0</v>
      </c>
      <c r="BE343" s="2">
        <f t="shared" si="67"/>
        <v>453211.2780777216</v>
      </c>
      <c r="BF343" s="2">
        <f t="shared" si="59"/>
        <v>9219728.3345775604</v>
      </c>
      <c r="BG343" s="2">
        <f t="shared" si="60"/>
        <v>60856072.172849305</v>
      </c>
      <c r="BH343" s="11">
        <f t="shared" si="61"/>
        <v>1.1318727219819746</v>
      </c>
      <c r="BI343" s="12">
        <f t="shared" si="62"/>
        <v>4.5907821330559706E-4</v>
      </c>
      <c r="BJ343" s="12">
        <f t="shared" si="63"/>
        <v>9.679485396563825E-3</v>
      </c>
      <c r="BK343" s="12">
        <f t="shared" si="64"/>
        <v>8.1031003926811396E-2</v>
      </c>
      <c r="BL343" s="5">
        <f t="shared" si="65"/>
        <v>0.13187272198197464</v>
      </c>
      <c r="BM343" s="19">
        <f t="shared" si="56"/>
        <v>4.5062575553142414E-2</v>
      </c>
      <c r="BN343" s="19">
        <f t="shared" si="55"/>
        <v>9.9637955016353752E-2</v>
      </c>
      <c r="BO343" s="19" t="s">
        <v>53</v>
      </c>
    </row>
    <row r="344" spans="1:67" x14ac:dyDescent="0.25">
      <c r="A344" s="1">
        <v>45595</v>
      </c>
      <c r="B344" s="1" t="str">
        <f t="shared" si="58"/>
        <v>202410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f>I343*(1+((1+VLOOKUP($B344,'IPCA Hist'!$B:$C,2,0))^12 - 1)+$I$2)^(1/252)</f>
        <v>210073486.28063306</v>
      </c>
      <c r="J344" s="2">
        <f>J343*(1+((1+VLOOKUP($B344,'IPCA Hist'!$B:$C,2,0))^12 - 1)+$J$2)^(1/252)</f>
        <v>133543512.47598904</v>
      </c>
      <c r="K344" s="2">
        <f>K343*(1+((1+VLOOKUP($B344,'IPCA Hist'!$B:$C,2,0))^12 - 1)+$K$2)^(1/252)</f>
        <v>20204674.822835475</v>
      </c>
      <c r="L344" s="2">
        <f>L343*(1+((1+VLOOKUP($B344,'IPCA Hist'!$B:$C,2,0))^12 - 1)+$L$2)^(1/252)</f>
        <v>12300104.718156138</v>
      </c>
      <c r="M344" s="2">
        <v>0</v>
      </c>
      <c r="N344" s="2">
        <v>0</v>
      </c>
      <c r="O344" s="2">
        <v>0</v>
      </c>
      <c r="P344" s="2">
        <v>0</v>
      </c>
      <c r="Q344" s="2">
        <f>Q343*(1+((1+VLOOKUP($B344,'IPCA Hist'!$B:$C,2,0))^12 - 1)+$Q$2)^(1/252)</f>
        <v>45269925.618204214</v>
      </c>
      <c r="R344" s="2">
        <f>R343*(1+((1+VLOOKUP($B344,'IPCA Hist'!$B:$C,2,0))^12 - 1)+$R$2)^(1/252)</f>
        <v>45255073.137664869</v>
      </c>
      <c r="S344" s="2">
        <f>S343*(1+((1+VLOOKUP($B344,'IPCA Hist'!$B:$C,2,0))^12 - 1)+$S$2)^(1/252)</f>
        <v>46272737.41375339</v>
      </c>
      <c r="T344" s="2">
        <f>T343*(1+((1+VLOOKUP($B344,'IPCA Hist'!$B:$C,2,0))^12 - 1)+$T$2)^(1/252)</f>
        <v>233708882.68325478</v>
      </c>
      <c r="U344" s="2">
        <f>U343*(1+((1+VLOOKUP($B344,'IPCA Hist'!$B:$C,2,0))^12 - 1)+$U$2)^(1/252)</f>
        <v>20429791.817139242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f>AF343*(1+((1+VLOOKUP($B344,'IGPM Hist'!$B:$C,2,0))^12 - 1)+$AF$2)^(1/252)</f>
        <v>1678517.998471065</v>
      </c>
      <c r="AG344" s="2">
        <v>0</v>
      </c>
      <c r="AH344" s="2">
        <v>0</v>
      </c>
      <c r="AI344" s="2">
        <v>0</v>
      </c>
      <c r="AJ344" s="2">
        <f t="shared" si="66"/>
        <v>54691833.901148036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f t="shared" si="54"/>
        <v>107603011.42397775</v>
      </c>
      <c r="AT344" s="2">
        <v>0</v>
      </c>
      <c r="AU344" s="2">
        <v>0</v>
      </c>
      <c r="AV344" s="2">
        <f t="shared" si="68"/>
        <v>54621075.34354569</v>
      </c>
      <c r="AW344" s="2">
        <v>0</v>
      </c>
      <c r="AX344" s="2">
        <v>0</v>
      </c>
      <c r="AY344" s="2">
        <v>0</v>
      </c>
      <c r="AZ344" s="2">
        <v>0</v>
      </c>
      <c r="BA344" s="2">
        <f>BA343*(1+VLOOKUP(A344,'SELIC Hist'!$A:$C,3,0))^(1/252)</f>
        <v>2474187.2491969177</v>
      </c>
      <c r="BB344" s="2">
        <f t="shared" si="57"/>
        <v>988126814.88396966</v>
      </c>
      <c r="BC344" s="2">
        <v>0</v>
      </c>
      <c r="BD344" s="2">
        <v>0</v>
      </c>
      <c r="BE344" s="2">
        <f t="shared" si="67"/>
        <v>453419.89380085468</v>
      </c>
      <c r="BF344" s="2">
        <f t="shared" si="59"/>
        <v>9673148.2283784151</v>
      </c>
      <c r="BG344" s="2">
        <f t="shared" si="60"/>
        <v>61309492.06665016</v>
      </c>
      <c r="BH344" s="11">
        <f t="shared" si="61"/>
        <v>1.1323923407263898</v>
      </c>
      <c r="BI344" s="12">
        <f t="shared" si="62"/>
        <v>4.5907877654771667E-4</v>
      </c>
      <c r="BJ344" s="12">
        <f t="shared" si="63"/>
        <v>1.0143007819424898E-2</v>
      </c>
      <c r="BK344" s="12">
        <f t="shared" si="64"/>
        <v>8.1527282317504168E-2</v>
      </c>
      <c r="BL344" s="5">
        <f t="shared" si="65"/>
        <v>0.13239234072638983</v>
      </c>
      <c r="BM344" s="19">
        <f t="shared" si="56"/>
        <v>4.5335361807626873E-2</v>
      </c>
      <c r="BN344" s="19">
        <f t="shared" si="55"/>
        <v>9.9791655335160101E-2</v>
      </c>
      <c r="BO344" s="19" t="s">
        <v>53</v>
      </c>
    </row>
    <row r="345" spans="1:67" x14ac:dyDescent="0.25">
      <c r="A345" s="1">
        <v>45596</v>
      </c>
      <c r="B345" s="1" t="str">
        <f t="shared" si="58"/>
        <v>202410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f>I344*(1+((1+VLOOKUP($B345,'IPCA Hist'!$B:$C,2,0))^12 - 1)+$I$2)^(1/252)</f>
        <v>210172510.36646792</v>
      </c>
      <c r="J345" s="2">
        <f>J344*(1+((1+VLOOKUP($B345,'IPCA Hist'!$B:$C,2,0))^12 - 1)+$J$2)^(1/252)</f>
        <v>133604149.98391339</v>
      </c>
      <c r="K345" s="2">
        <f>K344*(1+((1+VLOOKUP($B345,'IPCA Hist'!$B:$C,2,0))^12 - 1)+$K$2)^(1/252)</f>
        <v>20214893.940844141</v>
      </c>
      <c r="L345" s="2">
        <f>L344*(1+((1+VLOOKUP($B345,'IPCA Hist'!$B:$C,2,0))^12 - 1)+$L$2)^(1/252)</f>
        <v>12306373.561616443</v>
      </c>
      <c r="M345" s="2">
        <v>0</v>
      </c>
      <c r="N345" s="2">
        <v>0</v>
      </c>
      <c r="O345" s="2">
        <v>0</v>
      </c>
      <c r="P345" s="2">
        <v>0</v>
      </c>
      <c r="Q345" s="2">
        <f>Q344*(1+((1+VLOOKUP($B345,'IPCA Hist'!$B:$C,2,0))^12 - 1)+$Q$2)^(1/252)</f>
        <v>45290449.069577336</v>
      </c>
      <c r="R345" s="2">
        <f>R344*(1+((1+VLOOKUP($B345,'IPCA Hist'!$B:$C,2,0))^12 - 1)+$R$2)^(1/252)</f>
        <v>45275605.882072754</v>
      </c>
      <c r="S345" s="2">
        <f>S344*(1+((1+VLOOKUP($B345,'IPCA Hist'!$B:$C,2,0))^12 - 1)+$S$2)^(1/252)</f>
        <v>46293535.145028032</v>
      </c>
      <c r="T345" s="2">
        <f>T344*(1+((1+VLOOKUP($B345,'IPCA Hist'!$B:$C,2,0))^12 - 1)+$T$2)^(1/252)</f>
        <v>233813842.55717602</v>
      </c>
      <c r="U345" s="2">
        <f>U344*(1+((1+VLOOKUP($B345,'IPCA Hist'!$B:$C,2,0))^12 - 1)+$U$2)^(1/252)</f>
        <v>20439938.923547324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f>AF344*(1+((1+VLOOKUP($B345,'IGPM Hist'!$B:$C,2,0))^12 - 1)+$AF$2)^(1/252)</f>
        <v>1680064.1884066684</v>
      </c>
      <c r="AG345" s="2">
        <v>0</v>
      </c>
      <c r="AH345" s="2">
        <v>0</v>
      </c>
      <c r="AI345" s="2">
        <v>0</v>
      </c>
      <c r="AJ345" s="2">
        <f t="shared" si="66"/>
        <v>54717014.167125568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f t="shared" si="54"/>
        <v>107650951.446505</v>
      </c>
      <c r="AT345" s="2">
        <v>0</v>
      </c>
      <c r="AU345" s="2">
        <v>0</v>
      </c>
      <c r="AV345" s="2">
        <f t="shared" si="68"/>
        <v>54645933.188279904</v>
      </c>
      <c r="AW345" s="2">
        <v>0</v>
      </c>
      <c r="AX345" s="2">
        <v>0</v>
      </c>
      <c r="AY345" s="2">
        <v>0</v>
      </c>
      <c r="AZ345" s="2">
        <v>0</v>
      </c>
      <c r="BA345" s="2">
        <f>BA344*(1+VLOOKUP(A345,'SELIC Hist'!$A:$C,3,0))^(1/252)</f>
        <v>2475181.0693842992</v>
      </c>
      <c r="BB345" s="2">
        <f t="shared" si="57"/>
        <v>988580443.4899447</v>
      </c>
      <c r="BC345" s="2">
        <v>0</v>
      </c>
      <c r="BD345" s="2">
        <v>0</v>
      </c>
      <c r="BE345" s="2">
        <f t="shared" si="67"/>
        <v>453628.60597503185</v>
      </c>
      <c r="BF345" s="2">
        <f t="shared" si="59"/>
        <v>10126776.834353447</v>
      </c>
      <c r="BG345" s="2">
        <f t="shared" si="60"/>
        <v>61763120.672625192</v>
      </c>
      <c r="BH345" s="11">
        <f t="shared" si="61"/>
        <v>1.1329121986547477</v>
      </c>
      <c r="BI345" s="12">
        <f t="shared" si="62"/>
        <v>4.5907933996125472E-4</v>
      </c>
      <c r="BJ345" s="12">
        <f t="shared" si="63"/>
        <v>1.0606743604721025E-2</v>
      </c>
      <c r="BK345" s="12">
        <f t="shared" si="64"/>
        <v>8.2023789148420567E-2</v>
      </c>
      <c r="BL345" s="5">
        <f t="shared" si="65"/>
        <v>0.13291219865474768</v>
      </c>
      <c r="BM345" s="19">
        <f t="shared" si="56"/>
        <v>4.5296019259115861E-2</v>
      </c>
      <c r="BN345" s="19">
        <f t="shared" si="55"/>
        <v>9.9926860508138482E-2</v>
      </c>
      <c r="BO345" s="19" t="s">
        <v>53</v>
      </c>
    </row>
    <row r="346" spans="1:67" x14ac:dyDescent="0.25">
      <c r="A346" s="1">
        <v>45597</v>
      </c>
      <c r="B346" s="1" t="str">
        <f t="shared" si="58"/>
        <v>202411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f>I345*(1+((1+VLOOKUP($B346,'IPCA Hist'!$B:$C,2,0))^12 - 1)+$I$2)^(1/252)</f>
        <v>210255502.88741153</v>
      </c>
      <c r="J346" s="2">
        <f>J345*(1+((1+VLOOKUP($B346,'IPCA Hist'!$B:$C,2,0))^12 - 1)+$J$2)^(1/252)</f>
        <v>133654549.35510708</v>
      </c>
      <c r="K346" s="2">
        <f>K345*(1+((1+VLOOKUP($B346,'IPCA Hist'!$B:$C,2,0))^12 - 1)+$K$2)^(1/252)</f>
        <v>20223585.200712033</v>
      </c>
      <c r="L346" s="2">
        <f>L345*(1+((1+VLOOKUP($B346,'IPCA Hist'!$B:$C,2,0))^12 - 1)+$L$2)^(1/252)</f>
        <v>12311713.243969982</v>
      </c>
      <c r="M346" s="2">
        <v>0</v>
      </c>
      <c r="N346" s="2">
        <v>0</v>
      </c>
      <c r="O346" s="2">
        <v>0</v>
      </c>
      <c r="P346" s="2">
        <v>0</v>
      </c>
      <c r="Q346" s="2">
        <f>Q345*(1+((1+VLOOKUP($B346,'IPCA Hist'!$B:$C,2,0))^12 - 1)+$Q$2)^(1/252)</f>
        <v>45307501.243130609</v>
      </c>
      <c r="R346" s="2">
        <f>R345*(1+((1+VLOOKUP($B346,'IPCA Hist'!$B:$C,2,0))^12 - 1)+$R$2)^(1/252)</f>
        <v>45292668.812987477</v>
      </c>
      <c r="S346" s="2">
        <f>S345*(1+((1+VLOOKUP($B346,'IPCA Hist'!$B:$C,2,0))^12 - 1)+$S$2)^(1/252)</f>
        <v>46310781.039831884</v>
      </c>
      <c r="T346" s="2">
        <f>T345*(1+((1+VLOOKUP($B346,'IPCA Hist'!$B:$C,2,0))^12 - 1)+$T$2)^(1/252)</f>
        <v>233900861.55098984</v>
      </c>
      <c r="U346" s="2">
        <f>U345*(1+((1+VLOOKUP($B346,'IPCA Hist'!$B:$C,2,0))^12 - 1)+$U$2)^(1/252)</f>
        <v>20448537.400248609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f>AF345*(1+((1+VLOOKUP($B346,'IGPM Hist'!$B:$C,2,0))^12 - 1)+$AF$2)^(1/252)</f>
        <v>1681443.3313571913</v>
      </c>
      <c r="AG346" s="2">
        <v>0</v>
      </c>
      <c r="AH346" s="2">
        <v>0</v>
      </c>
      <c r="AI346" s="2">
        <v>0</v>
      </c>
      <c r="AJ346" s="2">
        <f t="shared" si="66"/>
        <v>54742206.026164606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f t="shared" si="54"/>
        <v>107698912.82759582</v>
      </c>
      <c r="AT346" s="2">
        <v>0</v>
      </c>
      <c r="AU346" s="2">
        <v>0</v>
      </c>
      <c r="AV346" s="2">
        <f t="shared" si="68"/>
        <v>54670802.345725209</v>
      </c>
      <c r="AW346" s="2">
        <v>0</v>
      </c>
      <c r="AX346" s="2">
        <v>0</v>
      </c>
      <c r="AY346" s="2">
        <v>0</v>
      </c>
      <c r="AZ346" s="2">
        <v>0</v>
      </c>
      <c r="BA346" s="2">
        <f>BA345*(1+VLOOKUP(A346,'SELIC Hist'!$A:$C,3,0))^(1/252)</f>
        <v>2476175.2887648158</v>
      </c>
      <c r="BB346" s="2">
        <f t="shared" si="57"/>
        <v>988975240.5539968</v>
      </c>
      <c r="BC346" s="2">
        <v>0</v>
      </c>
      <c r="BD346" s="2">
        <v>0</v>
      </c>
      <c r="BE346" s="2">
        <f t="shared" si="67"/>
        <v>394797.06405210495</v>
      </c>
      <c r="BF346" s="2">
        <f t="shared" si="59"/>
        <v>394797.06405210495</v>
      </c>
      <c r="BG346" s="2">
        <f t="shared" si="60"/>
        <v>62157917.736677296</v>
      </c>
      <c r="BH346" s="11">
        <f t="shared" si="61"/>
        <v>1.1333646356949534</v>
      </c>
      <c r="BI346" s="12">
        <f t="shared" si="62"/>
        <v>3.9935755016395902E-4</v>
      </c>
      <c r="BJ346" s="12">
        <f t="shared" si="63"/>
        <v>3.9935755016395902E-4</v>
      </c>
      <c r="BK346" s="12">
        <f t="shared" si="64"/>
        <v>8.2455903518074081E-2</v>
      </c>
      <c r="BL346" s="5">
        <f t="shared" si="65"/>
        <v>0.13336463569495338</v>
      </c>
      <c r="BM346" s="19">
        <f t="shared" si="56"/>
        <v>4.5353830841728504E-2</v>
      </c>
      <c r="BN346" s="19">
        <f t="shared" si="55"/>
        <v>9.9996414013071799E-2</v>
      </c>
      <c r="BO346" s="19" t="s">
        <v>53</v>
      </c>
    </row>
    <row r="347" spans="1:67" x14ac:dyDescent="0.25">
      <c r="A347" s="1">
        <v>45600</v>
      </c>
      <c r="B347" s="1" t="str">
        <f t="shared" si="58"/>
        <v>202411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f>I346*(1+((1+VLOOKUP($B347,'IPCA Hist'!$B:$C,2,0))^12 - 1)+$I$2)^(1/252)</f>
        <v>210338528.1802839</v>
      </c>
      <c r="J347" s="2">
        <f>J346*(1+((1+VLOOKUP($B347,'IPCA Hist'!$B:$C,2,0))^12 - 1)+$J$2)^(1/252)</f>
        <v>133704967.73840944</v>
      </c>
      <c r="K347" s="2">
        <f>K346*(1+((1+VLOOKUP($B347,'IPCA Hist'!$B:$C,2,0))^12 - 1)+$K$2)^(1/252)</f>
        <v>20232280.197329588</v>
      </c>
      <c r="L347" s="2">
        <f>L346*(1+((1+VLOOKUP($B347,'IPCA Hist'!$B:$C,2,0))^12 - 1)+$L$2)^(1/252)</f>
        <v>12317055.24318864</v>
      </c>
      <c r="M347" s="2">
        <v>0</v>
      </c>
      <c r="N347" s="2">
        <v>0</v>
      </c>
      <c r="O347" s="2">
        <v>0</v>
      </c>
      <c r="P347" s="2">
        <v>0</v>
      </c>
      <c r="Q347" s="2">
        <f>Q346*(1+((1+VLOOKUP($B347,'IPCA Hist'!$B:$C,2,0))^12 - 1)+$Q$2)^(1/252)</f>
        <v>45324559.836947516</v>
      </c>
      <c r="R347" s="2">
        <f>R346*(1+((1+VLOOKUP($B347,'IPCA Hist'!$B:$C,2,0))^12 - 1)+$R$2)^(1/252)</f>
        <v>45309738.174376309</v>
      </c>
      <c r="S347" s="2">
        <f>S346*(1+((1+VLOOKUP($B347,'IPCA Hist'!$B:$C,2,0))^12 - 1)+$S$2)^(1/252)</f>
        <v>46328033.359310083</v>
      </c>
      <c r="T347" s="2">
        <f>T346*(1+((1+VLOOKUP($B347,'IPCA Hist'!$B:$C,2,0))^12 - 1)+$T$2)^(1/252)</f>
        <v>233987912.9308472</v>
      </c>
      <c r="U347" s="2">
        <f>U346*(1+((1+VLOOKUP($B347,'IPCA Hist'!$B:$C,2,0))^12 - 1)+$U$2)^(1/252)</f>
        <v>20457139.494074285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f>AF346*(1+((1+VLOOKUP($B347,'IGPM Hist'!$B:$C,2,0))^12 - 1)+$AF$2)^(1/252)</f>
        <v>1682823.6064283149</v>
      </c>
      <c r="AG347" s="2">
        <v>0</v>
      </c>
      <c r="AH347" s="2">
        <v>0</v>
      </c>
      <c r="AI347" s="2">
        <v>0</v>
      </c>
      <c r="AJ347" s="2">
        <f t="shared" si="66"/>
        <v>54767409.483602636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f t="shared" si="54"/>
        <v>107746895.57676601</v>
      </c>
      <c r="AT347" s="2">
        <v>0</v>
      </c>
      <c r="AU347" s="2">
        <v>0</v>
      </c>
      <c r="AV347" s="2">
        <f t="shared" si="68"/>
        <v>54695682.821029976</v>
      </c>
      <c r="AW347" s="2">
        <v>0</v>
      </c>
      <c r="AX347" s="2">
        <v>0</v>
      </c>
      <c r="AY347" s="2">
        <v>0</v>
      </c>
      <c r="AZ347" s="2">
        <v>0</v>
      </c>
      <c r="BA347" s="2">
        <f>BA346*(1+VLOOKUP(A347,'SELIC Hist'!$A:$C,3,0))^(1/252)</f>
        <v>2477169.9074988132</v>
      </c>
      <c r="BB347" s="2">
        <f t="shared" si="57"/>
        <v>989370196.55009282</v>
      </c>
      <c r="BC347" s="2">
        <v>0</v>
      </c>
      <c r="BD347" s="2">
        <v>0</v>
      </c>
      <c r="BE347" s="2">
        <f t="shared" si="67"/>
        <v>394955.99609601498</v>
      </c>
      <c r="BF347" s="2">
        <f t="shared" si="59"/>
        <v>789753.06014811993</v>
      </c>
      <c r="BG347" s="2">
        <f t="shared" si="60"/>
        <v>62552873.732773311</v>
      </c>
      <c r="BH347" s="11">
        <f t="shared" si="61"/>
        <v>1.1338172548711221</v>
      </c>
      <c r="BI347" s="12">
        <f t="shared" si="62"/>
        <v>3.9935883114194937E-4</v>
      </c>
      <c r="BJ347" s="12">
        <f t="shared" si="63"/>
        <v>7.9887586827043222E-4</v>
      </c>
      <c r="BK347" s="12">
        <f t="shared" si="64"/>
        <v>8.2888191842465764E-2</v>
      </c>
      <c r="BL347" s="5">
        <f t="shared" si="65"/>
        <v>0.13381725487112206</v>
      </c>
      <c r="BM347" s="19">
        <f t="shared" si="56"/>
        <v>4.5415374913066353E-2</v>
      </c>
      <c r="BN347" s="19">
        <f t="shared" si="55"/>
        <v>0.10006597256472993</v>
      </c>
      <c r="BO347" s="19" t="s">
        <v>53</v>
      </c>
    </row>
    <row r="348" spans="1:67" x14ac:dyDescent="0.25">
      <c r="A348" s="1">
        <v>45601</v>
      </c>
      <c r="B348" s="1" t="str">
        <f t="shared" si="58"/>
        <v>202411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f>I347*(1+((1+VLOOKUP($B348,'IPCA Hist'!$B:$C,2,0))^12 - 1)+$I$2)^(1/252)</f>
        <v>210421586.25802591</v>
      </c>
      <c r="J348" s="2">
        <f>J347*(1+((1+VLOOKUP($B348,'IPCA Hist'!$B:$C,2,0))^12 - 1)+$J$2)^(1/252)</f>
        <v>133755405.14099237</v>
      </c>
      <c r="K348" s="2">
        <f>K347*(1+((1+VLOOKUP($B348,'IPCA Hist'!$B:$C,2,0))^12 - 1)+$K$2)^(1/252)</f>
        <v>20240978.932303395</v>
      </c>
      <c r="L348" s="2">
        <f>L347*(1+((1+VLOOKUP($B348,'IPCA Hist'!$B:$C,2,0))^12 - 1)+$L$2)^(1/252)</f>
        <v>12322399.560277693</v>
      </c>
      <c r="M348" s="2">
        <v>0</v>
      </c>
      <c r="N348" s="2">
        <v>0</v>
      </c>
      <c r="O348" s="2">
        <v>0</v>
      </c>
      <c r="P348" s="2">
        <v>0</v>
      </c>
      <c r="Q348" s="2">
        <f>Q347*(1+((1+VLOOKUP($B348,'IPCA Hist'!$B:$C,2,0))^12 - 1)+$Q$2)^(1/252)</f>
        <v>45341624.853445321</v>
      </c>
      <c r="R348" s="2">
        <f>R347*(1+((1+VLOOKUP($B348,'IPCA Hist'!$B:$C,2,0))^12 - 1)+$R$2)^(1/252)</f>
        <v>45326813.968662694</v>
      </c>
      <c r="S348" s="2">
        <f>S347*(1+((1+VLOOKUP($B348,'IPCA Hist'!$B:$C,2,0))^12 - 1)+$S$2)^(1/252)</f>
        <v>46345292.105856031</v>
      </c>
      <c r="T348" s="2">
        <f>T347*(1+((1+VLOOKUP($B348,'IPCA Hist'!$B:$C,2,0))^12 - 1)+$T$2)^(1/252)</f>
        <v>234074996.70880127</v>
      </c>
      <c r="U348" s="2">
        <f>U347*(1+((1+VLOOKUP($B348,'IPCA Hist'!$B:$C,2,0))^12 - 1)+$U$2)^(1/252)</f>
        <v>20465745.206545964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f>AF347*(1+((1+VLOOKUP($B348,'IGPM Hist'!$B:$C,2,0))^12 - 1)+$AF$2)^(1/252)</f>
        <v>1684205.0145493823</v>
      </c>
      <c r="AG348" s="2">
        <v>0</v>
      </c>
      <c r="AH348" s="2">
        <v>0</v>
      </c>
      <c r="AI348" s="2">
        <v>0</v>
      </c>
      <c r="AJ348" s="2">
        <f t="shared" si="66"/>
        <v>54792624.544779591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f t="shared" si="54"/>
        <v>107794899.70353565</v>
      </c>
      <c r="AT348" s="2">
        <v>0</v>
      </c>
      <c r="AU348" s="2">
        <v>0</v>
      </c>
      <c r="AV348" s="2">
        <f t="shared" si="68"/>
        <v>54720574.61934492</v>
      </c>
      <c r="AW348" s="2">
        <v>0</v>
      </c>
      <c r="AX348" s="2">
        <v>0</v>
      </c>
      <c r="AY348" s="2">
        <v>0</v>
      </c>
      <c r="AZ348" s="2">
        <v>0</v>
      </c>
      <c r="BA348" s="2">
        <f>BA347*(1+VLOOKUP(A348,'SELIC Hist'!$A:$C,3,0))^(1/252)</f>
        <v>2478164.9257467026</v>
      </c>
      <c r="BB348" s="2">
        <f t="shared" si="57"/>
        <v>989765311.54286683</v>
      </c>
      <c r="BC348" s="2">
        <v>0</v>
      </c>
      <c r="BD348" s="2">
        <v>0</v>
      </c>
      <c r="BE348" s="2">
        <f t="shared" si="67"/>
        <v>395114.9927740097</v>
      </c>
      <c r="BF348" s="2">
        <f t="shared" si="59"/>
        <v>1184868.0529221296</v>
      </c>
      <c r="BG348" s="2">
        <f t="shared" si="60"/>
        <v>62947988.725547321</v>
      </c>
      <c r="BH348" s="11">
        <f t="shared" si="61"/>
        <v>1.1342700562573247</v>
      </c>
      <c r="BI348" s="12">
        <f t="shared" si="62"/>
        <v>3.9936011227315049E-4</v>
      </c>
      <c r="BJ348" s="12">
        <f t="shared" si="63"/>
        <v>1.1985550197000094E-3</v>
      </c>
      <c r="BK348" s="12">
        <f t="shared" si="64"/>
        <v>8.332065419233925E-2</v>
      </c>
      <c r="BL348" s="5">
        <f t="shared" si="65"/>
        <v>0.13427005625732469</v>
      </c>
      <c r="BM348" s="19">
        <f t="shared" si="56"/>
        <v>4.579085960296525E-2</v>
      </c>
      <c r="BN348" s="19">
        <f t="shared" si="55"/>
        <v>0.10013553616360515</v>
      </c>
      <c r="BO348" s="19" t="s">
        <v>53</v>
      </c>
    </row>
    <row r="349" spans="1:67" x14ac:dyDescent="0.25">
      <c r="A349" s="1">
        <v>45602</v>
      </c>
      <c r="B349" s="1" t="str">
        <f t="shared" si="58"/>
        <v>202411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f>I348*(1+((1+VLOOKUP($B349,'IPCA Hist'!$B:$C,2,0))^12 - 1)+$I$2)^(1/252)</f>
        <v>210504677.13358361</v>
      </c>
      <c r="J349" s="2">
        <f>J348*(1+((1+VLOOKUP($B349,'IPCA Hist'!$B:$C,2,0))^12 - 1)+$J$2)^(1/252)</f>
        <v>133805861.57003051</v>
      </c>
      <c r="K349" s="2">
        <f>K348*(1+((1+VLOOKUP($B349,'IPCA Hist'!$B:$C,2,0))^12 - 1)+$K$2)^(1/252)</f>
        <v>20249681.407240737</v>
      </c>
      <c r="L349" s="2">
        <f>L348*(1+((1+VLOOKUP($B349,'IPCA Hist'!$B:$C,2,0))^12 - 1)+$L$2)^(1/252)</f>
        <v>12327746.196242856</v>
      </c>
      <c r="M349" s="2">
        <v>0</v>
      </c>
      <c r="N349" s="2">
        <v>0</v>
      </c>
      <c r="O349" s="2">
        <v>0</v>
      </c>
      <c r="P349" s="2">
        <v>0</v>
      </c>
      <c r="Q349" s="2">
        <f>Q348*(1+((1+VLOOKUP($B349,'IPCA Hist'!$B:$C,2,0))^12 - 1)+$Q$2)^(1/252)</f>
        <v>45358696.295042217</v>
      </c>
      <c r="R349" s="2">
        <f>R348*(1+((1+VLOOKUP($B349,'IPCA Hist'!$B:$C,2,0))^12 - 1)+$R$2)^(1/252)</f>
        <v>45343896.198270984</v>
      </c>
      <c r="S349" s="2">
        <f>S348*(1+((1+VLOOKUP($B349,'IPCA Hist'!$B:$C,2,0))^12 - 1)+$S$2)^(1/252)</f>
        <v>46362557.281864025</v>
      </c>
      <c r="T349" s="2">
        <f>T348*(1+((1+VLOOKUP($B349,'IPCA Hist'!$B:$C,2,0))^12 - 1)+$T$2)^(1/252)</f>
        <v>234162112.89690971</v>
      </c>
      <c r="U349" s="2">
        <f>U348*(1+((1+VLOOKUP($B349,'IPCA Hist'!$B:$C,2,0))^12 - 1)+$U$2)^(1/252)</f>
        <v>20474354.539185908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f>AF348*(1+((1+VLOOKUP($B349,'IGPM Hist'!$B:$C,2,0))^12 - 1)+$AF$2)^(1/252)</f>
        <v>1685587.5566504993</v>
      </c>
      <c r="AG349" s="2">
        <v>0</v>
      </c>
      <c r="AH349" s="2">
        <v>0</v>
      </c>
      <c r="AI349" s="2">
        <v>0</v>
      </c>
      <c r="AJ349" s="2">
        <f t="shared" si="66"/>
        <v>54817851.21503786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f t="shared" si="54"/>
        <v>107842925.21742901</v>
      </c>
      <c r="AT349" s="2">
        <v>0</v>
      </c>
      <c r="AU349" s="2">
        <v>0</v>
      </c>
      <c r="AV349" s="2">
        <f t="shared" si="68"/>
        <v>54745477.745823108</v>
      </c>
      <c r="AW349" s="2">
        <v>0</v>
      </c>
      <c r="AX349" s="2">
        <v>0</v>
      </c>
      <c r="AY349" s="2">
        <v>0</v>
      </c>
      <c r="AZ349" s="2">
        <v>0</v>
      </c>
      <c r="BA349" s="2">
        <f>BA348*(1+VLOOKUP(A349,'SELIC Hist'!$A:$C,3,0))^(1/252)</f>
        <v>2479204.6991357901</v>
      </c>
      <c r="BB349" s="2">
        <f t="shared" si="57"/>
        <v>990160629.95244682</v>
      </c>
      <c r="BC349" s="2">
        <v>0</v>
      </c>
      <c r="BD349" s="2">
        <v>0</v>
      </c>
      <c r="BE349" s="2">
        <f t="shared" si="67"/>
        <v>395318.40957999229</v>
      </c>
      <c r="BF349" s="2">
        <f t="shared" si="59"/>
        <v>1580186.4625021219</v>
      </c>
      <c r="BG349" s="2">
        <f t="shared" si="60"/>
        <v>63343307.135127313</v>
      </c>
      <c r="BH349" s="11">
        <f t="shared" si="61"/>
        <v>1.1347230907589834</v>
      </c>
      <c r="BI349" s="12">
        <f t="shared" si="62"/>
        <v>3.9940620768352808E-4</v>
      </c>
      <c r="BJ349" s="12">
        <f t="shared" si="63"/>
        <v>1.5984399376987035E-3</v>
      </c>
      <c r="BK349" s="12">
        <f t="shared" si="64"/>
        <v>8.3753339186535491E-2</v>
      </c>
      <c r="BL349" s="5">
        <f t="shared" si="65"/>
        <v>0.13472309075898337</v>
      </c>
      <c r="BM349" s="19">
        <f t="shared" si="56"/>
        <v>4.5018724074952443E-2</v>
      </c>
      <c r="BN349" s="19">
        <f t="shared" si="55"/>
        <v>0.10020515409523645</v>
      </c>
      <c r="BO349" s="19" t="s">
        <v>53</v>
      </c>
    </row>
    <row r="350" spans="1:67" x14ac:dyDescent="0.25">
      <c r="A350" s="1">
        <v>45603</v>
      </c>
      <c r="B350" s="1" t="str">
        <f t="shared" si="58"/>
        <v>202411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f>I349*(1+((1+VLOOKUP($B350,'IPCA Hist'!$B:$C,2,0))^12 - 1)+$I$2)^(1/252)</f>
        <v>210587800.81990814</v>
      </c>
      <c r="J350" s="2">
        <f>J349*(1+((1+VLOOKUP($B350,'IPCA Hist'!$B:$C,2,0))^12 - 1)+$J$2)^(1/252)</f>
        <v>133856337.03270118</v>
      </c>
      <c r="K350" s="2">
        <f>K349*(1+((1+VLOOKUP($B350,'IPCA Hist'!$B:$C,2,0))^12 - 1)+$K$2)^(1/252)</f>
        <v>20258387.623749584</v>
      </c>
      <c r="L350" s="2">
        <f>L349*(1+((1+VLOOKUP($B350,'IPCA Hist'!$B:$C,2,0))^12 - 1)+$L$2)^(1/252)</f>
        <v>12333095.152090279</v>
      </c>
      <c r="M350" s="2">
        <v>0</v>
      </c>
      <c r="N350" s="2">
        <v>0</v>
      </c>
      <c r="O350" s="2">
        <v>0</v>
      </c>
      <c r="P350" s="2">
        <v>0</v>
      </c>
      <c r="Q350" s="2">
        <f>Q349*(1+((1+VLOOKUP($B350,'IPCA Hist'!$B:$C,2,0))^12 - 1)+$Q$2)^(1/252)</f>
        <v>45375774.164157294</v>
      </c>
      <c r="R350" s="2">
        <f>R349*(1+((1+VLOOKUP($B350,'IPCA Hist'!$B:$C,2,0))^12 - 1)+$R$2)^(1/252)</f>
        <v>45360984.865626439</v>
      </c>
      <c r="S350" s="2">
        <f>S349*(1+((1+VLOOKUP($B350,'IPCA Hist'!$B:$C,2,0))^12 - 1)+$S$2)^(1/252)</f>
        <v>46379828.889729261</v>
      </c>
      <c r="T350" s="2">
        <f>T349*(1+((1+VLOOKUP($B350,'IPCA Hist'!$B:$C,2,0))^12 - 1)+$T$2)^(1/252)</f>
        <v>234249261.50723472</v>
      </c>
      <c r="U350" s="2">
        <f>U349*(1+((1+VLOOKUP($B350,'IPCA Hist'!$B:$C,2,0))^12 - 1)+$U$2)^(1/252)</f>
        <v>20482967.493517011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f>AF349*(1+((1+VLOOKUP($B350,'IGPM Hist'!$B:$C,2,0))^12 - 1)+$AF$2)^(1/252)</f>
        <v>1686971.2336625357</v>
      </c>
      <c r="AG350" s="2">
        <v>0</v>
      </c>
      <c r="AH350" s="2">
        <v>0</v>
      </c>
      <c r="AI350" s="2">
        <v>0</v>
      </c>
      <c r="AJ350" s="2">
        <f t="shared" si="66"/>
        <v>54843089.499722302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f t="shared" si="54"/>
        <v>107890972.12797464</v>
      </c>
      <c r="AT350" s="2">
        <v>0</v>
      </c>
      <c r="AU350" s="2">
        <v>0</v>
      </c>
      <c r="AV350" s="2">
        <f t="shared" si="68"/>
        <v>54770392.205619931</v>
      </c>
      <c r="AW350" s="2">
        <v>0</v>
      </c>
      <c r="AX350" s="2">
        <v>0</v>
      </c>
      <c r="AY350" s="2">
        <v>0</v>
      </c>
      <c r="AZ350" s="2">
        <v>0</v>
      </c>
      <c r="BA350" s="2">
        <f>BA349*(1+VLOOKUP(A350,'SELIC Hist'!$A:$C,3,0))^(1/252)</f>
        <v>2480244.9087866815</v>
      </c>
      <c r="BB350" s="2">
        <f t="shared" si="57"/>
        <v>990556107.52447999</v>
      </c>
      <c r="BC350" s="2">
        <v>0</v>
      </c>
      <c r="BD350" s="2">
        <v>0</v>
      </c>
      <c r="BE350" s="2">
        <f t="shared" si="67"/>
        <v>395477.57203316689</v>
      </c>
      <c r="BF350" s="2">
        <f t="shared" si="59"/>
        <v>1975664.0345352888</v>
      </c>
      <c r="BG350" s="2">
        <f t="shared" si="60"/>
        <v>63738784.70716048</v>
      </c>
      <c r="BH350" s="11">
        <f t="shared" si="61"/>
        <v>1.135176307660654</v>
      </c>
      <c r="BI350" s="12">
        <f t="shared" si="62"/>
        <v>3.9940749012834509E-4</v>
      </c>
      <c r="BJ350" s="12">
        <f t="shared" si="63"/>
        <v>1.9984858567105857E-3</v>
      </c>
      <c r="BK350" s="12">
        <f t="shared" si="64"/>
        <v>8.4186198387658173E-2</v>
      </c>
      <c r="BL350" s="5">
        <f t="shared" si="65"/>
        <v>0.13517630766065403</v>
      </c>
      <c r="BM350" s="19">
        <f t="shared" si="56"/>
        <v>4.5217186058977621E-2</v>
      </c>
      <c r="BN350" s="19">
        <f t="shared" si="55"/>
        <v>0.10027477708241017</v>
      </c>
      <c r="BO350" s="19" t="s">
        <v>53</v>
      </c>
    </row>
    <row r="351" spans="1:67" x14ac:dyDescent="0.25">
      <c r="A351" s="1">
        <v>45604</v>
      </c>
      <c r="B351" s="1" t="str">
        <f t="shared" si="58"/>
        <v>202411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f>I350*(1+((1+VLOOKUP($B351,'IPCA Hist'!$B:$C,2,0))^12 - 1)+$I$2)^(1/252)</f>
        <v>210670957.32995573</v>
      </c>
      <c r="J351" s="2">
        <f>J350*(1+((1+VLOOKUP($B351,'IPCA Hist'!$B:$C,2,0))^12 - 1)+$J$2)^(1/252)</f>
        <v>133906831.53618443</v>
      </c>
      <c r="K351" s="2">
        <f>K350*(1+((1+VLOOKUP($B351,'IPCA Hist'!$B:$C,2,0))^12 - 1)+$K$2)^(1/252)</f>
        <v>20267097.583438601</v>
      </c>
      <c r="L351" s="2">
        <f>L350*(1+((1+VLOOKUP($B351,'IPCA Hist'!$B:$C,2,0))^12 - 1)+$L$2)^(1/252)</f>
        <v>12338446.42882655</v>
      </c>
      <c r="M351" s="2">
        <v>0</v>
      </c>
      <c r="N351" s="2">
        <v>0</v>
      </c>
      <c r="O351" s="2">
        <v>0</v>
      </c>
      <c r="P351" s="2">
        <v>0</v>
      </c>
      <c r="Q351" s="2">
        <f>Q350*(1+((1+VLOOKUP($B351,'IPCA Hist'!$B:$C,2,0))^12 - 1)+$Q$2)^(1/252)</f>
        <v>45392858.46321056</v>
      </c>
      <c r="R351" s="2">
        <f>R350*(1+((1+VLOOKUP($B351,'IPCA Hist'!$B:$C,2,0))^12 - 1)+$R$2)^(1/252)</f>
        <v>45378079.973155253</v>
      </c>
      <c r="S351" s="2">
        <f>S350*(1+((1+VLOOKUP($B351,'IPCA Hist'!$B:$C,2,0))^12 - 1)+$S$2)^(1/252)</f>
        <v>46397106.931847818</v>
      </c>
      <c r="T351" s="2">
        <f>T350*(1+((1+VLOOKUP($B351,'IPCA Hist'!$B:$C,2,0))^12 - 1)+$T$2)^(1/252)</f>
        <v>234336442.5518429</v>
      </c>
      <c r="U351" s="2">
        <f>U350*(1+((1+VLOOKUP($B351,'IPCA Hist'!$B:$C,2,0))^12 - 1)+$U$2)^(1/252)</f>
        <v>20491584.071062814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f>AF350*(1+((1+VLOOKUP($B351,'IGPM Hist'!$B:$C,2,0))^12 - 1)+$AF$2)^(1/252)</f>
        <v>1688356.0465171251</v>
      </c>
      <c r="AG351" s="2">
        <v>0</v>
      </c>
      <c r="AH351" s="2">
        <f>6135*47942.18-294221655.15</f>
        <v>-96380.849999964237</v>
      </c>
      <c r="AI351" s="2">
        <v>0</v>
      </c>
      <c r="AJ351" s="2">
        <f t="shared" si="66"/>
        <v>54868339.404180221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f t="shared" si="54"/>
        <v>107939040.44470532</v>
      </c>
      <c r="AT351" s="2">
        <v>0</v>
      </c>
      <c r="AU351" s="2">
        <v>0</v>
      </c>
      <c r="AV351" s="2">
        <f t="shared" si="68"/>
        <v>54795318.003893152</v>
      </c>
      <c r="AW351" s="2">
        <v>0</v>
      </c>
      <c r="AX351" s="2">
        <v>0</v>
      </c>
      <c r="AY351" s="2">
        <v>0</v>
      </c>
      <c r="AZ351" s="2">
        <f>-AH351</f>
        <v>96380.849999964237</v>
      </c>
      <c r="BA351" s="2">
        <f>BA350*(1+VLOOKUP(A351,'SELIC Hist'!$A:$C,3,0))^(1/252) + AH351</f>
        <v>2384904.7048824565</v>
      </c>
      <c r="BB351" s="2">
        <f t="shared" si="57"/>
        <v>990855363.47370279</v>
      </c>
      <c r="BC351" s="2">
        <v>0</v>
      </c>
      <c r="BD351" s="2">
        <v>0</v>
      </c>
      <c r="BE351" s="2">
        <f t="shared" si="67"/>
        <v>299255.94922280312</v>
      </c>
      <c r="BF351" s="2">
        <f t="shared" si="59"/>
        <v>2274919.9837580919</v>
      </c>
      <c r="BG351" s="2">
        <f t="shared" si="60"/>
        <v>64038040.656383283</v>
      </c>
      <c r="BH351" s="11">
        <f t="shared" si="61"/>
        <v>1.1355192546789035</v>
      </c>
      <c r="BI351" s="12">
        <f t="shared" si="62"/>
        <v>3.021090344601518E-4</v>
      </c>
      <c r="BJ351" s="12">
        <f t="shared" si="63"/>
        <v>2.3011986518033378E-3</v>
      </c>
      <c r="BK351" s="12">
        <f t="shared" si="64"/>
        <v>8.4513740833228157E-2</v>
      </c>
      <c r="BL351" s="5">
        <f t="shared" si="65"/>
        <v>0.13551925467890347</v>
      </c>
      <c r="BM351" s="19">
        <f t="shared" si="56"/>
        <v>4.5174101149078272E-2</v>
      </c>
      <c r="BN351" s="19">
        <f t="shared" si="55"/>
        <v>0.10031057689139278</v>
      </c>
      <c r="BO351" s="19" t="s">
        <v>53</v>
      </c>
    </row>
    <row r="352" spans="1:67" x14ac:dyDescent="0.25">
      <c r="A352" s="1">
        <v>45607</v>
      </c>
      <c r="B352" s="1" t="str">
        <f t="shared" si="58"/>
        <v>202411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f>I351*(1+((1+VLOOKUP($B352,'IPCA Hist'!$B:$C,2,0))^12 - 1)+$I$2)^(1/252)</f>
        <v>210754146.67668778</v>
      </c>
      <c r="J352" s="2">
        <f>J351*(1+((1+VLOOKUP($B352,'IPCA Hist'!$B:$C,2,0))^12 - 1)+$J$2)^(1/252)</f>
        <v>133957345.08766301</v>
      </c>
      <c r="K352" s="2">
        <f>K351*(1+((1+VLOOKUP($B352,'IPCA Hist'!$B:$C,2,0))^12 - 1)+$K$2)^(1/252)</f>
        <v>20275811.287917145</v>
      </c>
      <c r="L352" s="2">
        <f>L351*(1+((1+VLOOKUP($B352,'IPCA Hist'!$B:$C,2,0))^12 - 1)+$L$2)^(1/252)</f>
        <v>12343800.027458692</v>
      </c>
      <c r="M352" s="2">
        <v>0</v>
      </c>
      <c r="N352" s="2">
        <v>0</v>
      </c>
      <c r="O352" s="2">
        <v>0</v>
      </c>
      <c r="P352" s="2">
        <v>0</v>
      </c>
      <c r="Q352" s="2">
        <f>Q351*(1+((1+VLOOKUP($B352,'IPCA Hist'!$B:$C,2,0))^12 - 1)+$Q$2)^(1/252)</f>
        <v>45409949.194622934</v>
      </c>
      <c r="R352" s="2">
        <f>R351*(1+((1+VLOOKUP($B352,'IPCA Hist'!$B:$C,2,0))^12 - 1)+$R$2)^(1/252)</f>
        <v>45395181.52328451</v>
      </c>
      <c r="S352" s="2">
        <f>S351*(1+((1+VLOOKUP($B352,'IPCA Hist'!$B:$C,2,0))^12 - 1)+$S$2)^(1/252)</f>
        <v>46414391.410616674</v>
      </c>
      <c r="T352" s="2">
        <f>T351*(1+((1+VLOOKUP($B352,'IPCA Hist'!$B:$C,2,0))^12 - 1)+$T$2)^(1/252)</f>
        <v>234423656.0428054</v>
      </c>
      <c r="U352" s="2">
        <f>U351*(1+((1+VLOOKUP($B352,'IPCA Hist'!$B:$C,2,0))^12 - 1)+$U$2)^(1/252)</f>
        <v>20500204.273347493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f>AF351*(1+((1+VLOOKUP($B352,'IGPM Hist'!$B:$C,2,0))^12 - 1)+$AF$2)^(1/252)</f>
        <v>1689741.9961466659</v>
      </c>
      <c r="AG352" s="2">
        <v>0</v>
      </c>
      <c r="AH352" s="2">
        <f>293032998.9-6135*Derivativos!B483</f>
        <v>-1092275.4000000358</v>
      </c>
      <c r="AI352" s="2">
        <v>0</v>
      </c>
      <c r="AJ352" s="2">
        <f t="shared" si="66"/>
        <v>54893600.933761396</v>
      </c>
      <c r="AK352" s="2">
        <v>179902973.44499999</v>
      </c>
      <c r="AL352" s="2">
        <v>36895911.879999995</v>
      </c>
      <c r="AM352" s="2">
        <v>129173820.58000001</v>
      </c>
      <c r="AN352" s="2">
        <v>55338422.399999999</v>
      </c>
      <c r="AO352" s="2">
        <v>0</v>
      </c>
      <c r="AP352" s="2">
        <v>0</v>
      </c>
      <c r="AQ352" s="2">
        <v>0</v>
      </c>
      <c r="AR352" s="2">
        <v>0</v>
      </c>
      <c r="AS352" s="2">
        <f t="shared" si="54"/>
        <v>107987130.17715807</v>
      </c>
      <c r="AT352" s="2">
        <v>0</v>
      </c>
      <c r="AU352" s="2">
        <v>0</v>
      </c>
      <c r="AV352" s="2">
        <f t="shared" si="68"/>
        <v>54820255.145802855</v>
      </c>
      <c r="AW352" s="2">
        <v>0</v>
      </c>
      <c r="AX352" s="2">
        <v>0</v>
      </c>
      <c r="AY352" s="2">
        <v>0</v>
      </c>
      <c r="AZ352" s="2">
        <f>-AH352</f>
        <v>1092275.4000000358</v>
      </c>
      <c r="BA352" s="2">
        <f>BA351*(1+VLOOKUP(A352,'SELIC Hist'!$A:$C,3,0))^(1/252) + BC352 - SUM(AK352:AN352) + AH352</f>
        <v>2982501.6437144876</v>
      </c>
      <c r="BB352" s="2">
        <f t="shared" si="57"/>
        <v>1393158843.725987</v>
      </c>
      <c r="BC352" s="2">
        <v>403000000</v>
      </c>
      <c r="BD352" s="2">
        <v>0</v>
      </c>
      <c r="BE352" s="2">
        <f t="shared" si="67"/>
        <v>-696519.7477158308</v>
      </c>
      <c r="BF352" s="2">
        <f t="shared" si="59"/>
        <v>1578400.2360422611</v>
      </c>
      <c r="BG352" s="2">
        <f t="shared" si="60"/>
        <v>63341520.908667453</v>
      </c>
      <c r="BH352" s="11">
        <f t="shared" si="61"/>
        <v>1.1347210437452484</v>
      </c>
      <c r="BI352" s="12">
        <f t="shared" si="62"/>
        <v>-7.0294795122671783E-4</v>
      </c>
      <c r="BJ352" s="12">
        <f t="shared" si="63"/>
        <v>1.5966330776988613E-3</v>
      </c>
      <c r="BK352" s="12">
        <f t="shared" si="64"/>
        <v>8.3751384121032224E-2</v>
      </c>
      <c r="BL352" s="5">
        <f t="shared" si="65"/>
        <v>0.1347210437452484</v>
      </c>
      <c r="BM352" s="19">
        <f t="shared" si="56"/>
        <v>4.3887234359198279E-2</v>
      </c>
      <c r="BN352" s="19">
        <f t="shared" si="55"/>
        <v>9.9080264365071224E-2</v>
      </c>
      <c r="BO352" s="19" t="s">
        <v>53</v>
      </c>
    </row>
    <row r="353" spans="1:67" x14ac:dyDescent="0.25">
      <c r="A353" s="1">
        <v>45608</v>
      </c>
      <c r="B353" s="1" t="str">
        <f t="shared" si="58"/>
        <v>202411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f>I352*(1+((1+VLOOKUP($B353,'IPCA Hist'!$B:$C,2,0))^12 - 1)+$I$2)^(1/252)</f>
        <v>210837368.87307075</v>
      </c>
      <c r="J353" s="2">
        <f>J352*(1+((1+VLOOKUP($B353,'IPCA Hist'!$B:$C,2,0))^12 - 1)+$J$2)^(1/252)</f>
        <v>134007877.69432236</v>
      </c>
      <c r="K353" s="2">
        <f>K352*(1+((1+VLOOKUP($B353,'IPCA Hist'!$B:$C,2,0))^12 - 1)+$K$2)^(1/252)</f>
        <v>20284528.738795262</v>
      </c>
      <c r="L353" s="2">
        <f>L352*(1+((1+VLOOKUP($B353,'IPCA Hist'!$B:$C,2,0))^12 - 1)+$L$2)^(1/252)</f>
        <v>12349155.948994165</v>
      </c>
      <c r="M353" s="2">
        <v>0</v>
      </c>
      <c r="N353" s="2">
        <v>0</v>
      </c>
      <c r="O353" s="2">
        <v>0</v>
      </c>
      <c r="P353" s="2">
        <v>0</v>
      </c>
      <c r="Q353" s="2">
        <f>Q352*(1+((1+VLOOKUP($B353,'IPCA Hist'!$B:$C,2,0))^12 - 1)+$Q$2)^(1/252)</f>
        <v>45427046.36081624</v>
      </c>
      <c r="R353" s="2">
        <f>R352*(1+((1+VLOOKUP($B353,'IPCA Hist'!$B:$C,2,0))^12 - 1)+$R$2)^(1/252)</f>
        <v>45412289.518442228</v>
      </c>
      <c r="S353" s="2">
        <f>S352*(1+((1+VLOOKUP($B353,'IPCA Hist'!$B:$C,2,0))^12 - 1)+$S$2)^(1/252)</f>
        <v>46431682.3284337</v>
      </c>
      <c r="T353" s="2">
        <f>T352*(1+((1+VLOOKUP($B353,'IPCA Hist'!$B:$C,2,0))^12 - 1)+$T$2)^(1/252)</f>
        <v>234510901.99219787</v>
      </c>
      <c r="U353" s="2">
        <f>U352*(1+((1+VLOOKUP($B353,'IPCA Hist'!$B:$C,2,0))^12 - 1)+$U$2)^(1/252)</f>
        <v>20508828.101895869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f>AF352*(1+((1+VLOOKUP($B353,'IGPM Hist'!$B:$C,2,0))^12 - 1)+$AF$2)^(1/252)</f>
        <v>1691129.0834843221</v>
      </c>
      <c r="AG353" s="2">
        <v>0</v>
      </c>
      <c r="AH353" s="2">
        <v>0</v>
      </c>
      <c r="AI353" s="2">
        <v>0</v>
      </c>
      <c r="AJ353" s="2">
        <f t="shared" si="66"/>
        <v>54918874.093818061</v>
      </c>
      <c r="AK353" s="2">
        <f t="shared" ref="AK353:AK393" si="69">AK352*(1+AK$2)^(1/252)</f>
        <v>179989891.80805361</v>
      </c>
      <c r="AL353" s="2">
        <f t="shared" ref="AL353:AL393" si="70">AL352*(1+AL$2)^(1/252)</f>
        <v>36913744.263787471</v>
      </c>
      <c r="AM353" s="2">
        <f t="shared" ref="AM353:AM393" si="71">AM352*(1+AM$2)^(1/252)</f>
        <v>129236218.29691182</v>
      </c>
      <c r="AN353" s="2">
        <f t="shared" ref="AN353:AN393" si="72">AN352*(1+AN$2)^(1/252)</f>
        <v>55365173.206650779</v>
      </c>
      <c r="AO353" s="2">
        <v>0</v>
      </c>
      <c r="AP353" s="2">
        <v>0</v>
      </c>
      <c r="AQ353" s="2">
        <v>0</v>
      </c>
      <c r="AR353" s="2">
        <v>0</v>
      </c>
      <c r="AS353" s="2">
        <f t="shared" si="54"/>
        <v>108035241.33487417</v>
      </c>
      <c r="AT353" s="2">
        <v>0</v>
      </c>
      <c r="AU353" s="2">
        <v>0</v>
      </c>
      <c r="AV353" s="2">
        <f t="shared" si="68"/>
        <v>54845203.636511497</v>
      </c>
      <c r="AW353" s="2">
        <v>0</v>
      </c>
      <c r="AX353" s="2">
        <v>0</v>
      </c>
      <c r="AY353" s="2">
        <v>0</v>
      </c>
      <c r="AZ353" s="2">
        <v>0</v>
      </c>
      <c r="BA353" s="2">
        <f>BA352*(1+VLOOKUP(A353,'SELIC Hist'!$A:$C,3,0))^(1/252)</f>
        <v>2983753.023640749</v>
      </c>
      <c r="BB353" s="2">
        <f t="shared" si="57"/>
        <v>1393748908.3047009</v>
      </c>
      <c r="BC353" s="2">
        <v>0</v>
      </c>
      <c r="BD353" s="2">
        <v>0</v>
      </c>
      <c r="BE353" s="2">
        <f t="shared" si="67"/>
        <v>590064.57871389389</v>
      </c>
      <c r="BF353" s="2">
        <f t="shared" si="59"/>
        <v>2168464.814756155</v>
      </c>
      <c r="BG353" s="2">
        <f t="shared" si="60"/>
        <v>63931585.487381347</v>
      </c>
      <c r="BH353" s="11">
        <f t="shared" si="61"/>
        <v>1.1352016484499099</v>
      </c>
      <c r="BI353" s="12">
        <f t="shared" si="62"/>
        <v>4.2354436564884246E-4</v>
      </c>
      <c r="BJ353" s="12">
        <f t="shared" si="63"/>
        <v>2.0208536882917461E-3</v>
      </c>
      <c r="BK353" s="12">
        <f t="shared" si="64"/>
        <v>8.4210400913540928E-2</v>
      </c>
      <c r="BL353" s="5">
        <f t="shared" si="65"/>
        <v>0.13520164844990989</v>
      </c>
      <c r="BM353" s="19">
        <f t="shared" si="56"/>
        <v>4.3857336496063715E-2</v>
      </c>
      <c r="BN353" s="19">
        <f t="shared" si="55"/>
        <v>9.9029172650222375E-2</v>
      </c>
      <c r="BO353" s="19" t="s">
        <v>53</v>
      </c>
    </row>
    <row r="354" spans="1:67" x14ac:dyDescent="0.25">
      <c r="A354" s="1">
        <v>45609</v>
      </c>
      <c r="B354" s="1" t="str">
        <f t="shared" si="58"/>
        <v>202411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f>I353*(1+((1+VLOOKUP($B354,'IPCA Hist'!$B:$C,2,0))^12 - 1)+$I$2)^(1/252)</f>
        <v>210920623.93207625</v>
      </c>
      <c r="J354" s="2">
        <f>J353*(1+((1+VLOOKUP($B354,'IPCA Hist'!$B:$C,2,0))^12 - 1)+$J$2)^(1/252)</f>
        <v>134058429.36335067</v>
      </c>
      <c r="K354" s="2">
        <f>K353*(1+((1+VLOOKUP($B354,'IPCA Hist'!$B:$C,2,0))^12 - 1)+$K$2)^(1/252)</f>
        <v>20293249.93768369</v>
      </c>
      <c r="L354" s="2">
        <f>L353*(1+((1+VLOOKUP($B354,'IPCA Hist'!$B:$C,2,0))^12 - 1)+$L$2)^(1/252)</f>
        <v>12354514.194440868</v>
      </c>
      <c r="M354" s="2">
        <v>0</v>
      </c>
      <c r="N354" s="2">
        <v>0</v>
      </c>
      <c r="O354" s="2">
        <v>0</v>
      </c>
      <c r="P354" s="2">
        <v>0</v>
      </c>
      <c r="Q354" s="2">
        <f>Q353*(1+((1+VLOOKUP($B354,'IPCA Hist'!$B:$C,2,0))^12 - 1)+$Q$2)^(1/252)</f>
        <v>45444149.964213222</v>
      </c>
      <c r="R354" s="2">
        <f>R353*(1+((1+VLOOKUP($B354,'IPCA Hist'!$B:$C,2,0))^12 - 1)+$R$2)^(1/252)</f>
        <v>45429403.961057328</v>
      </c>
      <c r="S354" s="2">
        <f>S353*(1+((1+VLOOKUP($B354,'IPCA Hist'!$B:$C,2,0))^12 - 1)+$S$2)^(1/252)</f>
        <v>46448979.687697649</v>
      </c>
      <c r="T354" s="2">
        <f>T353*(1+((1+VLOOKUP($B354,'IPCA Hist'!$B:$C,2,0))^12 - 1)+$T$2)^(1/252)</f>
        <v>234598180.4121004</v>
      </c>
      <c r="U354" s="2">
        <f>U353*(1+((1+VLOOKUP($B354,'IPCA Hist'!$B:$C,2,0))^12 - 1)+$U$2)^(1/252)</f>
        <v>20517455.558233406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f>AF353*(1+((1+VLOOKUP($B354,'IGPM Hist'!$B:$C,2,0))^12 - 1)+$AF$2)^(1/252)</f>
        <v>1692517.3094640234</v>
      </c>
      <c r="AG354" s="2">
        <v>0</v>
      </c>
      <c r="AH354" s="2">
        <v>0</v>
      </c>
      <c r="AI354" s="2">
        <v>0</v>
      </c>
      <c r="AJ354" s="2">
        <f t="shared" si="66"/>
        <v>54944158.88970492</v>
      </c>
      <c r="AK354" s="2">
        <f t="shared" si="69"/>
        <v>180076852.16486472</v>
      </c>
      <c r="AL354" s="2">
        <f t="shared" si="70"/>
        <v>36931585.266250983</v>
      </c>
      <c r="AM354" s="2">
        <f t="shared" si="71"/>
        <v>129298646.1551871</v>
      </c>
      <c r="AN354" s="2">
        <f t="shared" si="72"/>
        <v>55391936.944744587</v>
      </c>
      <c r="AO354" s="2">
        <v>0</v>
      </c>
      <c r="AP354" s="2">
        <v>0</v>
      </c>
      <c r="AQ354" s="2">
        <v>0</v>
      </c>
      <c r="AR354" s="2">
        <v>0</v>
      </c>
      <c r="AS354" s="2">
        <f t="shared" si="54"/>
        <v>108083373.92739914</v>
      </c>
      <c r="AT354" s="2">
        <v>0</v>
      </c>
      <c r="AU354" s="2">
        <v>0</v>
      </c>
      <c r="AV354" s="2">
        <f t="shared" si="68"/>
        <v>54870163.481183872</v>
      </c>
      <c r="AW354" s="2">
        <v>0</v>
      </c>
      <c r="AX354" s="2">
        <v>0</v>
      </c>
      <c r="AY354" s="2">
        <v>0</v>
      </c>
      <c r="AZ354" s="2">
        <v>0</v>
      </c>
      <c r="BA354" s="2">
        <f>BA353*(1+VLOOKUP(A354,'SELIC Hist'!$A:$C,3,0))^(1/252)</f>
        <v>2985004.9286134001</v>
      </c>
      <c r="BB354" s="2">
        <f t="shared" si="57"/>
        <v>1394339226.0782659</v>
      </c>
      <c r="BC354" s="2">
        <v>0</v>
      </c>
      <c r="BD354" s="2">
        <v>0</v>
      </c>
      <c r="BE354" s="2">
        <f t="shared" si="67"/>
        <v>590317.77356505394</v>
      </c>
      <c r="BF354" s="2">
        <f t="shared" si="59"/>
        <v>2758782.588321209</v>
      </c>
      <c r="BG354" s="2">
        <f t="shared" si="60"/>
        <v>64521903.2609464</v>
      </c>
      <c r="BH354" s="11">
        <f t="shared" si="61"/>
        <v>1.1356824593805355</v>
      </c>
      <c r="BI354" s="12">
        <f t="shared" si="62"/>
        <v>4.2354671637601093E-4</v>
      </c>
      <c r="BJ354" s="12">
        <f t="shared" si="63"/>
        <v>2.4452563306116559E-3</v>
      </c>
      <c r="BK354" s="12">
        <f t="shared" si="64"/>
        <v>8.4669614668708482E-2</v>
      </c>
      <c r="BL354" s="5">
        <f t="shared" si="65"/>
        <v>0.13568245938053547</v>
      </c>
      <c r="BM354" s="19">
        <f t="shared" si="56"/>
        <v>4.3912713879127319E-2</v>
      </c>
      <c r="BN354" s="19">
        <f t="shared" si="55"/>
        <v>9.8787873132420989E-2</v>
      </c>
      <c r="BO354" s="19" t="s">
        <v>53</v>
      </c>
    </row>
    <row r="355" spans="1:67" x14ac:dyDescent="0.25">
      <c r="A355" s="1">
        <v>45610</v>
      </c>
      <c r="B355" s="1" t="str">
        <f t="shared" si="58"/>
        <v>202411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f>I354*(1+((1+VLOOKUP($B355,'IPCA Hist'!$B:$C,2,0))^12 - 1)+$I$2)^(1/252)</f>
        <v>211003911.86668104</v>
      </c>
      <c r="J355" s="2">
        <f>J354*(1+((1+VLOOKUP($B355,'IPCA Hist'!$B:$C,2,0))^12 - 1)+$J$2)^(1/252)</f>
        <v>134109000.10193881</v>
      </c>
      <c r="K355" s="2">
        <f>K354*(1+((1+VLOOKUP($B355,'IPCA Hist'!$B:$C,2,0))^12 - 1)+$K$2)^(1/252)</f>
        <v>20301974.886193864</v>
      </c>
      <c r="L355" s="2">
        <f>L354*(1+((1+VLOOKUP($B355,'IPCA Hist'!$B:$C,2,0))^12 - 1)+$L$2)^(1/252)</f>
        <v>12359874.764807133</v>
      </c>
      <c r="M355" s="2">
        <v>0</v>
      </c>
      <c r="N355" s="2">
        <v>0</v>
      </c>
      <c r="O355" s="2">
        <v>0</v>
      </c>
      <c r="P355" s="2">
        <v>0</v>
      </c>
      <c r="Q355" s="2">
        <f>Q354*(1+((1+VLOOKUP($B355,'IPCA Hist'!$B:$C,2,0))^12 - 1)+$Q$2)^(1/252)</f>
        <v>45461260.007237531</v>
      </c>
      <c r="R355" s="2">
        <f>R354*(1+((1+VLOOKUP($B355,'IPCA Hist'!$B:$C,2,0))^12 - 1)+$R$2)^(1/252)</f>
        <v>45446524.85355965</v>
      </c>
      <c r="S355" s="2">
        <f>S354*(1+((1+VLOOKUP($B355,'IPCA Hist'!$B:$C,2,0))^12 - 1)+$S$2)^(1/252)</f>
        <v>46466283.490808181</v>
      </c>
      <c r="T355" s="2">
        <f>T354*(1+((1+VLOOKUP($B355,'IPCA Hist'!$B:$C,2,0))^12 - 1)+$T$2)^(1/252)</f>
        <v>234685491.31459764</v>
      </c>
      <c r="U355" s="2">
        <f>U354*(1+((1+VLOOKUP($B355,'IPCA Hist'!$B:$C,2,0))^12 - 1)+$U$2)^(1/252)</f>
        <v>20526086.643886205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f>AF354*(1+((1+VLOOKUP($B355,'IGPM Hist'!$B:$C,2,0))^12 - 1)+$AF$2)^(1/252)</f>
        <v>1693906.6750204663</v>
      </c>
      <c r="AG355" s="2">
        <v>0</v>
      </c>
      <c r="AH355" s="2">
        <v>0</v>
      </c>
      <c r="AI355" s="2">
        <v>0</v>
      </c>
      <c r="AJ355" s="2">
        <f t="shared" si="66"/>
        <v>54969455.326779142</v>
      </c>
      <c r="AK355" s="2">
        <f t="shared" si="69"/>
        <v>180163854.53572217</v>
      </c>
      <c r="AL355" s="2">
        <f t="shared" si="70"/>
        <v>36949434.891556069</v>
      </c>
      <c r="AM355" s="2">
        <f t="shared" si="71"/>
        <v>129361104.16938569</v>
      </c>
      <c r="AN355" s="2">
        <f t="shared" si="72"/>
        <v>55418713.620532528</v>
      </c>
      <c r="AO355" s="2">
        <v>0</v>
      </c>
      <c r="AP355" s="2">
        <v>0</v>
      </c>
      <c r="AQ355" s="2">
        <v>0</v>
      </c>
      <c r="AR355" s="2">
        <v>0</v>
      </c>
      <c r="AS355" s="2">
        <f t="shared" si="54"/>
        <v>108131527.96428278</v>
      </c>
      <c r="AT355" s="2">
        <v>0</v>
      </c>
      <c r="AU355" s="2">
        <v>0</v>
      </c>
      <c r="AV355" s="2">
        <f t="shared" si="68"/>
        <v>54895134.68498712</v>
      </c>
      <c r="AW355" s="2">
        <v>0</v>
      </c>
      <c r="AX355" s="2">
        <v>0</v>
      </c>
      <c r="AY355" s="2">
        <v>0</v>
      </c>
      <c r="AZ355" s="2">
        <v>0</v>
      </c>
      <c r="BA355" s="2">
        <f>BA354*(1+VLOOKUP(A355,'SELIC Hist'!$A:$C,3,0))^(1/252)</f>
        <v>2986257.3588527362</v>
      </c>
      <c r="BB355" s="2">
        <f t="shared" si="57"/>
        <v>1394929797.1568284</v>
      </c>
      <c r="BC355" s="2">
        <v>0</v>
      </c>
      <c r="BD355" s="2">
        <v>0</v>
      </c>
      <c r="BE355" s="2">
        <f t="shared" si="67"/>
        <v>590571.07856249809</v>
      </c>
      <c r="BF355" s="2">
        <f t="shared" si="59"/>
        <v>3349353.666883707</v>
      </c>
      <c r="BG355" s="2">
        <f t="shared" si="60"/>
        <v>65112474.339508899</v>
      </c>
      <c r="BH355" s="11">
        <f t="shared" si="61"/>
        <v>1.1361634766268387</v>
      </c>
      <c r="BI355" s="12">
        <f t="shared" si="62"/>
        <v>4.2354906719754837E-4</v>
      </c>
      <c r="BJ355" s="12">
        <f t="shared" si="63"/>
        <v>2.8698410838470245E-3</v>
      </c>
      <c r="BK355" s="12">
        <f t="shared" si="64"/>
        <v>8.5129025472219011E-2</v>
      </c>
      <c r="BL355" s="5">
        <f t="shared" si="65"/>
        <v>0.1361634766268387</v>
      </c>
      <c r="BM355" s="19">
        <f t="shared" si="56"/>
        <v>4.386298435676772E-2</v>
      </c>
      <c r="BN355" s="19">
        <f t="shared" si="55"/>
        <v>9.8684389914339476E-2</v>
      </c>
      <c r="BO355" s="19" t="s">
        <v>53</v>
      </c>
    </row>
    <row r="356" spans="1:67" s="17" customFormat="1" x14ac:dyDescent="0.25">
      <c r="A356" s="13">
        <v>45614</v>
      </c>
      <c r="B356" s="13" t="str">
        <f t="shared" si="58"/>
        <v>202411</v>
      </c>
      <c r="C356" s="14">
        <v>0</v>
      </c>
      <c r="D356" s="14">
        <v>0</v>
      </c>
      <c r="E356" s="14">
        <v>0</v>
      </c>
      <c r="F356" s="14">
        <v>0</v>
      </c>
      <c r="G356" s="14">
        <v>0</v>
      </c>
      <c r="H356" s="14">
        <v>0</v>
      </c>
      <c r="I356" s="14">
        <f>I355*(1+((1+VLOOKUP($B356,'IPCA Hist'!$B:$C,2,0))^12 - 1)+$I$2)^(1/252)</f>
        <v>211087232.68986693</v>
      </c>
      <c r="J356" s="14">
        <f>J355*(1+((1+VLOOKUP($B356,'IPCA Hist'!$B:$C,2,0))^12 - 1)+$J$2)^(1/252)</f>
        <v>134159589.91728038</v>
      </c>
      <c r="K356" s="14">
        <f>K355*(1+((1+VLOOKUP($B356,'IPCA Hist'!$B:$C,2,0))^12 - 1)+$K$2)^(1/252)</f>
        <v>20310703.58593791</v>
      </c>
      <c r="L356" s="14">
        <f>L355*(1+((1+VLOOKUP($B356,'IPCA Hist'!$B:$C,2,0))^12 - 1)+$L$2)^(1/252)</f>
        <v>12365237.661101736</v>
      </c>
      <c r="M356" s="2">
        <v>0</v>
      </c>
      <c r="N356" s="14">
        <v>0</v>
      </c>
      <c r="O356" s="14">
        <v>0</v>
      </c>
      <c r="P356" s="14">
        <v>0</v>
      </c>
      <c r="Q356" s="14">
        <f>Q355*(1+((1+VLOOKUP($B356,'IPCA Hist'!$B:$C,2,0))^12 - 1)+$Q$2)^(1/252)</f>
        <v>45478376.492313735</v>
      </c>
      <c r="R356" s="14">
        <f>R355*(1+((1+VLOOKUP($B356,'IPCA Hist'!$B:$C,2,0))^12 - 1)+$R$2)^(1/252)</f>
        <v>45463652.198379956</v>
      </c>
      <c r="S356" s="14">
        <f>S355*(1+((1+VLOOKUP($B356,'IPCA Hist'!$B:$C,2,0))^12 - 1)+$S$2)^(1/252)</f>
        <v>46483593.740165852</v>
      </c>
      <c r="T356" s="14">
        <f>T355*(1+((1+VLOOKUP($B356,'IPCA Hist'!$B:$C,2,0))^12 - 1)+$T$2)^(1/252)</f>
        <v>234772834.71177867</v>
      </c>
      <c r="U356" s="14">
        <f>U355*(1+((1+VLOOKUP($B356,'IPCA Hist'!$B:$C,2,0))^12 - 1)+$U$2)^(1/252)</f>
        <v>20534721.360381015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2">
        <v>0</v>
      </c>
      <c r="AD356" s="2">
        <v>0</v>
      </c>
      <c r="AE356" s="14">
        <v>0</v>
      </c>
      <c r="AF356" s="14">
        <f>AF355*(1+((1+VLOOKUP($B356,'IGPM Hist'!$B:$C,2,0))^12 - 1)+$AF$2)^(1/252)</f>
        <v>1695297.1810891149</v>
      </c>
      <c r="AG356" s="14">
        <v>0</v>
      </c>
      <c r="AH356" s="14">
        <v>0</v>
      </c>
      <c r="AI356" s="14">
        <v>0</v>
      </c>
      <c r="AJ356" s="14">
        <f t="shared" si="66"/>
        <v>54994763.410400361</v>
      </c>
      <c r="AK356" s="14">
        <f t="shared" si="69"/>
        <v>180250898.94092464</v>
      </c>
      <c r="AL356" s="14">
        <f t="shared" si="70"/>
        <v>36967293.143870294</v>
      </c>
      <c r="AM356" s="14">
        <f t="shared" si="71"/>
        <v>129423592.35407449</v>
      </c>
      <c r="AN356" s="14">
        <f t="shared" si="72"/>
        <v>55445503.240268737</v>
      </c>
      <c r="AO356" s="14">
        <v>0</v>
      </c>
      <c r="AP356" s="2">
        <v>0</v>
      </c>
      <c r="AQ356" s="2">
        <v>0</v>
      </c>
      <c r="AR356" s="2">
        <v>0</v>
      </c>
      <c r="AS356" s="14">
        <f t="shared" si="54"/>
        <v>108179703.45507912</v>
      </c>
      <c r="AT356" s="14">
        <v>0</v>
      </c>
      <c r="AU356" s="2">
        <v>0</v>
      </c>
      <c r="AV356" s="14">
        <f t="shared" si="68"/>
        <v>54920117.253090747</v>
      </c>
      <c r="AW356" s="14">
        <v>0</v>
      </c>
      <c r="AX356" s="2">
        <v>0</v>
      </c>
      <c r="AY356" s="2">
        <v>0</v>
      </c>
      <c r="AZ356" s="14">
        <v>0</v>
      </c>
      <c r="BA356" s="14">
        <f>BA355*(1+VLOOKUP(A356,'SELIC Hist'!$A:$C,3,0))^(1/252)</f>
        <v>2987510.314579146</v>
      </c>
      <c r="BB356" s="14">
        <f t="shared" si="57"/>
        <v>1395520621.650583</v>
      </c>
      <c r="BC356" s="14">
        <v>0</v>
      </c>
      <c r="BD356" s="14">
        <v>0</v>
      </c>
      <c r="BE356" s="2">
        <f t="shared" si="67"/>
        <v>590824.49375462532</v>
      </c>
      <c r="BF356" s="2">
        <f t="shared" si="59"/>
        <v>3940178.1606383324</v>
      </c>
      <c r="BG356" s="2">
        <f t="shared" si="60"/>
        <v>65703298.833263524</v>
      </c>
      <c r="BH356" s="15">
        <f t="shared" si="61"/>
        <v>1.1366447002785727</v>
      </c>
      <c r="BI356" s="16">
        <f t="shared" si="62"/>
        <v>4.2355141811345476E-4</v>
      </c>
      <c r="BJ356" s="16">
        <f t="shared" si="63"/>
        <v>3.2946080272213685E-3</v>
      </c>
      <c r="BK356" s="16">
        <f t="shared" si="64"/>
        <v>8.5588633409793946E-2</v>
      </c>
      <c r="BL356" s="5">
        <f t="shared" si="65"/>
        <v>0.13664470027857267</v>
      </c>
      <c r="BM356" s="19">
        <f t="shared" si="56"/>
        <v>4.3850805962132089E-2</v>
      </c>
      <c r="BN356" s="19">
        <f t="shared" si="55"/>
        <v>9.8714096330328571E-2</v>
      </c>
      <c r="BO356" s="19" t="s">
        <v>53</v>
      </c>
    </row>
    <row r="357" spans="1:67" x14ac:dyDescent="0.25">
      <c r="A357" s="1">
        <v>45615</v>
      </c>
      <c r="B357" s="1" t="str">
        <f t="shared" si="58"/>
        <v>202411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f>I356*(1+((1+VLOOKUP($B357,'IPCA Hist'!$B:$C,2,0))^12 - 1)+$I$2)^(1/252)</f>
        <v>211170586.41462094</v>
      </c>
      <c r="J357" s="2">
        <f>J356*(1+((1+VLOOKUP($B357,'IPCA Hist'!$B:$C,2,0))^12 - 1)+$J$2)^(1/252)</f>
        <v>134210198.81657167</v>
      </c>
      <c r="K357" s="2">
        <f>K356*(1+((1+VLOOKUP($B357,'IPCA Hist'!$B:$C,2,0))^12 - 1)+$K$2)^(1/252)</f>
        <v>20319436.038528644</v>
      </c>
      <c r="L357" s="2">
        <f>L356*(1+((1+VLOOKUP($B357,'IPCA Hist'!$B:$C,2,0))^12 - 1)+$L$2)^(1/252)</f>
        <v>12370602.884333886</v>
      </c>
      <c r="M357" s="2">
        <v>0</v>
      </c>
      <c r="N357" s="2">
        <v>0</v>
      </c>
      <c r="O357" s="2">
        <v>0</v>
      </c>
      <c r="P357" s="2">
        <v>0</v>
      </c>
      <c r="Q357" s="2">
        <f>Q356*(1+((1+VLOOKUP($B357,'IPCA Hist'!$B:$C,2,0))^12 - 1)+$Q$2)^(1/252)</f>
        <v>45495499.421867311</v>
      </c>
      <c r="R357" s="2">
        <f>R356*(1+((1+VLOOKUP($B357,'IPCA Hist'!$B:$C,2,0))^12 - 1)+$R$2)^(1/252)</f>
        <v>45480785.997949921</v>
      </c>
      <c r="S357" s="2">
        <f>S356*(1+((1+VLOOKUP($B357,'IPCA Hist'!$B:$C,2,0))^12 - 1)+$S$2)^(1/252)</f>
        <v>46500910.438172095</v>
      </c>
      <c r="T357" s="2">
        <f>T356*(1+((1+VLOOKUP($B357,'IPCA Hist'!$B:$C,2,0))^12 - 1)+$T$2)^(1/252)</f>
        <v>234860210.61573714</v>
      </c>
      <c r="U357" s="2">
        <f>U356*(1+((1+VLOOKUP($B357,'IPCA Hist'!$B:$C,2,0))^12 - 1)+$U$2)^(1/252)</f>
        <v>20543359.70924522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f>AF356*(1+((1+VLOOKUP($B357,'IGPM Hist'!$B:$C,2,0))^12 - 1)+$AF$2)^(1/252)</f>
        <v>1696688.8286062004</v>
      </c>
      <c r="AG357" s="2">
        <v>0</v>
      </c>
      <c r="AH357" s="2">
        <v>0</v>
      </c>
      <c r="AI357" s="2">
        <v>0</v>
      </c>
      <c r="AJ357" s="2">
        <f t="shared" si="66"/>
        <v>55020083.145930678</v>
      </c>
      <c r="AK357" s="2">
        <f t="shared" si="69"/>
        <v>180337985.40078062</v>
      </c>
      <c r="AL357" s="2">
        <f t="shared" si="70"/>
        <v>36985160.027363226</v>
      </c>
      <c r="AM357" s="2">
        <f t="shared" si="71"/>
        <v>129486110.72382742</v>
      </c>
      <c r="AN357" s="2">
        <f t="shared" si="72"/>
        <v>55472305.81021037</v>
      </c>
      <c r="AO357" s="2">
        <v>0</v>
      </c>
      <c r="AP357" s="2">
        <v>0</v>
      </c>
      <c r="AQ357" s="2">
        <v>0</v>
      </c>
      <c r="AR357" s="2">
        <v>0</v>
      </c>
      <c r="AS357" s="2">
        <f t="shared" si="54"/>
        <v>108227900.40934645</v>
      </c>
      <c r="AT357" s="2">
        <v>0</v>
      </c>
      <c r="AU357" s="2">
        <v>0</v>
      </c>
      <c r="AV357" s="2">
        <f t="shared" si="68"/>
        <v>54945111.190666594</v>
      </c>
      <c r="AW357" s="2">
        <v>0</v>
      </c>
      <c r="AX357" s="2">
        <v>0</v>
      </c>
      <c r="AY357" s="2">
        <v>0</v>
      </c>
      <c r="AZ357" s="2">
        <v>0</v>
      </c>
      <c r="BA357" s="2">
        <f>BA356*(1+VLOOKUP(A357,'SELIC Hist'!$A:$C,3,0))^(1/252)</f>
        <v>2988763.7960131099</v>
      </c>
      <c r="BB357" s="2">
        <f t="shared" si="57"/>
        <v>1396111699.6697717</v>
      </c>
      <c r="BC357" s="2">
        <v>0</v>
      </c>
      <c r="BD357" s="2">
        <v>0</v>
      </c>
      <c r="BE357" s="2">
        <f t="shared" si="67"/>
        <v>591078.0191886425</v>
      </c>
      <c r="BF357" s="2">
        <f t="shared" si="59"/>
        <v>4531256.1798269749</v>
      </c>
      <c r="BG357" s="2">
        <f t="shared" si="60"/>
        <v>66294376.852452166</v>
      </c>
      <c r="BH357" s="11">
        <f t="shared" si="61"/>
        <v>1.1371261304255291</v>
      </c>
      <c r="BI357" s="12">
        <f t="shared" si="62"/>
        <v>4.2355376912284193E-4</v>
      </c>
      <c r="BJ357" s="12">
        <f t="shared" si="63"/>
        <v>3.7195572399919552E-3</v>
      </c>
      <c r="BK357" s="12">
        <f t="shared" si="64"/>
        <v>8.6048438567191576E-2</v>
      </c>
      <c r="BL357" s="5">
        <f t="shared" si="65"/>
        <v>0.13712613042552912</v>
      </c>
      <c r="BM357" s="19">
        <f t="shared" si="56"/>
        <v>4.3728181746873762E-2</v>
      </c>
      <c r="BN357" s="19">
        <f t="shared" si="55"/>
        <v>9.8814516574923683E-2</v>
      </c>
      <c r="BO357" s="19" t="s">
        <v>53</v>
      </c>
    </row>
    <row r="358" spans="1:67" x14ac:dyDescent="0.25">
      <c r="A358" s="1">
        <v>45617</v>
      </c>
      <c r="B358" s="1" t="str">
        <f t="shared" si="58"/>
        <v>202411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f>I357*(1+((1+VLOOKUP($B358,'IPCA Hist'!$B:$C,2,0))^12 - 1)+$I$2)^(1/252)</f>
        <v>211253973.05393517</v>
      </c>
      <c r="J358" s="2">
        <f>J357*(1+((1+VLOOKUP($B358,'IPCA Hist'!$B:$C,2,0))^12 - 1)+$J$2)^(1/252)</f>
        <v>134260826.80701172</v>
      </c>
      <c r="K358" s="2">
        <f>K357*(1+((1+VLOOKUP($B358,'IPCA Hist'!$B:$C,2,0))^12 - 1)+$K$2)^(1/252)</f>
        <v>20328172.245579578</v>
      </c>
      <c r="L358" s="2">
        <f>L357*(1+((1+VLOOKUP($B358,'IPCA Hist'!$B:$C,2,0))^12 - 1)+$L$2)^(1/252)</f>
        <v>12375970.435513232</v>
      </c>
      <c r="M358" s="2">
        <v>0</v>
      </c>
      <c r="N358" s="2">
        <v>0</v>
      </c>
      <c r="O358" s="2">
        <v>0</v>
      </c>
      <c r="P358" s="2">
        <v>0</v>
      </c>
      <c r="Q358" s="2">
        <f>Q357*(1+((1+VLOOKUP($B358,'IPCA Hist'!$B:$C,2,0))^12 - 1)+$Q$2)^(1/252)</f>
        <v>45512628.798324645</v>
      </c>
      <c r="R358" s="2">
        <f>R357*(1+((1+VLOOKUP($B358,'IPCA Hist'!$B:$C,2,0))^12 - 1)+$R$2)^(1/252)</f>
        <v>45497926.254702128</v>
      </c>
      <c r="S358" s="2">
        <f>S357*(1+((1+VLOOKUP($B358,'IPCA Hist'!$B:$C,2,0))^12 - 1)+$S$2)^(1/252)</f>
        <v>46518233.587229252</v>
      </c>
      <c r="T358" s="2">
        <f>T357*(1+((1+VLOOKUP($B358,'IPCA Hist'!$B:$C,2,0))^12 - 1)+$T$2)^(1/252)</f>
        <v>234947619.03857115</v>
      </c>
      <c r="U358" s="2">
        <f>U357*(1+((1+VLOOKUP($B358,'IPCA Hist'!$B:$C,2,0))^12 - 1)+$U$2)^(1/252)</f>
        <v>20552001.692006849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f>AF357*(1+((1+VLOOKUP($B358,'IGPM Hist'!$B:$C,2,0))^12 - 1)+$AF$2)^(1/252)</f>
        <v>1698081.6185087236</v>
      </c>
      <c r="AG358" s="2">
        <v>0</v>
      </c>
      <c r="AH358" s="2">
        <v>0</v>
      </c>
      <c r="AI358" s="2">
        <v>0</v>
      </c>
      <c r="AJ358" s="2">
        <f t="shared" si="66"/>
        <v>55045414.53873466</v>
      </c>
      <c r="AK358" s="2">
        <f t="shared" si="69"/>
        <v>180425113.93560839</v>
      </c>
      <c r="AL358" s="2">
        <f t="shared" si="70"/>
        <v>37003035.546206452</v>
      </c>
      <c r="AM358" s="2">
        <f t="shared" si="71"/>
        <v>129548659.29322545</v>
      </c>
      <c r="AN358" s="2">
        <f t="shared" si="72"/>
        <v>55499121.336617604</v>
      </c>
      <c r="AO358" s="2">
        <v>0</v>
      </c>
      <c r="AP358" s="2">
        <v>0</v>
      </c>
      <c r="AQ358" s="2">
        <v>0</v>
      </c>
      <c r="AR358" s="2">
        <v>0</v>
      </c>
      <c r="AS358" s="2">
        <f t="shared" si="54"/>
        <v>108276118.83664732</v>
      </c>
      <c r="AT358" s="2">
        <v>0</v>
      </c>
      <c r="AU358" s="2">
        <v>0</v>
      </c>
      <c r="AV358" s="2">
        <f t="shared" si="68"/>
        <v>54970116.502888873</v>
      </c>
      <c r="AW358" s="2">
        <v>0</v>
      </c>
      <c r="AX358" s="2">
        <v>0</v>
      </c>
      <c r="AY358" s="2">
        <v>0</v>
      </c>
      <c r="AZ358" s="2">
        <v>0</v>
      </c>
      <c r="BA358" s="2">
        <f>BA357*(1+VLOOKUP(A358,'SELIC Hist'!$A:$C,3,0))^(1/252)</f>
        <v>2990017.8033752013</v>
      </c>
      <c r="BB358" s="2">
        <f t="shared" si="57"/>
        <v>1396703031.3246865</v>
      </c>
      <c r="BC358" s="2">
        <v>0</v>
      </c>
      <c r="BD358" s="2">
        <v>0</v>
      </c>
      <c r="BE358" s="2">
        <f t="shared" si="67"/>
        <v>591331.65491485596</v>
      </c>
      <c r="BF358" s="2">
        <f t="shared" si="59"/>
        <v>5122587.8347418308</v>
      </c>
      <c r="BG358" s="2">
        <f t="shared" si="60"/>
        <v>66885708.507367022</v>
      </c>
      <c r="BH358" s="11">
        <f t="shared" si="61"/>
        <v>1.1376077671575402</v>
      </c>
      <c r="BI358" s="12">
        <f t="shared" si="62"/>
        <v>4.2355612022637601E-4</v>
      </c>
      <c r="BJ358" s="12">
        <f t="shared" si="63"/>
        <v>4.1446888014518013E-3</v>
      </c>
      <c r="BK358" s="12">
        <f t="shared" si="64"/>
        <v>8.6508441030209049E-2</v>
      </c>
      <c r="BL358" s="5">
        <f t="shared" si="65"/>
        <v>0.1376077671575402</v>
      </c>
      <c r="BM358" s="19">
        <f t="shared" si="56"/>
        <v>4.3871991964541168E-2</v>
      </c>
      <c r="BN358" s="19">
        <f t="shared" si="55"/>
        <v>9.8437042919738982E-2</v>
      </c>
      <c r="BO358" s="19" t="s">
        <v>53</v>
      </c>
    </row>
    <row r="359" spans="1:67" x14ac:dyDescent="0.25">
      <c r="A359" s="1">
        <v>45618</v>
      </c>
      <c r="B359" s="1" t="str">
        <f t="shared" si="58"/>
        <v>202411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f>I358*(1+((1+VLOOKUP($B359,'IPCA Hist'!$B:$C,2,0))^12 - 1)+$I$2)^(1/252)</f>
        <v>211337392.62080684</v>
      </c>
      <c r="J359" s="2">
        <f>J358*(1+((1+VLOOKUP($B359,'IPCA Hist'!$B:$C,2,0))^12 - 1)+$J$2)^(1/252)</f>
        <v>134311473.89580226</v>
      </c>
      <c r="K359" s="2">
        <f>K358*(1+((1+VLOOKUP($B359,'IPCA Hist'!$B:$C,2,0))^12 - 1)+$K$2)^(1/252)</f>
        <v>20336912.208704919</v>
      </c>
      <c r="L359" s="2">
        <f>L358*(1+((1+VLOOKUP($B359,'IPCA Hist'!$B:$C,2,0))^12 - 1)+$L$2)^(1/252)</f>
        <v>12381340.315649858</v>
      </c>
      <c r="M359" s="2">
        <v>0</v>
      </c>
      <c r="N359" s="2">
        <v>0</v>
      </c>
      <c r="O359" s="2">
        <v>0</v>
      </c>
      <c r="P359" s="2">
        <v>0</v>
      </c>
      <c r="Q359" s="2">
        <f>Q358*(1+((1+VLOOKUP($B359,'IPCA Hist'!$B:$C,2,0))^12 - 1)+$Q$2)^(1/252)</f>
        <v>45529764.624113046</v>
      </c>
      <c r="R359" s="2">
        <f>R358*(1+((1+VLOOKUP($B359,'IPCA Hist'!$B:$C,2,0))^12 - 1)+$R$2)^(1/252)</f>
        <v>45515072.971070081</v>
      </c>
      <c r="S359" s="2">
        <f>S358*(1+((1+VLOOKUP($B359,'IPCA Hist'!$B:$C,2,0))^12 - 1)+$S$2)^(1/252)</f>
        <v>46535563.189740553</v>
      </c>
      <c r="T359" s="2">
        <f>T358*(1+((1+VLOOKUP($B359,'IPCA Hist'!$B:$C,2,0))^12 - 1)+$T$2)^(1/252)</f>
        <v>235035059.99238333</v>
      </c>
      <c r="U359" s="2">
        <f>U358*(1+((1+VLOOKUP($B359,'IPCA Hist'!$B:$C,2,0))^12 - 1)+$U$2)^(1/252)</f>
        <v>20560647.310194578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f>AF358*(1+((1+VLOOKUP($B359,'IGPM Hist'!$B:$C,2,0))^12 - 1)+$AF$2)^(1/252)</f>
        <v>1699475.5517344535</v>
      </c>
      <c r="AG359" s="2">
        <v>0</v>
      </c>
      <c r="AH359" s="2">
        <v>0</v>
      </c>
      <c r="AI359" s="2">
        <v>0</v>
      </c>
      <c r="AJ359" s="2">
        <f t="shared" si="66"/>
        <v>55070757.594179355</v>
      </c>
      <c r="AK359" s="2">
        <f t="shared" si="69"/>
        <v>180512284.56573609</v>
      </c>
      <c r="AL359" s="2">
        <f t="shared" si="70"/>
        <v>37020919.704573579</v>
      </c>
      <c r="AM359" s="2">
        <f t="shared" si="71"/>
        <v>129611238.0768566</v>
      </c>
      <c r="AN359" s="2">
        <f t="shared" si="72"/>
        <v>55525949.825753644</v>
      </c>
      <c r="AO359" s="2">
        <v>0</v>
      </c>
      <c r="AP359" s="2">
        <v>0</v>
      </c>
      <c r="AQ359" s="2">
        <v>0</v>
      </c>
      <c r="AR359" s="2">
        <v>0</v>
      </c>
      <c r="AS359" s="2">
        <f t="shared" si="54"/>
        <v>108324358.74654853</v>
      </c>
      <c r="AT359" s="2">
        <v>0</v>
      </c>
      <c r="AU359" s="2">
        <v>0</v>
      </c>
      <c r="AV359" s="2">
        <f t="shared" si="68"/>
        <v>54995133.194934137</v>
      </c>
      <c r="AW359" s="2">
        <v>0</v>
      </c>
      <c r="AX359" s="2">
        <v>0</v>
      </c>
      <c r="AY359" s="2">
        <v>0</v>
      </c>
      <c r="AZ359" s="2">
        <v>0</v>
      </c>
      <c r="BA359" s="2">
        <f>BA358*(1+VLOOKUP(A359,'SELIC Hist'!$A:$C,3,0))^(1/252)</f>
        <v>2991272.3368860856</v>
      </c>
      <c r="BB359" s="2">
        <f t="shared" si="57"/>
        <v>1397294616.725668</v>
      </c>
      <c r="BC359" s="2">
        <v>0</v>
      </c>
      <c r="BD359" s="2">
        <v>0</v>
      </c>
      <c r="BE359" s="2">
        <f t="shared" si="67"/>
        <v>591585.40098142624</v>
      </c>
      <c r="BF359" s="2">
        <f t="shared" si="59"/>
        <v>5714173.2357232571</v>
      </c>
      <c r="BG359" s="2">
        <f t="shared" si="60"/>
        <v>67477293.908348441</v>
      </c>
      <c r="BH359" s="11">
        <f t="shared" si="61"/>
        <v>1.1380896105644778</v>
      </c>
      <c r="BI359" s="12">
        <f t="shared" si="62"/>
        <v>4.2355847142427905E-4</v>
      </c>
      <c r="BJ359" s="12">
        <f t="shared" si="63"/>
        <v>4.5700027909294505E-3</v>
      </c>
      <c r="BK359" s="12">
        <f t="shared" si="64"/>
        <v>8.6968640884681481E-2</v>
      </c>
      <c r="BL359" s="5">
        <f t="shared" si="65"/>
        <v>0.13808961056447777</v>
      </c>
      <c r="BM359" s="19">
        <f t="shared" si="56"/>
        <v>4.3851513014130594E-2</v>
      </c>
      <c r="BN359" s="19">
        <f t="shared" si="55"/>
        <v>9.8473420942533973E-2</v>
      </c>
      <c r="BO359" s="19" t="s">
        <v>53</v>
      </c>
    </row>
    <row r="360" spans="1:67" x14ac:dyDescent="0.25">
      <c r="A360" s="1">
        <v>45621</v>
      </c>
      <c r="B360" s="1" t="str">
        <f t="shared" si="58"/>
        <v>202411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f>I359*(1+((1+VLOOKUP($B360,'IPCA Hist'!$B:$C,2,0))^12 - 1)+$I$2)^(1/252)</f>
        <v>211420845.12823835</v>
      </c>
      <c r="J360" s="2">
        <f>J359*(1+((1+VLOOKUP($B360,'IPCA Hist'!$B:$C,2,0))^12 - 1)+$J$2)^(1/252)</f>
        <v>134362140.09014773</v>
      </c>
      <c r="K360" s="2">
        <f>K359*(1+((1+VLOOKUP($B360,'IPCA Hist'!$B:$C,2,0))^12 - 1)+$K$2)^(1/252)</f>
        <v>20345655.929519564</v>
      </c>
      <c r="L360" s="2">
        <f>L359*(1+((1+VLOOKUP($B360,'IPCA Hist'!$B:$C,2,0))^12 - 1)+$L$2)^(1/252)</f>
        <v>12386712.52575429</v>
      </c>
      <c r="M360" s="2">
        <v>0</v>
      </c>
      <c r="N360" s="2">
        <v>0</v>
      </c>
      <c r="O360" s="2">
        <v>0</v>
      </c>
      <c r="P360" s="2">
        <v>0</v>
      </c>
      <c r="Q360" s="2">
        <f>Q359*(1+((1+VLOOKUP($B360,'IPCA Hist'!$B:$C,2,0))^12 - 1)+$Q$2)^(1/252)</f>
        <v>45546906.901660733</v>
      </c>
      <c r="R360" s="2">
        <f>R359*(1+((1+VLOOKUP($B360,'IPCA Hist'!$B:$C,2,0))^12 - 1)+$R$2)^(1/252)</f>
        <v>45532226.149488211</v>
      </c>
      <c r="S360" s="2">
        <f>S359*(1+((1+VLOOKUP($B360,'IPCA Hist'!$B:$C,2,0))^12 - 1)+$S$2)^(1/252)</f>
        <v>46552899.24811013</v>
      </c>
      <c r="T360" s="2">
        <f>T359*(1+((1+VLOOKUP($B360,'IPCA Hist'!$B:$C,2,0))^12 - 1)+$T$2)^(1/252)</f>
        <v>235122533.48928079</v>
      </c>
      <c r="U360" s="2">
        <f>U359*(1+((1+VLOOKUP($B360,'IPCA Hist'!$B:$C,2,0))^12 - 1)+$U$2)^(1/252)</f>
        <v>20569296.565337721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f>AF359*(1+((1+VLOOKUP($B360,'IGPM Hist'!$B:$C,2,0))^12 - 1)+$AF$2)^(1/252)</f>
        <v>1700870.6292219295</v>
      </c>
      <c r="AG360" s="2">
        <v>0</v>
      </c>
      <c r="AH360" s="2">
        <v>0</v>
      </c>
      <c r="AI360" s="2">
        <v>0</v>
      </c>
      <c r="AJ360" s="2">
        <f t="shared" si="66"/>
        <v>55096112.317634262</v>
      </c>
      <c r="AK360" s="2">
        <f t="shared" si="69"/>
        <v>180599497.31150162</v>
      </c>
      <c r="AL360" s="2">
        <f t="shared" si="70"/>
        <v>37038812.506640226</v>
      </c>
      <c r="AM360" s="2">
        <f t="shared" si="71"/>
        <v>129673847.08931591</v>
      </c>
      <c r="AN360" s="2">
        <f t="shared" si="72"/>
        <v>55552791.283884726</v>
      </c>
      <c r="AO360" s="2">
        <v>0</v>
      </c>
      <c r="AP360" s="2">
        <v>0</v>
      </c>
      <c r="AQ360" s="2">
        <v>0</v>
      </c>
      <c r="AR360" s="2">
        <v>0</v>
      </c>
      <c r="AS360" s="2">
        <f t="shared" si="54"/>
        <v>108372620.14862117</v>
      </c>
      <c r="AT360" s="2">
        <v>0</v>
      </c>
      <c r="AU360" s="2">
        <v>0</v>
      </c>
      <c r="AV360" s="2">
        <f t="shared" si="68"/>
        <v>55020161.271981299</v>
      </c>
      <c r="AW360" s="2">
        <v>0</v>
      </c>
      <c r="AX360" s="2">
        <v>0</v>
      </c>
      <c r="AY360" s="2">
        <v>0</v>
      </c>
      <c r="AZ360" s="2">
        <v>0</v>
      </c>
      <c r="BA360" s="2">
        <f>BA359*(1+VLOOKUP(A360,'SELIC Hist'!$A:$C,3,0))^(1/252)</f>
        <v>2992527.3967665215</v>
      </c>
      <c r="BB360" s="2">
        <f t="shared" si="57"/>
        <v>1397886455.9831049</v>
      </c>
      <c r="BC360" s="2">
        <v>0</v>
      </c>
      <c r="BD360" s="2">
        <v>0</v>
      </c>
      <c r="BE360" s="2">
        <f t="shared" si="67"/>
        <v>591839.25743699074</v>
      </c>
      <c r="BF360" s="2">
        <f t="shared" si="59"/>
        <v>6306012.4931602478</v>
      </c>
      <c r="BG360" s="2">
        <f t="shared" si="60"/>
        <v>68069133.165785432</v>
      </c>
      <c r="BH360" s="11">
        <f t="shared" si="61"/>
        <v>1.138571660736253</v>
      </c>
      <c r="BI360" s="12">
        <f t="shared" si="62"/>
        <v>4.2356082271610695E-4</v>
      </c>
      <c r="BJ360" s="12">
        <f t="shared" si="63"/>
        <v>4.9954992877874194E-3</v>
      </c>
      <c r="BK360" s="12">
        <f t="shared" si="64"/>
        <v>8.7429038216481292E-2</v>
      </c>
      <c r="BL360" s="5">
        <f t="shared" si="65"/>
        <v>0.13857166073625304</v>
      </c>
      <c r="BM360" s="19">
        <f t="shared" si="56"/>
        <v>4.3883342118333335E-2</v>
      </c>
      <c r="BN360" s="19">
        <f t="shared" si="55"/>
        <v>9.8588905990391495E-2</v>
      </c>
      <c r="BO360" s="19" t="s">
        <v>53</v>
      </c>
    </row>
    <row r="361" spans="1:67" x14ac:dyDescent="0.25">
      <c r="A361" s="1">
        <v>45622</v>
      </c>
      <c r="B361" s="1" t="str">
        <f t="shared" si="58"/>
        <v>202411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f>I360*(1+((1+VLOOKUP($B361,'IPCA Hist'!$B:$C,2,0))^12 - 1)+$I$2)^(1/252)</f>
        <v>211504330.58923718</v>
      </c>
      <c r="J361" s="2">
        <f>J360*(1+((1+VLOOKUP($B361,'IPCA Hist'!$B:$C,2,0))^12 - 1)+$J$2)^(1/252)</f>
        <v>134412825.39725533</v>
      </c>
      <c r="K361" s="2">
        <f>K360*(1+((1+VLOOKUP($B361,'IPCA Hist'!$B:$C,2,0))^12 - 1)+$K$2)^(1/252)</f>
        <v>20354403.409639105</v>
      </c>
      <c r="L361" s="2">
        <f>L360*(1+((1+VLOOKUP($B361,'IPCA Hist'!$B:$C,2,0))^12 - 1)+$L$2)^(1/252)</f>
        <v>12392087.066837491</v>
      </c>
      <c r="M361" s="2">
        <v>0</v>
      </c>
      <c r="N361" s="2">
        <v>0</v>
      </c>
      <c r="O361" s="2">
        <v>0</v>
      </c>
      <c r="P361" s="2">
        <v>0</v>
      </c>
      <c r="Q361" s="2">
        <f>Q360*(1+((1+VLOOKUP($B361,'IPCA Hist'!$B:$C,2,0))^12 - 1)+$Q$2)^(1/252)</f>
        <v>45564055.633396842</v>
      </c>
      <c r="R361" s="2">
        <f>R360*(1+((1+VLOOKUP($B361,'IPCA Hist'!$B:$C,2,0))^12 - 1)+$R$2)^(1/252)</f>
        <v>45549385.792391852</v>
      </c>
      <c r="S361" s="2">
        <f>S360*(1+((1+VLOOKUP($B361,'IPCA Hist'!$B:$C,2,0))^12 - 1)+$S$2)^(1/252)</f>
        <v>46570241.764743</v>
      </c>
      <c r="T361" s="2">
        <f>T360*(1+((1+VLOOKUP($B361,'IPCA Hist'!$B:$C,2,0))^12 - 1)+$T$2)^(1/252)</f>
        <v>235210039.54137516</v>
      </c>
      <c r="U361" s="2">
        <f>U360*(1+((1+VLOOKUP($B361,'IPCA Hist'!$B:$C,2,0))^12 - 1)+$U$2)^(1/252)</f>
        <v>20577949.45896624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f>AF360*(1+((1+VLOOKUP($B361,'IGPM Hist'!$B:$C,2,0))^12 - 1)+$AF$2)^(1/252)</f>
        <v>1702266.8519104612</v>
      </c>
      <c r="AG361" s="2">
        <v>0</v>
      </c>
      <c r="AH361" s="2">
        <v>0</v>
      </c>
      <c r="AI361" s="2">
        <v>0</v>
      </c>
      <c r="AJ361" s="2">
        <f t="shared" ref="AJ361:AJ393" si="73">AJ360*(1+AJ$2)^(1/252)</f>
        <v>55121478.71447137</v>
      </c>
      <c r="AK361" s="2">
        <f t="shared" si="69"/>
        <v>180686752.19325277</v>
      </c>
      <c r="AL361" s="2">
        <f t="shared" si="70"/>
        <v>37056713.956584029</v>
      </c>
      <c r="AM361" s="2">
        <f t="shared" si="71"/>
        <v>129736486.34520549</v>
      </c>
      <c r="AN361" s="2">
        <f t="shared" si="72"/>
        <v>55579645.717280112</v>
      </c>
      <c r="AO361" s="2">
        <v>0</v>
      </c>
      <c r="AP361" s="2">
        <v>0</v>
      </c>
      <c r="AQ361" s="2">
        <v>0</v>
      </c>
      <c r="AR361" s="2">
        <v>0</v>
      </c>
      <c r="AS361" s="2">
        <f t="shared" si="54"/>
        <v>108420903.05244057</v>
      </c>
      <c r="AT361" s="2">
        <v>0</v>
      </c>
      <c r="AU361" s="2">
        <v>0</v>
      </c>
      <c r="AV361" s="2">
        <f t="shared" si="68"/>
        <v>55045200.739211634</v>
      </c>
      <c r="AW361" s="2">
        <v>0</v>
      </c>
      <c r="AX361" s="2">
        <v>0</v>
      </c>
      <c r="AY361" s="2">
        <v>0</v>
      </c>
      <c r="AZ361" s="2">
        <v>0</v>
      </c>
      <c r="BA361" s="2">
        <f>BA360*(1+VLOOKUP(A361,'SELIC Hist'!$A:$C,3,0))^(1/252)</f>
        <v>2993782.9832373597</v>
      </c>
      <c r="BB361" s="2">
        <f t="shared" si="57"/>
        <v>1398478549.2074358</v>
      </c>
      <c r="BC361" s="2">
        <v>0</v>
      </c>
      <c r="BD361" s="2">
        <v>0</v>
      </c>
      <c r="BE361" s="2">
        <f t="shared" si="67"/>
        <v>592093.2243309021</v>
      </c>
      <c r="BF361" s="2">
        <f t="shared" si="59"/>
        <v>6898105.7174911499</v>
      </c>
      <c r="BG361" s="2">
        <f t="shared" si="60"/>
        <v>68661226.390116334</v>
      </c>
      <c r="BH361" s="11">
        <f t="shared" si="61"/>
        <v>1.1390539177628174</v>
      </c>
      <c r="BI361" s="12">
        <f t="shared" si="62"/>
        <v>4.2356317410230382E-4</v>
      </c>
      <c r="BJ361" s="12">
        <f t="shared" si="63"/>
        <v>5.4211783714241957E-3</v>
      </c>
      <c r="BK361" s="12">
        <f t="shared" si="64"/>
        <v>8.7889633111519316E-2</v>
      </c>
      <c r="BL361" s="5">
        <f t="shared" si="65"/>
        <v>0.13905391776281739</v>
      </c>
      <c r="BM361" s="19">
        <f t="shared" si="56"/>
        <v>4.3783139407345129E-2</v>
      </c>
      <c r="BN361" s="19">
        <f t="shared" si="55"/>
        <v>9.8847723225430117E-2</v>
      </c>
      <c r="BO361" s="19" t="s">
        <v>53</v>
      </c>
    </row>
    <row r="362" spans="1:67" x14ac:dyDescent="0.25">
      <c r="A362" s="1">
        <v>45623</v>
      </c>
      <c r="B362" s="1" t="str">
        <f t="shared" si="58"/>
        <v>202411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f>I361*(1+((1+VLOOKUP($B362,'IPCA Hist'!$B:$C,2,0))^12 - 1)+$I$2)^(1/252)</f>
        <v>211587849.01681596</v>
      </c>
      <c r="J362" s="2">
        <f>J361*(1+((1+VLOOKUP($B362,'IPCA Hist'!$B:$C,2,0))^12 - 1)+$J$2)^(1/252)</f>
        <v>134463529.82433492</v>
      </c>
      <c r="K362" s="2">
        <f>K361*(1+((1+VLOOKUP($B362,'IPCA Hist'!$B:$C,2,0))^12 - 1)+$K$2)^(1/252)</f>
        <v>20363154.650679834</v>
      </c>
      <c r="L362" s="2">
        <f>L361*(1+((1+VLOOKUP($B362,'IPCA Hist'!$B:$C,2,0))^12 - 1)+$L$2)^(1/252)</f>
        <v>12397463.939910863</v>
      </c>
      <c r="M362" s="2">
        <v>0</v>
      </c>
      <c r="N362" s="2">
        <v>0</v>
      </c>
      <c r="O362" s="2">
        <v>0</v>
      </c>
      <c r="P362" s="2">
        <v>0</v>
      </c>
      <c r="Q362" s="2">
        <f>Q361*(1+((1+VLOOKUP($B362,'IPCA Hist'!$B:$C,2,0))^12 - 1)+$Q$2)^(1/252)</f>
        <v>45581210.821751416</v>
      </c>
      <c r="R362" s="2">
        <f>R361*(1+((1+VLOOKUP($B362,'IPCA Hist'!$B:$C,2,0))^12 - 1)+$R$2)^(1/252)</f>
        <v>45566551.902217261</v>
      </c>
      <c r="S362" s="2">
        <f>S361*(1+((1+VLOOKUP($B362,'IPCA Hist'!$B:$C,2,0))^12 - 1)+$S$2)^(1/252)</f>
        <v>46587590.74204509</v>
      </c>
      <c r="T362" s="2">
        <f>T361*(1+((1+VLOOKUP($B362,'IPCA Hist'!$B:$C,2,0))^12 - 1)+$T$2)^(1/252)</f>
        <v>235297578.16078258</v>
      </c>
      <c r="U362" s="2">
        <f>U361*(1+((1+VLOOKUP($B362,'IPCA Hist'!$B:$C,2,0))^12 - 1)+$U$2)^(1/252)</f>
        <v>20586605.992610738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f>AF361*(1+((1+VLOOKUP($B362,'IGPM Hist'!$B:$C,2,0))^12 - 1)+$AF$2)^(1/252)</f>
        <v>1703664.2207401295</v>
      </c>
      <c r="AG362" s="2">
        <v>0</v>
      </c>
      <c r="AH362" s="2">
        <v>0</v>
      </c>
      <c r="AI362" s="2">
        <v>0</v>
      </c>
      <c r="AJ362" s="2">
        <f t="shared" si="73"/>
        <v>55146856.79006514</v>
      </c>
      <c r="AK362" s="2">
        <f t="shared" si="69"/>
        <v>180774049.23134711</v>
      </c>
      <c r="AL362" s="2">
        <f t="shared" si="70"/>
        <v>37074624.058584645</v>
      </c>
      <c r="AM362" s="2">
        <f t="shared" si="71"/>
        <v>129799155.8591345</v>
      </c>
      <c r="AN362" s="2">
        <f t="shared" si="72"/>
        <v>55606513.132212088</v>
      </c>
      <c r="AO362" s="2">
        <v>0</v>
      </c>
      <c r="AP362" s="2">
        <v>0</v>
      </c>
      <c r="AQ362" s="2">
        <v>0</v>
      </c>
      <c r="AR362" s="2">
        <v>0</v>
      </c>
      <c r="AS362" s="2">
        <f t="shared" si="54"/>
        <v>108469207.46758634</v>
      </c>
      <c r="AT362" s="2">
        <v>0</v>
      </c>
      <c r="AU362" s="2">
        <v>0</v>
      </c>
      <c r="AV362" s="2">
        <f t="shared" si="68"/>
        <v>55070251.601808771</v>
      </c>
      <c r="AW362" s="2">
        <v>0</v>
      </c>
      <c r="AX362" s="2">
        <v>0</v>
      </c>
      <c r="AY362" s="2">
        <v>0</v>
      </c>
      <c r="AZ362" s="2">
        <v>0</v>
      </c>
      <c r="BA362" s="2">
        <f>BA361*(1+VLOOKUP(A362,'SELIC Hist'!$A:$C,3,0))^(1/252)</f>
        <v>2995039.0965195438</v>
      </c>
      <c r="BB362" s="2">
        <f t="shared" si="57"/>
        <v>1399070896.5091469</v>
      </c>
      <c r="BC362" s="2">
        <v>0</v>
      </c>
      <c r="BD362" s="2">
        <v>0</v>
      </c>
      <c r="BE362" s="2">
        <f t="shared" si="67"/>
        <v>592347.30171108246</v>
      </c>
      <c r="BF362" s="2">
        <f t="shared" si="59"/>
        <v>7490453.0192022324</v>
      </c>
      <c r="BG362" s="2">
        <f t="shared" si="60"/>
        <v>69253573.691827416</v>
      </c>
      <c r="BH362" s="11">
        <f t="shared" si="61"/>
        <v>1.1395363817341615</v>
      </c>
      <c r="BI362" s="12">
        <f t="shared" si="62"/>
        <v>4.235655255826476E-4</v>
      </c>
      <c r="BJ362" s="12">
        <f t="shared" si="63"/>
        <v>5.8470401212729062E-3</v>
      </c>
      <c r="BK362" s="12">
        <f t="shared" si="64"/>
        <v>8.8350425655744136E-2</v>
      </c>
      <c r="BL362" s="5">
        <f t="shared" si="65"/>
        <v>0.1395363817341615</v>
      </c>
      <c r="BM362" s="19">
        <f t="shared" si="56"/>
        <v>4.352019386821504E-2</v>
      </c>
      <c r="BN362" s="19">
        <f t="shared" si="55"/>
        <v>9.8990175381541867E-2</v>
      </c>
      <c r="BO362" s="19" t="s">
        <v>53</v>
      </c>
    </row>
    <row r="363" spans="1:67" x14ac:dyDescent="0.25">
      <c r="A363" s="1">
        <v>45624</v>
      </c>
      <c r="B363" s="1" t="str">
        <f t="shared" si="58"/>
        <v>202411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f>I362*(1+((1+VLOOKUP($B363,'IPCA Hist'!$B:$C,2,0))^12 - 1)+$I$2)^(1/252)</f>
        <v>211671400.42399251</v>
      </c>
      <c r="J363" s="2">
        <f>J362*(1+((1+VLOOKUP($B363,'IPCA Hist'!$B:$C,2,0))^12 - 1)+$J$2)^(1/252)</f>
        <v>134514253.37859911</v>
      </c>
      <c r="K363" s="2">
        <f>K362*(1+((1+VLOOKUP($B363,'IPCA Hist'!$B:$C,2,0))^12 - 1)+$K$2)^(1/252)</f>
        <v>20371909.654258732</v>
      </c>
      <c r="L363" s="2">
        <f>L362*(1+((1+VLOOKUP($B363,'IPCA Hist'!$B:$C,2,0))^12 - 1)+$L$2)^(1/252)</f>
        <v>12402843.145986246</v>
      </c>
      <c r="M363" s="2">
        <v>0</v>
      </c>
      <c r="N363" s="2">
        <v>0</v>
      </c>
      <c r="O363" s="2">
        <v>0</v>
      </c>
      <c r="P363" s="2">
        <v>0</v>
      </c>
      <c r="Q363" s="2">
        <f>Q362*(1+((1+VLOOKUP($B363,'IPCA Hist'!$B:$C,2,0))^12 - 1)+$Q$2)^(1/252)</f>
        <v>45598372.469155416</v>
      </c>
      <c r="R363" s="2">
        <f>R362*(1+((1+VLOOKUP($B363,'IPCA Hist'!$B:$C,2,0))^12 - 1)+$R$2)^(1/252)</f>
        <v>45583724.481401622</v>
      </c>
      <c r="S363" s="2">
        <f>S362*(1+((1+VLOOKUP($B363,'IPCA Hist'!$B:$C,2,0))^12 - 1)+$S$2)^(1/252)</f>
        <v>46604946.182423212</v>
      </c>
      <c r="T363" s="2">
        <f>T362*(1+((1+VLOOKUP($B363,'IPCA Hist'!$B:$C,2,0))^12 - 1)+$T$2)^(1/252)</f>
        <v>235385149.3596237</v>
      </c>
      <c r="U363" s="2">
        <f>U362*(1+((1+VLOOKUP($B363,'IPCA Hist'!$B:$C,2,0))^12 - 1)+$U$2)^(1/252)</f>
        <v>20595266.16780246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f>AF362*(1+((1+VLOOKUP($B363,'IGPM Hist'!$B:$C,2,0))^12 - 1)+$AF$2)^(1/252)</f>
        <v>1705062.7366517866</v>
      </c>
      <c r="AG363" s="2">
        <v>0</v>
      </c>
      <c r="AH363" s="2">
        <v>0</v>
      </c>
      <c r="AI363" s="2">
        <v>0</v>
      </c>
      <c r="AJ363" s="2">
        <f t="shared" si="73"/>
        <v>55172246.549792491</v>
      </c>
      <c r="AK363" s="2">
        <f t="shared" si="69"/>
        <v>180861388.44615206</v>
      </c>
      <c r="AL363" s="2">
        <f t="shared" si="70"/>
        <v>37092542.816823751</v>
      </c>
      <c r="AM363" s="2">
        <f t="shared" si="71"/>
        <v>129861855.64571916</v>
      </c>
      <c r="AN363" s="2">
        <f t="shared" si="72"/>
        <v>55633393.534955986</v>
      </c>
      <c r="AO363" s="2">
        <v>0</v>
      </c>
      <c r="AP363" s="2">
        <v>0</v>
      </c>
      <c r="AQ363" s="2">
        <v>0</v>
      </c>
      <c r="AR363" s="2">
        <v>0</v>
      </c>
      <c r="AS363" s="2">
        <f t="shared" si="54"/>
        <v>108517533.40364234</v>
      </c>
      <c r="AT363" s="2">
        <v>0</v>
      </c>
      <c r="AU363" s="2">
        <v>0</v>
      </c>
      <c r="AV363" s="2">
        <f t="shared" si="68"/>
        <v>55095313.864958696</v>
      </c>
      <c r="AW363" s="2">
        <v>0</v>
      </c>
      <c r="AX363" s="2">
        <v>0</v>
      </c>
      <c r="AY363" s="2">
        <v>0</v>
      </c>
      <c r="AZ363" s="2">
        <v>0</v>
      </c>
      <c r="BA363" s="2">
        <f>BA362*(1+VLOOKUP(A363,'SELIC Hist'!$A:$C,3,0))^(1/252)</f>
        <v>2996295.7368341102</v>
      </c>
      <c r="BB363" s="2">
        <f t="shared" si="57"/>
        <v>1399663497.9987736</v>
      </c>
      <c r="BC363" s="2">
        <v>0</v>
      </c>
      <c r="BD363" s="2">
        <v>0</v>
      </c>
      <c r="BE363" s="2">
        <f t="shared" si="67"/>
        <v>592601.48962664604</v>
      </c>
      <c r="BF363" s="2">
        <f t="shared" si="59"/>
        <v>8083054.5088288784</v>
      </c>
      <c r="BG363" s="2">
        <f t="shared" si="60"/>
        <v>69846175.181454062</v>
      </c>
      <c r="BH363" s="11">
        <f t="shared" si="61"/>
        <v>1.140019052740316</v>
      </c>
      <c r="BI363" s="12">
        <f t="shared" si="62"/>
        <v>4.2356787715713828E-4</v>
      </c>
      <c r="BJ363" s="12">
        <f t="shared" si="63"/>
        <v>6.2730846168017607E-3</v>
      </c>
      <c r="BK363" s="12">
        <f t="shared" si="64"/>
        <v>8.8811415935142302E-2</v>
      </c>
      <c r="BL363" s="5">
        <f t="shared" si="65"/>
        <v>0.14001905274031601</v>
      </c>
      <c r="BM363" s="19">
        <f t="shared" si="56"/>
        <v>4.4381822016126282E-2</v>
      </c>
      <c r="BN363" s="19">
        <f t="shared" si="55"/>
        <v>9.9162353072145049E-2</v>
      </c>
      <c r="BO363" s="19" t="s">
        <v>53</v>
      </c>
    </row>
    <row r="364" spans="1:67" x14ac:dyDescent="0.25">
      <c r="A364" s="1">
        <v>45625</v>
      </c>
      <c r="B364" s="1" t="str">
        <f t="shared" si="58"/>
        <v>202411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f>I363*(1+((1+VLOOKUP($B364,'IPCA Hist'!$B:$C,2,0))^12 - 1)+$I$2)^(1/252)</f>
        <v>211754984.82378972</v>
      </c>
      <c r="J364" s="2">
        <f>J363*(1+((1+VLOOKUP($B364,'IPCA Hist'!$B:$C,2,0))^12 - 1)+$J$2)^(1/252)</f>
        <v>134564996.06726325</v>
      </c>
      <c r="K364" s="2">
        <f>K363*(1+((1+VLOOKUP($B364,'IPCA Hist'!$B:$C,2,0))^12 - 1)+$K$2)^(1/252)</f>
        <v>20380668.421993479</v>
      </c>
      <c r="L364" s="2">
        <f>L363*(1+((1+VLOOKUP($B364,'IPCA Hist'!$B:$C,2,0))^12 - 1)+$L$2)^(1/252)</f>
        <v>12408224.686075918</v>
      </c>
      <c r="M364" s="2">
        <v>0</v>
      </c>
      <c r="N364" s="2">
        <v>0</v>
      </c>
      <c r="O364" s="2">
        <v>0</v>
      </c>
      <c r="P364" s="2">
        <v>0</v>
      </c>
      <c r="Q364" s="2">
        <f>Q363*(1+((1+VLOOKUP($B364,'IPCA Hist'!$B:$C,2,0))^12 - 1)+$Q$2)^(1/252)</f>
        <v>45615540.578040719</v>
      </c>
      <c r="R364" s="2">
        <f>R363*(1+((1+VLOOKUP($B364,'IPCA Hist'!$B:$C,2,0))^12 - 1)+$R$2)^(1/252)</f>
        <v>45600903.532383025</v>
      </c>
      <c r="S364" s="2">
        <f>S363*(1+((1+VLOOKUP($B364,'IPCA Hist'!$B:$C,2,0))^12 - 1)+$S$2)^(1/252)</f>
        <v>46622308.088285081</v>
      </c>
      <c r="T364" s="2">
        <f>T363*(1+((1+VLOOKUP($B364,'IPCA Hist'!$B:$C,2,0))^12 - 1)+$T$2)^(1/252)</f>
        <v>235472753.15002367</v>
      </c>
      <c r="U364" s="2">
        <f>U363*(1+((1+VLOOKUP($B364,'IPCA Hist'!$B:$C,2,0))^12 - 1)+$U$2)^(1/252)</f>
        <v>20603929.986073297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f>AF363*(1+((1+VLOOKUP($B364,'IGPM Hist'!$B:$C,2,0))^12 - 1)+$AF$2)^(1/252)</f>
        <v>1706462.4005870575</v>
      </c>
      <c r="AG364" s="2">
        <v>0</v>
      </c>
      <c r="AH364" s="2">
        <v>0</v>
      </c>
      <c r="AI364" s="2">
        <v>0</v>
      </c>
      <c r="AJ364" s="2">
        <f t="shared" si="73"/>
        <v>55197647.99903284</v>
      </c>
      <c r="AK364" s="2">
        <f t="shared" si="69"/>
        <v>180948769.85804489</v>
      </c>
      <c r="AL364" s="2">
        <f t="shared" si="70"/>
        <v>37110470.23548504</v>
      </c>
      <c r="AM364" s="2">
        <f t="shared" si="71"/>
        <v>129924585.71958274</v>
      </c>
      <c r="AN364" s="2">
        <f t="shared" si="72"/>
        <v>55660286.931790158</v>
      </c>
      <c r="AO364" s="2">
        <v>0</v>
      </c>
      <c r="AP364" s="2">
        <v>0</v>
      </c>
      <c r="AQ364" s="2">
        <v>0</v>
      </c>
      <c r="AR364" s="2">
        <v>0</v>
      </c>
      <c r="AS364" s="2">
        <f t="shared" si="54"/>
        <v>108565880.87019673</v>
      </c>
      <c r="AT364" s="2">
        <v>0</v>
      </c>
      <c r="AU364" s="2">
        <v>0</v>
      </c>
      <c r="AV364" s="2">
        <f t="shared" si="68"/>
        <v>55120387.533849761</v>
      </c>
      <c r="AW364" s="2">
        <v>0</v>
      </c>
      <c r="AX364" s="2">
        <v>0</v>
      </c>
      <c r="AY364" s="2">
        <v>0</v>
      </c>
      <c r="AZ364" s="2">
        <v>0</v>
      </c>
      <c r="BA364" s="2">
        <f>BA363*(1+VLOOKUP(A364,'SELIC Hist'!$A:$C,3,0))^(1/252)</f>
        <v>2997552.904402188</v>
      </c>
      <c r="BB364" s="2">
        <f t="shared" si="57"/>
        <v>1400256353.7868996</v>
      </c>
      <c r="BC364" s="2">
        <v>0</v>
      </c>
      <c r="BD364" s="2">
        <v>0</v>
      </c>
      <c r="BE364" s="2">
        <f t="shared" si="67"/>
        <v>592855.78812599182</v>
      </c>
      <c r="BF364" s="2">
        <f t="shared" si="59"/>
        <v>8675910.2969548702</v>
      </c>
      <c r="BG364" s="2">
        <f t="shared" si="60"/>
        <v>70439030.969580054</v>
      </c>
      <c r="BH364" s="11">
        <f t="shared" si="61"/>
        <v>1.1405019308713507</v>
      </c>
      <c r="BI364" s="12">
        <f t="shared" si="62"/>
        <v>4.2357022882555384E-4</v>
      </c>
      <c r="BJ364" s="12">
        <f t="shared" si="63"/>
        <v>6.6993119375138299E-3</v>
      </c>
      <c r="BK364" s="12">
        <f t="shared" si="64"/>
        <v>8.927260403573789E-2</v>
      </c>
      <c r="BL364" s="5">
        <f t="shared" si="65"/>
        <v>0.14050193087135066</v>
      </c>
      <c r="BM364" s="19">
        <f t="shared" si="56"/>
        <v>4.4132394752448567E-2</v>
      </c>
      <c r="BN364" s="19">
        <f t="shared" si="55"/>
        <v>0.10087623170677107</v>
      </c>
      <c r="BO364" s="19" t="s">
        <v>53</v>
      </c>
    </row>
    <row r="365" spans="1:67" x14ac:dyDescent="0.25">
      <c r="A365" s="1">
        <v>45628</v>
      </c>
      <c r="B365" s="1" t="str">
        <f t="shared" si="58"/>
        <v>202412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f>I364*(1+((1+VLOOKUP($B365,'IPCA Hist'!$B:$C,2,0))^12 - 1)+$I$2)^(1/252)</f>
        <v>211850990.78108579</v>
      </c>
      <c r="J365" s="2">
        <f>J364*(1+((1+VLOOKUP($B365,'IPCA Hist'!$B:$C,2,0))^12 - 1)+$J$2)^(1/252)</f>
        <v>134623665.19380397</v>
      </c>
      <c r="K365" s="2">
        <f>K364*(1+((1+VLOOKUP($B365,'IPCA Hist'!$B:$C,2,0))^12 - 1)+$K$2)^(1/252)</f>
        <v>20390612.941685025</v>
      </c>
      <c r="L365" s="2">
        <f>L364*(1+((1+VLOOKUP($B365,'IPCA Hist'!$B:$C,2,0))^12 - 1)+$L$2)^(1/252)</f>
        <v>12414327.473813524</v>
      </c>
      <c r="M365" s="2">
        <v>0</v>
      </c>
      <c r="N365" s="2">
        <v>0</v>
      </c>
      <c r="O365" s="2">
        <v>0</v>
      </c>
      <c r="P365" s="2">
        <v>0</v>
      </c>
      <c r="Q365" s="2">
        <f>Q364*(1+((1+VLOOKUP($B365,'IPCA Hist'!$B:$C,2,0))^12 - 1)+$Q$2)^(1/252)</f>
        <v>45635396.089216068</v>
      </c>
      <c r="R365" s="2">
        <f>R364*(1+((1+VLOOKUP($B365,'IPCA Hist'!$B:$C,2,0))^12 - 1)+$R$2)^(1/252)</f>
        <v>45620768.894745618</v>
      </c>
      <c r="S365" s="2">
        <f>S364*(1+((1+VLOOKUP($B365,'IPCA Hist'!$B:$C,2,0))^12 - 1)+$S$2)^(1/252)</f>
        <v>46642419.283672281</v>
      </c>
      <c r="T365" s="2">
        <f>T364*(1+((1+VLOOKUP($B365,'IPCA Hist'!$B:$C,2,0))^12 - 1)+$T$2)^(1/252)</f>
        <v>235574243.81104061</v>
      </c>
      <c r="U365" s="2">
        <f>U364*(1+((1+VLOOKUP($B365,'IPCA Hist'!$B:$C,2,0))^12 - 1)+$U$2)^(1/252)</f>
        <v>20613795.146311507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f>AF364*(1+((1+VLOOKUP($B365,'IGPM Hist'!$B:$C,2,0))^12 - 1)+$AF$2)^(1/252)</f>
        <v>1707587.6966664898</v>
      </c>
      <c r="AG365" s="2">
        <v>0</v>
      </c>
      <c r="AH365" s="2">
        <v>0</v>
      </c>
      <c r="AI365" s="2">
        <v>0</v>
      </c>
      <c r="AJ365" s="2">
        <f t="shared" si="73"/>
        <v>55223061.143168062</v>
      </c>
      <c r="AK365" s="2">
        <f t="shared" si="69"/>
        <v>181036193.48741272</v>
      </c>
      <c r="AL365" s="2">
        <f t="shared" si="70"/>
        <v>37128406.318754241</v>
      </c>
      <c r="AM365" s="2">
        <f t="shared" si="71"/>
        <v>129987346.09535559</v>
      </c>
      <c r="AN365" s="2">
        <f t="shared" si="72"/>
        <v>55687193.328996003</v>
      </c>
      <c r="AO365" s="2">
        <v>0</v>
      </c>
      <c r="AP365" s="2">
        <v>0</v>
      </c>
      <c r="AQ365" s="2">
        <v>0</v>
      </c>
      <c r="AR365" s="2">
        <v>0</v>
      </c>
      <c r="AS365" s="2">
        <f t="shared" ref="AS365:AT411" si="74">AS364*(1+AS$2)^(1/252)</f>
        <v>108614249.87684192</v>
      </c>
      <c r="AT365" s="2">
        <v>0</v>
      </c>
      <c r="AU365" s="2">
        <v>0</v>
      </c>
      <c r="AV365" s="2">
        <f t="shared" si="68"/>
        <v>55145472.613672674</v>
      </c>
      <c r="AW365" s="2">
        <v>0</v>
      </c>
      <c r="AX365" s="2">
        <v>0</v>
      </c>
      <c r="AY365" s="2">
        <v>0</v>
      </c>
      <c r="AZ365" s="2">
        <v>0</v>
      </c>
      <c r="BA365" s="2">
        <f>BA364*(1+VLOOKUP(A365,'SELIC Hist'!$A:$C,3,0))^(1/252)</f>
        <v>2998810.5994449989</v>
      </c>
      <c r="BB365" s="2">
        <f t="shared" si="57"/>
        <v>1400894540.7756872</v>
      </c>
      <c r="BC365" s="2">
        <v>0</v>
      </c>
      <c r="BD365" s="2">
        <v>0</v>
      </c>
      <c r="BE365" s="2">
        <f t="shared" si="67"/>
        <v>638186.98878765106</v>
      </c>
      <c r="BF365" s="2">
        <f t="shared" si="59"/>
        <v>638186.98878765106</v>
      </c>
      <c r="BG365" s="2">
        <f t="shared" si="60"/>
        <v>71077217.958367705</v>
      </c>
      <c r="BH365" s="11">
        <f t="shared" si="61"/>
        <v>1.1410217310429411</v>
      </c>
      <c r="BI365" s="12">
        <f t="shared" si="62"/>
        <v>4.5576439418515413E-4</v>
      </c>
      <c r="BJ365" s="12">
        <f t="shared" si="63"/>
        <v>4.5576439418515413E-4</v>
      </c>
      <c r="BK365" s="12">
        <f t="shared" si="64"/>
        <v>8.9769055704218781E-2</v>
      </c>
      <c r="BL365" s="5">
        <f t="shared" si="65"/>
        <v>0.14102173104294113</v>
      </c>
      <c r="BM365" s="19">
        <f t="shared" si="56"/>
        <v>4.4307422352773962E-2</v>
      </c>
      <c r="BN365" s="19">
        <f t="shared" si="55"/>
        <v>9.9629819233937544E-2</v>
      </c>
      <c r="BO365" s="19" t="s">
        <v>53</v>
      </c>
    </row>
    <row r="366" spans="1:67" x14ac:dyDescent="0.25">
      <c r="A366" s="1">
        <v>45629</v>
      </c>
      <c r="B366" s="1" t="str">
        <f t="shared" si="58"/>
        <v>202412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f>I365*(1+((1+VLOOKUP($B366,'IPCA Hist'!$B:$C,2,0))^12 - 1)+$I$2)^(1/252)</f>
        <v>211947040.26578143</v>
      </c>
      <c r="J366" s="2">
        <f>J365*(1+((1+VLOOKUP($B366,'IPCA Hist'!$B:$C,2,0))^12 - 1)+$J$2)^(1/252)</f>
        <v>134682359.89955553</v>
      </c>
      <c r="K366" s="2">
        <f>K365*(1+((1+VLOOKUP($B366,'IPCA Hist'!$B:$C,2,0))^12 - 1)+$K$2)^(1/252)</f>
        <v>20400562.313693967</v>
      </c>
      <c r="L366" s="2">
        <f>L365*(1+((1+VLOOKUP($B366,'IPCA Hist'!$B:$C,2,0))^12 - 1)+$L$2)^(1/252)</f>
        <v>12420433.263110107</v>
      </c>
      <c r="M366" s="2">
        <v>0</v>
      </c>
      <c r="N366" s="2">
        <v>0</v>
      </c>
      <c r="O366" s="2">
        <v>0</v>
      </c>
      <c r="P366" s="2">
        <v>0</v>
      </c>
      <c r="Q366" s="2">
        <f>Q365*(1+((1+VLOOKUP($B366,'IPCA Hist'!$B:$C,2,0))^12 - 1)+$Q$2)^(1/252)</f>
        <v>45655260.243089035</v>
      </c>
      <c r="R366" s="2">
        <f>R365*(1+((1+VLOOKUP($B366,'IPCA Hist'!$B:$C,2,0))^12 - 1)+$R$2)^(1/252)</f>
        <v>45640642.911160894</v>
      </c>
      <c r="S366" s="2">
        <f>S365*(1+((1+VLOOKUP($B366,'IPCA Hist'!$B:$C,2,0))^12 - 1)+$S$2)^(1/252)</f>
        <v>46662539.154309511</v>
      </c>
      <c r="T366" s="2">
        <f>T365*(1+((1+VLOOKUP($B366,'IPCA Hist'!$B:$C,2,0))^12 - 1)+$T$2)^(1/252)</f>
        <v>235675778.21535325</v>
      </c>
      <c r="U366" s="2">
        <f>U365*(1+((1+VLOOKUP($B366,'IPCA Hist'!$B:$C,2,0))^12 - 1)+$U$2)^(1/252)</f>
        <v>20623665.029987749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f>AF365*(1+((1+VLOOKUP($B366,'IGPM Hist'!$B:$C,2,0))^12 - 1)+$AF$2)^(1/252)</f>
        <v>1708713.7348022757</v>
      </c>
      <c r="AG366" s="2">
        <v>0</v>
      </c>
      <c r="AH366" s="2">
        <v>0</v>
      </c>
      <c r="AI366" s="2">
        <v>0</v>
      </c>
      <c r="AJ366" s="2">
        <f t="shared" si="73"/>
        <v>55248485.987582527</v>
      </c>
      <c r="AK366" s="2">
        <f t="shared" si="69"/>
        <v>181123659.35465252</v>
      </c>
      <c r="AL366" s="2">
        <f t="shared" si="70"/>
        <v>37146351.070819095</v>
      </c>
      <c r="AM366" s="2">
        <f t="shared" si="71"/>
        <v>130050136.78767511</v>
      </c>
      <c r="AN366" s="2">
        <f t="shared" si="72"/>
        <v>55714112.73285795</v>
      </c>
      <c r="AO366" s="2">
        <v>0</v>
      </c>
      <c r="AP366" s="2">
        <v>0</v>
      </c>
      <c r="AQ366" s="2">
        <v>0</v>
      </c>
      <c r="AR366" s="2">
        <v>0</v>
      </c>
      <c r="AS366" s="2">
        <f t="shared" si="74"/>
        <v>108662640.43317458</v>
      </c>
      <c r="AT366" s="2">
        <v>0</v>
      </c>
      <c r="AU366" s="2">
        <v>0</v>
      </c>
      <c r="AV366" s="2">
        <f t="shared" si="68"/>
        <v>55170569.109620512</v>
      </c>
      <c r="AW366" s="2">
        <v>0</v>
      </c>
      <c r="AX366" s="2">
        <v>0</v>
      </c>
      <c r="AY366" s="2">
        <v>0</v>
      </c>
      <c r="AZ366" s="2">
        <v>0</v>
      </c>
      <c r="BA366" s="2">
        <f>BA365*(1+VLOOKUP(A366,'SELIC Hist'!$A:$C,3,0))^(1/252)</f>
        <v>3000068.8221838577</v>
      </c>
      <c r="BB366" s="2">
        <f t="shared" si="57"/>
        <v>1401533019.3294098</v>
      </c>
      <c r="BC366" s="2">
        <v>0</v>
      </c>
      <c r="BD366" s="2">
        <v>0</v>
      </c>
      <c r="BE366" s="2">
        <f t="shared" si="67"/>
        <v>638478.55372262001</v>
      </c>
      <c r="BF366" s="2">
        <f t="shared" si="59"/>
        <v>1276665.5425102711</v>
      </c>
      <c r="BG366" s="2">
        <f t="shared" si="60"/>
        <v>71715696.512090325</v>
      </c>
      <c r="BH366" s="11">
        <f t="shared" si="61"/>
        <v>1.1415417686927409</v>
      </c>
      <c r="BI366" s="12">
        <f t="shared" si="62"/>
        <v>4.5576489531407027E-4</v>
      </c>
      <c r="BJ366" s="12">
        <f t="shared" si="63"/>
        <v>9.1173701091062931E-4</v>
      </c>
      <c r="BK366" s="12">
        <f t="shared" si="64"/>
        <v>9.0265734183808233E-2</v>
      </c>
      <c r="BL366" s="5">
        <f t="shared" si="65"/>
        <v>0.14154176869274093</v>
      </c>
      <c r="BM366" s="19">
        <f t="shared" si="56"/>
        <v>4.4386180872289183E-2</v>
      </c>
      <c r="BN366" s="19">
        <f t="shared" si="55"/>
        <v>9.9552367861979629E-2</v>
      </c>
      <c r="BO366" s="19" t="s">
        <v>53</v>
      </c>
    </row>
    <row r="367" spans="1:67" x14ac:dyDescent="0.25">
      <c r="A367" s="1">
        <v>45630</v>
      </c>
      <c r="B367" s="1" t="str">
        <f t="shared" si="58"/>
        <v>202412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f>I366*(1+((1+VLOOKUP($B367,'IPCA Hist'!$B:$C,2,0))^12 - 1)+$I$2)^(1/252)</f>
        <v>212043133.29761121</v>
      </c>
      <c r="J367" s="2">
        <f>J366*(1+((1+VLOOKUP($B367,'IPCA Hist'!$B:$C,2,0))^12 - 1)+$J$2)^(1/252)</f>
        <v>134741080.19567028</v>
      </c>
      <c r="K367" s="2">
        <f>K366*(1+((1+VLOOKUP($B367,'IPCA Hist'!$B:$C,2,0))^12 - 1)+$K$2)^(1/252)</f>
        <v>20410516.540387936</v>
      </c>
      <c r="L367" s="2">
        <f>L366*(1+((1+VLOOKUP($B367,'IPCA Hist'!$B:$C,2,0))^12 - 1)+$L$2)^(1/252)</f>
        <v>12426542.055441933</v>
      </c>
      <c r="M367" s="2">
        <v>0</v>
      </c>
      <c r="N367" s="2">
        <v>0</v>
      </c>
      <c r="O367" s="2">
        <v>0</v>
      </c>
      <c r="P367" s="2">
        <v>0</v>
      </c>
      <c r="Q367" s="2">
        <f>Q366*(1+((1+VLOOKUP($B367,'IPCA Hist'!$B:$C,2,0))^12 - 1)+$Q$2)^(1/252)</f>
        <v>45675133.043421611</v>
      </c>
      <c r="R367" s="2">
        <f>R366*(1+((1+VLOOKUP($B367,'IPCA Hist'!$B:$C,2,0))^12 - 1)+$R$2)^(1/252)</f>
        <v>45660525.585398868</v>
      </c>
      <c r="S367" s="2">
        <f>S366*(1+((1+VLOOKUP($B367,'IPCA Hist'!$B:$C,2,0))^12 - 1)+$S$2)^(1/252)</f>
        <v>46682667.703938976</v>
      </c>
      <c r="T367" s="2">
        <f>T366*(1+((1+VLOOKUP($B367,'IPCA Hist'!$B:$C,2,0))^12 - 1)+$T$2)^(1/252)</f>
        <v>235777356.38181534</v>
      </c>
      <c r="U367" s="2">
        <f>U366*(1+((1+VLOOKUP($B367,'IPCA Hist'!$B:$C,2,0))^12 - 1)+$U$2)^(1/252)</f>
        <v>20633539.639363606</v>
      </c>
      <c r="V367" s="2">
        <v>0</v>
      </c>
      <c r="W367" s="2">
        <v>0</v>
      </c>
      <c r="X367" s="2">
        <v>0</v>
      </c>
      <c r="Y367" s="2">
        <v>0</v>
      </c>
      <c r="Z367" s="2">
        <v>80227234.988000005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f>AF366*(1+((1+VLOOKUP($B367,'IGPM Hist'!$B:$C,2,0))^12 - 1)+$AF$2)^(1/252)</f>
        <v>1709840.515483751</v>
      </c>
      <c r="AG367" s="2">
        <v>0</v>
      </c>
      <c r="AH367" s="2">
        <v>0</v>
      </c>
      <c r="AI367" s="2">
        <v>0</v>
      </c>
      <c r="AJ367" s="2">
        <f t="shared" si="73"/>
        <v>55273922.537663065</v>
      </c>
      <c r="AK367" s="2">
        <f t="shared" si="69"/>
        <v>181211167.48017108</v>
      </c>
      <c r="AL367" s="2">
        <f t="shared" si="70"/>
        <v>37164304.495869368</v>
      </c>
      <c r="AM367" s="2">
        <f t="shared" si="71"/>
        <v>130112957.81118579</v>
      </c>
      <c r="AN367" s="2">
        <f t="shared" si="72"/>
        <v>55741045.149663463</v>
      </c>
      <c r="AO367" s="2">
        <v>0</v>
      </c>
      <c r="AP367" s="2">
        <v>0</v>
      </c>
      <c r="AQ367" s="2">
        <v>0</v>
      </c>
      <c r="AR367" s="2">
        <v>0</v>
      </c>
      <c r="AS367" s="2">
        <f t="shared" si="74"/>
        <v>108711052.54879569</v>
      </c>
      <c r="AT367" s="2">
        <v>0</v>
      </c>
      <c r="AU367" s="2">
        <v>0</v>
      </c>
      <c r="AV367" s="2">
        <f t="shared" si="68"/>
        <v>55195677.026888698</v>
      </c>
      <c r="AW367" s="2">
        <v>0</v>
      </c>
      <c r="AX367" s="2">
        <v>0</v>
      </c>
      <c r="AY367" s="2">
        <v>0</v>
      </c>
      <c r="AZ367" s="2">
        <v>0</v>
      </c>
      <c r="BA367" s="2">
        <f>BA366*(1+VLOOKUP(A367,'SELIC Hist'!$A:$C,3,0))^(1/252) + BC367 - Z367</f>
        <v>2774092.5848401636</v>
      </c>
      <c r="BB367" s="2">
        <f t="shared" si="57"/>
        <v>1482171789.5816109</v>
      </c>
      <c r="BC367" s="2">
        <v>80000000</v>
      </c>
      <c r="BD367" s="2">
        <v>0</v>
      </c>
      <c r="BE367" s="2">
        <f t="shared" si="67"/>
        <v>638770.25220108032</v>
      </c>
      <c r="BF367" s="2">
        <f t="shared" si="59"/>
        <v>1915435.7947113514</v>
      </c>
      <c r="BG367" s="2">
        <f t="shared" si="60"/>
        <v>72354466.764291406</v>
      </c>
      <c r="BH367" s="11">
        <f t="shared" si="61"/>
        <v>1.1420620439295204</v>
      </c>
      <c r="BI367" s="12">
        <f t="shared" si="62"/>
        <v>4.5576539645608705E-4</v>
      </c>
      <c r="BJ367" s="12">
        <f t="shared" si="63"/>
        <v>1.3679179455470258E-3</v>
      </c>
      <c r="BK367" s="12">
        <f t="shared" si="64"/>
        <v>9.0762639578390925E-2</v>
      </c>
      <c r="BL367" s="5">
        <f t="shared" si="65"/>
        <v>0.14206204392952038</v>
      </c>
      <c r="BM367" s="19">
        <f t="shared" si="56"/>
        <v>4.4463887884228059E-2</v>
      </c>
      <c r="BN367" s="19">
        <f t="shared" si="55"/>
        <v>9.9579330776643049E-2</v>
      </c>
      <c r="BO367" s="19" t="s">
        <v>53</v>
      </c>
    </row>
    <row r="368" spans="1:67" x14ac:dyDescent="0.25">
      <c r="A368" s="1">
        <v>45631</v>
      </c>
      <c r="B368" s="1" t="str">
        <f t="shared" si="58"/>
        <v>202412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f>I367*(1+((1+VLOOKUP($B368,'IPCA Hist'!$B:$C,2,0))^12 - 1)+$I$2)^(1/252)</f>
        <v>212139269.89631861</v>
      </c>
      <c r="J368" s="2">
        <f>J367*(1+((1+VLOOKUP($B368,'IPCA Hist'!$B:$C,2,0))^12 - 1)+$J$2)^(1/252)</f>
        <v>134799826.09330535</v>
      </c>
      <c r="K368" s="2">
        <f>K367*(1+((1+VLOOKUP($B368,'IPCA Hist'!$B:$C,2,0))^12 - 1)+$K$2)^(1/252)</f>
        <v>20420475.624135721</v>
      </c>
      <c r="L368" s="2">
        <f>L367*(1+((1+VLOOKUP($B368,'IPCA Hist'!$B:$C,2,0))^12 - 1)+$L$2)^(1/252)</f>
        <v>12432653.852285998</v>
      </c>
      <c r="M368" s="2">
        <v>0</v>
      </c>
      <c r="N368" s="2">
        <v>0</v>
      </c>
      <c r="O368" s="2">
        <v>0</v>
      </c>
      <c r="P368" s="2">
        <v>0</v>
      </c>
      <c r="Q368" s="2">
        <f>Q367*(1+((1+VLOOKUP($B368,'IPCA Hist'!$B:$C,2,0))^12 - 1)+$Q$2)^(1/252)</f>
        <v>45695014.493977427</v>
      </c>
      <c r="R368" s="2">
        <f>R367*(1+((1+VLOOKUP($B368,'IPCA Hist'!$B:$C,2,0))^12 - 1)+$R$2)^(1/252)</f>
        <v>45680416.921231195</v>
      </c>
      <c r="S368" s="2">
        <f>S367*(1+((1+VLOOKUP($B368,'IPCA Hist'!$B:$C,2,0))^12 - 1)+$S$2)^(1/252)</f>
        <v>46702804.936304472</v>
      </c>
      <c r="T368" s="2">
        <f>T367*(1+((1+VLOOKUP($B368,'IPCA Hist'!$B:$C,2,0))^12 - 1)+$T$2)^(1/252)</f>
        <v>235878978.32928869</v>
      </c>
      <c r="U368" s="2">
        <f>U367*(1+((1+VLOOKUP($B368,'IPCA Hist'!$B:$C,2,0))^12 - 1)+$U$2)^(1/252)</f>
        <v>20643418.97670174</v>
      </c>
      <c r="V368" s="2">
        <v>0</v>
      </c>
      <c r="W368" s="2">
        <v>0</v>
      </c>
      <c r="X368" s="2">
        <v>0</v>
      </c>
      <c r="Y368" s="2">
        <v>0</v>
      </c>
      <c r="Z368" s="2">
        <f>Z367*(1+((1+VLOOKUP($B368,'IPCA Hist'!$B:$C,2,0))^12 - 1)+$Z$2)^(1/252)</f>
        <v>80267901.203063652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f>AF367*(1+((1+VLOOKUP($B368,'IGPM Hist'!$B:$C,2,0))^12 - 1)+$AF$2)^(1/252)</f>
        <v>1710968.0392005739</v>
      </c>
      <c r="AG368" s="2">
        <v>0</v>
      </c>
      <c r="AH368" s="2">
        <v>0</v>
      </c>
      <c r="AI368" s="2">
        <v>0</v>
      </c>
      <c r="AJ368" s="2">
        <f t="shared" si="73"/>
        <v>55299370.798799001</v>
      </c>
      <c r="AK368" s="2">
        <f t="shared" si="69"/>
        <v>181298717.88438508</v>
      </c>
      <c r="AL368" s="2">
        <f t="shared" si="70"/>
        <v>37182266.598096855</v>
      </c>
      <c r="AM368" s="2">
        <f t="shared" si="71"/>
        <v>130175809.18053918</v>
      </c>
      <c r="AN368" s="2">
        <f t="shared" si="72"/>
        <v>55767990.585703053</v>
      </c>
      <c r="AO368" s="2">
        <v>0</v>
      </c>
      <c r="AP368" s="2">
        <v>0</v>
      </c>
      <c r="AQ368" s="2">
        <v>0</v>
      </c>
      <c r="AR368" s="2">
        <v>0</v>
      </c>
      <c r="AS368" s="2">
        <f t="shared" si="74"/>
        <v>108759486.23331048</v>
      </c>
      <c r="AT368" s="2">
        <v>0</v>
      </c>
      <c r="AU368" s="2">
        <v>0</v>
      </c>
      <c r="AV368" s="2">
        <f t="shared" si="68"/>
        <v>55220796.370675042</v>
      </c>
      <c r="AW368" s="2">
        <v>0</v>
      </c>
      <c r="AX368" s="2">
        <v>0</v>
      </c>
      <c r="AY368" s="2">
        <v>0</v>
      </c>
      <c r="AZ368" s="2">
        <v>0</v>
      </c>
      <c r="BA368" s="2">
        <f>BA367*(1+VLOOKUP(A368,'SELIC Hist'!$A:$C,3,0))^(1/252)</f>
        <v>2775256.5217592181</v>
      </c>
      <c r="BB368" s="2">
        <f t="shared" si="57"/>
        <v>1482851422.5390813</v>
      </c>
      <c r="BC368" s="2">
        <v>0</v>
      </c>
      <c r="BD368" s="2">
        <v>0</v>
      </c>
      <c r="BE368" s="2">
        <f t="shared" si="67"/>
        <v>679632.95747041702</v>
      </c>
      <c r="BF368" s="2">
        <f t="shared" si="59"/>
        <v>2595068.7521817684</v>
      </c>
      <c r="BG368" s="2">
        <f t="shared" si="60"/>
        <v>73034099.721761823</v>
      </c>
      <c r="BH368" s="11">
        <f t="shared" si="61"/>
        <v>1.1425857234449359</v>
      </c>
      <c r="BI368" s="12">
        <f t="shared" si="62"/>
        <v>4.5853858658473357E-4</v>
      </c>
      <c r="BJ368" s="12">
        <f t="shared" si="63"/>
        <v>1.8270837752931701E-3</v>
      </c>
      <c r="BK368" s="12">
        <f t="shared" si="64"/>
        <v>9.1262796337442609E-2</v>
      </c>
      <c r="BL368" s="5">
        <f t="shared" si="65"/>
        <v>0.14258572344493592</v>
      </c>
      <c r="BM368" s="19">
        <f t="shared" si="56"/>
        <v>4.4681834061005121E-2</v>
      </c>
      <c r="BN368" s="19">
        <f t="shared" si="55"/>
        <v>9.9712066849198866E-2</v>
      </c>
      <c r="BO368" s="19" t="s">
        <v>53</v>
      </c>
    </row>
    <row r="369" spans="1:67" x14ac:dyDescent="0.25">
      <c r="A369" s="1">
        <v>45632</v>
      </c>
      <c r="B369" s="1" t="str">
        <f t="shared" si="58"/>
        <v>202412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f>I368*(1+((1+VLOOKUP($B369,'IPCA Hist'!$B:$C,2,0))^12 - 1)+$I$2)^(1/252)</f>
        <v>212235450.0816561</v>
      </c>
      <c r="J369" s="2">
        <f>J368*(1+((1+VLOOKUP($B369,'IPCA Hist'!$B:$C,2,0))^12 - 1)+$J$2)^(1/252)</f>
        <v>134858597.60362279</v>
      </c>
      <c r="K369" s="2">
        <f>K368*(1+((1+VLOOKUP($B369,'IPCA Hist'!$B:$C,2,0))^12 - 1)+$K$2)^(1/252)</f>
        <v>20430439.567307271</v>
      </c>
      <c r="L369" s="2">
        <f>L368*(1+((1+VLOOKUP($B369,'IPCA Hist'!$B:$C,2,0))^12 - 1)+$L$2)^(1/252)</f>
        <v>12438768.655120024</v>
      </c>
      <c r="M369" s="2">
        <v>0</v>
      </c>
      <c r="N369" s="2">
        <v>0</v>
      </c>
      <c r="O369" s="2">
        <v>0</v>
      </c>
      <c r="P369" s="2">
        <v>0</v>
      </c>
      <c r="Q369" s="2">
        <f>Q368*(1+((1+VLOOKUP($B369,'IPCA Hist'!$B:$C,2,0))^12 - 1)+$Q$2)^(1/252)</f>
        <v>45714904.598521747</v>
      </c>
      <c r="R369" s="2">
        <f>R368*(1+((1+VLOOKUP($B369,'IPCA Hist'!$B:$C,2,0))^12 - 1)+$R$2)^(1/252)</f>
        <v>45700316.922431171</v>
      </c>
      <c r="S369" s="2">
        <f>S368*(1+((1+VLOOKUP($B369,'IPCA Hist'!$B:$C,2,0))^12 - 1)+$S$2)^(1/252)</f>
        <v>46722950.855151422</v>
      </c>
      <c r="T369" s="2">
        <f>T368*(1+((1+VLOOKUP($B369,'IPCA Hist'!$B:$C,2,0))^12 - 1)+$T$2)^(1/252)</f>
        <v>235980644.07664329</v>
      </c>
      <c r="U369" s="2">
        <f>U368*(1+((1+VLOOKUP($B369,'IPCA Hist'!$B:$C,2,0))^12 - 1)+$U$2)^(1/252)</f>
        <v>20653303.044265904</v>
      </c>
      <c r="V369" s="2">
        <v>0</v>
      </c>
      <c r="W369" s="2">
        <v>0</v>
      </c>
      <c r="X369" s="2">
        <v>0</v>
      </c>
      <c r="Y369" s="2">
        <v>0</v>
      </c>
      <c r="Z369" s="2">
        <f>Z368*(1+((1+VLOOKUP($B369,'IPCA Hist'!$B:$C,2,0))^12 - 1)+$Z$2)^(1/252)</f>
        <v>80308588.031339854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f>AF368*(1+((1+VLOOKUP($B369,'IGPM Hist'!$B:$C,2,0))^12 - 1)+$AF$2)^(1/252)</f>
        <v>1712096.3064427259</v>
      </c>
      <c r="AG369" s="2">
        <v>0</v>
      </c>
      <c r="AH369" s="2">
        <v>0</v>
      </c>
      <c r="AI369" s="2">
        <v>0</v>
      </c>
      <c r="AJ369" s="2">
        <f t="shared" si="73"/>
        <v>55324830.776382133</v>
      </c>
      <c r="AK369" s="2">
        <f t="shared" si="69"/>
        <v>181386310.58772108</v>
      </c>
      <c r="AL369" s="2">
        <f t="shared" si="70"/>
        <v>37200237.381695375</v>
      </c>
      <c r="AM369" s="2">
        <f t="shared" si="71"/>
        <v>130238690.91039389</v>
      </c>
      <c r="AN369" s="2">
        <f t="shared" si="72"/>
        <v>55794949.047270268</v>
      </c>
      <c r="AO369" s="2">
        <v>0</v>
      </c>
      <c r="AP369" s="2">
        <v>0</v>
      </c>
      <c r="AQ369" s="2">
        <v>0</v>
      </c>
      <c r="AR369" s="2">
        <v>0</v>
      </c>
      <c r="AS369" s="2">
        <f t="shared" si="74"/>
        <v>108807941.49632847</v>
      </c>
      <c r="AT369" s="2">
        <v>0</v>
      </c>
      <c r="AU369" s="2">
        <v>0</v>
      </c>
      <c r="AV369" s="2">
        <f t="shared" si="68"/>
        <v>55245927.146179706</v>
      </c>
      <c r="AW369" s="2">
        <v>0</v>
      </c>
      <c r="AX369" s="2">
        <v>0</v>
      </c>
      <c r="AY369" s="2">
        <v>0</v>
      </c>
      <c r="AZ369" s="2">
        <v>0</v>
      </c>
      <c r="BA369" s="2">
        <f>BA368*(1+VLOOKUP(A369,'SELIC Hist'!$A:$C,3,0))^(1/252)</f>
        <v>2776420.9470358561</v>
      </c>
      <c r="BB369" s="2">
        <f t="shared" si="57"/>
        <v>1483531368.0355091</v>
      </c>
      <c r="BC369" s="2">
        <v>0</v>
      </c>
      <c r="BD369" s="2">
        <v>0</v>
      </c>
      <c r="BE369" s="2">
        <f t="shared" si="67"/>
        <v>679945.49642777443</v>
      </c>
      <c r="BF369" s="2">
        <f t="shared" si="59"/>
        <v>3275014.2486095428</v>
      </c>
      <c r="BG369" s="2">
        <f t="shared" si="60"/>
        <v>73714045.218189597</v>
      </c>
      <c r="BH369" s="11">
        <f t="shared" si="61"/>
        <v>1.1431096437818831</v>
      </c>
      <c r="BI369" s="12">
        <f t="shared" si="62"/>
        <v>4.5853919421245948E-4</v>
      </c>
      <c r="BJ369" s="12">
        <f t="shared" si="63"/>
        <v>2.2864607590276087E-3</v>
      </c>
      <c r="BK369" s="12">
        <f t="shared" si="64"/>
        <v>9.1763183100749268E-2</v>
      </c>
      <c r="BL369" s="5">
        <f t="shared" si="65"/>
        <v>0.14310964378188307</v>
      </c>
      <c r="BM369" s="19">
        <f t="shared" si="56"/>
        <v>4.4719144833242463E-2</v>
      </c>
      <c r="BN369" s="19">
        <f t="shared" si="55"/>
        <v>9.9644604608457588E-2</v>
      </c>
      <c r="BO369" s="19" t="s">
        <v>53</v>
      </c>
    </row>
    <row r="370" spans="1:67" x14ac:dyDescent="0.25">
      <c r="A370" s="1">
        <v>45635</v>
      </c>
      <c r="B370" s="1" t="str">
        <f t="shared" si="58"/>
        <v>202412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f>I369*(1+((1+VLOOKUP($B370,'IPCA Hist'!$B:$C,2,0))^12 - 1)+$I$2)^(1/252)</f>
        <v>212331673.87338504</v>
      </c>
      <c r="J370" s="2">
        <f>J369*(1+((1+VLOOKUP($B370,'IPCA Hist'!$B:$C,2,0))^12 - 1)+$J$2)^(1/252)</f>
        <v>134917394.73778951</v>
      </c>
      <c r="K370" s="2">
        <f>K369*(1+((1+VLOOKUP($B370,'IPCA Hist'!$B:$C,2,0))^12 - 1)+$K$2)^(1/252)</f>
        <v>20440408.372273687</v>
      </c>
      <c r="L370" s="2">
        <f>L369*(1+((1+VLOOKUP($B370,'IPCA Hist'!$B:$C,2,0))^12 - 1)+$L$2)^(1/252)</f>
        <v>12444886.465422459</v>
      </c>
      <c r="M370" s="2">
        <v>0</v>
      </c>
      <c r="N370" s="2">
        <v>0</v>
      </c>
      <c r="O370" s="2">
        <v>0</v>
      </c>
      <c r="P370" s="2">
        <v>0</v>
      </c>
      <c r="Q370" s="2">
        <f>Q369*(1+((1+VLOOKUP($B370,'IPCA Hist'!$B:$C,2,0))^12 - 1)+$Q$2)^(1/252)</f>
        <v>45734803.360821471</v>
      </c>
      <c r="R370" s="2">
        <f>R369*(1+((1+VLOOKUP($B370,'IPCA Hist'!$B:$C,2,0))^12 - 1)+$R$2)^(1/252)</f>
        <v>45720225.592773736</v>
      </c>
      <c r="S370" s="2">
        <f>S369*(1+((1+VLOOKUP($B370,'IPCA Hist'!$B:$C,2,0))^12 - 1)+$S$2)^(1/252)</f>
        <v>46743105.464226872</v>
      </c>
      <c r="T370" s="2">
        <f>T369*(1+((1+VLOOKUP($B370,'IPCA Hist'!$B:$C,2,0))^12 - 1)+$T$2)^(1/252)</f>
        <v>236082353.64275721</v>
      </c>
      <c r="U370" s="2">
        <f>U369*(1+((1+VLOOKUP($B370,'IPCA Hist'!$B:$C,2,0))^12 - 1)+$U$2)^(1/252)</f>
        <v>20663191.844320927</v>
      </c>
      <c r="V370" s="2">
        <v>0</v>
      </c>
      <c r="W370" s="2">
        <v>0</v>
      </c>
      <c r="X370" s="2">
        <v>0</v>
      </c>
      <c r="Y370" s="2">
        <v>0</v>
      </c>
      <c r="Z370" s="2">
        <f>Z369*(1+((1+VLOOKUP($B370,'IPCA Hist'!$B:$C,2,0))^12 - 1)+$Z$2)^(1/252)</f>
        <v>80349295.483277202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f>AF369*(1+((1+VLOOKUP($B370,'IGPM Hist'!$B:$C,2,0))^12 - 1)+$AF$2)^(1/252)</f>
        <v>1713225.3177005115</v>
      </c>
      <c r="AG370" s="2">
        <v>0</v>
      </c>
      <c r="AH370" s="2">
        <v>0</v>
      </c>
      <c r="AI370" s="2">
        <v>0</v>
      </c>
      <c r="AJ370" s="2">
        <f t="shared" si="73"/>
        <v>55350302.47580675</v>
      </c>
      <c r="AK370" s="2">
        <f t="shared" si="69"/>
        <v>181473945.61061546</v>
      </c>
      <c r="AL370" s="2">
        <f t="shared" si="70"/>
        <v>37218216.850860767</v>
      </c>
      <c r="AM370" s="2">
        <f t="shared" si="71"/>
        <v>130301603.01541567</v>
      </c>
      <c r="AN370" s="2">
        <f t="shared" si="72"/>
        <v>55821920.5406617</v>
      </c>
      <c r="AO370" s="2">
        <v>0</v>
      </c>
      <c r="AP370" s="2">
        <v>0</v>
      </c>
      <c r="AQ370" s="2">
        <v>0</v>
      </c>
      <c r="AR370" s="2">
        <v>0</v>
      </c>
      <c r="AS370" s="2">
        <f t="shared" si="74"/>
        <v>108856418.34746347</v>
      </c>
      <c r="AT370" s="2">
        <v>0</v>
      </c>
      <c r="AU370" s="2">
        <v>0</v>
      </c>
      <c r="AV370" s="2">
        <f t="shared" si="68"/>
        <v>55271069.358605221</v>
      </c>
      <c r="AW370" s="2">
        <v>0</v>
      </c>
      <c r="AX370" s="2">
        <v>0</v>
      </c>
      <c r="AY370" s="2">
        <v>0</v>
      </c>
      <c r="AZ370" s="2">
        <v>0</v>
      </c>
      <c r="BA370" s="2">
        <f>BA369*(1+VLOOKUP(A370,'SELIC Hist'!$A:$C,3,0))^(1/252)</f>
        <v>2777585.8608749798</v>
      </c>
      <c r="BB370" s="2">
        <f t="shared" si="57"/>
        <v>1484211626.2150524</v>
      </c>
      <c r="BC370" s="2">
        <v>0</v>
      </c>
      <c r="BD370" s="2">
        <v>0</v>
      </c>
      <c r="BE370" s="2">
        <f t="shared" si="67"/>
        <v>680258.17954325676</v>
      </c>
      <c r="BF370" s="2">
        <f t="shared" si="59"/>
        <v>3955272.4281527996</v>
      </c>
      <c r="BG370" s="2">
        <f t="shared" si="60"/>
        <v>74394303.397732854</v>
      </c>
      <c r="BH370" s="11">
        <f t="shared" si="61"/>
        <v>1.1436338050514401</v>
      </c>
      <c r="BI370" s="12">
        <f t="shared" si="62"/>
        <v>4.5853980185395216E-4</v>
      </c>
      <c r="BJ370" s="12">
        <f t="shared" si="63"/>
        <v>2.7460489941448785E-3</v>
      </c>
      <c r="BK370" s="12">
        <f t="shared" si="64"/>
        <v>9.2263799974399818E-2</v>
      </c>
      <c r="BL370" s="5">
        <f t="shared" si="65"/>
        <v>0.14363380505144008</v>
      </c>
      <c r="BM370" s="19">
        <f t="shared" si="56"/>
        <v>4.5091823083863725E-2</v>
      </c>
      <c r="BN370" s="19">
        <f t="shared" si="55"/>
        <v>9.941546904148324E-2</v>
      </c>
      <c r="BO370" s="19" t="s">
        <v>53</v>
      </c>
    </row>
    <row r="371" spans="1:67" x14ac:dyDescent="0.25">
      <c r="A371" s="1">
        <v>45636</v>
      </c>
      <c r="B371" s="1" t="str">
        <f t="shared" si="58"/>
        <v>202412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f>I370*(1+((1+VLOOKUP($B371,'IPCA Hist'!$B:$C,2,0))^12 - 1)+$I$2)^(1/252)</f>
        <v>212427941.29127583</v>
      </c>
      <c r="J371" s="2">
        <f>J370*(1+((1+VLOOKUP($B371,'IPCA Hist'!$B:$C,2,0))^12 - 1)+$J$2)^(1/252)</f>
        <v>134976217.50697726</v>
      </c>
      <c r="K371" s="2">
        <f>K370*(1+((1+VLOOKUP($B371,'IPCA Hist'!$B:$C,2,0))^12 - 1)+$K$2)^(1/252)</f>
        <v>20450382.041407228</v>
      </c>
      <c r="L371" s="2">
        <f>L370*(1+((1+VLOOKUP($B371,'IPCA Hist'!$B:$C,2,0))^12 - 1)+$L$2)^(1/252)</f>
        <v>12451007.284672478</v>
      </c>
      <c r="M371" s="2">
        <v>0</v>
      </c>
      <c r="N371" s="2">
        <v>0</v>
      </c>
      <c r="O371" s="2">
        <v>0</v>
      </c>
      <c r="P371" s="2">
        <v>0</v>
      </c>
      <c r="Q371" s="2">
        <f>Q370*(1+((1+VLOOKUP($B371,'IPCA Hist'!$B:$C,2,0))^12 - 1)+$Q$2)^(1/252)</f>
        <v>45754710.784645148</v>
      </c>
      <c r="R371" s="2">
        <f>R370*(1+((1+VLOOKUP($B371,'IPCA Hist'!$B:$C,2,0))^12 - 1)+$R$2)^(1/252)</f>
        <v>45740142.936035469</v>
      </c>
      <c r="S371" s="2">
        <f>S370*(1+((1+VLOOKUP($B371,'IPCA Hist'!$B:$C,2,0))^12 - 1)+$S$2)^(1/252)</f>
        <v>46763268.767279468</v>
      </c>
      <c r="T371" s="2">
        <f>T370*(1+((1+VLOOKUP($B371,'IPCA Hist'!$B:$C,2,0))^12 - 1)+$T$2)^(1/252)</f>
        <v>236184107.04651672</v>
      </c>
      <c r="U371" s="2">
        <f>U370*(1+((1+VLOOKUP($B371,'IPCA Hist'!$B:$C,2,0))^12 - 1)+$U$2)^(1/252)</f>
        <v>20673085.379132725</v>
      </c>
      <c r="V371" s="2">
        <v>0</v>
      </c>
      <c r="W371" s="2">
        <v>0</v>
      </c>
      <c r="X371" s="2">
        <v>0</v>
      </c>
      <c r="Y371" s="2">
        <v>0</v>
      </c>
      <c r="Z371" s="2">
        <f>Z370*(1+((1+VLOOKUP($B371,'IPCA Hist'!$B:$C,2,0))^12 - 1)+$Z$2)^(1/252)</f>
        <v>80390023.569329575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f>AF370*(1+((1+VLOOKUP($B371,'IGPM Hist'!$B:$C,2,0))^12 - 1)+$AF$2)^(1/252)</f>
        <v>1714355.0734645587</v>
      </c>
      <c r="AG371" s="2">
        <v>0</v>
      </c>
      <c r="AH371" s="2">
        <v>0</v>
      </c>
      <c r="AI371" s="2">
        <v>0</v>
      </c>
      <c r="AJ371" s="2">
        <f t="shared" si="73"/>
        <v>55375785.902469613</v>
      </c>
      <c r="AK371" s="2">
        <f t="shared" si="69"/>
        <v>181561622.97351453</v>
      </c>
      <c r="AL371" s="2">
        <f t="shared" si="70"/>
        <v>37236205.009790912</v>
      </c>
      <c r="AM371" s="2">
        <f t="shared" si="71"/>
        <v>130364545.51027729</v>
      </c>
      <c r="AN371" s="2">
        <f t="shared" si="72"/>
        <v>55848905.072176978</v>
      </c>
      <c r="AO371" s="2">
        <v>0</v>
      </c>
      <c r="AP371" s="2">
        <v>0</v>
      </c>
      <c r="AQ371" s="2">
        <v>0</v>
      </c>
      <c r="AR371" s="2">
        <v>0</v>
      </c>
      <c r="AS371" s="2">
        <f t="shared" si="74"/>
        <v>108904916.79633357</v>
      </c>
      <c r="AT371" s="2">
        <v>0</v>
      </c>
      <c r="AU371" s="2">
        <v>0</v>
      </c>
      <c r="AV371" s="2">
        <f t="shared" si="68"/>
        <v>55296223.013156489</v>
      </c>
      <c r="AW371" s="2">
        <v>0</v>
      </c>
      <c r="AX371" s="2">
        <v>0</v>
      </c>
      <c r="AY371" s="2">
        <v>0</v>
      </c>
      <c r="AZ371" s="2">
        <v>0</v>
      </c>
      <c r="BA371" s="2">
        <f>BA370*(1+VLOOKUP(A371,'SELIC Hist'!$A:$C,3,0))^(1/252)</f>
        <v>2778751.2634815774</v>
      </c>
      <c r="BB371" s="2">
        <f t="shared" si="57"/>
        <v>1484892197.2219372</v>
      </c>
      <c r="BC371" s="2">
        <v>0</v>
      </c>
      <c r="BD371" s="2">
        <v>0</v>
      </c>
      <c r="BE371" s="2">
        <f t="shared" si="67"/>
        <v>680571.00688481331</v>
      </c>
      <c r="BF371" s="2">
        <f t="shared" si="59"/>
        <v>4635843.4350376129</v>
      </c>
      <c r="BG371" s="2">
        <f t="shared" si="60"/>
        <v>75074874.404617667</v>
      </c>
      <c r="BH371" s="11">
        <f t="shared" si="61"/>
        <v>1.1441582073647385</v>
      </c>
      <c r="BI371" s="12">
        <f t="shared" si="62"/>
        <v>4.5854040951054387E-4</v>
      </c>
      <c r="BJ371" s="12">
        <f t="shared" si="63"/>
        <v>3.2058485780857016E-3</v>
      </c>
      <c r="BK371" s="12">
        <f t="shared" si="64"/>
        <v>9.2764647064533579E-2</v>
      </c>
      <c r="BL371" s="5">
        <f t="shared" si="65"/>
        <v>0.1441582073647385</v>
      </c>
      <c r="BM371" s="19">
        <f t="shared" si="56"/>
        <v>4.5426772790051695E-2</v>
      </c>
      <c r="BN371" s="19">
        <f t="shared" si="55"/>
        <v>9.9187888184397499E-2</v>
      </c>
      <c r="BO371" s="19" t="s">
        <v>53</v>
      </c>
    </row>
    <row r="372" spans="1:67" x14ac:dyDescent="0.25">
      <c r="A372" s="1">
        <v>45637</v>
      </c>
      <c r="B372" s="1" t="str">
        <f t="shared" si="58"/>
        <v>202412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f>I371*(1+((1+VLOOKUP($B372,'IPCA Hist'!$B:$C,2,0))^12 - 1)+$I$2)^(1/252)</f>
        <v>212524252.35510781</v>
      </c>
      <c r="J372" s="2">
        <f>J371*(1+((1+VLOOKUP($B372,'IPCA Hist'!$B:$C,2,0))^12 - 1)+$J$2)^(1/252)</f>
        <v>135035065.92236269</v>
      </c>
      <c r="K372" s="2">
        <f>K371*(1+((1+VLOOKUP($B372,'IPCA Hist'!$B:$C,2,0))^12 - 1)+$K$2)^(1/252)</f>
        <v>20460360.577081304</v>
      </c>
      <c r="L372" s="2">
        <f>L371*(1+((1+VLOOKUP($B372,'IPCA Hist'!$B:$C,2,0))^12 - 1)+$L$2)^(1/252)</f>
        <v>12457131.114349984</v>
      </c>
      <c r="M372" s="2">
        <v>0</v>
      </c>
      <c r="N372" s="2">
        <v>0</v>
      </c>
      <c r="O372" s="2">
        <v>0</v>
      </c>
      <c r="P372" s="2">
        <v>0</v>
      </c>
      <c r="Q372" s="2">
        <f>Q371*(1+((1+VLOOKUP($B372,'IPCA Hist'!$B:$C,2,0))^12 - 1)+$Q$2)^(1/252)</f>
        <v>45774626.873762958</v>
      </c>
      <c r="R372" s="2">
        <f>R371*(1+((1+VLOOKUP($B372,'IPCA Hist'!$B:$C,2,0))^12 - 1)+$R$2)^(1/252)</f>
        <v>45760068.955994606</v>
      </c>
      <c r="S372" s="2">
        <f>S371*(1+((1+VLOOKUP($B372,'IPCA Hist'!$B:$C,2,0))^12 - 1)+$S$2)^(1/252)</f>
        <v>46783440.768059477</v>
      </c>
      <c r="T372" s="2">
        <f>T371*(1+((1+VLOOKUP($B372,'IPCA Hist'!$B:$C,2,0))^12 - 1)+$T$2)^(1/252)</f>
        <v>236285904.30681619</v>
      </c>
      <c r="U372" s="2">
        <f>U371*(1+((1+VLOOKUP($B372,'IPCA Hist'!$B:$C,2,0))^12 - 1)+$U$2)^(1/252)</f>
        <v>20682983.650968302</v>
      </c>
      <c r="V372" s="2">
        <v>0</v>
      </c>
      <c r="W372" s="2">
        <v>0</v>
      </c>
      <c r="X372" s="2">
        <v>0</v>
      </c>
      <c r="Y372" s="2">
        <v>0</v>
      </c>
      <c r="Z372" s="2">
        <f>Z371*(1+((1+VLOOKUP($B372,'IPCA Hist'!$B:$C,2,0))^12 - 1)+$Z$2)^(1/252)</f>
        <v>80430772.299956173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f>AF371*(1+((1+VLOOKUP($B372,'IGPM Hist'!$B:$C,2,0))^12 - 1)+$AF$2)^(1/252)</f>
        <v>1715485.5742258185</v>
      </c>
      <c r="AG372" s="2">
        <v>0</v>
      </c>
      <c r="AH372" s="2">
        <v>0</v>
      </c>
      <c r="AI372" s="2">
        <v>0</v>
      </c>
      <c r="AJ372" s="2">
        <f t="shared" si="73"/>
        <v>55401281.061769977</v>
      </c>
      <c r="AK372" s="2">
        <f t="shared" si="69"/>
        <v>181649342.69687441</v>
      </c>
      <c r="AL372" s="2">
        <f t="shared" si="70"/>
        <v>37254201.862685703</v>
      </c>
      <c r="AM372" s="2">
        <f t="shared" si="71"/>
        <v>130427518.40965863</v>
      </c>
      <c r="AN372" s="2">
        <f t="shared" si="72"/>
        <v>55875902.648118779</v>
      </c>
      <c r="AO372" s="2">
        <v>0</v>
      </c>
      <c r="AP372" s="2">
        <v>0</v>
      </c>
      <c r="AQ372" s="2">
        <v>0</v>
      </c>
      <c r="AR372" s="2">
        <v>0</v>
      </c>
      <c r="AS372" s="2">
        <f t="shared" si="74"/>
        <v>108953436.85256112</v>
      </c>
      <c r="AT372" s="2">
        <v>0</v>
      </c>
      <c r="AU372" s="2">
        <v>0</v>
      </c>
      <c r="AV372" s="2">
        <f t="shared" si="68"/>
        <v>55321388.115040772</v>
      </c>
      <c r="AW372" s="2">
        <v>0</v>
      </c>
      <c r="AX372" s="2">
        <v>0</v>
      </c>
      <c r="AY372" s="2">
        <v>0</v>
      </c>
      <c r="AZ372" s="2">
        <v>0</v>
      </c>
      <c r="BA372" s="2">
        <f>BA371*(1+VLOOKUP(A372,'SELIC Hist'!$A:$C,3,0))^(1/252)</f>
        <v>2780015.9610353904</v>
      </c>
      <c r="BB372" s="2">
        <f t="shared" si="57"/>
        <v>1485573180.0064304</v>
      </c>
      <c r="BC372" s="2">
        <v>0</v>
      </c>
      <c r="BD372" s="2">
        <v>0</v>
      </c>
      <c r="BE372" s="2">
        <f t="shared" si="67"/>
        <v>680982.78449320793</v>
      </c>
      <c r="BF372" s="2">
        <f t="shared" si="59"/>
        <v>5316826.2195308208</v>
      </c>
      <c r="BG372" s="2">
        <f t="shared" si="60"/>
        <v>75755857.189110875</v>
      </c>
      <c r="BH372" s="11">
        <f t="shared" si="61"/>
        <v>1.1446829269662082</v>
      </c>
      <c r="BI372" s="12">
        <f t="shared" si="62"/>
        <v>4.5860755802151765E-4</v>
      </c>
      <c r="BJ372" s="12">
        <f t="shared" si="63"/>
        <v>3.6659263624949645E-3</v>
      </c>
      <c r="BK372" s="12">
        <f t="shared" si="64"/>
        <v>9.326579719081618E-2</v>
      </c>
      <c r="BL372" s="5">
        <f t="shared" si="65"/>
        <v>0.14468292696620821</v>
      </c>
      <c r="BM372" s="19">
        <f t="shared" si="56"/>
        <v>4.5670657220955091E-2</v>
      </c>
      <c r="BN372" s="19">
        <f t="shared" si="55"/>
        <v>9.9158017657600572E-2</v>
      </c>
      <c r="BO372" s="19" t="s">
        <v>53</v>
      </c>
    </row>
    <row r="373" spans="1:67" x14ac:dyDescent="0.25">
      <c r="A373" s="1">
        <v>45638</v>
      </c>
      <c r="B373" s="1" t="str">
        <f t="shared" si="58"/>
        <v>202412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f>I372*(1+((1+VLOOKUP($B373,'IPCA Hist'!$B:$C,2,0))^12 - 1)+$I$2)^(1/252)</f>
        <v>212620607.08466926</v>
      </c>
      <c r="J373" s="2">
        <f>J372*(1+((1+VLOOKUP($B373,'IPCA Hist'!$B:$C,2,0))^12 - 1)+$J$2)^(1/252)</f>
        <v>135093939.99512729</v>
      </c>
      <c r="K373" s="2">
        <f>K372*(1+((1+VLOOKUP($B373,'IPCA Hist'!$B:$C,2,0))^12 - 1)+$K$2)^(1/252)</f>
        <v>20470343.981670495</v>
      </c>
      <c r="L373" s="2">
        <f>L372*(1+((1+VLOOKUP($B373,'IPCA Hist'!$B:$C,2,0))^12 - 1)+$L$2)^(1/252)</f>
        <v>12463257.955935609</v>
      </c>
      <c r="M373" s="2">
        <v>0</v>
      </c>
      <c r="N373" s="2">
        <v>0</v>
      </c>
      <c r="O373" s="2">
        <v>0</v>
      </c>
      <c r="P373" s="2">
        <v>0</v>
      </c>
      <c r="Q373" s="2">
        <f>Q372*(1+((1+VLOOKUP($B373,'IPCA Hist'!$B:$C,2,0))^12 - 1)+$Q$2)^(1/252)</f>
        <v>45794551.631946728</v>
      </c>
      <c r="R373" s="2">
        <f>R372*(1+((1+VLOOKUP($B373,'IPCA Hist'!$B:$C,2,0))^12 - 1)+$R$2)^(1/252)</f>
        <v>45780003.656431019</v>
      </c>
      <c r="S373" s="2">
        <f>S372*(1+((1+VLOOKUP($B373,'IPCA Hist'!$B:$C,2,0))^12 - 1)+$S$2)^(1/252)</f>
        <v>46803621.470318794</v>
      </c>
      <c r="T373" s="2">
        <f>T372*(1+((1+VLOOKUP($B373,'IPCA Hist'!$B:$C,2,0))^12 - 1)+$T$2)^(1/252)</f>
        <v>236387745.44255814</v>
      </c>
      <c r="U373" s="2">
        <f>U372*(1+((1+VLOOKUP($B373,'IPCA Hist'!$B:$C,2,0))^12 - 1)+$U$2)^(1/252)</f>
        <v>20692886.66209574</v>
      </c>
      <c r="V373" s="2">
        <v>0</v>
      </c>
      <c r="W373" s="2">
        <v>0</v>
      </c>
      <c r="X373" s="2">
        <v>0</v>
      </c>
      <c r="Y373" s="2">
        <v>0</v>
      </c>
      <c r="Z373" s="2">
        <f>Z372*(1+((1+VLOOKUP($B373,'IPCA Hist'!$B:$C,2,0))^12 - 1)+$Z$2)^(1/252)</f>
        <v>80471541.685621455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f>AF372*(1+((1+VLOOKUP($B373,'IGPM Hist'!$B:$C,2,0))^12 - 1)+$AF$2)^(1/252)</f>
        <v>1716616.820475566</v>
      </c>
      <c r="AG373" s="2">
        <v>0</v>
      </c>
      <c r="AH373" s="2">
        <v>0</v>
      </c>
      <c r="AI373" s="2">
        <v>0</v>
      </c>
      <c r="AJ373" s="2">
        <f t="shared" si="73"/>
        <v>55426787.959109582</v>
      </c>
      <c r="AK373" s="2">
        <f t="shared" si="69"/>
        <v>181737104.80116117</v>
      </c>
      <c r="AL373" s="2">
        <f t="shared" si="70"/>
        <v>37272207.41374708</v>
      </c>
      <c r="AM373" s="2">
        <f t="shared" si="71"/>
        <v>130490521.72824667</v>
      </c>
      <c r="AN373" s="2">
        <f t="shared" si="72"/>
        <v>55902913.274792835</v>
      </c>
      <c r="AO373" s="2">
        <v>0</v>
      </c>
      <c r="AP373" s="2">
        <v>0</v>
      </c>
      <c r="AQ373" s="2">
        <v>0</v>
      </c>
      <c r="AR373" s="2">
        <v>0</v>
      </c>
      <c r="AS373" s="2">
        <f t="shared" si="74"/>
        <v>109001978.52577278</v>
      </c>
      <c r="AT373" s="2">
        <v>0</v>
      </c>
      <c r="AU373" s="2">
        <v>0</v>
      </c>
      <c r="AV373" s="2">
        <f t="shared" si="68"/>
        <v>55346564.669467717</v>
      </c>
      <c r="AW373" s="2">
        <v>0</v>
      </c>
      <c r="AX373" s="2">
        <v>0</v>
      </c>
      <c r="AY373" s="2">
        <v>0</v>
      </c>
      <c r="AZ373" s="2">
        <v>0</v>
      </c>
      <c r="BA373" s="2">
        <f>BA372*(1+VLOOKUP(A373,'SELIC Hist'!$A:$C,3,0))^(1/252)</f>
        <v>2781281.2341930452</v>
      </c>
      <c r="BB373" s="2">
        <f t="shared" si="57"/>
        <v>1486254475.9933412</v>
      </c>
      <c r="BC373" s="2">
        <v>0</v>
      </c>
      <c r="BD373" s="2">
        <v>0</v>
      </c>
      <c r="BE373" s="2">
        <f t="shared" si="67"/>
        <v>681295.98691082001</v>
      </c>
      <c r="BF373" s="2">
        <f t="shared" si="59"/>
        <v>5998122.2064416409</v>
      </c>
      <c r="BG373" s="2">
        <f t="shared" si="60"/>
        <v>76437153.176021695</v>
      </c>
      <c r="BH373" s="11">
        <f t="shared" si="61"/>
        <v>1.1452078879004275</v>
      </c>
      <c r="BI373" s="12">
        <f t="shared" si="62"/>
        <v>4.5860816288278983E-4</v>
      </c>
      <c r="BJ373" s="12">
        <f t="shared" si="63"/>
        <v>4.1262157491321894E-3</v>
      </c>
      <c r="BK373" s="12">
        <f t="shared" si="64"/>
        <v>9.3767177809608526E-2</v>
      </c>
      <c r="BL373" s="5">
        <f t="shared" si="65"/>
        <v>0.14520788790042749</v>
      </c>
      <c r="BM373" s="19">
        <f t="shared" si="56"/>
        <v>4.5892876433096141E-2</v>
      </c>
      <c r="BN373" s="19">
        <f t="shared" si="55"/>
        <v>9.9278907956938944E-2</v>
      </c>
      <c r="BO373" s="19" t="s">
        <v>53</v>
      </c>
    </row>
    <row r="374" spans="1:67" x14ac:dyDescent="0.25">
      <c r="A374" s="1">
        <v>45639</v>
      </c>
      <c r="B374" s="1" t="str">
        <f t="shared" si="58"/>
        <v>202412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f>I373*(1+((1+VLOOKUP($B374,'IPCA Hist'!$B:$C,2,0))^12 - 1)+$I$2)^(1/252)</f>
        <v>212717005.49975744</v>
      </c>
      <c r="J374" s="2">
        <f>J373*(1+((1+VLOOKUP($B374,'IPCA Hist'!$B:$C,2,0))^12 - 1)+$J$2)^(1/252)</f>
        <v>135152839.73645747</v>
      </c>
      <c r="K374" s="2">
        <f>K373*(1+((1+VLOOKUP($B374,'IPCA Hist'!$B:$C,2,0))^12 - 1)+$K$2)^(1/252)</f>
        <v>20480332.257550534</v>
      </c>
      <c r="L374" s="2">
        <f>L373*(1+((1+VLOOKUP($B374,'IPCA Hist'!$B:$C,2,0))^12 - 1)+$L$2)^(1/252)</f>
        <v>12469387.810910709</v>
      </c>
      <c r="M374" s="2">
        <v>0</v>
      </c>
      <c r="N374" s="2">
        <v>0</v>
      </c>
      <c r="O374" s="2">
        <v>0</v>
      </c>
      <c r="P374" s="2">
        <v>0</v>
      </c>
      <c r="Q374" s="2">
        <f>Q373*(1+((1+VLOOKUP($B374,'IPCA Hist'!$B:$C,2,0))^12 - 1)+$Q$2)^(1/252)</f>
        <v>45814485.062969923</v>
      </c>
      <c r="R374" s="2">
        <f>R373*(1+((1+VLOOKUP($B374,'IPCA Hist'!$B:$C,2,0))^12 - 1)+$R$2)^(1/252)</f>
        <v>45799947.041126236</v>
      </c>
      <c r="S374" s="2">
        <f>S373*(1+((1+VLOOKUP($B374,'IPCA Hist'!$B:$C,2,0))^12 - 1)+$S$2)^(1/252)</f>
        <v>46823810.877810925</v>
      </c>
      <c r="T374" s="2">
        <f>T373*(1+((1+VLOOKUP($B374,'IPCA Hist'!$B:$C,2,0))^12 - 1)+$T$2)^(1/252)</f>
        <v>236489630.47265324</v>
      </c>
      <c r="U374" s="2">
        <f>U373*(1+((1+VLOOKUP($B374,'IPCA Hist'!$B:$C,2,0))^12 - 1)+$U$2)^(1/252)</f>
        <v>20702794.414784215</v>
      </c>
      <c r="V374" s="2">
        <v>0</v>
      </c>
      <c r="W374" s="2">
        <v>0</v>
      </c>
      <c r="X374" s="2">
        <v>0</v>
      </c>
      <c r="Y374" s="2">
        <v>0</v>
      </c>
      <c r="Z374" s="2">
        <f>Z373*(1+((1+VLOOKUP($B374,'IPCA Hist'!$B:$C,2,0))^12 - 1)+$Z$2)^(1/252)</f>
        <v>80512331.736795232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f>AF373*(1+((1+VLOOKUP($B374,'IGPM Hist'!$B:$C,2,0))^12 - 1)+$AF$2)^(1/252)</f>
        <v>1717748.8127054002</v>
      </c>
      <c r="AG374" s="2">
        <v>0</v>
      </c>
      <c r="AH374" s="2">
        <v>0</v>
      </c>
      <c r="AI374" s="2">
        <v>0</v>
      </c>
      <c r="AJ374" s="2">
        <f t="shared" si="73"/>
        <v>55452306.599892646</v>
      </c>
      <c r="AK374" s="2">
        <f t="shared" si="69"/>
        <v>181824909.30685073</v>
      </c>
      <c r="AL374" s="2">
        <f t="shared" si="70"/>
        <v>37290221.667179003</v>
      </c>
      <c r="AM374" s="2">
        <f t="shared" si="71"/>
        <v>130553555.48073548</v>
      </c>
      <c r="AN374" s="2">
        <f t="shared" si="72"/>
        <v>55929936.958507918</v>
      </c>
      <c r="AO374" s="2">
        <v>0</v>
      </c>
      <c r="AP374" s="2">
        <v>0</v>
      </c>
      <c r="AQ374" s="2">
        <v>0</v>
      </c>
      <c r="AR374" s="2">
        <v>0</v>
      </c>
      <c r="AS374" s="2">
        <f t="shared" si="74"/>
        <v>109050541.82559951</v>
      </c>
      <c r="AT374" s="2">
        <v>0</v>
      </c>
      <c r="AU374" s="2">
        <v>0</v>
      </c>
      <c r="AV374" s="2">
        <f t="shared" si="68"/>
        <v>55371752.681649327</v>
      </c>
      <c r="AW374" s="2">
        <v>0</v>
      </c>
      <c r="AX374" s="2">
        <v>0</v>
      </c>
      <c r="AY374" s="2">
        <v>0</v>
      </c>
      <c r="AZ374" s="2">
        <v>0</v>
      </c>
      <c r="BA374" s="2">
        <f>BA373*(1+VLOOKUP(A374,'SELIC Hist'!$A:$C,3,0))^(1/252)</f>
        <v>2782547.0832165172</v>
      </c>
      <c r="BB374" s="2">
        <f t="shared" si="57"/>
        <v>1486936085.3271525</v>
      </c>
      <c r="BC374" s="2">
        <v>0</v>
      </c>
      <c r="BD374" s="2">
        <v>0</v>
      </c>
      <c r="BE374" s="2">
        <f t="shared" si="67"/>
        <v>681609.33381128311</v>
      </c>
      <c r="BF374" s="2">
        <f t="shared" si="59"/>
        <v>6679731.540252924</v>
      </c>
      <c r="BG374" s="2">
        <f t="shared" si="60"/>
        <v>77118762.509832978</v>
      </c>
      <c r="BH374" s="11">
        <f t="shared" si="61"/>
        <v>1.1457330902787251</v>
      </c>
      <c r="BI374" s="12">
        <f t="shared" si="62"/>
        <v>4.5860876775871695E-4</v>
      </c>
      <c r="BJ374" s="12">
        <f t="shared" si="63"/>
        <v>4.586716835611071E-3</v>
      </c>
      <c r="BK374" s="12">
        <f t="shared" si="64"/>
        <v>9.4268789027238675E-2</v>
      </c>
      <c r="BL374" s="5">
        <f t="shared" si="65"/>
        <v>0.14573309027872505</v>
      </c>
      <c r="BM374" s="19">
        <f t="shared" si="56"/>
        <v>4.5686863225757879E-2</v>
      </c>
      <c r="BN374" s="19">
        <f t="shared" si="55"/>
        <v>9.9244007686751345E-2</v>
      </c>
      <c r="BO374" s="19" t="s">
        <v>53</v>
      </c>
    </row>
    <row r="375" spans="1:67" x14ac:dyDescent="0.25">
      <c r="A375" s="1">
        <v>45642</v>
      </c>
      <c r="B375" s="1" t="str">
        <f t="shared" si="58"/>
        <v>202412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f>I374*(1+((1+VLOOKUP($B375,'IPCA Hist'!$B:$C,2,0))^12 - 1)+$I$2)^(1/252)</f>
        <v>212813447.62017861</v>
      </c>
      <c r="J375" s="2">
        <f>J374*(1+((1+VLOOKUP($B375,'IPCA Hist'!$B:$C,2,0))^12 - 1)+$J$2)^(1/252)</f>
        <v>135211765.15754446</v>
      </c>
      <c r="K375" s="2">
        <f>K374*(1+((1+VLOOKUP($B375,'IPCA Hist'!$B:$C,2,0))^12 - 1)+$K$2)^(1/252)</f>
        <v>20490325.407098308</v>
      </c>
      <c r="L375" s="2">
        <f>L374*(1+((1+VLOOKUP($B375,'IPCA Hist'!$B:$C,2,0))^12 - 1)+$L$2)^(1/252)</f>
        <v>12475520.680757375</v>
      </c>
      <c r="M375" s="2">
        <v>0</v>
      </c>
      <c r="N375" s="2">
        <v>0</v>
      </c>
      <c r="O375" s="2">
        <v>0</v>
      </c>
      <c r="P375" s="2">
        <v>0</v>
      </c>
      <c r="Q375" s="2">
        <f>Q374*(1+((1+VLOOKUP($B375,'IPCA Hist'!$B:$C,2,0))^12 - 1)+$Q$2)^(1/252)</f>
        <v>45834427.170607656</v>
      </c>
      <c r="R375" s="2">
        <f>R374*(1+((1+VLOOKUP($B375,'IPCA Hist'!$B:$C,2,0))^12 - 1)+$R$2)^(1/252)</f>
        <v>45819899.113863423</v>
      </c>
      <c r="S375" s="2">
        <f>S374*(1+((1+VLOOKUP($B375,'IPCA Hist'!$B:$C,2,0))^12 - 1)+$S$2)^(1/252)</f>
        <v>46844008.994290993</v>
      </c>
      <c r="T375" s="2">
        <f>T374*(1+((1+VLOOKUP($B375,'IPCA Hist'!$B:$C,2,0))^12 - 1)+$T$2)^(1/252)</f>
        <v>236591559.41602033</v>
      </c>
      <c r="U375" s="2">
        <f>U374*(1+((1+VLOOKUP($B375,'IPCA Hist'!$B:$C,2,0))^12 - 1)+$U$2)^(1/252)</f>
        <v>20712706.911303986</v>
      </c>
      <c r="V375" s="2">
        <v>79990569.642960012</v>
      </c>
      <c r="W375" s="2">
        <v>0</v>
      </c>
      <c r="X375" s="2">
        <v>0</v>
      </c>
      <c r="Y375" s="2">
        <v>0</v>
      </c>
      <c r="Z375" s="2">
        <f>Z374*(1+((1+VLOOKUP($B375,'IPCA Hist'!$B:$C,2,0))^12 - 1)+$Z$2)^(1/252)</f>
        <v>80553142.463952586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f>AF374*(1+((1+VLOOKUP($B375,'IGPM Hist'!$B:$C,2,0))^12 - 1)+$AF$2)^(1/252)</f>
        <v>1718881.5514072445</v>
      </c>
      <c r="AG375" s="2">
        <v>0</v>
      </c>
      <c r="AH375" s="2">
        <v>0</v>
      </c>
      <c r="AI375" s="2">
        <v>0</v>
      </c>
      <c r="AJ375" s="2">
        <f t="shared" si="73"/>
        <v>55477836.989525884</v>
      </c>
      <c r="AK375" s="2">
        <f t="shared" si="69"/>
        <v>181912756.23442891</v>
      </c>
      <c r="AL375" s="2">
        <f t="shared" si="70"/>
        <v>37308244.627187468</v>
      </c>
      <c r="AM375" s="2">
        <f t="shared" si="71"/>
        <v>130616619.68182623</v>
      </c>
      <c r="AN375" s="2">
        <f t="shared" si="72"/>
        <v>55956973.705575854</v>
      </c>
      <c r="AO375" s="2">
        <v>0</v>
      </c>
      <c r="AP375" s="2">
        <v>0</v>
      </c>
      <c r="AQ375" s="2">
        <v>0</v>
      </c>
      <c r="AR375" s="2">
        <v>0</v>
      </c>
      <c r="AS375" s="2">
        <f t="shared" si="74"/>
        <v>109099126.76167652</v>
      </c>
      <c r="AT375" s="2">
        <v>0</v>
      </c>
      <c r="AU375" s="2">
        <v>0</v>
      </c>
      <c r="AV375" s="2">
        <f t="shared" si="68"/>
        <v>55396952.156799987</v>
      </c>
      <c r="AW375" s="2">
        <v>0</v>
      </c>
      <c r="AX375" s="2">
        <v>0</v>
      </c>
      <c r="AY375" s="2">
        <v>0</v>
      </c>
      <c r="AZ375" s="2">
        <v>0</v>
      </c>
      <c r="BA375" s="2">
        <f>BA374*(1+VLOOKUP(A375,'SELIC Hist'!$A:$C,3,0))^(1/252)+BC375-V375</f>
        <v>2793243.8654078841</v>
      </c>
      <c r="BB375" s="2">
        <f t="shared" si="57"/>
        <v>1567618008.1524138</v>
      </c>
      <c r="BC375" s="2">
        <v>80000000</v>
      </c>
      <c r="BD375" s="2">
        <v>0</v>
      </c>
      <c r="BE375" s="2">
        <f t="shared" si="67"/>
        <v>681922.82526135445</v>
      </c>
      <c r="BF375" s="2">
        <f t="shared" si="59"/>
        <v>7361654.3655142784</v>
      </c>
      <c r="BG375" s="2">
        <f t="shared" si="60"/>
        <v>77800685.335094333</v>
      </c>
      <c r="BH375" s="11">
        <f t="shared" si="61"/>
        <v>1.1462585342124814</v>
      </c>
      <c r="BI375" s="12">
        <f t="shared" si="62"/>
        <v>4.5860937264929902E-4</v>
      </c>
      <c r="BJ375" s="12">
        <f t="shared" si="63"/>
        <v>5.0474297195908235E-3</v>
      </c>
      <c r="BK375" s="12">
        <f t="shared" si="64"/>
        <v>9.47706309500842E-2</v>
      </c>
      <c r="BL375" s="5">
        <f t="shared" si="65"/>
        <v>0.14625853421248136</v>
      </c>
      <c r="BM375" s="19">
        <f t="shared" si="56"/>
        <v>4.5909097075054195E-2</v>
      </c>
      <c r="BN375" s="19">
        <f t="shared" si="55"/>
        <v>9.9331086013011882E-2</v>
      </c>
      <c r="BO375" s="19" t="s">
        <v>53</v>
      </c>
    </row>
    <row r="376" spans="1:67" x14ac:dyDescent="0.25">
      <c r="A376" s="1">
        <v>45643</v>
      </c>
      <c r="B376" s="1" t="str">
        <f t="shared" si="58"/>
        <v>202412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f>I375*(1+((1+VLOOKUP($B376,'IPCA Hist'!$B:$C,2,0))^12 - 1)+$I$2)^(1/252)</f>
        <v>212909933.46574798</v>
      </c>
      <c r="J376" s="2">
        <f>J375*(1+((1+VLOOKUP($B376,'IPCA Hist'!$B:$C,2,0))^12 - 1)+$J$2)^(1/252)</f>
        <v>135270716.26958445</v>
      </c>
      <c r="K376" s="2">
        <f>K375*(1+((1+VLOOKUP($B376,'IPCA Hist'!$B:$C,2,0))^12 - 1)+$K$2)^(1/252)</f>
        <v>20500323.432691876</v>
      </c>
      <c r="L376" s="2">
        <f>L375*(1+((1+VLOOKUP($B376,'IPCA Hist'!$B:$C,2,0))^12 - 1)+$L$2)^(1/252)</f>
        <v>12481656.566958424</v>
      </c>
      <c r="M376" s="2">
        <v>0</v>
      </c>
      <c r="N376" s="2">
        <v>0</v>
      </c>
      <c r="O376" s="2">
        <v>0</v>
      </c>
      <c r="P376" s="2">
        <v>0</v>
      </c>
      <c r="Q376" s="2">
        <f>Q375*(1+((1+VLOOKUP($B376,'IPCA Hist'!$B:$C,2,0))^12 - 1)+$Q$2)^(1/252)</f>
        <v>45854377.958636679</v>
      </c>
      <c r="R376" s="2">
        <f>R375*(1+((1+VLOOKUP($B376,'IPCA Hist'!$B:$C,2,0))^12 - 1)+$R$2)^(1/252)</f>
        <v>45839859.878427394</v>
      </c>
      <c r="S376" s="2">
        <f>S375*(1+((1+VLOOKUP($B376,'IPCA Hist'!$B:$C,2,0))^12 - 1)+$S$2)^(1/252)</f>
        <v>46864215.823515743</v>
      </c>
      <c r="T376" s="2">
        <f>T375*(1+((1+VLOOKUP($B376,'IPCA Hist'!$B:$C,2,0))^12 - 1)+$T$2)^(1/252)</f>
        <v>236693532.29158637</v>
      </c>
      <c r="U376" s="2">
        <f>U375*(1+((1+VLOOKUP($B376,'IPCA Hist'!$B:$C,2,0))^12 - 1)+$U$2)^(1/252)</f>
        <v>20722624.153926399</v>
      </c>
      <c r="V376" s="2">
        <f>V375*(1+((1+VLOOKUP($B376,'IPCA Hist'!$B:$C,2,0))^12 - 1)+$V$2)^(1/252)</f>
        <v>80032980.355783984</v>
      </c>
      <c r="W376" s="2">
        <v>0</v>
      </c>
      <c r="X376" s="2">
        <v>0</v>
      </c>
      <c r="Y376" s="2">
        <v>0</v>
      </c>
      <c r="Z376" s="2">
        <f>Z375*(1+((1+VLOOKUP($B376,'IPCA Hist'!$B:$C,2,0))^12 - 1)+$Z$2)^(1/252)</f>
        <v>80593973.877573937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f>AF375*(1+((1+VLOOKUP($B376,'IGPM Hist'!$B:$C,2,0))^12 - 1)+$AF$2)^(1/252)</f>
        <v>1720015.0370733466</v>
      </c>
      <c r="AG376" s="2">
        <v>0</v>
      </c>
      <c r="AH376" s="2">
        <v>0</v>
      </c>
      <c r="AI376" s="2">
        <v>0</v>
      </c>
      <c r="AJ376" s="2">
        <f t="shared" si="73"/>
        <v>55503379.1334185</v>
      </c>
      <c r="AK376" s="2">
        <f t="shared" si="69"/>
        <v>182000645.60439146</v>
      </c>
      <c r="AL376" s="2">
        <f t="shared" si="70"/>
        <v>37326276.297980502</v>
      </c>
      <c r="AM376" s="2">
        <f t="shared" si="71"/>
        <v>130679714.34622718</v>
      </c>
      <c r="AN376" s="2">
        <f t="shared" si="72"/>
        <v>55984023.522311516</v>
      </c>
      <c r="AO376" s="2">
        <v>0</v>
      </c>
      <c r="AP376" s="2">
        <v>0</v>
      </c>
      <c r="AQ376" s="2">
        <v>0</v>
      </c>
      <c r="AR376" s="2">
        <v>0</v>
      </c>
      <c r="AS376" s="2">
        <f t="shared" si="74"/>
        <v>109147733.34364335</v>
      </c>
      <c r="AT376" s="2">
        <v>0</v>
      </c>
      <c r="AU376" s="2">
        <v>0</v>
      </c>
      <c r="AV376" s="2">
        <f t="shared" si="68"/>
        <v>55422163.100136444</v>
      </c>
      <c r="AW376" s="2">
        <v>0</v>
      </c>
      <c r="AX376" s="2">
        <v>0</v>
      </c>
      <c r="AY376" s="2">
        <v>0</v>
      </c>
      <c r="AZ376" s="2">
        <v>0</v>
      </c>
      <c r="BA376" s="2">
        <f>BA375*(1+VLOOKUP(A376,'SELIC Hist'!$A:$C,3,0))^(1/252)</f>
        <v>2794515.1590030361</v>
      </c>
      <c r="BB376" s="2">
        <f t="shared" si="57"/>
        <v>1568342659.6186187</v>
      </c>
      <c r="BC376" s="2">
        <v>0</v>
      </c>
      <c r="BD376" s="2">
        <v>0</v>
      </c>
      <c r="BE376" s="2">
        <f t="shared" si="67"/>
        <v>724651.46620488167</v>
      </c>
      <c r="BF376" s="2">
        <f t="shared" si="59"/>
        <v>8086305.8317191601</v>
      </c>
      <c r="BG376" s="2">
        <f t="shared" si="60"/>
        <v>78525336.801299214</v>
      </c>
      <c r="BH376" s="11">
        <f t="shared" si="61"/>
        <v>1.1467884068747927</v>
      </c>
      <c r="BI376" s="12">
        <f t="shared" si="62"/>
        <v>4.6226278496175333E-4</v>
      </c>
      <c r="BJ376" s="12">
        <f t="shared" si="63"/>
        <v>5.5120257434717601E-3</v>
      </c>
      <c r="BK376" s="12">
        <f t="shared" si="64"/>
        <v>9.5276702670841429E-2</v>
      </c>
      <c r="BL376" s="5">
        <f t="shared" si="65"/>
        <v>0.14678840687479267</v>
      </c>
      <c r="BM376" s="19">
        <f t="shared" si="56"/>
        <v>4.6155821352664494E-2</v>
      </c>
      <c r="BN376" s="19">
        <f t="shared" si="55"/>
        <v>9.9679943012706662E-2</v>
      </c>
      <c r="BO376" s="19" t="s">
        <v>53</v>
      </c>
    </row>
    <row r="377" spans="1:67" x14ac:dyDescent="0.25">
      <c r="A377" s="1">
        <v>45644</v>
      </c>
      <c r="B377" s="1" t="str">
        <f t="shared" si="58"/>
        <v>202412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f>I376*(1+((1+VLOOKUP($B377,'IPCA Hist'!$B:$C,2,0))^12 - 1)+$I$2)^(1/252)</f>
        <v>213006463.05628976</v>
      </c>
      <c r="J377" s="2">
        <f>J376*(1+((1+VLOOKUP($B377,'IPCA Hist'!$B:$C,2,0))^12 - 1)+$J$2)^(1/252)</f>
        <v>135329693.08377844</v>
      </c>
      <c r="K377" s="2">
        <f>K376*(1+((1+VLOOKUP($B377,'IPCA Hist'!$B:$C,2,0))^12 - 1)+$K$2)^(1/252)</f>
        <v>20510326.336710446</v>
      </c>
      <c r="L377" s="2">
        <f>L376*(1+((1+VLOOKUP($B377,'IPCA Hist'!$B:$C,2,0))^12 - 1)+$L$2)^(1/252)</f>
        <v>12487795.470997399</v>
      </c>
      <c r="M377" s="2">
        <v>0</v>
      </c>
      <c r="N377" s="2">
        <v>0</v>
      </c>
      <c r="O377" s="2">
        <v>0</v>
      </c>
      <c r="P377" s="2">
        <v>0</v>
      </c>
      <c r="Q377" s="2">
        <f>Q376*(1+((1+VLOOKUP($B377,'IPCA Hist'!$B:$C,2,0))^12 - 1)+$Q$2)^(1/252)</f>
        <v>45874337.430835381</v>
      </c>
      <c r="R377" s="2">
        <f>R376*(1+((1+VLOOKUP($B377,'IPCA Hist'!$B:$C,2,0))^12 - 1)+$R$2)^(1/252)</f>
        <v>45859829.338604614</v>
      </c>
      <c r="S377" s="2">
        <f>S376*(1+((1+VLOOKUP($B377,'IPCA Hist'!$B:$C,2,0))^12 - 1)+$S$2)^(1/252)</f>
        <v>46884431.369243547</v>
      </c>
      <c r="T377" s="2">
        <f>T376*(1+((1+VLOOKUP($B377,'IPCA Hist'!$B:$C,2,0))^12 - 1)+$T$2)^(1/252)</f>
        <v>236795549.11828649</v>
      </c>
      <c r="U377" s="2">
        <f>U376*(1+((1+VLOOKUP($B377,'IPCA Hist'!$B:$C,2,0))^12 - 1)+$U$2)^(1/252)</f>
        <v>20732546.144923884</v>
      </c>
      <c r="V377" s="2">
        <f>V376*(1+((1+VLOOKUP($B377,'IPCA Hist'!$B:$C,2,0))^12 - 1)+$V$2)^(1/252)</f>
        <v>80075413.554615617</v>
      </c>
      <c r="W377" s="2">
        <v>0</v>
      </c>
      <c r="X377" s="2">
        <v>0</v>
      </c>
      <c r="Y377" s="2">
        <v>0</v>
      </c>
      <c r="Z377" s="2">
        <f>Z376*(1+((1+VLOOKUP($B377,'IPCA Hist'!$B:$C,2,0))^12 - 1)+$Z$2)^(1/252)</f>
        <v>80634825.988144994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f>AF376*(1+((1+VLOOKUP($B377,'IGPM Hist'!$B:$C,2,0))^12 - 1)+$AF$2)^(1/252)</f>
        <v>1721149.2701962783</v>
      </c>
      <c r="AG377" s="2">
        <v>0</v>
      </c>
      <c r="AH377" s="2">
        <v>0</v>
      </c>
      <c r="AI377" s="2">
        <v>0</v>
      </c>
      <c r="AJ377" s="2">
        <f t="shared" si="73"/>
        <v>55528933.036982186</v>
      </c>
      <c r="AK377" s="2">
        <f t="shared" si="69"/>
        <v>182088577.43724397</v>
      </c>
      <c r="AL377" s="2">
        <f t="shared" si="70"/>
        <v>37344316.683768168</v>
      </c>
      <c r="AM377" s="2">
        <f t="shared" si="71"/>
        <v>130742839.48865372</v>
      </c>
      <c r="AN377" s="2">
        <f t="shared" si="72"/>
        <v>56011086.415032834</v>
      </c>
      <c r="AO377" s="2">
        <v>0</v>
      </c>
      <c r="AP377" s="2">
        <v>0</v>
      </c>
      <c r="AQ377" s="2">
        <v>0</v>
      </c>
      <c r="AR377" s="2">
        <v>0</v>
      </c>
      <c r="AS377" s="2">
        <f t="shared" si="74"/>
        <v>109196361.58114384</v>
      </c>
      <c r="AT377" s="2">
        <v>0</v>
      </c>
      <c r="AU377" s="2">
        <v>0</v>
      </c>
      <c r="AV377" s="2">
        <f t="shared" si="68"/>
        <v>55447385.51687783</v>
      </c>
      <c r="AW377" s="2">
        <v>0</v>
      </c>
      <c r="AX377" s="2">
        <v>0</v>
      </c>
      <c r="AY377" s="2">
        <v>0</v>
      </c>
      <c r="AZ377" s="2">
        <v>0</v>
      </c>
      <c r="BA377" s="2">
        <f>BA376*(1+VLOOKUP(A377,'SELIC Hist'!$A:$C,3,0))^(1/252)</f>
        <v>2795787.031204097</v>
      </c>
      <c r="BB377" s="2">
        <f t="shared" si="57"/>
        <v>1569067647.3535335</v>
      </c>
      <c r="BC377" s="2">
        <v>0</v>
      </c>
      <c r="BD377" s="2">
        <v>0</v>
      </c>
      <c r="BE377" s="2">
        <f t="shared" si="67"/>
        <v>724987.73491477966</v>
      </c>
      <c r="BF377" s="2">
        <f t="shared" si="59"/>
        <v>8811293.5666339397</v>
      </c>
      <c r="BG377" s="2">
        <f t="shared" si="60"/>
        <v>79250324.536213994</v>
      </c>
      <c r="BH377" s="11">
        <f t="shared" si="61"/>
        <v>1.1473185254202698</v>
      </c>
      <c r="BI377" s="12">
        <f t="shared" si="62"/>
        <v>4.6226360704304525E-4</v>
      </c>
      <c r="BJ377" s="12">
        <f t="shared" si="63"/>
        <v>5.9768373594171198E-3</v>
      </c>
      <c r="BK377" s="12">
        <f t="shared" si="64"/>
        <v>9.5783009230128169E-2</v>
      </c>
      <c r="BL377" s="5">
        <f t="shared" si="65"/>
        <v>0.1473185254202698</v>
      </c>
      <c r="BM377" s="19">
        <f t="shared" si="56"/>
        <v>4.6013703499889536E-2</v>
      </c>
      <c r="BN377" s="19">
        <f t="shared" si="55"/>
        <v>9.9953641629749956E-2</v>
      </c>
      <c r="BO377" s="19" t="s">
        <v>53</v>
      </c>
    </row>
    <row r="378" spans="1:67" x14ac:dyDescent="0.25">
      <c r="A378" s="1">
        <v>45645</v>
      </c>
      <c r="B378" s="1" t="str">
        <f t="shared" si="58"/>
        <v>202412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f>I377*(1+((1+VLOOKUP($B378,'IPCA Hist'!$B:$C,2,0))^12 - 1)+$I$2)^(1/252)</f>
        <v>213103036.41163716</v>
      </c>
      <c r="J378" s="2">
        <f>J377*(1+((1+VLOOKUP($B378,'IPCA Hist'!$B:$C,2,0))^12 - 1)+$J$2)^(1/252)</f>
        <v>135388695.61133233</v>
      </c>
      <c r="K378" s="2">
        <f>K377*(1+((1+VLOOKUP($B378,'IPCA Hist'!$B:$C,2,0))^12 - 1)+$K$2)^(1/252)</f>
        <v>20520334.121534389</v>
      </c>
      <c r="L378" s="2">
        <f>L377*(1+((1+VLOOKUP($B378,'IPCA Hist'!$B:$C,2,0))^12 - 1)+$L$2)^(1/252)</f>
        <v>12493937.394358575</v>
      </c>
      <c r="M378" s="2">
        <v>0</v>
      </c>
      <c r="N378" s="2">
        <v>0</v>
      </c>
      <c r="O378" s="2">
        <v>0</v>
      </c>
      <c r="P378" s="2">
        <v>0</v>
      </c>
      <c r="Q378" s="2">
        <f>Q377*(1+((1+VLOOKUP($B378,'IPCA Hist'!$B:$C,2,0))^12 - 1)+$Q$2)^(1/252)</f>
        <v>45894305.590983815</v>
      </c>
      <c r="R378" s="2">
        <f>R377*(1+((1+VLOOKUP($B378,'IPCA Hist'!$B:$C,2,0))^12 - 1)+$R$2)^(1/252)</f>
        <v>45879807.498183206</v>
      </c>
      <c r="S378" s="2">
        <f>S377*(1+((1+VLOOKUP($B378,'IPCA Hist'!$B:$C,2,0))^12 - 1)+$S$2)^(1/252)</f>
        <v>46904655.635234393</v>
      </c>
      <c r="T378" s="2">
        <f>T377*(1+((1+VLOOKUP($B378,'IPCA Hist'!$B:$C,2,0))^12 - 1)+$T$2)^(1/252)</f>
        <v>236897609.91506401</v>
      </c>
      <c r="U378" s="2">
        <f>U377*(1+((1+VLOOKUP($B378,'IPCA Hist'!$B:$C,2,0))^12 - 1)+$U$2)^(1/252)</f>
        <v>20742472.886569969</v>
      </c>
      <c r="V378" s="2">
        <f>V377*(1+((1+VLOOKUP($B378,'IPCA Hist'!$B:$C,2,0))^12 - 1)+$V$2)^(1/252)</f>
        <v>80117869.251376912</v>
      </c>
      <c r="W378" s="2">
        <v>0</v>
      </c>
      <c r="X378" s="2">
        <v>0</v>
      </c>
      <c r="Y378" s="2">
        <v>0</v>
      </c>
      <c r="Z378" s="2">
        <f>Z377*(1+((1+VLOOKUP($B378,'IPCA Hist'!$B:$C,2,0))^12 - 1)+$Z$2)^(1/252)</f>
        <v>80675698.806156784</v>
      </c>
      <c r="AA378" s="2">
        <v>40465286.780000001</v>
      </c>
      <c r="AB378" s="2">
        <v>40479654.43</v>
      </c>
      <c r="AC378" s="2">
        <v>0</v>
      </c>
      <c r="AD378" s="2">
        <v>0</v>
      </c>
      <c r="AE378" s="2">
        <v>0</v>
      </c>
      <c r="AF378" s="2">
        <f>AF377*(1+((1+VLOOKUP($B378,'IGPM Hist'!$B:$C,2,0))^12 - 1)+$AF$2)^(1/252)</f>
        <v>1722284.251268937</v>
      </c>
      <c r="AG378" s="2">
        <v>0</v>
      </c>
      <c r="AH378" s="2">
        <v>0</v>
      </c>
      <c r="AI378" s="2">
        <v>0</v>
      </c>
      <c r="AJ378" s="2">
        <f t="shared" si="73"/>
        <v>55554498.705631122</v>
      </c>
      <c r="AK378" s="2">
        <f t="shared" si="69"/>
        <v>182176551.75350198</v>
      </c>
      <c r="AL378" s="2">
        <f t="shared" si="70"/>
        <v>37362365.788762562</v>
      </c>
      <c r="AM378" s="2">
        <f t="shared" si="71"/>
        <v>130805995.12382832</v>
      </c>
      <c r="AN378" s="2">
        <f t="shared" si="72"/>
        <v>56038162.39006079</v>
      </c>
      <c r="AO378" s="2">
        <v>0</v>
      </c>
      <c r="AP378" s="2">
        <v>0</v>
      </c>
      <c r="AQ378" s="2">
        <v>0</v>
      </c>
      <c r="AR378" s="2">
        <v>0</v>
      </c>
      <c r="AS378" s="2">
        <f t="shared" si="74"/>
        <v>109245011.4838261</v>
      </c>
      <c r="AT378" s="2">
        <v>0</v>
      </c>
      <c r="AU378" s="2">
        <v>0</v>
      </c>
      <c r="AV378" s="2">
        <f t="shared" si="68"/>
        <v>55472619.412245646</v>
      </c>
      <c r="AW378" s="2">
        <v>0</v>
      </c>
      <c r="AX378" s="2">
        <v>0</v>
      </c>
      <c r="AY378" s="2">
        <v>0</v>
      </c>
      <c r="AZ378" s="2">
        <f xml:space="preserve"> - SUM(AA378:AB378)</f>
        <v>-80944941.210000008</v>
      </c>
      <c r="BA378" s="2">
        <f>BA377*(1+VLOOKUP(A378,'SELIC Hist'!$A:$C,3,0))^(1/252)</f>
        <v>2797059.4822744085</v>
      </c>
      <c r="BB378" s="2">
        <f t="shared" si="57"/>
        <v>1569792971.5138314</v>
      </c>
      <c r="BC378" s="2">
        <v>0</v>
      </c>
      <c r="BD378" s="2">
        <v>0</v>
      </c>
      <c r="BE378" s="2">
        <f t="shared" si="67"/>
        <v>725324.16029787064</v>
      </c>
      <c r="BF378" s="2">
        <f t="shared" si="59"/>
        <v>9536617.7269318104</v>
      </c>
      <c r="BG378" s="2">
        <f t="shared" si="60"/>
        <v>79975648.696511865</v>
      </c>
      <c r="BH378" s="11">
        <f t="shared" si="61"/>
        <v>1.1478488899634738</v>
      </c>
      <c r="BI378" s="12">
        <f t="shared" si="62"/>
        <v>4.6226442914765187E-4</v>
      </c>
      <c r="BJ378" s="12">
        <f t="shared" si="63"/>
        <v>6.4418646678747749E-3</v>
      </c>
      <c r="BK378" s="12">
        <f t="shared" si="64"/>
        <v>9.6289550737359564E-2</v>
      </c>
      <c r="BL378" s="5">
        <f t="shared" si="65"/>
        <v>0.14784888996347378</v>
      </c>
      <c r="BM378" s="19">
        <f t="shared" si="56"/>
        <v>4.6694367478985033E-2</v>
      </c>
      <c r="BN378" s="19">
        <f t="shared" si="55"/>
        <v>9.9855369746391975E-2</v>
      </c>
      <c r="BO378" s="19" t="s">
        <v>53</v>
      </c>
    </row>
    <row r="379" spans="1:67" x14ac:dyDescent="0.25">
      <c r="A379" s="1">
        <v>45646</v>
      </c>
      <c r="B379" s="1" t="str">
        <f t="shared" si="58"/>
        <v>202412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f>I378*(1+((1+VLOOKUP($B379,'IPCA Hist'!$B:$C,2,0))^12 - 1)+$I$2)^(1/252)</f>
        <v>213199653.55163234</v>
      </c>
      <c r="J379" s="2">
        <f>J378*(1+((1+VLOOKUP($B379,'IPCA Hist'!$B:$C,2,0))^12 - 1)+$J$2)^(1/252)</f>
        <v>135447723.86345693</v>
      </c>
      <c r="K379" s="2">
        <f>K378*(1+((1+VLOOKUP($B379,'IPCA Hist'!$B:$C,2,0))^12 - 1)+$K$2)^(1/252)</f>
        <v>20530346.789545242</v>
      </c>
      <c r="L379" s="2">
        <f>L378*(1+((1+VLOOKUP($B379,'IPCA Hist'!$B:$C,2,0))^12 - 1)+$L$2)^(1/252)</f>
        <v>12500082.33852696</v>
      </c>
      <c r="M379" s="2">
        <v>0</v>
      </c>
      <c r="N379" s="2">
        <v>0</v>
      </c>
      <c r="O379" s="2">
        <v>0</v>
      </c>
      <c r="P379" s="2">
        <v>0</v>
      </c>
      <c r="Q379" s="2">
        <f>Q378*(1+((1+VLOOKUP($B379,'IPCA Hist'!$B:$C,2,0))^12 - 1)+$Q$2)^(1/252)</f>
        <v>45914282.442863658</v>
      </c>
      <c r="R379" s="2">
        <f>R378*(1+((1+VLOOKUP($B379,'IPCA Hist'!$B:$C,2,0))^12 - 1)+$R$2)^(1/252)</f>
        <v>45899794.360952936</v>
      </c>
      <c r="S379" s="2">
        <f>S378*(1+((1+VLOOKUP($B379,'IPCA Hist'!$B:$C,2,0))^12 - 1)+$S$2)^(1/252)</f>
        <v>46924888.625249885</v>
      </c>
      <c r="T379" s="2">
        <f>T378*(1+((1+VLOOKUP($B379,'IPCA Hist'!$B:$C,2,0))^12 - 1)+$T$2)^(1/252)</f>
        <v>236999714.70087036</v>
      </c>
      <c r="U379" s="2">
        <f>U378*(1+((1+VLOOKUP($B379,'IPCA Hist'!$B:$C,2,0))^12 - 1)+$U$2)^(1/252)</f>
        <v>20752404.38113926</v>
      </c>
      <c r="V379" s="2">
        <f>V378*(1+((1+VLOOKUP($B379,'IPCA Hist'!$B:$C,2,0))^12 - 1)+$V$2)^(1/252)</f>
        <v>80160347.457996204</v>
      </c>
      <c r="W379" s="2">
        <v>0</v>
      </c>
      <c r="X379" s="2">
        <v>0</v>
      </c>
      <c r="Y379" s="2">
        <v>0</v>
      </c>
      <c r="Z379" s="2">
        <f>Z378*(1+((1+VLOOKUP($B379,'IPCA Hist'!$B:$C,2,0))^12 - 1)+$Z$2)^(1/252)</f>
        <v>80716592.342105672</v>
      </c>
      <c r="AA379" s="2">
        <f>AA378*(1+((1+VLOOKUP($B379,'IPCA Hist'!$B:$C,2,0))^12 - 1)+$AA$2)^(1/252)</f>
        <v>40487514.033043988</v>
      </c>
      <c r="AB379" s="2">
        <f>AB378*(1+((1+VLOOKUP($B379,'IPCA Hist'!$B:$C,2,0))^12 - 1)+$AB$2)^(1/252)</f>
        <v>40501875.579385623</v>
      </c>
      <c r="AC379" s="2">
        <v>0</v>
      </c>
      <c r="AD379" s="2">
        <v>0</v>
      </c>
      <c r="AE379" s="2">
        <v>0</v>
      </c>
      <c r="AF379" s="2">
        <f>AF378*(1+((1+VLOOKUP($B379,'IGPM Hist'!$B:$C,2,0))^12 - 1)+$AF$2)^(1/252)</f>
        <v>1723419.9807845445</v>
      </c>
      <c r="AG379" s="2">
        <v>0</v>
      </c>
      <c r="AH379" s="2">
        <v>0</v>
      </c>
      <c r="AI379" s="2">
        <v>0</v>
      </c>
      <c r="AJ379" s="2">
        <f t="shared" si="73"/>
        <v>55580076.144781992</v>
      </c>
      <c r="AK379" s="2">
        <f t="shared" si="69"/>
        <v>182264568.57369095</v>
      </c>
      <c r="AL379" s="2">
        <f t="shared" si="70"/>
        <v>37380423.617177814</v>
      </c>
      <c r="AM379" s="2">
        <f t="shared" si="71"/>
        <v>130869181.26648058</v>
      </c>
      <c r="AN379" s="2">
        <f t="shared" si="72"/>
        <v>56065251.453719415</v>
      </c>
      <c r="AO379" s="2">
        <v>0</v>
      </c>
      <c r="AP379" s="2">
        <v>0</v>
      </c>
      <c r="AQ379" s="2">
        <v>0</v>
      </c>
      <c r="AR379" s="2">
        <v>0</v>
      </c>
      <c r="AS379" s="2">
        <f t="shared" si="74"/>
        <v>109293683.06134254</v>
      </c>
      <c r="AT379" s="2">
        <v>0</v>
      </c>
      <c r="AU379" s="2">
        <v>0</v>
      </c>
      <c r="AV379" s="2">
        <f t="shared" si="68"/>
        <v>55497864.791463777</v>
      </c>
      <c r="AW379" s="2">
        <v>0</v>
      </c>
      <c r="AX379" s="2">
        <v>0</v>
      </c>
      <c r="AY379" s="2">
        <v>0</v>
      </c>
      <c r="AZ379" s="2">
        <v>0</v>
      </c>
      <c r="BA379" s="2">
        <f>BA378*(1+VLOOKUP(A379,'SELIC Hist'!$A:$C,3,0))^(1/252)+BC379- SUM(AA378:AB378)</f>
        <v>2853391.3024774194</v>
      </c>
      <c r="BB379" s="2">
        <f t="shared" si="57"/>
        <v>1651563080.6586878</v>
      </c>
      <c r="BC379" s="2">
        <v>81000000</v>
      </c>
      <c r="BD379" s="2">
        <v>0</v>
      </c>
      <c r="BE379" s="2">
        <f t="shared" si="67"/>
        <v>770109.14485645294</v>
      </c>
      <c r="BF379" s="2">
        <f t="shared" si="59"/>
        <v>10306726.871788263</v>
      </c>
      <c r="BG379" s="2">
        <f t="shared" si="60"/>
        <v>80745757.841368318</v>
      </c>
      <c r="BH379" s="11">
        <f t="shared" si="61"/>
        <v>1.1484120017515345</v>
      </c>
      <c r="BI379" s="12">
        <f t="shared" si="62"/>
        <v>4.9058006936664178E-4</v>
      </c>
      <c r="BJ379" s="12">
        <f t="shared" si="63"/>
        <v>6.9356049876569958E-3</v>
      </c>
      <c r="BK379" s="12">
        <f t="shared" si="64"/>
        <v>9.6827368541206216E-2</v>
      </c>
      <c r="BL379" s="5">
        <f t="shared" si="65"/>
        <v>0.14841200175153446</v>
      </c>
      <c r="BM379" s="19">
        <f t="shared" si="56"/>
        <v>4.6714381236603986E-2</v>
      </c>
      <c r="BN379" s="19">
        <f t="shared" si="55"/>
        <v>9.9897927522574426E-2</v>
      </c>
      <c r="BO379" s="19" t="s">
        <v>53</v>
      </c>
    </row>
    <row r="380" spans="1:67" x14ac:dyDescent="0.25">
      <c r="A380" s="1">
        <v>45649</v>
      </c>
      <c r="B380" s="1" t="str">
        <f t="shared" si="58"/>
        <v>202412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f>I379*(1+((1+VLOOKUP($B380,'IPCA Hist'!$B:$C,2,0))^12 - 1)+$I$2)^(1/252)</f>
        <v>213296314.4961265</v>
      </c>
      <c r="J380" s="2">
        <f>J379*(1+((1+VLOOKUP($B380,'IPCA Hist'!$B:$C,2,0))^12 - 1)+$J$2)^(1/252)</f>
        <v>135506777.85136792</v>
      </c>
      <c r="K380" s="2">
        <f>K379*(1+((1+VLOOKUP($B380,'IPCA Hist'!$B:$C,2,0))^12 - 1)+$K$2)^(1/252)</f>
        <v>20540364.343125701</v>
      </c>
      <c r="L380" s="2">
        <f>L379*(1+((1+VLOOKUP($B380,'IPCA Hist'!$B:$C,2,0))^12 - 1)+$L$2)^(1/252)</f>
        <v>12506230.304988291</v>
      </c>
      <c r="M380" s="2">
        <v>0</v>
      </c>
      <c r="N380" s="2">
        <v>0</v>
      </c>
      <c r="O380" s="2">
        <v>0</v>
      </c>
      <c r="P380" s="2">
        <v>0</v>
      </c>
      <c r="Q380" s="2">
        <f>Q379*(1+((1+VLOOKUP($B380,'IPCA Hist'!$B:$C,2,0))^12 - 1)+$Q$2)^(1/252)</f>
        <v>45934267.990258247</v>
      </c>
      <c r="R380" s="2">
        <f>R379*(1+((1+VLOOKUP($B380,'IPCA Hist'!$B:$C,2,0))^12 - 1)+$R$2)^(1/252)</f>
        <v>45919789.930705212</v>
      </c>
      <c r="S380" s="2">
        <f>S379*(1+((1+VLOOKUP($B380,'IPCA Hist'!$B:$C,2,0))^12 - 1)+$S$2)^(1/252)</f>
        <v>46945130.343053259</v>
      </c>
      <c r="T380" s="2">
        <f>T379*(1+((1+VLOOKUP($B380,'IPCA Hist'!$B:$C,2,0))^12 - 1)+$T$2)^(1/252)</f>
        <v>237101863.49466518</v>
      </c>
      <c r="U380" s="2">
        <f>U379*(1+((1+VLOOKUP($B380,'IPCA Hist'!$B:$C,2,0))^12 - 1)+$U$2)^(1/252)</f>
        <v>20762340.630907457</v>
      </c>
      <c r="V380" s="2">
        <f>V379*(1+((1+VLOOKUP($B380,'IPCA Hist'!$B:$C,2,0))^12 - 1)+$V$2)^(1/252)</f>
        <v>80202848.186408132</v>
      </c>
      <c r="W380" s="2">
        <v>0</v>
      </c>
      <c r="X380" s="2">
        <v>0</v>
      </c>
      <c r="Y380" s="2">
        <v>0</v>
      </c>
      <c r="Z380" s="2">
        <f>Z379*(1+((1+VLOOKUP($B380,'IPCA Hist'!$B:$C,2,0))^12 - 1)+$Z$2)^(1/252)</f>
        <v>80757506.606493324</v>
      </c>
      <c r="AA380" s="2">
        <f>AA379*(1+((1+VLOOKUP($B380,'IPCA Hist'!$B:$C,2,0))^12 - 1)+$AA$2)^(1/252)</f>
        <v>40509753.49533736</v>
      </c>
      <c r="AB380" s="2">
        <f>AB379*(1+((1+VLOOKUP($B380,'IPCA Hist'!$B:$C,2,0))^12 - 1)+$AB$2)^(1/252)</f>
        <v>40524108.926985063</v>
      </c>
      <c r="AC380" s="2">
        <v>0</v>
      </c>
      <c r="AD380" s="2">
        <v>0</v>
      </c>
      <c r="AE380" s="2">
        <v>0</v>
      </c>
      <c r="AF380" s="2">
        <f>AF379*(1+((1+VLOOKUP($B380,'IGPM Hist'!$B:$C,2,0))^12 - 1)+$AF$2)^(1/252)</f>
        <v>1724556.4592366482</v>
      </c>
      <c r="AG380" s="2">
        <v>0</v>
      </c>
      <c r="AH380" s="2">
        <v>0</v>
      </c>
      <c r="AI380" s="2">
        <v>0</v>
      </c>
      <c r="AJ380" s="2">
        <f t="shared" si="73"/>
        <v>55605665.359853961</v>
      </c>
      <c r="AK380" s="2">
        <f t="shared" si="69"/>
        <v>182352627.9183462</v>
      </c>
      <c r="AL380" s="2">
        <f t="shared" si="70"/>
        <v>37398490.173230089</v>
      </c>
      <c r="AM380" s="2">
        <f t="shared" si="71"/>
        <v>130932397.93134721</v>
      </c>
      <c r="AN380" s="2">
        <f t="shared" si="72"/>
        <v>56092353.612335809</v>
      </c>
      <c r="AO380" s="2">
        <v>0</v>
      </c>
      <c r="AP380" s="2">
        <v>0</v>
      </c>
      <c r="AQ380" s="2">
        <v>0</v>
      </c>
      <c r="AR380" s="2">
        <v>0</v>
      </c>
      <c r="AS380" s="2">
        <f t="shared" si="74"/>
        <v>109342376.32334988</v>
      </c>
      <c r="AT380" s="2">
        <v>0</v>
      </c>
      <c r="AU380" s="2">
        <v>0</v>
      </c>
      <c r="AV380" s="2">
        <f t="shared" si="68"/>
        <v>55523121.659758478</v>
      </c>
      <c r="AW380" s="2">
        <v>0</v>
      </c>
      <c r="AX380" s="2">
        <v>0</v>
      </c>
      <c r="AY380" s="2">
        <v>0</v>
      </c>
      <c r="AZ380" s="2">
        <v>0</v>
      </c>
      <c r="BA380" s="2">
        <f>BA379*(1+VLOOKUP(A380,'SELIC Hist'!$A:$C,3,0))^(1/252)</f>
        <v>2854689.9710728205</v>
      </c>
      <c r="BB380" s="2">
        <f t="shared" si="57"/>
        <v>1652333576.0089531</v>
      </c>
      <c r="BC380" s="2">
        <v>0</v>
      </c>
      <c r="BD380" s="2">
        <v>0</v>
      </c>
      <c r="BE380" s="2">
        <f t="shared" si="67"/>
        <v>770495.35026526451</v>
      </c>
      <c r="BF380" s="2">
        <f t="shared" si="59"/>
        <v>11077222.222053528</v>
      </c>
      <c r="BG380" s="2">
        <f t="shared" si="60"/>
        <v>81516253.191633582</v>
      </c>
      <c r="BH380" s="11">
        <f t="shared" si="61"/>
        <v>1.1489477645800334</v>
      </c>
      <c r="BI380" s="12">
        <f t="shared" si="62"/>
        <v>4.6652492980037152E-4</v>
      </c>
      <c r="BJ380" s="12">
        <f t="shared" si="63"/>
        <v>7.4053655500874171E-3</v>
      </c>
      <c r="BK380" s="12">
        <f t="shared" si="64"/>
        <v>9.7339065852318107E-2</v>
      </c>
      <c r="BL380" s="5">
        <f t="shared" si="65"/>
        <v>0.14894776458003345</v>
      </c>
      <c r="BM380" s="19">
        <f t="shared" si="56"/>
        <v>4.6903891774042972E-2</v>
      </c>
      <c r="BN380" s="19">
        <f t="shared" si="55"/>
        <v>9.9651064125294786E-2</v>
      </c>
      <c r="BO380" s="19" t="s">
        <v>53</v>
      </c>
    </row>
    <row r="381" spans="1:67" x14ac:dyDescent="0.25">
      <c r="A381" s="1">
        <v>45650</v>
      </c>
      <c r="B381" s="1" t="str">
        <f t="shared" si="58"/>
        <v>202412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f>I380*(1+((1+VLOOKUP($B381,'IPCA Hist'!$B:$C,2,0))^12 - 1)+$I$2)^(1/252)</f>
        <v>213393019.26497984</v>
      </c>
      <c r="J381" s="2">
        <f>J380*(1+((1+VLOOKUP($B381,'IPCA Hist'!$B:$C,2,0))^12 - 1)+$J$2)^(1/252)</f>
        <v>135565857.58628586</v>
      </c>
      <c r="K381" s="2">
        <f>K380*(1+((1+VLOOKUP($B381,'IPCA Hist'!$B:$C,2,0))^12 - 1)+$K$2)^(1/252)</f>
        <v>20550386.784659628</v>
      </c>
      <c r="L381" s="2">
        <f>L380*(1+((1+VLOOKUP($B381,'IPCA Hist'!$B:$C,2,0))^12 - 1)+$L$2)^(1/252)</f>
        <v>12512381.295229033</v>
      </c>
      <c r="M381" s="2">
        <v>0</v>
      </c>
      <c r="N381" s="2">
        <v>0</v>
      </c>
      <c r="O381" s="2">
        <v>0</v>
      </c>
      <c r="P381" s="2">
        <v>0</v>
      </c>
      <c r="Q381" s="2">
        <f>Q380*(1+((1+VLOOKUP($B381,'IPCA Hist'!$B:$C,2,0))^12 - 1)+$Q$2)^(1/252)</f>
        <v>45954262.236952566</v>
      </c>
      <c r="R381" s="2">
        <f>R380*(1+((1+VLOOKUP($B381,'IPCA Hist'!$B:$C,2,0))^12 - 1)+$R$2)^(1/252)</f>
        <v>45939794.211233109</v>
      </c>
      <c r="S381" s="2">
        <f>S380*(1+((1+VLOOKUP($B381,'IPCA Hist'!$B:$C,2,0))^12 - 1)+$S$2)^(1/252)</f>
        <v>46965380.792409368</v>
      </c>
      <c r="T381" s="2">
        <f>T380*(1+((1+VLOOKUP($B381,'IPCA Hist'!$B:$C,2,0))^12 - 1)+$T$2)^(1/252)</f>
        <v>237204056.31541625</v>
      </c>
      <c r="U381" s="2">
        <f>U380*(1+((1+VLOOKUP($B381,'IPCA Hist'!$B:$C,2,0))^12 - 1)+$U$2)^(1/252)</f>
        <v>20772281.638151348</v>
      </c>
      <c r="V381" s="2">
        <f>V380*(1+((1+VLOOKUP($B381,'IPCA Hist'!$B:$C,2,0))^12 - 1)+$V$2)^(1/252)</f>
        <v>80245371.448553666</v>
      </c>
      <c r="W381" s="2">
        <v>0</v>
      </c>
      <c r="X381" s="2">
        <v>0</v>
      </c>
      <c r="Y381" s="2">
        <v>0</v>
      </c>
      <c r="Z381" s="2">
        <f>Z380*(1+((1+VLOOKUP($B381,'IPCA Hist'!$B:$C,2,0))^12 - 1)+$Z$2)^(1/252)</f>
        <v>80798441.609826729</v>
      </c>
      <c r="AA381" s="2">
        <f>AA380*(1+((1+VLOOKUP($B381,'IPCA Hist'!$B:$C,2,0))^12 - 1)+$AA$2)^(1/252)</f>
        <v>40532005.173586562</v>
      </c>
      <c r="AB381" s="2">
        <f>AB380*(1+((1+VLOOKUP($B381,'IPCA Hist'!$B:$C,2,0))^12 - 1)+$AB$2)^(1/252)</f>
        <v>40546354.479494482</v>
      </c>
      <c r="AC381" s="2">
        <v>0</v>
      </c>
      <c r="AD381" s="2">
        <v>0</v>
      </c>
      <c r="AE381" s="2">
        <v>0</v>
      </c>
      <c r="AF381" s="2">
        <f>AF380*(1+((1+VLOOKUP($B381,'IGPM Hist'!$B:$C,2,0))^12 - 1)+$AF$2)^(1/252)</f>
        <v>1725693.687119121</v>
      </c>
      <c r="AG381" s="2">
        <v>0</v>
      </c>
      <c r="AH381" s="2">
        <v>0</v>
      </c>
      <c r="AI381" s="2">
        <v>0</v>
      </c>
      <c r="AJ381" s="2">
        <f t="shared" si="73"/>
        <v>55631266.356268696</v>
      </c>
      <c r="AK381" s="2">
        <f t="shared" si="69"/>
        <v>182440729.80801305</v>
      </c>
      <c r="AL381" s="2">
        <f t="shared" si="70"/>
        <v>37416565.4611376</v>
      </c>
      <c r="AM381" s="2">
        <f t="shared" si="71"/>
        <v>130995645.13317202</v>
      </c>
      <c r="AN381" s="2">
        <f t="shared" si="72"/>
        <v>56119468.872240126</v>
      </c>
      <c r="AO381" s="2">
        <v>0</v>
      </c>
      <c r="AP381" s="2">
        <v>0</v>
      </c>
      <c r="AQ381" s="2">
        <v>0</v>
      </c>
      <c r="AR381" s="2">
        <v>0</v>
      </c>
      <c r="AS381" s="2">
        <f t="shared" si="74"/>
        <v>109391091.27950914</v>
      </c>
      <c r="AT381" s="2">
        <v>0</v>
      </c>
      <c r="AU381" s="2">
        <v>0</v>
      </c>
      <c r="AV381" s="2">
        <f t="shared" si="68"/>
        <v>55548390.02235838</v>
      </c>
      <c r="AW381" s="2">
        <v>0</v>
      </c>
      <c r="AX381" s="2">
        <v>0</v>
      </c>
      <c r="AY381" s="2">
        <v>0</v>
      </c>
      <c r="AZ381" s="2">
        <v>0</v>
      </c>
      <c r="BA381" s="2">
        <f>BA380*(1+VLOOKUP(A381,'SELIC Hist'!$A:$C,3,0))^(1/252)</f>
        <v>2855989.2307333583</v>
      </c>
      <c r="BB381" s="2">
        <f t="shared" si="57"/>
        <v>1653104432.6873295</v>
      </c>
      <c r="BC381" s="2">
        <v>0</v>
      </c>
      <c r="BD381" s="2">
        <v>0</v>
      </c>
      <c r="BE381" s="2">
        <f t="shared" si="67"/>
        <v>770856.67837643623</v>
      </c>
      <c r="BF381" s="2">
        <f t="shared" si="59"/>
        <v>11848078.900429964</v>
      </c>
      <c r="BG381" s="2">
        <f t="shared" si="60"/>
        <v>82287109.870010018</v>
      </c>
      <c r="BH381" s="11">
        <f t="shared" si="61"/>
        <v>1.1494837786575125</v>
      </c>
      <c r="BI381" s="12">
        <f t="shared" si="62"/>
        <v>4.6652606324104617E-4</v>
      </c>
      <c r="BJ381" s="12">
        <f t="shared" si="63"/>
        <v>7.8753464093654912E-3</v>
      </c>
      <c r="BK381" s="12">
        <f t="shared" si="64"/>
        <v>9.7851003126750769E-2</v>
      </c>
      <c r="BL381" s="5">
        <f t="shared" si="65"/>
        <v>0.1494837786575125</v>
      </c>
      <c r="BM381" s="19">
        <f t="shared" si="56"/>
        <v>4.7017370748580811E-2</v>
      </c>
      <c r="BN381" s="19">
        <f t="shared" si="55"/>
        <v>9.9738139216168475E-2</v>
      </c>
      <c r="BO381" s="19" t="s">
        <v>53</v>
      </c>
    </row>
    <row r="382" spans="1:67" x14ac:dyDescent="0.25">
      <c r="A382" s="1">
        <v>45652</v>
      </c>
      <c r="B382" s="1" t="str">
        <f t="shared" si="58"/>
        <v>202412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f>I381*(1+((1+VLOOKUP($B382,'IPCA Hist'!$B:$C,2,0))^12 - 1)+$I$2)^(1/252)</f>
        <v>213489767.8780615</v>
      </c>
      <c r="J382" s="2">
        <f>J381*(1+((1+VLOOKUP($B382,'IPCA Hist'!$B:$C,2,0))^12 - 1)+$J$2)^(1/252)</f>
        <v>135624963.07943621</v>
      </c>
      <c r="K382" s="2">
        <f>K381*(1+((1+VLOOKUP($B382,'IPCA Hist'!$B:$C,2,0))^12 - 1)+$K$2)^(1/252)</f>
        <v>20560414.116532043</v>
      </c>
      <c r="L382" s="2">
        <f>L381*(1+((1+VLOOKUP($B382,'IPCA Hist'!$B:$C,2,0))^12 - 1)+$L$2)^(1/252)</f>
        <v>12518535.310736382</v>
      </c>
      <c r="M382" s="2">
        <v>0</v>
      </c>
      <c r="N382" s="2">
        <v>0</v>
      </c>
      <c r="O382" s="2">
        <v>0</v>
      </c>
      <c r="P382" s="2">
        <v>0</v>
      </c>
      <c r="Q382" s="2">
        <f>Q381*(1+((1+VLOOKUP($B382,'IPCA Hist'!$B:$C,2,0))^12 - 1)+$Q$2)^(1/252)</f>
        <v>45974265.186733231</v>
      </c>
      <c r="R382" s="2">
        <f>R381*(1+((1+VLOOKUP($B382,'IPCA Hist'!$B:$C,2,0))^12 - 1)+$R$2)^(1/252)</f>
        <v>45959807.20633135</v>
      </c>
      <c r="S382" s="2">
        <f>S381*(1+((1+VLOOKUP($B382,'IPCA Hist'!$B:$C,2,0))^12 - 1)+$S$2)^(1/252)</f>
        <v>46985639.977084689</v>
      </c>
      <c r="T382" s="2">
        <f>T381*(1+((1+VLOOKUP($B382,'IPCA Hist'!$B:$C,2,0))^12 - 1)+$T$2)^(1/252)</f>
        <v>237306293.18209955</v>
      </c>
      <c r="U382" s="2">
        <f>U381*(1+((1+VLOOKUP($B382,'IPCA Hist'!$B:$C,2,0))^12 - 1)+$U$2)^(1/252)</f>
        <v>20782227.405148812</v>
      </c>
      <c r="V382" s="2">
        <f>V381*(1+((1+VLOOKUP($B382,'IPCA Hist'!$B:$C,2,0))^12 - 1)+$V$2)^(1/252)</f>
        <v>80287917.256380111</v>
      </c>
      <c r="W382" s="2">
        <v>0</v>
      </c>
      <c r="X382" s="2">
        <v>0</v>
      </c>
      <c r="Y382" s="2">
        <v>0</v>
      </c>
      <c r="Z382" s="2">
        <f>Z381*(1+((1+VLOOKUP($B382,'IPCA Hist'!$B:$C,2,0))^12 - 1)+$Z$2)^(1/252)</f>
        <v>80839397.362618208</v>
      </c>
      <c r="AA382" s="2">
        <f>AA381*(1+((1+VLOOKUP($B382,'IPCA Hist'!$B:$C,2,0))^12 - 1)+$AA$2)^(1/252)</f>
        <v>40554269.074501723</v>
      </c>
      <c r="AB382" s="2">
        <f>AB381*(1+((1+VLOOKUP($B382,'IPCA Hist'!$B:$C,2,0))^12 - 1)+$AB$2)^(1/252)</f>
        <v>40568612.24361372</v>
      </c>
      <c r="AC382" s="2">
        <v>0</v>
      </c>
      <c r="AD382" s="2">
        <v>0</v>
      </c>
      <c r="AE382" s="2">
        <v>0</v>
      </c>
      <c r="AF382" s="2">
        <f>AF381*(1+((1+VLOOKUP($B382,'IGPM Hist'!$B:$C,2,0))^12 - 1)+$AF$2)^(1/252)</f>
        <v>1726831.6649261611</v>
      </c>
      <c r="AG382" s="2">
        <v>0</v>
      </c>
      <c r="AH382" s="2">
        <v>0</v>
      </c>
      <c r="AI382" s="2">
        <v>0</v>
      </c>
      <c r="AJ382" s="2">
        <f t="shared" si="73"/>
        <v>55656879.139450356</v>
      </c>
      <c r="AK382" s="2">
        <f t="shared" si="69"/>
        <v>182528874.26324669</v>
      </c>
      <c r="AL382" s="2">
        <f t="shared" si="70"/>
        <v>37434649.485120587</v>
      </c>
      <c r="AM382" s="2">
        <f t="shared" si="71"/>
        <v>131058922.88670596</v>
      </c>
      <c r="AN382" s="2">
        <f t="shared" si="72"/>
        <v>56146597.239765577</v>
      </c>
      <c r="AO382" s="2">
        <v>0</v>
      </c>
      <c r="AP382" s="2">
        <v>0</v>
      </c>
      <c r="AQ382" s="2">
        <v>0</v>
      </c>
      <c r="AR382" s="2">
        <v>0</v>
      </c>
      <c r="AS382" s="2">
        <f t="shared" si="74"/>
        <v>109439827.93948567</v>
      </c>
      <c r="AT382" s="2">
        <v>0</v>
      </c>
      <c r="AU382" s="2">
        <v>0</v>
      </c>
      <c r="AV382" s="2">
        <f t="shared" si="68"/>
        <v>55573669.884494498</v>
      </c>
      <c r="AW382" s="2">
        <v>0</v>
      </c>
      <c r="AX382" s="2">
        <v>0</v>
      </c>
      <c r="AY382" s="2">
        <v>0</v>
      </c>
      <c r="AZ382" s="2">
        <v>0</v>
      </c>
      <c r="BA382" s="2">
        <f>BA381*(1+VLOOKUP(A382,'SELIC Hist'!$A:$C,3,0))^(1/252)</f>
        <v>2857289.0817280454</v>
      </c>
      <c r="BB382" s="2">
        <f t="shared" si="57"/>
        <v>1653875650.8642013</v>
      </c>
      <c r="BC382" s="2">
        <v>0</v>
      </c>
      <c r="BD382" s="2">
        <v>0</v>
      </c>
      <c r="BE382" s="2">
        <f t="shared" si="67"/>
        <v>771218.17687177658</v>
      </c>
      <c r="BF382" s="2">
        <f t="shared" si="59"/>
        <v>12619297.077301741</v>
      </c>
      <c r="BG382" s="2">
        <f t="shared" si="60"/>
        <v>83058328.046881795</v>
      </c>
      <c r="BH382" s="11">
        <f t="shared" si="61"/>
        <v>1.150020044102448</v>
      </c>
      <c r="BI382" s="12">
        <f t="shared" si="62"/>
        <v>4.6652719672279908E-4</v>
      </c>
      <c r="BJ382" s="12">
        <f t="shared" si="63"/>
        <v>8.3455476693719E-3</v>
      </c>
      <c r="BK382" s="12">
        <f t="shared" si="64"/>
        <v>9.8363180477658796E-2</v>
      </c>
      <c r="BL382" s="5">
        <f t="shared" si="65"/>
        <v>0.15002004410244796</v>
      </c>
      <c r="BM382" s="19">
        <f t="shared" si="56"/>
        <v>4.7186026800382974E-2</v>
      </c>
      <c r="BN382" s="19">
        <f t="shared" si="55"/>
        <v>9.9415019063062271E-2</v>
      </c>
      <c r="BO382" s="19" t="s">
        <v>53</v>
      </c>
    </row>
    <row r="383" spans="1:67" x14ac:dyDescent="0.25">
      <c r="A383" s="1">
        <v>45653</v>
      </c>
      <c r="B383" s="1" t="str">
        <f t="shared" si="58"/>
        <v>202412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f>I382*(1+((1+VLOOKUP($B383,'IPCA Hist'!$B:$C,2,0))^12 - 1)+$I$2)^(1/252)</f>
        <v>213586560.35524973</v>
      </c>
      <c r="J383" s="2">
        <f>J382*(1+((1+VLOOKUP($B383,'IPCA Hist'!$B:$C,2,0))^12 - 1)+$J$2)^(1/252)</f>
        <v>135684094.34204933</v>
      </c>
      <c r="K383" s="2">
        <f>K382*(1+((1+VLOOKUP($B383,'IPCA Hist'!$B:$C,2,0))^12 - 1)+$K$2)^(1/252)</f>
        <v>20570446.341129128</v>
      </c>
      <c r="L383" s="2">
        <f>L382*(1+((1+VLOOKUP($B383,'IPCA Hist'!$B:$C,2,0))^12 - 1)+$L$2)^(1/252)</f>
        <v>12524692.35299827</v>
      </c>
      <c r="M383" s="2">
        <v>0</v>
      </c>
      <c r="N383" s="2">
        <v>0</v>
      </c>
      <c r="O383" s="2">
        <v>0</v>
      </c>
      <c r="P383" s="2">
        <v>0</v>
      </c>
      <c r="Q383" s="2">
        <f>Q382*(1+((1+VLOOKUP($B383,'IPCA Hist'!$B:$C,2,0))^12 - 1)+$Q$2)^(1/252)</f>
        <v>45994276.843388528</v>
      </c>
      <c r="R383" s="2">
        <f>R382*(1+((1+VLOOKUP($B383,'IPCA Hist'!$B:$C,2,0))^12 - 1)+$R$2)^(1/252)</f>
        <v>45979828.91979631</v>
      </c>
      <c r="S383" s="2">
        <f>S382*(1+((1+VLOOKUP($B383,'IPCA Hist'!$B:$C,2,0))^12 - 1)+$S$2)^(1/252)</f>
        <v>47005907.900847331</v>
      </c>
      <c r="T383" s="2">
        <f>T382*(1+((1+VLOOKUP($B383,'IPCA Hist'!$B:$C,2,0))^12 - 1)+$T$2)^(1/252)</f>
        <v>237408574.11369926</v>
      </c>
      <c r="U383" s="2">
        <f>U382*(1+((1+VLOOKUP($B383,'IPCA Hist'!$B:$C,2,0))^12 - 1)+$U$2)^(1/252)</f>
        <v>20792177.934178822</v>
      </c>
      <c r="V383" s="2">
        <f>V382*(1+((1+VLOOKUP($B383,'IPCA Hist'!$B:$C,2,0))^12 - 1)+$V$2)^(1/252)</f>
        <v>80330485.621841103</v>
      </c>
      <c r="W383" s="2">
        <v>0</v>
      </c>
      <c r="X383" s="2">
        <v>0</v>
      </c>
      <c r="Y383" s="2">
        <v>0</v>
      </c>
      <c r="Z383" s="2">
        <f>Z382*(1+((1+VLOOKUP($B383,'IPCA Hist'!$B:$C,2,0))^12 - 1)+$Z$2)^(1/252)</f>
        <v>80880373.875385419</v>
      </c>
      <c r="AA383" s="2">
        <f>AA382*(1+((1+VLOOKUP($B383,'IPCA Hist'!$B:$C,2,0))^12 - 1)+$AA$2)^(1/252)</f>
        <v>40576545.20479665</v>
      </c>
      <c r="AB383" s="2">
        <f>AB382*(1+((1+VLOOKUP($B383,'IPCA Hist'!$B:$C,2,0))^12 - 1)+$AB$2)^(1/252)</f>
        <v>40590882.226046294</v>
      </c>
      <c r="AC383" s="2">
        <v>0</v>
      </c>
      <c r="AD383" s="2">
        <v>0</v>
      </c>
      <c r="AE383" s="2">
        <v>0</v>
      </c>
      <c r="AF383" s="2">
        <f>AF382*(1+((1+VLOOKUP($B383,'IGPM Hist'!$B:$C,2,0))^12 - 1)+$AF$2)^(1/252)</f>
        <v>1727970.3931522928</v>
      </c>
      <c r="AG383" s="2">
        <v>0</v>
      </c>
      <c r="AH383" s="2">
        <v>0</v>
      </c>
      <c r="AI383" s="2">
        <v>0</v>
      </c>
      <c r="AJ383" s="2">
        <f t="shared" si="73"/>
        <v>55682503.714825608</v>
      </c>
      <c r="AK383" s="2">
        <f t="shared" si="69"/>
        <v>182617061.30461225</v>
      </c>
      <c r="AL383" s="2">
        <f t="shared" si="70"/>
        <v>37452742.249401338</v>
      </c>
      <c r="AM383" s="2">
        <f t="shared" si="71"/>
        <v>131122231.20670713</v>
      </c>
      <c r="AN383" s="2">
        <f t="shared" si="72"/>
        <v>56173738.721248433</v>
      </c>
      <c r="AO383" s="2">
        <v>0</v>
      </c>
      <c r="AP383" s="2">
        <v>0</v>
      </c>
      <c r="AQ383" s="2">
        <v>0</v>
      </c>
      <c r="AR383" s="2">
        <v>0</v>
      </c>
      <c r="AS383" s="2">
        <f t="shared" si="74"/>
        <v>109488586.31294908</v>
      </c>
      <c r="AT383" s="2">
        <v>0</v>
      </c>
      <c r="AU383" s="2">
        <v>0</v>
      </c>
      <c r="AV383" s="2">
        <f t="shared" si="68"/>
        <v>55598961.251400232</v>
      </c>
      <c r="AW383" s="2">
        <v>0</v>
      </c>
      <c r="AX383" s="2">
        <v>0</v>
      </c>
      <c r="AY383" s="2">
        <v>0</v>
      </c>
      <c r="AZ383" s="2">
        <v>0</v>
      </c>
      <c r="BA383" s="2">
        <f>BA382*(1+VLOOKUP(A383,'SELIC Hist'!$A:$C,3,0))^(1/252)</f>
        <v>2858589.5243260167</v>
      </c>
      <c r="BB383" s="2">
        <f t="shared" si="57"/>
        <v>1654647230.7100286</v>
      </c>
      <c r="BC383" s="2">
        <v>0</v>
      </c>
      <c r="BD383" s="2">
        <v>0</v>
      </c>
      <c r="BE383" s="2">
        <f t="shared" si="67"/>
        <v>771579.84582734108</v>
      </c>
      <c r="BF383" s="2">
        <f t="shared" si="59"/>
        <v>13390876.923129082</v>
      </c>
      <c r="BG383" s="2">
        <f t="shared" si="60"/>
        <v>83829907.892709136</v>
      </c>
      <c r="BH383" s="11">
        <f t="shared" si="61"/>
        <v>1.150556561033369</v>
      </c>
      <c r="BI383" s="12">
        <f t="shared" si="62"/>
        <v>4.6652833024296569E-4</v>
      </c>
      <c r="BJ383" s="12">
        <f t="shared" si="63"/>
        <v>8.8159694340339545E-3</v>
      </c>
      <c r="BK383" s="12">
        <f t="shared" si="64"/>
        <v>9.8875598018247413E-2</v>
      </c>
      <c r="BL383" s="5">
        <f t="shared" si="65"/>
        <v>0.15055656103336901</v>
      </c>
      <c r="BM383" s="19">
        <f t="shared" si="56"/>
        <v>4.7150980558304578E-2</v>
      </c>
      <c r="BN383" s="19">
        <f t="shared" si="55"/>
        <v>9.9369028253914804E-2</v>
      </c>
      <c r="BO383" s="19" t="s">
        <v>53</v>
      </c>
    </row>
    <row r="384" spans="1:67" x14ac:dyDescent="0.25">
      <c r="A384" s="1">
        <v>45656</v>
      </c>
      <c r="B384" s="1" t="str">
        <f t="shared" si="58"/>
        <v>202412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f>I383*(1+((1+VLOOKUP($B384,'IPCA Hist'!$B:$C,2,0))^12 - 1)+$I$2)^(1/252)</f>
        <v>213683396.71643171</v>
      </c>
      <c r="J384" s="2">
        <f>J383*(1+((1+VLOOKUP($B384,'IPCA Hist'!$B:$C,2,0))^12 - 1)+$J$2)^(1/252)</f>
        <v>135743251.38536048</v>
      </c>
      <c r="K384" s="2">
        <f>K383*(1+((1+VLOOKUP($B384,'IPCA Hist'!$B:$C,2,0))^12 - 1)+$K$2)^(1/252)</f>
        <v>20580483.46083824</v>
      </c>
      <c r="L384" s="2">
        <f>L383*(1+((1+VLOOKUP($B384,'IPCA Hist'!$B:$C,2,0))^12 - 1)+$L$2)^(1/252)</f>
        <v>12530852.423503356</v>
      </c>
      <c r="M384" s="2">
        <v>0</v>
      </c>
      <c r="N384" s="2">
        <v>0</v>
      </c>
      <c r="O384" s="2">
        <v>0</v>
      </c>
      <c r="P384" s="2">
        <v>0</v>
      </c>
      <c r="Q384" s="2">
        <f>Q383*(1+((1+VLOOKUP($B384,'IPCA Hist'!$B:$C,2,0))^12 - 1)+$Q$2)^(1/252)</f>
        <v>46014297.21070838</v>
      </c>
      <c r="R384" s="2">
        <f>R383*(1+((1+VLOOKUP($B384,'IPCA Hist'!$B:$C,2,0))^12 - 1)+$R$2)^(1/252)</f>
        <v>45999859.355426013</v>
      </c>
      <c r="S384" s="2">
        <f>S383*(1+((1+VLOOKUP($B384,'IPCA Hist'!$B:$C,2,0))^12 - 1)+$S$2)^(1/252)</f>
        <v>47026184.567467019</v>
      </c>
      <c r="T384" s="2">
        <f>T383*(1+((1+VLOOKUP($B384,'IPCA Hist'!$B:$C,2,0))^12 - 1)+$T$2)^(1/252)</f>
        <v>237510899.1292077</v>
      </c>
      <c r="U384" s="2">
        <f>U383*(1+((1+VLOOKUP($B384,'IPCA Hist'!$B:$C,2,0))^12 - 1)+$U$2)^(1/252)</f>
        <v>20802133.227521434</v>
      </c>
      <c r="V384" s="2">
        <f>V383*(1+((1+VLOOKUP($B384,'IPCA Hist'!$B:$C,2,0))^12 - 1)+$V$2)^(1/252)</f>
        <v>80373076.556896627</v>
      </c>
      <c r="W384" s="2">
        <v>0</v>
      </c>
      <c r="X384" s="2">
        <v>0</v>
      </c>
      <c r="Y384" s="2">
        <v>0</v>
      </c>
      <c r="Z384" s="2">
        <f>Z383*(1+((1+VLOOKUP($B384,'IPCA Hist'!$B:$C,2,0))^12 - 1)+$Z$2)^(1/252)</f>
        <v>80921371.158651337</v>
      </c>
      <c r="AA384" s="2">
        <f>AA383*(1+((1+VLOOKUP($B384,'IPCA Hist'!$B:$C,2,0))^12 - 1)+$AA$2)^(1/252)</f>
        <v>40598833.571188837</v>
      </c>
      <c r="AB384" s="2">
        <f>AB383*(1+((1+VLOOKUP($B384,'IPCA Hist'!$B:$C,2,0))^12 - 1)+$AB$2)^(1/252)</f>
        <v>40613164.433499396</v>
      </c>
      <c r="AC384" s="2">
        <v>0</v>
      </c>
      <c r="AD384" s="2">
        <v>0</v>
      </c>
      <c r="AE384" s="2">
        <v>0</v>
      </c>
      <c r="AF384" s="2">
        <f>AF383*(1+((1+VLOOKUP($B384,'IGPM Hist'!$B:$C,2,0))^12 - 1)+$AF$2)^(1/252)</f>
        <v>1729109.8722923668</v>
      </c>
      <c r="AG384" s="2">
        <v>0</v>
      </c>
      <c r="AH384" s="2">
        <v>0</v>
      </c>
      <c r="AI384" s="2">
        <v>0</v>
      </c>
      <c r="AJ384" s="2">
        <f t="shared" si="73"/>
        <v>55708140.0878236</v>
      </c>
      <c r="AK384" s="2">
        <f t="shared" si="69"/>
        <v>182705290.95268482</v>
      </c>
      <c r="AL384" s="2">
        <f t="shared" si="70"/>
        <v>37470843.758204177</v>
      </c>
      <c r="AM384" s="2">
        <f t="shared" si="71"/>
        <v>131185570.10794072</v>
      </c>
      <c r="AN384" s="2">
        <f t="shared" si="72"/>
        <v>56200893.323028035</v>
      </c>
      <c r="AO384" s="2">
        <v>0</v>
      </c>
      <c r="AP384" s="2">
        <v>0</v>
      </c>
      <c r="AQ384" s="2">
        <v>0</v>
      </c>
      <c r="AR384" s="2">
        <v>0</v>
      </c>
      <c r="AS384" s="2">
        <f t="shared" si="74"/>
        <v>109537366.4095733</v>
      </c>
      <c r="AT384" s="2">
        <v>0</v>
      </c>
      <c r="AU384" s="2">
        <v>0</v>
      </c>
      <c r="AV384" s="2">
        <f t="shared" si="68"/>
        <v>55624264.128311358</v>
      </c>
      <c r="AW384" s="2">
        <v>0</v>
      </c>
      <c r="AX384" s="2">
        <v>0</v>
      </c>
      <c r="AY384" s="2">
        <v>0</v>
      </c>
      <c r="AZ384" s="2">
        <v>0</v>
      </c>
      <c r="BA384" s="2">
        <f>BA383*(1+VLOOKUP(A384,'SELIC Hist'!$A:$C,3,0))^(1/252)</f>
        <v>2859890.5587965297</v>
      </c>
      <c r="BB384" s="2">
        <f t="shared" si="57"/>
        <v>1655419172.3953557</v>
      </c>
      <c r="BC384" s="2">
        <v>0</v>
      </c>
      <c r="BD384" s="2">
        <v>0</v>
      </c>
      <c r="BE384" s="2">
        <f t="shared" si="67"/>
        <v>771941.68532705307</v>
      </c>
      <c r="BF384" s="2">
        <f t="shared" si="59"/>
        <v>14162818.608456135</v>
      </c>
      <c r="BG384" s="2">
        <f t="shared" si="60"/>
        <v>84601849.578036189</v>
      </c>
      <c r="BH384" s="11">
        <f t="shared" si="61"/>
        <v>1.1510933295688635</v>
      </c>
      <c r="BI384" s="12">
        <f t="shared" si="62"/>
        <v>4.6652946380354443E-4</v>
      </c>
      <c r="BJ384" s="12">
        <f t="shared" si="63"/>
        <v>9.2866118073304804E-3</v>
      </c>
      <c r="BK384" s="12">
        <f t="shared" si="64"/>
        <v>9.9388255861777575E-2</v>
      </c>
      <c r="BL384" s="5">
        <f t="shared" si="65"/>
        <v>0.15109332956886345</v>
      </c>
      <c r="BM384" s="19">
        <f t="shared" si="56"/>
        <v>4.730985090060047E-2</v>
      </c>
      <c r="BN384" s="19">
        <f t="shared" ref="BN384:BN411" si="75">BH384/BH132 - 1</f>
        <v>9.9388255861775576E-2</v>
      </c>
      <c r="BO384" s="19" t="s">
        <v>53</v>
      </c>
    </row>
    <row r="385" spans="1:67" x14ac:dyDescent="0.25">
      <c r="A385" s="1">
        <v>45657</v>
      </c>
      <c r="B385" s="1" t="str">
        <f t="shared" si="58"/>
        <v>202412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f>I384*(1+((1+VLOOKUP($B385,'IPCA Hist'!$B:$C,2,0))^12 - 1)+$I$2)^(1/252)</f>
        <v>213780276.98150367</v>
      </c>
      <c r="J385" s="2">
        <f>J384*(1+((1+VLOOKUP($B385,'IPCA Hist'!$B:$C,2,0))^12 - 1)+$J$2)^(1/252)</f>
        <v>135802434.22060981</v>
      </c>
      <c r="K385" s="2">
        <f>K384*(1+((1+VLOOKUP($B385,'IPCA Hist'!$B:$C,2,0))^12 - 1)+$K$2)^(1/252)</f>
        <v>20590525.478047889</v>
      </c>
      <c r="L385" s="2">
        <f>L384*(1+((1+VLOOKUP($B385,'IPCA Hist'!$B:$C,2,0))^12 - 1)+$L$2)^(1/252)</f>
        <v>12537015.523741035</v>
      </c>
      <c r="M385" s="2">
        <v>0</v>
      </c>
      <c r="N385" s="2">
        <v>0</v>
      </c>
      <c r="O385" s="2">
        <v>0</v>
      </c>
      <c r="P385" s="2">
        <v>0</v>
      </c>
      <c r="Q385" s="2">
        <f>Q384*(1+((1+VLOOKUP($B385,'IPCA Hist'!$B:$C,2,0))^12 - 1)+$Q$2)^(1/252)</f>
        <v>46034326.292484358</v>
      </c>
      <c r="R385" s="2">
        <f>R384*(1+((1+VLOOKUP($B385,'IPCA Hist'!$B:$C,2,0))^12 - 1)+$R$2)^(1/252)</f>
        <v>46019898.517020144</v>
      </c>
      <c r="S385" s="2">
        <f>S384*(1+((1+VLOOKUP($B385,'IPCA Hist'!$B:$C,2,0))^12 - 1)+$S$2)^(1/252)</f>
        <v>47046469.980715111</v>
      </c>
      <c r="T385" s="2">
        <f>T384*(1+((1+VLOOKUP($B385,'IPCA Hist'!$B:$C,2,0))^12 - 1)+$T$2)^(1/252)</f>
        <v>237613268.24762538</v>
      </c>
      <c r="U385" s="2">
        <f>U384*(1+((1+VLOOKUP($B385,'IPCA Hist'!$B:$C,2,0))^12 - 1)+$U$2)^(1/252)</f>
        <v>20812093.287457805</v>
      </c>
      <c r="V385" s="2">
        <f>V384*(1+((1+VLOOKUP($B385,'IPCA Hist'!$B:$C,2,0))^12 - 1)+$V$2)^(1/252)</f>
        <v>80415690.073513001</v>
      </c>
      <c r="W385" s="2">
        <v>0</v>
      </c>
      <c r="X385" s="2">
        <v>0</v>
      </c>
      <c r="Y385" s="2">
        <v>0</v>
      </c>
      <c r="Z385" s="2">
        <f>Z384*(1+((1+VLOOKUP($B385,'IPCA Hist'!$B:$C,2,0))^12 - 1)+$Z$2)^(1/252)</f>
        <v>80962389.222944289</v>
      </c>
      <c r="AA385" s="2">
        <f>AA384*(1+((1+VLOOKUP($B385,'IPCA Hist'!$B:$C,2,0))^12 - 1)+$AA$2)^(1/252)</f>
        <v>40621134.180399477</v>
      </c>
      <c r="AB385" s="2">
        <f>AB384*(1+((1+VLOOKUP($B385,'IPCA Hist'!$B:$C,2,0))^12 - 1)+$AB$2)^(1/252)</f>
        <v>40635458.872683905</v>
      </c>
      <c r="AC385" s="2">
        <v>0</v>
      </c>
      <c r="AD385" s="2">
        <v>0</v>
      </c>
      <c r="AE385" s="2">
        <v>0</v>
      </c>
      <c r="AF385" s="2">
        <f>AF384*(1+((1+VLOOKUP($B385,'IGPM Hist'!$B:$C,2,0))^12 - 1)+$AF$2)^(1/252)</f>
        <v>1730250.1028415598</v>
      </c>
      <c r="AG385" s="2">
        <v>0</v>
      </c>
      <c r="AH385" s="2">
        <v>0</v>
      </c>
      <c r="AI385" s="2">
        <v>0</v>
      </c>
      <c r="AJ385" s="2">
        <f t="shared" si="73"/>
        <v>55733788.263875991</v>
      </c>
      <c r="AK385" s="2">
        <f t="shared" si="69"/>
        <v>182793563.2280494</v>
      </c>
      <c r="AL385" s="2">
        <f t="shared" si="70"/>
        <v>37488954.015755475</v>
      </c>
      <c r="AM385" s="2">
        <f t="shared" si="71"/>
        <v>131248939.60517906</v>
      </c>
      <c r="AN385" s="2">
        <f t="shared" si="72"/>
        <v>56228061.051446788</v>
      </c>
      <c r="AO385" s="2">
        <v>0</v>
      </c>
      <c r="AP385" s="2">
        <v>0</v>
      </c>
      <c r="AQ385" s="2">
        <v>0</v>
      </c>
      <c r="AR385" s="2">
        <v>0</v>
      </c>
      <c r="AS385" s="2">
        <f t="shared" si="74"/>
        <v>109586168.2390366</v>
      </c>
      <c r="AT385" s="2">
        <v>0</v>
      </c>
      <c r="AU385" s="2">
        <v>0</v>
      </c>
      <c r="AV385" s="2">
        <f t="shared" si="68"/>
        <v>55649578.520466037</v>
      </c>
      <c r="AW385" s="2">
        <v>0</v>
      </c>
      <c r="AX385" s="2">
        <v>0</v>
      </c>
      <c r="AY385" s="2">
        <v>0</v>
      </c>
      <c r="AZ385" s="2">
        <v>0</v>
      </c>
      <c r="BA385" s="2">
        <f>BA384*(1+VLOOKUP(A385,'SELIC Hist'!$A:$C,3,0))^(1/252)</f>
        <v>2861192.1854089638</v>
      </c>
      <c r="BB385" s="2">
        <f t="shared" si="57"/>
        <v>1656191476.090806</v>
      </c>
      <c r="BC385" s="2">
        <v>0</v>
      </c>
      <c r="BD385" s="2">
        <v>0</v>
      </c>
      <c r="BE385" s="2">
        <f t="shared" si="67"/>
        <v>772303.69545030594</v>
      </c>
      <c r="BF385" s="2">
        <f t="shared" si="59"/>
        <v>14935122.303906441</v>
      </c>
      <c r="BG385" s="2">
        <f t="shared" si="60"/>
        <v>85374153.273486495</v>
      </c>
      <c r="BH385" s="11">
        <f t="shared" si="61"/>
        <v>1.151630349827574</v>
      </c>
      <c r="BI385" s="12">
        <f t="shared" si="62"/>
        <v>4.6653059740320302E-4</v>
      </c>
      <c r="BJ385" s="12">
        <f t="shared" si="63"/>
        <v>9.7574748932880428E-3</v>
      </c>
      <c r="BK385" s="12">
        <f t="shared" si="64"/>
        <v>9.9901154121562863E-2</v>
      </c>
      <c r="BL385" s="5">
        <f t="shared" si="65"/>
        <v>0.15163034982757395</v>
      </c>
      <c r="BM385" s="19">
        <f t="shared" si="56"/>
        <v>4.7753210886642528E-2</v>
      </c>
      <c r="BN385" s="19">
        <f t="shared" si="75"/>
        <v>9.9491469237431573E-2</v>
      </c>
      <c r="BO385" s="19" t="s">
        <v>53</v>
      </c>
    </row>
    <row r="386" spans="1:67" x14ac:dyDescent="0.25">
      <c r="A386" s="1">
        <v>45659</v>
      </c>
      <c r="B386" s="1" t="str">
        <f t="shared" si="58"/>
        <v>202501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f>I385*(1+((1+VLOOKUP($B386,'IPCA Hist'!$B:$C,2,0))^12 - 1)+$I$2)^(1/252)</f>
        <v>213842552.96948013</v>
      </c>
      <c r="J386" s="2">
        <f>J385*(1+((1+VLOOKUP($B386,'IPCA Hist'!$B:$C,2,0))^12 - 1)+$J$2)^(1/252)</f>
        <v>135839534.58417657</v>
      </c>
      <c r="K386" s="2">
        <f>K385*(1+((1+VLOOKUP($B386,'IPCA Hist'!$B:$C,2,0))^12 - 1)+$K$2)^(1/252)</f>
        <v>20597264.606510982</v>
      </c>
      <c r="L386" s="2">
        <f>L385*(1+((1+VLOOKUP($B386,'IPCA Hist'!$B:$C,2,0))^12 - 1)+$L$2)^(1/252)</f>
        <v>12541169.63942761</v>
      </c>
      <c r="M386" s="2">
        <v>0</v>
      </c>
      <c r="N386" s="2">
        <v>0</v>
      </c>
      <c r="O386" s="2">
        <v>0</v>
      </c>
      <c r="P386" s="2">
        <v>0</v>
      </c>
      <c r="Q386" s="2">
        <f>Q385*(1+((1+VLOOKUP($B386,'IPCA Hist'!$B:$C,2,0))^12 - 1)+$Q$2)^(1/252)</f>
        <v>46046868.461048275</v>
      </c>
      <c r="R386" s="2">
        <f>R385*(1+((1+VLOOKUP($B386,'IPCA Hist'!$B:$C,2,0))^12 - 1)+$R$2)^(1/252)</f>
        <v>46032453.808826901</v>
      </c>
      <c r="S386" s="2">
        <f>S385*(1+((1+VLOOKUP($B386,'IPCA Hist'!$B:$C,2,0))^12 - 1)+$S$2)^(1/252)</f>
        <v>47059096.023198999</v>
      </c>
      <c r="T386" s="2">
        <f>T385*(1+((1+VLOOKUP($B386,'IPCA Hist'!$B:$C,2,0))^12 - 1)+$T$2)^(1/252)</f>
        <v>237676949.28280768</v>
      </c>
      <c r="U386" s="2">
        <f>U385*(1+((1+VLOOKUP($B386,'IPCA Hist'!$B:$C,2,0))^12 - 1)+$U$2)^(1/252)</f>
        <v>20818706.901496328</v>
      </c>
      <c r="V386" s="2">
        <f>V385*(1+((1+VLOOKUP($B386,'IPCA Hist'!$B:$C,2,0))^12 - 1)+$V$2)^(1/252)</f>
        <v>80445546.704793811</v>
      </c>
      <c r="W386" s="2">
        <v>0</v>
      </c>
      <c r="X386" s="2">
        <v>0</v>
      </c>
      <c r="Y386" s="2">
        <v>0</v>
      </c>
      <c r="Z386" s="2">
        <f>Z385*(1+((1+VLOOKUP($B386,'IPCA Hist'!$B:$C,2,0))^12 - 1)+$Z$2)^(1/252)</f>
        <v>80990484.724808857</v>
      </c>
      <c r="AA386" s="2">
        <f>AA385*(1+((1+VLOOKUP($B386,'IPCA Hist'!$B:$C,2,0))^12 - 1)+$AA$2)^(1/252)</f>
        <v>40637023.093348272</v>
      </c>
      <c r="AB386" s="2">
        <f>AB385*(1+((1+VLOOKUP($B386,'IPCA Hist'!$B:$C,2,0))^12 - 1)+$AB$2)^(1/252)</f>
        <v>40651338.770509377</v>
      </c>
      <c r="AC386" s="2">
        <v>0</v>
      </c>
      <c r="AD386" s="2">
        <v>0</v>
      </c>
      <c r="AE386" s="2">
        <v>0</v>
      </c>
      <c r="AF386" s="2">
        <f>AF385*(1+((1+VLOOKUP($B386,'IGPM Hist'!$B:$C,2,0))^12 - 1)+$AF$2)^(1/252) - 76002.59739552</f>
        <v>1654873.0985971491</v>
      </c>
      <c r="AG386" s="2">
        <v>0</v>
      </c>
      <c r="AH386" s="2">
        <v>0</v>
      </c>
      <c r="AI386" s="2">
        <v>0</v>
      </c>
      <c r="AJ386" s="2">
        <f>AJ385*(1+AJ$2)^(1/252)-2680657.54668235</f>
        <v>53078790.701734588</v>
      </c>
      <c r="AK386" s="2">
        <f>AK385*(1+AK$2)^(1/252)-9012555.54488032</f>
        <v>173869322.60642061</v>
      </c>
      <c r="AL386" s="2">
        <f>AL385*(1+AL$2)^(1/252)-1848729.34253955</f>
        <v>35658343.683744088</v>
      </c>
      <c r="AM386" s="2">
        <f>AM385*(1+AM$2)^(1/252)-6470552.69888844</f>
        <v>124841787.01431319</v>
      </c>
      <c r="AN386" s="2">
        <f>AN385*(1+AN$2)^(1/252)-2773094.01380933</f>
        <v>53482147.899040826</v>
      </c>
      <c r="AO386" s="2">
        <v>22785589.1468</v>
      </c>
      <c r="AP386" s="2">
        <v>0</v>
      </c>
      <c r="AQ386" s="2">
        <v>0</v>
      </c>
      <c r="AR386" s="2">
        <v>0</v>
      </c>
      <c r="AS386" s="2">
        <f>AS385*(1+AS$2)^(1/252) - AT386</f>
        <v>104375636.94582154</v>
      </c>
      <c r="AT386" s="2">
        <v>5259354.8651999999</v>
      </c>
      <c r="AU386" s="2">
        <v>0</v>
      </c>
      <c r="AV386" s="2">
        <f>AV385*(1+AV$2)^(1/252) - AW386</f>
        <v>52955770.721104808</v>
      </c>
      <c r="AW386" s="2">
        <v>2719133.7120000003</v>
      </c>
      <c r="AX386" s="2">
        <v>0</v>
      </c>
      <c r="AY386" s="2">
        <v>0</v>
      </c>
      <c r="AZ386" s="2">
        <v>0</v>
      </c>
      <c r="BA386" s="2">
        <f>BA385*(1+VLOOKUP(A386,'SELIC Hist'!$A:$C,3,0))^(1/252) + 76002.59739552</f>
        <v>2938497.0018283422</v>
      </c>
      <c r="BB386" s="2">
        <f t="shared" si="57"/>
        <v>1656798236.9670391</v>
      </c>
      <c r="BC386" s="2">
        <v>0</v>
      </c>
      <c r="BD386" s="2">
        <v>0</v>
      </c>
      <c r="BE386" s="2">
        <f t="shared" si="67"/>
        <v>606760.87623310089</v>
      </c>
      <c r="BF386" s="2">
        <f t="shared" si="59"/>
        <v>606760.87623310089</v>
      </c>
      <c r="BG386" s="2">
        <f t="shared" si="60"/>
        <v>606760.87623310089</v>
      </c>
      <c r="BH386" s="11">
        <f t="shared" si="61"/>
        <v>1.1520522601261387</v>
      </c>
      <c r="BI386" s="12">
        <f t="shared" si="62"/>
        <v>3.6635913479354798E-4</v>
      </c>
      <c r="BJ386" s="12">
        <f t="shared" si="63"/>
        <v>3.6635913479354798E-4</v>
      </c>
      <c r="BK386" s="12">
        <f t="shared" si="64"/>
        <v>3.6635913479354798E-4</v>
      </c>
      <c r="BL386" s="5">
        <f t="shared" si="65"/>
        <v>0.15205226012613871</v>
      </c>
      <c r="BM386" s="19">
        <f t="shared" ref="BM386:BM411" si="76">BH386/BH260 - 1</f>
        <v>4.7337476270950418E-2</v>
      </c>
      <c r="BN386" s="19">
        <f t="shared" si="75"/>
        <v>9.9511645892555123E-2</v>
      </c>
      <c r="BO386" s="19" t="s">
        <v>53</v>
      </c>
    </row>
    <row r="387" spans="1:67" x14ac:dyDescent="0.25">
      <c r="A387" s="1">
        <v>45660</v>
      </c>
      <c r="B387" s="1" t="str">
        <f t="shared" si="58"/>
        <v>202501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f>I386*(1+((1+VLOOKUP($B387,'IPCA Hist'!$B:$C,2,0))^12 - 1)+$I$2)^(1/252)</f>
        <v>213904847.09897429</v>
      </c>
      <c r="J387" s="2">
        <f>J386*(1+((1+VLOOKUP($B387,'IPCA Hist'!$B:$C,2,0))^12 - 1)+$J$2)^(1/252)</f>
        <v>135876645.08332732</v>
      </c>
      <c r="K387" s="2">
        <f>K386*(1+((1+VLOOKUP($B387,'IPCA Hist'!$B:$C,2,0))^12 - 1)+$K$2)^(1/252)</f>
        <v>20604005.940641556</v>
      </c>
      <c r="L387" s="2">
        <f>L386*(1+((1+VLOOKUP($B387,'IPCA Hist'!$B:$C,2,0))^12 - 1)+$L$2)^(1/252)</f>
        <v>12545325.13157233</v>
      </c>
      <c r="M387" s="2">
        <v>0</v>
      </c>
      <c r="N387" s="2">
        <v>0</v>
      </c>
      <c r="O387" s="2">
        <v>0</v>
      </c>
      <c r="P387" s="2">
        <v>0</v>
      </c>
      <c r="Q387" s="2">
        <f>Q386*(1+((1+VLOOKUP($B387,'IPCA Hist'!$B:$C,2,0))^12 - 1)+$Q$2)^(1/252)</f>
        <v>46059414.04675772</v>
      </c>
      <c r="R387" s="2">
        <f>R386*(1+((1+VLOOKUP($B387,'IPCA Hist'!$B:$C,2,0))^12 - 1)+$R$2)^(1/252)</f>
        <v>46045012.526007406</v>
      </c>
      <c r="S387" s="2">
        <f>S386*(1+((1+VLOOKUP($B387,'IPCA Hist'!$B:$C,2,0))^12 - 1)+$S$2)^(1/252)</f>
        <v>47071725.454182573</v>
      </c>
      <c r="T387" s="2">
        <f>T386*(1+((1+VLOOKUP($B387,'IPCA Hist'!$B:$C,2,0))^12 - 1)+$T$2)^(1/252)</f>
        <v>237740647.38468945</v>
      </c>
      <c r="U387" s="2">
        <f>U386*(1+((1+VLOOKUP($B387,'IPCA Hist'!$B:$C,2,0))^12 - 1)+$U$2)^(1/252)</f>
        <v>20825322.617192291</v>
      </c>
      <c r="V387" s="2">
        <f>V386*(1+((1+VLOOKUP($B387,'IPCA Hist'!$B:$C,2,0))^12 - 1)+$V$2)^(1/252)</f>
        <v>80475414.421205282</v>
      </c>
      <c r="W387" s="2">
        <v>42364024.700000003</v>
      </c>
      <c r="X387" s="2">
        <v>0</v>
      </c>
      <c r="Y387" s="2">
        <v>0</v>
      </c>
      <c r="Z387" s="2">
        <f>Z386*(1+((1+VLOOKUP($B387,'IPCA Hist'!$B:$C,2,0))^12 - 1)+$Z$2)^(1/252)</f>
        <v>81018589.976351425</v>
      </c>
      <c r="AA387" s="2">
        <f>AA386*(1+((1+VLOOKUP($B387,'IPCA Hist'!$B:$C,2,0))^12 - 1)+$AA$2)^(1/252)</f>
        <v>40652918.221228279</v>
      </c>
      <c r="AB387" s="2">
        <f>AB386*(1+((1+VLOOKUP($B387,'IPCA Hist'!$B:$C,2,0))^12 - 1)+$AB$2)^(1/252)</f>
        <v>40667224.87402717</v>
      </c>
      <c r="AC387" s="2">
        <v>0</v>
      </c>
      <c r="AD387" s="2">
        <v>0</v>
      </c>
      <c r="AE387" s="2">
        <v>0</v>
      </c>
      <c r="AF387" s="2">
        <f>AF386*(1+((1+VLOOKUP($B387,'IGPM Hist'!$B:$C,2,0))^12 - 1)+$AF$2)^(1/252)</f>
        <v>1655471.438267661</v>
      </c>
      <c r="AG387" s="2">
        <v>0</v>
      </c>
      <c r="AH387" s="2">
        <v>0</v>
      </c>
      <c r="AI387" s="2">
        <v>0</v>
      </c>
      <c r="AJ387" s="2">
        <f t="shared" si="73"/>
        <v>53103228.318327419</v>
      </c>
      <c r="AK387" s="2">
        <f t="shared" si="69"/>
        <v>173953325.870051</v>
      </c>
      <c r="AL387" s="2">
        <f t="shared" si="70"/>
        <v>35675577.931046672</v>
      </c>
      <c r="AM387" s="2">
        <f t="shared" si="71"/>
        <v>124902092.13225356</v>
      </c>
      <c r="AN387" s="2">
        <f t="shared" si="72"/>
        <v>53508001.375444151</v>
      </c>
      <c r="AO387" s="2">
        <f t="shared" ref="AO387:AO393" si="77">AO386*(1+AO$2)^(1/252)</f>
        <v>22798658.41655352</v>
      </c>
      <c r="AP387" s="2">
        <v>0</v>
      </c>
      <c r="AQ387" s="2">
        <v>0</v>
      </c>
      <c r="AR387" s="2">
        <v>0</v>
      </c>
      <c r="AS387" s="2">
        <f t="shared" si="74"/>
        <v>104422139.0866098</v>
      </c>
      <c r="AT387" s="2">
        <f>AT386*(1+AT$2)^(1/252)</f>
        <v>5262330.414736704</v>
      </c>
      <c r="AU387" s="2">
        <v>0</v>
      </c>
      <c r="AV387" s="2">
        <f t="shared" si="68"/>
        <v>52979870.692005903</v>
      </c>
      <c r="AW387" s="2">
        <f t="shared" si="68"/>
        <v>2720652.4195103617</v>
      </c>
      <c r="AX387" s="2">
        <v>0</v>
      </c>
      <c r="AY387" s="2">
        <v>0</v>
      </c>
      <c r="AZ387" s="2">
        <v>0</v>
      </c>
      <c r="BA387" s="2">
        <f>BA386*(1+VLOOKUP(A387,'SELIC Hist'!$A:$C,3,0))^(1/252)+BC387-W387</f>
        <v>2575809.7047182396</v>
      </c>
      <c r="BB387" s="2">
        <f>SUM(C387:BA387)</f>
        <v>1699408275.2756822</v>
      </c>
      <c r="BC387" s="2">
        <v>42000000</v>
      </c>
      <c r="BD387" s="2">
        <v>0</v>
      </c>
      <c r="BE387" s="2">
        <f t="shared" si="67"/>
        <v>610038.30864310265</v>
      </c>
      <c r="BF387" s="2">
        <f t="shared" si="59"/>
        <v>1216799.1848762035</v>
      </c>
      <c r="BG387" s="2">
        <f t="shared" si="60"/>
        <v>1216799.1848762035</v>
      </c>
      <c r="BH387" s="11">
        <f t="shared" si="61"/>
        <v>1.1524764493825941</v>
      </c>
      <c r="BI387" s="12">
        <f t="shared" si="62"/>
        <v>3.6820313725094422E-4</v>
      </c>
      <c r="BJ387" s="12">
        <f t="shared" si="63"/>
        <v>7.3469716662732942E-4</v>
      </c>
      <c r="BK387" s="12">
        <f t="shared" si="64"/>
        <v>7.3469716662732942E-4</v>
      </c>
      <c r="BL387" s="5">
        <f t="shared" si="65"/>
        <v>0.15247644938259408</v>
      </c>
      <c r="BM387" s="19">
        <f t="shared" si="76"/>
        <v>4.7422204250072708E-2</v>
      </c>
      <c r="BN387" s="19">
        <f t="shared" si="75"/>
        <v>9.9069290663450493E-2</v>
      </c>
      <c r="BO387" s="19" t="s">
        <v>53</v>
      </c>
    </row>
    <row r="388" spans="1:67" x14ac:dyDescent="0.25">
      <c r="A388" s="1">
        <v>45663</v>
      </c>
      <c r="B388" s="1" t="str">
        <f t="shared" ref="B388:B430" si="78">_xlfn.CONCAT(TEXT(YEAR(A388),"0000"),TEXT(MONTH(A388),"00"))</f>
        <v>202501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f>I387*(1+((1+VLOOKUP($B388,'IPCA Hist'!$B:$C,2,0))^12 - 1)+$I$2)^(1/252)</f>
        <v>213967159.37527093</v>
      </c>
      <c r="J388" s="2">
        <f>J387*(1+((1+VLOOKUP($B388,'IPCA Hist'!$B:$C,2,0))^12 - 1)+$J$2)^(1/252)</f>
        <v>135913765.72083104</v>
      </c>
      <c r="K388" s="2">
        <f>K387*(1+((1+VLOOKUP($B388,'IPCA Hist'!$B:$C,2,0))^12 - 1)+$K$2)^(1/252)</f>
        <v>20610749.481161509</v>
      </c>
      <c r="L388" s="2">
        <f>L387*(1+((1+VLOOKUP($B388,'IPCA Hist'!$B:$C,2,0))^12 - 1)+$L$2)^(1/252)</f>
        <v>12549482.000631284</v>
      </c>
      <c r="M388" s="2">
        <v>0</v>
      </c>
      <c r="N388" s="2">
        <v>0</v>
      </c>
      <c r="O388" s="2">
        <v>0</v>
      </c>
      <c r="P388" s="2">
        <v>0</v>
      </c>
      <c r="Q388" s="2">
        <f>Q387*(1+((1+VLOOKUP($B388,'IPCA Hist'!$B:$C,2,0))^12 - 1)+$Q$2)^(1/252)</f>
        <v>46071963.050543703</v>
      </c>
      <c r="R388" s="2">
        <f>R387*(1+((1+VLOOKUP($B388,'IPCA Hist'!$B:$C,2,0))^12 - 1)+$R$2)^(1/252)</f>
        <v>46057574.669496186</v>
      </c>
      <c r="S388" s="2">
        <f>S387*(1+((1+VLOOKUP($B388,'IPCA Hist'!$B:$C,2,0))^12 - 1)+$S$2)^(1/252)</f>
        <v>47084358.274575219</v>
      </c>
      <c r="T388" s="2">
        <f>T387*(1+((1+VLOOKUP($B388,'IPCA Hist'!$B:$C,2,0))^12 - 1)+$T$2)^(1/252)</f>
        <v>237804362.55784464</v>
      </c>
      <c r="U388" s="2">
        <f>U387*(1+((1+VLOOKUP($B388,'IPCA Hist'!$B:$C,2,0))^12 - 1)+$U$2)^(1/252)</f>
        <v>20831940.435213547</v>
      </c>
      <c r="V388" s="2">
        <f>V387*(1+((1+VLOOKUP($B388,'IPCA Hist'!$B:$C,2,0))^12 - 1)+$V$2)^(1/252)</f>
        <v>80505293.226863071</v>
      </c>
      <c r="W388" s="2">
        <f>W387*(1+((1+VLOOKUP($B388,'IPCA Hist'!$B:$C,2,0))^12 - 1)+$W$2)^(1/252)</f>
        <v>42379892.872961149</v>
      </c>
      <c r="X388" s="2">
        <v>0</v>
      </c>
      <c r="Y388" s="2">
        <v>0</v>
      </c>
      <c r="Z388" s="2">
        <f>Z387*(1+((1+VLOOKUP($B388,'IPCA Hist'!$B:$C,2,0))^12 - 1)+$Z$2)^(1/252)</f>
        <v>81046704.980955318</v>
      </c>
      <c r="AA388" s="2">
        <f>AA387*(1+((1+VLOOKUP($B388,'IPCA Hist'!$B:$C,2,0))^12 - 1)+$AA$2)^(1/252)</f>
        <v>40668819.566470459</v>
      </c>
      <c r="AB388" s="2">
        <f>AB387*(1+((1+VLOOKUP($B388,'IPCA Hist'!$B:$C,2,0))^12 - 1)+$AB$2)^(1/252)</f>
        <v>40683117.185662396</v>
      </c>
      <c r="AC388" s="2">
        <v>0</v>
      </c>
      <c r="AD388" s="2">
        <v>0</v>
      </c>
      <c r="AE388" s="2">
        <v>0</v>
      </c>
      <c r="AF388" s="2">
        <f>AF387*(1+((1+VLOOKUP($B388,'IGPM Hist'!$B:$C,2,0))^12 - 1)+$AF$2)^(1/252)</f>
        <v>1656069.9942752211</v>
      </c>
      <c r="AG388" s="2">
        <v>0</v>
      </c>
      <c r="AH388" s="2">
        <v>0</v>
      </c>
      <c r="AI388" s="2">
        <v>0</v>
      </c>
      <c r="AJ388" s="2">
        <f t="shared" si="73"/>
        <v>53127677.186064012</v>
      </c>
      <c r="AK388" s="2">
        <f t="shared" si="69"/>
        <v>174037369.71903709</v>
      </c>
      <c r="AL388" s="2">
        <f t="shared" si="70"/>
        <v>35692820.507936366</v>
      </c>
      <c r="AM388" s="2">
        <f t="shared" si="71"/>
        <v>124962426.38072254</v>
      </c>
      <c r="AN388" s="2">
        <f t="shared" si="72"/>
        <v>53533867.349517606</v>
      </c>
      <c r="AO388" s="2">
        <f t="shared" si="77"/>
        <v>22811735.182528041</v>
      </c>
      <c r="AP388" s="2">
        <v>0</v>
      </c>
      <c r="AQ388" s="2">
        <v>0</v>
      </c>
      <c r="AR388" s="2">
        <v>0</v>
      </c>
      <c r="AS388" s="2">
        <f t="shared" si="74"/>
        <v>104468661.94534682</v>
      </c>
      <c r="AT388" s="2">
        <f t="shared" si="74"/>
        <v>5265307.6477298914</v>
      </c>
      <c r="AU388" s="2">
        <v>0</v>
      </c>
      <c r="AV388" s="2">
        <f t="shared" si="68"/>
        <v>53003981.630712576</v>
      </c>
      <c r="AW388" s="2">
        <f t="shared" si="68"/>
        <v>2722171.9752587085</v>
      </c>
      <c r="AX388" s="2">
        <v>0</v>
      </c>
      <c r="AY388" s="2">
        <v>0</v>
      </c>
      <c r="AZ388" s="2">
        <v>0</v>
      </c>
      <c r="BA388" s="2">
        <f>BA387*(1+VLOOKUP(A388,'SELIC Hist'!$A:$C,3,0))^(1/252)</f>
        <v>2576982.0371524007</v>
      </c>
      <c r="BB388" s="2">
        <f t="shared" ref="BB388:BB411" si="79">SUM(C388:BA388)</f>
        <v>1700034254.954762</v>
      </c>
      <c r="BC388" s="2">
        <v>0</v>
      </c>
      <c r="BD388" s="2">
        <v>0</v>
      </c>
      <c r="BE388" s="2">
        <f t="shared" si="67"/>
        <v>625979.67907977104</v>
      </c>
      <c r="BF388" s="2">
        <f t="shared" si="59"/>
        <v>1842778.8639559746</v>
      </c>
      <c r="BG388" s="2">
        <f t="shared" si="60"/>
        <v>1842778.8639559746</v>
      </c>
      <c r="BH388" s="11">
        <f t="shared" si="61"/>
        <v>1.1529009658736737</v>
      </c>
      <c r="BI388" s="12">
        <f t="shared" si="62"/>
        <v>3.6835155400094521E-4</v>
      </c>
      <c r="BJ388" s="12">
        <f t="shared" si="63"/>
        <v>1.103319347471432E-3</v>
      </c>
      <c r="BK388" s="12">
        <f t="shared" si="64"/>
        <v>1.103319347471432E-3</v>
      </c>
      <c r="BL388" s="5">
        <f t="shared" si="65"/>
        <v>0.15290096587367374</v>
      </c>
      <c r="BM388" s="19">
        <f t="shared" si="76"/>
        <v>4.7381091852021884E-2</v>
      </c>
      <c r="BN388" s="19">
        <f t="shared" si="75"/>
        <v>9.9301156837809268E-2</v>
      </c>
      <c r="BO388" s="19" t="s">
        <v>53</v>
      </c>
    </row>
    <row r="389" spans="1:67" x14ac:dyDescent="0.25">
      <c r="A389" s="1">
        <v>45664</v>
      </c>
      <c r="B389" s="1" t="str">
        <f t="shared" si="78"/>
        <v>202501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f>I388*(1+((1+VLOOKUP($B389,'IPCA Hist'!$B:$C,2,0))^12 - 1)+$I$2)^(1/252)</f>
        <v>214029489.80365637</v>
      </c>
      <c r="J389" s="2">
        <f>J388*(1+((1+VLOOKUP($B389,'IPCA Hist'!$B:$C,2,0))^12 - 1)+$J$2)^(1/252)</f>
        <v>135950896.49945745</v>
      </c>
      <c r="K389" s="2">
        <f>K388*(1+((1+VLOOKUP($B389,'IPCA Hist'!$B:$C,2,0))^12 - 1)+$K$2)^(1/252)</f>
        <v>20617495.228792973</v>
      </c>
      <c r="L389" s="2">
        <f>L388*(1+((1+VLOOKUP($B389,'IPCA Hist'!$B:$C,2,0))^12 - 1)+$L$2)^(1/252)</f>
        <v>12553640.247060707</v>
      </c>
      <c r="M389" s="2">
        <v>0</v>
      </c>
      <c r="N389" s="2">
        <v>0</v>
      </c>
      <c r="O389" s="2">
        <v>0</v>
      </c>
      <c r="P389" s="2">
        <v>0</v>
      </c>
      <c r="Q389" s="2">
        <f>Q388*(1+((1+VLOOKUP($B389,'IPCA Hist'!$B:$C,2,0))^12 - 1)+$Q$2)^(1/252)</f>
        <v>46084515.473337486</v>
      </c>
      <c r="R389" s="2">
        <f>R388*(1+((1+VLOOKUP($B389,'IPCA Hist'!$B:$C,2,0))^12 - 1)+$R$2)^(1/252)</f>
        <v>46070140.240228012</v>
      </c>
      <c r="S389" s="2">
        <f>S388*(1+((1+VLOOKUP($B389,'IPCA Hist'!$B:$C,2,0))^12 - 1)+$S$2)^(1/252)</f>
        <v>47096994.485286564</v>
      </c>
      <c r="T389" s="2">
        <f>T388*(1+((1+VLOOKUP($B389,'IPCA Hist'!$B:$C,2,0))^12 - 1)+$T$2)^(1/252)</f>
        <v>237868094.80684838</v>
      </c>
      <c r="U389" s="2">
        <f>U388*(1+((1+VLOOKUP($B389,'IPCA Hist'!$B:$C,2,0))^12 - 1)+$U$2)^(1/252)</f>
        <v>20838560.356228173</v>
      </c>
      <c r="V389" s="2">
        <f>V388*(1+((1+VLOOKUP($B389,'IPCA Hist'!$B:$C,2,0))^12 - 1)+$V$2)^(1/252)</f>
        <v>80535183.125884399</v>
      </c>
      <c r="W389" s="2">
        <f>W388*(1+((1+VLOOKUP($B389,'IPCA Hist'!$B:$C,2,0))^12 - 1)+$W$2)^(1/252)</f>
        <v>42395766.989618972</v>
      </c>
      <c r="X389" s="2">
        <v>0</v>
      </c>
      <c r="Y389" s="2">
        <v>0</v>
      </c>
      <c r="Z389" s="2">
        <f>Z388*(1+((1+VLOOKUP($B389,'IPCA Hist'!$B:$C,2,0))^12 - 1)+$Z$2)^(1/252)</f>
        <v>81074829.742005035</v>
      </c>
      <c r="AA389" s="2">
        <f>AA388*(1+((1+VLOOKUP($B389,'IPCA Hist'!$B:$C,2,0))^12 - 1)+$AA$2)^(1/252)</f>
        <v>40684727.131506734</v>
      </c>
      <c r="AB389" s="2">
        <f>AB388*(1+((1+VLOOKUP($B389,'IPCA Hist'!$B:$C,2,0))^12 - 1)+$AB$2)^(1/252)</f>
        <v>40699015.707841128</v>
      </c>
      <c r="AC389" s="2">
        <v>0</v>
      </c>
      <c r="AD389" s="2">
        <v>0</v>
      </c>
      <c r="AE389" s="2">
        <v>0</v>
      </c>
      <c r="AF389" s="2">
        <f>AF388*(1+((1+VLOOKUP($B389,'IGPM Hist'!$B:$C,2,0))^12 - 1)+$AF$2)^(1/252)</f>
        <v>1656668.7666980489</v>
      </c>
      <c r="AG389" s="2">
        <v>0</v>
      </c>
      <c r="AH389" s="2">
        <v>0</v>
      </c>
      <c r="AI389" s="2">
        <v>0</v>
      </c>
      <c r="AJ389" s="2">
        <f t="shared" si="73"/>
        <v>53152137.31012442</v>
      </c>
      <c r="AK389" s="2">
        <f t="shared" si="69"/>
        <v>174121454.17298725</v>
      </c>
      <c r="AL389" s="2">
        <f t="shared" si="70"/>
        <v>35710071.418439001</v>
      </c>
      <c r="AM389" s="2">
        <f t="shared" si="71"/>
        <v>125022789.77379172</v>
      </c>
      <c r="AN389" s="2">
        <f t="shared" si="72"/>
        <v>53559745.827302612</v>
      </c>
      <c r="AO389" s="2">
        <f t="shared" si="77"/>
        <v>22824819.449023217</v>
      </c>
      <c r="AP389" s="2">
        <v>0</v>
      </c>
      <c r="AQ389" s="2">
        <v>0</v>
      </c>
      <c r="AR389" s="2">
        <v>0</v>
      </c>
      <c r="AS389" s="2">
        <f t="shared" si="74"/>
        <v>104515205.53126299</v>
      </c>
      <c r="AT389" s="2">
        <f t="shared" si="74"/>
        <v>5268286.5651319996</v>
      </c>
      <c r="AU389" s="2">
        <v>0</v>
      </c>
      <c r="AV389" s="2">
        <f t="shared" si="68"/>
        <v>53028103.542216234</v>
      </c>
      <c r="AW389" s="2">
        <f t="shared" si="68"/>
        <v>2723692.3797188038</v>
      </c>
      <c r="AX389" s="2">
        <v>0</v>
      </c>
      <c r="AY389" s="2">
        <v>0</v>
      </c>
      <c r="AZ389" s="2">
        <v>0</v>
      </c>
      <c r="BA389" s="2">
        <f>BA388*(1+VLOOKUP(A389,'SELIC Hist'!$A:$C,3,0))^(1/252)</f>
        <v>2578154.903152117</v>
      </c>
      <c r="BB389" s="2">
        <f t="shared" si="79"/>
        <v>1700660479.4776011</v>
      </c>
      <c r="BC389" s="2">
        <v>0</v>
      </c>
      <c r="BD389" s="2">
        <v>0</v>
      </c>
      <c r="BE389" s="2">
        <f t="shared" si="67"/>
        <v>626224.52283906937</v>
      </c>
      <c r="BF389" s="2">
        <f t="shared" ref="BF389:BF446" si="80">IF(MONTH(A389)=MONTH(A388),BE389+BF388,BE389)</f>
        <v>2469003.3867950439</v>
      </c>
      <c r="BG389" s="2">
        <f t="shared" ref="BG389:BG446" si="81">IF(YEAR(A389)=YEAR(A388),BE389+BG388,BE389)</f>
        <v>2469003.3867950439</v>
      </c>
      <c r="BH389" s="11">
        <f t="shared" ref="BH389:BH411" si="82">(1+(BB389-BB388-BC389+BD389)/BB388)*BH388</f>
        <v>1.153325648408823</v>
      </c>
      <c r="BI389" s="12">
        <f t="shared" ref="BI389:BI411" si="83">BH389/BH388 - 1</f>
        <v>3.6835994393280558E-4</v>
      </c>
      <c r="BJ389" s="12">
        <f t="shared" ref="BJ389:BJ411" si="84">IF(MONTH(A389)=MONTH(A388),(1+BI389)*(1+BJ388) - 1,BI389)</f>
        <v>1.4720857100571916E-3</v>
      </c>
      <c r="BK389" s="12">
        <f t="shared" ref="BK389:BK411" si="85">IF(YEAR(A389)=YEAR(A388),(1+BI389)*(1+BK388) - 1,BI389)</f>
        <v>1.4720857100571916E-3</v>
      </c>
      <c r="BL389" s="5">
        <f t="shared" ref="BL389:BL411" si="86">(1+BI389)*(1+BL388) - 1</f>
        <v>0.15332564840882301</v>
      </c>
      <c r="BM389" s="19">
        <f t="shared" si="76"/>
        <v>4.7755763728706935E-2</v>
      </c>
      <c r="BN389" s="19">
        <f t="shared" si="75"/>
        <v>9.9450756492404979E-2</v>
      </c>
      <c r="BO389" s="19" t="s">
        <v>53</v>
      </c>
    </row>
    <row r="390" spans="1:67" x14ac:dyDescent="0.25">
      <c r="A390" s="1">
        <v>45665</v>
      </c>
      <c r="B390" s="1" t="str">
        <f t="shared" si="78"/>
        <v>202501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f>I389*(1+((1+VLOOKUP($B390,'IPCA Hist'!$B:$C,2,0))^12 - 1)+$I$2)^(1/252)</f>
        <v>214091838.38941845</v>
      </c>
      <c r="J390" s="2">
        <f>J389*(1+((1+VLOOKUP($B390,'IPCA Hist'!$B:$C,2,0))^12 - 1)+$J$2)^(1/252)</f>
        <v>135988037.42197704</v>
      </c>
      <c r="K390" s="2">
        <f>K389*(1+((1+VLOOKUP($B390,'IPCA Hist'!$B:$C,2,0))^12 - 1)+$K$2)^(1/252)</f>
        <v>20624243.184258323</v>
      </c>
      <c r="L390" s="2">
        <f>L389*(1+((1+VLOOKUP($B390,'IPCA Hist'!$B:$C,2,0))^12 - 1)+$L$2)^(1/252)</f>
        <v>12557799.87131699</v>
      </c>
      <c r="M390" s="2">
        <v>0</v>
      </c>
      <c r="N390" s="2">
        <v>0</v>
      </c>
      <c r="O390" s="2">
        <v>0</v>
      </c>
      <c r="P390" s="2">
        <v>0</v>
      </c>
      <c r="Q390" s="2">
        <f>Q389*(1+((1+VLOOKUP($B390,'IPCA Hist'!$B:$C,2,0))^12 - 1)+$Q$2)^(1/252)</f>
        <v>46097071.316070594</v>
      </c>
      <c r="R390" s="2">
        <f>R389*(1+((1+VLOOKUP($B390,'IPCA Hist'!$B:$C,2,0))^12 - 1)+$R$2)^(1/252)</f>
        <v>46082709.239137918</v>
      </c>
      <c r="S390" s="2">
        <f>S389*(1+((1+VLOOKUP($B390,'IPCA Hist'!$B:$C,2,0))^12 - 1)+$S$2)^(1/252)</f>
        <v>47109634.087226488</v>
      </c>
      <c r="T390" s="2">
        <f>T389*(1+((1+VLOOKUP($B390,'IPCA Hist'!$B:$C,2,0))^12 - 1)+$T$2)^(1/252)</f>
        <v>237931844.13627705</v>
      </c>
      <c r="U390" s="2">
        <f>U389*(1+((1+VLOOKUP($B390,'IPCA Hist'!$B:$C,2,0))^12 - 1)+$U$2)^(1/252)</f>
        <v>20845182.380904451</v>
      </c>
      <c r="V390" s="2">
        <f>V389*(1+((1+VLOOKUP($B390,'IPCA Hist'!$B:$C,2,0))^12 - 1)+$V$2)^(1/252)</f>
        <v>80565084.12238799</v>
      </c>
      <c r="W390" s="2">
        <f>W389*(1+((1+VLOOKUP($B390,'IPCA Hist'!$B:$C,2,0))^12 - 1)+$W$2)^(1/252)</f>
        <v>42411647.052199796</v>
      </c>
      <c r="X390" s="2">
        <v>0</v>
      </c>
      <c r="Y390" s="2">
        <v>0</v>
      </c>
      <c r="Z390" s="2">
        <f>Z389*(1+((1+VLOOKUP($B390,'IPCA Hist'!$B:$C,2,0))^12 - 1)+$Z$2)^(1/252)</f>
        <v>81102964.262886241</v>
      </c>
      <c r="AA390" s="2">
        <f>AA389*(1+((1+VLOOKUP($B390,'IPCA Hist'!$B:$C,2,0))^12 - 1)+$AA$2)^(1/252)</f>
        <v>40700640.918769963</v>
      </c>
      <c r="AB390" s="2">
        <f>AB389*(1+((1+VLOOKUP($B390,'IPCA Hist'!$B:$C,2,0))^12 - 1)+$AB$2)^(1/252)</f>
        <v>40714920.44299037</v>
      </c>
      <c r="AC390" s="2">
        <v>0</v>
      </c>
      <c r="AD390" s="2">
        <v>0</v>
      </c>
      <c r="AE390" s="2">
        <v>0</v>
      </c>
      <c r="AF390" s="2">
        <f>AF389*(1+((1+VLOOKUP($B390,'IGPM Hist'!$B:$C,2,0))^12 - 1)+$AF$2)^(1/252)</f>
        <v>1657267.7556143918</v>
      </c>
      <c r="AG390" s="2">
        <v>0</v>
      </c>
      <c r="AH390" s="2">
        <v>0</v>
      </c>
      <c r="AI390" s="2">
        <v>0</v>
      </c>
      <c r="AJ390" s="2">
        <f t="shared" si="73"/>
        <v>53176608.695691086</v>
      </c>
      <c r="AK390" s="2">
        <f t="shared" si="69"/>
        <v>174205579.25151941</v>
      </c>
      <c r="AL390" s="2">
        <f t="shared" si="70"/>
        <v>35727330.666582339</v>
      </c>
      <c r="AM390" s="2">
        <f t="shared" si="71"/>
        <v>125083182.32553945</v>
      </c>
      <c r="AN390" s="2">
        <f t="shared" si="72"/>
        <v>53585636.814843506</v>
      </c>
      <c r="AO390" s="2">
        <f t="shared" si="77"/>
        <v>22837911.220341165</v>
      </c>
      <c r="AP390" s="2">
        <v>0</v>
      </c>
      <c r="AQ390" s="2">
        <v>0</v>
      </c>
      <c r="AR390" s="2">
        <v>0</v>
      </c>
      <c r="AS390" s="2">
        <f t="shared" si="74"/>
        <v>104561769.85359284</v>
      </c>
      <c r="AT390" s="2">
        <f t="shared" si="74"/>
        <v>5271267.1678960053</v>
      </c>
      <c r="AU390" s="2">
        <v>0</v>
      </c>
      <c r="AV390" s="2">
        <f t="shared" si="68"/>
        <v>53052236.431510553</v>
      </c>
      <c r="AW390" s="2">
        <f t="shared" si="68"/>
        <v>2725213.6333646756</v>
      </c>
      <c r="AX390" s="2">
        <v>0</v>
      </c>
      <c r="AY390" s="2">
        <v>0</v>
      </c>
      <c r="AZ390" s="2">
        <v>0</v>
      </c>
      <c r="BA390" s="2">
        <f>BA389*(1+VLOOKUP(A390,'SELIC Hist'!$A:$C,3,0))^(1/252)</f>
        <v>2579328.3029602319</v>
      </c>
      <c r="BB390" s="2">
        <f t="shared" si="79"/>
        <v>1701286948.9452772</v>
      </c>
      <c r="BC390" s="2">
        <v>0</v>
      </c>
      <c r="BD390" s="2">
        <v>0</v>
      </c>
      <c r="BE390" s="2">
        <f t="shared" si="67"/>
        <v>626469.46767616272</v>
      </c>
      <c r="BF390" s="2">
        <f t="shared" si="80"/>
        <v>3095472.8544712067</v>
      </c>
      <c r="BG390" s="2">
        <f t="shared" si="81"/>
        <v>3095472.8544712067</v>
      </c>
      <c r="BH390" s="11">
        <f t="shared" si="82"/>
        <v>1.1537504970565895</v>
      </c>
      <c r="BI390" s="12">
        <f t="shared" si="83"/>
        <v>3.6836833408893099E-4</v>
      </c>
      <c r="BJ390" s="12">
        <f t="shared" si="84"/>
        <v>1.8409963139067731E-3</v>
      </c>
      <c r="BK390" s="12">
        <f t="shared" si="85"/>
        <v>1.8409963139067731E-3</v>
      </c>
      <c r="BL390" s="5">
        <f t="shared" si="86"/>
        <v>0.1537504970565895</v>
      </c>
      <c r="BM390" s="19">
        <f t="shared" si="76"/>
        <v>4.7829886696560742E-2</v>
      </c>
      <c r="BN390" s="19">
        <f t="shared" si="75"/>
        <v>9.9237166424493761E-2</v>
      </c>
      <c r="BO390" s="19" t="s">
        <v>53</v>
      </c>
    </row>
    <row r="391" spans="1:67" x14ac:dyDescent="0.25">
      <c r="A391" s="1">
        <v>45666</v>
      </c>
      <c r="B391" s="1" t="str">
        <f t="shared" si="78"/>
        <v>202501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f>I390*(1+((1+VLOOKUP($B391,'IPCA Hist'!$B:$C,2,0))^12 - 1)+$I$2)^(1/252)</f>
        <v>214154205.13784656</v>
      </c>
      <c r="J391" s="2">
        <f>J390*(1+((1+VLOOKUP($B391,'IPCA Hist'!$B:$C,2,0))^12 - 1)+$J$2)^(1/252)</f>
        <v>136025188.49116105</v>
      </c>
      <c r="K391" s="2">
        <f>K390*(1+((1+VLOOKUP($B391,'IPCA Hist'!$B:$C,2,0))^12 - 1)+$K$2)^(1/252)</f>
        <v>20630993.348280169</v>
      </c>
      <c r="L391" s="2">
        <f>L390*(1+((1+VLOOKUP($B391,'IPCA Hist'!$B:$C,2,0))^12 - 1)+$L$2)^(1/252)</f>
        <v>12561960.873856671</v>
      </c>
      <c r="M391" s="2">
        <v>0</v>
      </c>
      <c r="N391" s="2">
        <v>0</v>
      </c>
      <c r="O391" s="2">
        <v>0</v>
      </c>
      <c r="P391" s="2">
        <v>0</v>
      </c>
      <c r="Q391" s="2">
        <f>Q390*(1+((1+VLOOKUP($B391,'IPCA Hist'!$B:$C,2,0))^12 - 1)+$Q$2)^(1/252)</f>
        <v>46109630.579674788</v>
      </c>
      <c r="R391" s="2">
        <f>R390*(1+((1+VLOOKUP($B391,'IPCA Hist'!$B:$C,2,0))^12 - 1)+$R$2)^(1/252)</f>
        <v>46095281.667161189</v>
      </c>
      <c r="S391" s="2">
        <f>S390*(1+((1+VLOOKUP($B391,'IPCA Hist'!$B:$C,2,0))^12 - 1)+$S$2)^(1/252)</f>
        <v>47122277.081305102</v>
      </c>
      <c r="T391" s="2">
        <f>T390*(1+((1+VLOOKUP($B391,'IPCA Hist'!$B:$C,2,0))^12 - 1)+$T$2)^(1/252)</f>
        <v>237995610.55070826</v>
      </c>
      <c r="U391" s="2">
        <f>U390*(1+((1+VLOOKUP($B391,'IPCA Hist'!$B:$C,2,0))^12 - 1)+$U$2)^(1/252)</f>
        <v>20851806.509910878</v>
      </c>
      <c r="V391" s="2">
        <f>V390*(1+((1+VLOOKUP($B391,'IPCA Hist'!$B:$C,2,0))^12 - 1)+$V$2)^(1/252)</f>
        <v>80594996.220494092</v>
      </c>
      <c r="W391" s="2">
        <f>W390*(1+((1+VLOOKUP($B391,'IPCA Hist'!$B:$C,2,0))^12 - 1)+$W$2)^(1/252)</f>
        <v>42427533.062930763</v>
      </c>
      <c r="X391" s="2">
        <v>0</v>
      </c>
      <c r="Y391" s="2">
        <v>0</v>
      </c>
      <c r="Z391" s="2">
        <f>Z390*(1+((1+VLOOKUP($B391,'IPCA Hist'!$B:$C,2,0))^12 - 1)+$Z$2)^(1/252)</f>
        <v>81131108.546985805</v>
      </c>
      <c r="AA391" s="2">
        <f>AA390*(1+((1+VLOOKUP($B391,'IPCA Hist'!$B:$C,2,0))^12 - 1)+$AA$2)^(1/252)</f>
        <v>40716560.930693962</v>
      </c>
      <c r="AB391" s="2">
        <f>AB390*(1+((1+VLOOKUP($B391,'IPCA Hist'!$B:$C,2,0))^12 - 1)+$AB$2)^(1/252)</f>
        <v>40730831.393538088</v>
      </c>
      <c r="AC391" s="2">
        <v>0</v>
      </c>
      <c r="AD391" s="2">
        <v>0</v>
      </c>
      <c r="AE391" s="2">
        <v>0</v>
      </c>
      <c r="AF391" s="2">
        <f>AF390*(1+((1+VLOOKUP($B391,'IGPM Hist'!$B:$C,2,0))^12 - 1)+$AF$2)^(1/252)</f>
        <v>1657866.9611025257</v>
      </c>
      <c r="AG391" s="2">
        <v>0</v>
      </c>
      <c r="AH391" s="2">
        <v>0</v>
      </c>
      <c r="AI391" s="2">
        <v>0</v>
      </c>
      <c r="AJ391" s="2">
        <f t="shared" si="73"/>
        <v>53201091.347948834</v>
      </c>
      <c r="AK391" s="2">
        <f t="shared" si="69"/>
        <v>174289744.97426096</v>
      </c>
      <c r="AL391" s="2">
        <f t="shared" si="70"/>
        <v>35744598.2563961</v>
      </c>
      <c r="AM391" s="2">
        <f t="shared" si="71"/>
        <v>125143604.05005091</v>
      </c>
      <c r="AN391" s="2">
        <f t="shared" si="72"/>
        <v>53611540.318187557</v>
      </c>
      <c r="AO391" s="2">
        <f t="shared" si="77"/>
        <v>22851010.500786476</v>
      </c>
      <c r="AP391" s="2">
        <v>0</v>
      </c>
      <c r="AQ391" s="2">
        <v>0</v>
      </c>
      <c r="AR391" s="2">
        <v>0</v>
      </c>
      <c r="AS391" s="2">
        <f t="shared" si="74"/>
        <v>104608354.92157499</v>
      </c>
      <c r="AT391" s="2">
        <f t="shared" si="74"/>
        <v>5274249.4569754247</v>
      </c>
      <c r="AU391" s="2">
        <v>0</v>
      </c>
      <c r="AV391" s="2">
        <f t="shared" si="68"/>
        <v>53076380.303591482</v>
      </c>
      <c r="AW391" s="2">
        <f t="shared" si="68"/>
        <v>2726735.7366706161</v>
      </c>
      <c r="AX391" s="2">
        <v>0</v>
      </c>
      <c r="AY391" s="2">
        <v>0</v>
      </c>
      <c r="AZ391" s="2">
        <v>0</v>
      </c>
      <c r="BA391" s="2">
        <f>BA390*(1+VLOOKUP(A391,'SELIC Hist'!$A:$C,3,0))^(1/252)</f>
        <v>2580502.2368196975</v>
      </c>
      <c r="BB391" s="2">
        <f t="shared" si="79"/>
        <v>1701913663.4589133</v>
      </c>
      <c r="BC391" s="2">
        <v>0</v>
      </c>
      <c r="BD391" s="2">
        <v>0</v>
      </c>
      <c r="BE391" s="2">
        <f t="shared" si="67"/>
        <v>626714.51363611221</v>
      </c>
      <c r="BF391" s="2">
        <f t="shared" si="80"/>
        <v>3722187.3681073189</v>
      </c>
      <c r="BG391" s="2">
        <f t="shared" si="81"/>
        <v>3722187.3681073189</v>
      </c>
      <c r="BH391" s="11">
        <f t="shared" si="82"/>
        <v>1.1541755118855508</v>
      </c>
      <c r="BI391" s="12">
        <f t="shared" si="83"/>
        <v>3.6837672446998759E-4</v>
      </c>
      <c r="BJ391" s="12">
        <f t="shared" si="84"/>
        <v>2.2100512185685428E-3</v>
      </c>
      <c r="BK391" s="12">
        <f t="shared" si="85"/>
        <v>2.2100512185685428E-3</v>
      </c>
      <c r="BL391" s="5">
        <f t="shared" si="86"/>
        <v>0.15417551188555079</v>
      </c>
      <c r="BM391" s="19">
        <f t="shared" si="76"/>
        <v>4.782813161120969E-2</v>
      </c>
      <c r="BN391" s="19">
        <f t="shared" si="75"/>
        <v>9.9277595724737377E-2</v>
      </c>
      <c r="BO391" s="19" t="s">
        <v>53</v>
      </c>
    </row>
    <row r="392" spans="1:67" x14ac:dyDescent="0.25">
      <c r="A392" s="1">
        <v>45667</v>
      </c>
      <c r="B392" s="1" t="str">
        <f t="shared" si="78"/>
        <v>202501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f>I391*(1+((1+VLOOKUP($B392,'IPCA Hist'!$B:$C,2,0))^12 - 1)+$I$2)^(1/252)</f>
        <v>214216590.05423164</v>
      </c>
      <c r="J392" s="2">
        <f>J391*(1+((1+VLOOKUP($B392,'IPCA Hist'!$B:$C,2,0))^12 - 1)+$J$2)^(1/252)</f>
        <v>136062349.7097815</v>
      </c>
      <c r="K392" s="2">
        <f>K391*(1+((1+VLOOKUP($B392,'IPCA Hist'!$B:$C,2,0))^12 - 1)+$K$2)^(1/252)</f>
        <v>20637745.721581351</v>
      </c>
      <c r="L392" s="2">
        <f>L391*(1+((1+VLOOKUP($B392,'IPCA Hist'!$B:$C,2,0))^12 - 1)+$L$2)^(1/252)</f>
        <v>12566123.255136443</v>
      </c>
      <c r="M392" s="2">
        <v>0</v>
      </c>
      <c r="N392" s="2">
        <v>0</v>
      </c>
      <c r="O392" s="2">
        <v>0</v>
      </c>
      <c r="P392" s="2">
        <v>0</v>
      </c>
      <c r="Q392" s="2">
        <f>Q391*(1+((1+VLOOKUP($B392,'IPCA Hist'!$B:$C,2,0))^12 - 1)+$Q$2)^(1/252)</f>
        <v>46122193.265082099</v>
      </c>
      <c r="R392" s="2">
        <f>R391*(1+((1+VLOOKUP($B392,'IPCA Hist'!$B:$C,2,0))^12 - 1)+$R$2)^(1/252)</f>
        <v>46107857.525233366</v>
      </c>
      <c r="S392" s="2">
        <f>S391*(1+((1+VLOOKUP($B392,'IPCA Hist'!$B:$C,2,0))^12 - 1)+$S$2)^(1/252)</f>
        <v>47134923.468432762</v>
      </c>
      <c r="T392" s="2">
        <f>T391*(1+((1+VLOOKUP($B392,'IPCA Hist'!$B:$C,2,0))^12 - 1)+$T$2)^(1/252)</f>
        <v>238059394.05472082</v>
      </c>
      <c r="U392" s="2">
        <f>U391*(1+((1+VLOOKUP($B392,'IPCA Hist'!$B:$C,2,0))^12 - 1)+$U$2)^(1/252)</f>
        <v>20858432.743916161</v>
      </c>
      <c r="V392" s="2">
        <f>V391*(1+((1+VLOOKUP($B392,'IPCA Hist'!$B:$C,2,0))^12 - 1)+$V$2)^(1/252)</f>
        <v>80624919.424324512</v>
      </c>
      <c r="W392" s="2">
        <f>W391*(1+((1+VLOOKUP($B392,'IPCA Hist'!$B:$C,2,0))^12 - 1)+$W$2)^(1/252)</f>
        <v>42443425.024039857</v>
      </c>
      <c r="X392" s="2">
        <v>0</v>
      </c>
      <c r="Y392" s="2">
        <v>0</v>
      </c>
      <c r="Z392" s="2">
        <f>Z391*(1+((1+VLOOKUP($B392,'IPCA Hist'!$B:$C,2,0))^12 - 1)+$Z$2)^(1/252)</f>
        <v>81159262.59769173</v>
      </c>
      <c r="AA392" s="2">
        <f>AA391*(1+((1+VLOOKUP($B392,'IPCA Hist'!$B:$C,2,0))^12 - 1)+$AA$2)^(1/252)</f>
        <v>40732487.169713505</v>
      </c>
      <c r="AB392" s="2">
        <f>AB391*(1+((1+VLOOKUP($B392,'IPCA Hist'!$B:$C,2,0))^12 - 1)+$AB$2)^(1/252)</f>
        <v>40746748.561913192</v>
      </c>
      <c r="AC392" s="2">
        <v>0</v>
      </c>
      <c r="AD392" s="2">
        <v>0</v>
      </c>
      <c r="AE392" s="2">
        <v>0</v>
      </c>
      <c r="AF392" s="2">
        <f>AF391*(1+((1+VLOOKUP($B392,'IGPM Hist'!$B:$C,2,0))^12 - 1)+$AF$2)^(1/252)</f>
        <v>1658466.3832407547</v>
      </c>
      <c r="AG392" s="2">
        <v>0</v>
      </c>
      <c r="AH392" s="2">
        <v>0</v>
      </c>
      <c r="AI392" s="2">
        <v>0</v>
      </c>
      <c r="AJ392" s="2">
        <f t="shared" si="73"/>
        <v>53225585.272084884</v>
      </c>
      <c r="AK392" s="2">
        <f t="shared" si="69"/>
        <v>174373951.3608487</v>
      </c>
      <c r="AL392" s="2">
        <f t="shared" si="70"/>
        <v>35761874.191911943</v>
      </c>
      <c r="AM392" s="2">
        <f t="shared" si="71"/>
        <v>125204054.96141808</v>
      </c>
      <c r="AN392" s="2">
        <f t="shared" si="72"/>
        <v>53637456.343384951</v>
      </c>
      <c r="AO392" s="2">
        <f t="shared" si="77"/>
        <v>22864117.294666205</v>
      </c>
      <c r="AP392" s="2">
        <v>0</v>
      </c>
      <c r="AQ392" s="2">
        <v>0</v>
      </c>
      <c r="AR392" s="2">
        <v>0</v>
      </c>
      <c r="AS392" s="2">
        <f t="shared" si="74"/>
        <v>104654960.74445219</v>
      </c>
      <c r="AT392" s="2">
        <f t="shared" si="74"/>
        <v>5277233.4333243128</v>
      </c>
      <c r="AU392" s="2">
        <v>0</v>
      </c>
      <c r="AV392" s="2">
        <f t="shared" si="68"/>
        <v>53100535.163457252</v>
      </c>
      <c r="AW392" s="2">
        <f t="shared" si="68"/>
        <v>2728258.6901111831</v>
      </c>
      <c r="AX392" s="2">
        <v>0</v>
      </c>
      <c r="AY392" s="2">
        <v>0</v>
      </c>
      <c r="AZ392" s="2">
        <v>0</v>
      </c>
      <c r="BA392" s="2">
        <f>BA391*(1+VLOOKUP(A392,'SELIC Hist'!$A:$C,3,0))^(1/252)</f>
        <v>2581676.7049735785</v>
      </c>
      <c r="BB392" s="2">
        <f t="shared" si="79"/>
        <v>1702540623.1196733</v>
      </c>
      <c r="BC392" s="2">
        <v>0</v>
      </c>
      <c r="BD392" s="2">
        <v>0</v>
      </c>
      <c r="BE392" s="2">
        <f t="shared" si="67"/>
        <v>626959.66075992584</v>
      </c>
      <c r="BF392" s="2">
        <f t="shared" si="80"/>
        <v>4349147.0288672447</v>
      </c>
      <c r="BG392" s="2">
        <f t="shared" si="81"/>
        <v>4349147.0288672447</v>
      </c>
      <c r="BH392" s="11">
        <f t="shared" si="82"/>
        <v>1.1546006929643129</v>
      </c>
      <c r="BI392" s="12">
        <f t="shared" si="83"/>
        <v>3.6838511507442107E-4</v>
      </c>
      <c r="BJ392" s="12">
        <f t="shared" si="84"/>
        <v>2.5792504836155139E-3</v>
      </c>
      <c r="BK392" s="12">
        <f t="shared" si="85"/>
        <v>2.5792504836155139E-3</v>
      </c>
      <c r="BL392" s="5">
        <f t="shared" si="86"/>
        <v>0.15460069296431289</v>
      </c>
      <c r="BM392" s="19">
        <f t="shared" si="76"/>
        <v>4.7544458156420388E-2</v>
      </c>
      <c r="BN392" s="19">
        <f t="shared" si="75"/>
        <v>9.9500299145723003E-2</v>
      </c>
      <c r="BO392" s="19" t="s">
        <v>53</v>
      </c>
    </row>
    <row r="393" spans="1:67" x14ac:dyDescent="0.25">
      <c r="A393" s="1">
        <v>45670</v>
      </c>
      <c r="B393" s="1" t="str">
        <f t="shared" si="78"/>
        <v>202501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f>I392*(1+((1+VLOOKUP($B393,'IPCA Hist'!$B:$C,2,0))^12 - 1)+$I$2)^(1/252)</f>
        <v>214278993.14386618</v>
      </c>
      <c r="J393" s="2">
        <f>J392*(1+((1+VLOOKUP($B393,'IPCA Hist'!$B:$C,2,0))^12 - 1)+$J$2)^(1/252)</f>
        <v>136099521.08061114</v>
      </c>
      <c r="K393" s="2">
        <f>K392*(1+((1+VLOOKUP($B393,'IPCA Hist'!$B:$C,2,0))^12 - 1)+$K$2)^(1/252)</f>
        <v>20644500.304884952</v>
      </c>
      <c r="L393" s="2">
        <f>L392*(1+((1+VLOOKUP($B393,'IPCA Hist'!$B:$C,2,0))^12 - 1)+$L$2)^(1/252)</f>
        <v>12570287.01561315</v>
      </c>
      <c r="M393" s="2">
        <v>0</v>
      </c>
      <c r="N393" s="2">
        <v>0</v>
      </c>
      <c r="O393" s="2">
        <v>0</v>
      </c>
      <c r="P393" s="2">
        <v>0</v>
      </c>
      <c r="Q393" s="2">
        <f>Q392*(1+((1+VLOOKUP($B393,'IPCA Hist'!$B:$C,2,0))^12 - 1)+$Q$2)^(1/252)</f>
        <v>46134759.37322481</v>
      </c>
      <c r="R393" s="2">
        <f>R392*(1+((1+VLOOKUP($B393,'IPCA Hist'!$B:$C,2,0))^12 - 1)+$R$2)^(1/252)</f>
        <v>46120436.81429024</v>
      </c>
      <c r="S393" s="2">
        <f>S392*(1+((1+VLOOKUP($B393,'IPCA Hist'!$B:$C,2,0))^12 - 1)+$S$2)^(1/252)</f>
        <v>47147573.249520086</v>
      </c>
      <c r="T393" s="2">
        <f>T392*(1+((1+VLOOKUP($B393,'IPCA Hist'!$B:$C,2,0))^12 - 1)+$T$2)^(1/252)</f>
        <v>238123194.65289479</v>
      </c>
      <c r="U393" s="2">
        <f>U392*(1+((1+VLOOKUP($B393,'IPCA Hist'!$B:$C,2,0))^12 - 1)+$U$2)^(1/252)</f>
        <v>20865061.083589226</v>
      </c>
      <c r="V393" s="2">
        <f>V392*(1+((1+VLOOKUP($B393,'IPCA Hist'!$B:$C,2,0))^12 - 1)+$V$2)^(1/252)</f>
        <v>80654853.738002554</v>
      </c>
      <c r="W393" s="2">
        <f>W392*(1+((1+VLOOKUP($B393,'IPCA Hist'!$B:$C,2,0))^12 - 1)+$W$2)^(1/252)</f>
        <v>42459322.937755898</v>
      </c>
      <c r="X393" s="2">
        <v>0</v>
      </c>
      <c r="Y393" s="2">
        <v>0</v>
      </c>
      <c r="Z393" s="2">
        <f>Z392*(1+((1+VLOOKUP($B393,'IPCA Hist'!$B:$C,2,0))^12 - 1)+$Z$2)^(1/252)</f>
        <v>81187426.418393224</v>
      </c>
      <c r="AA393" s="2">
        <f>AA392*(1+((1+VLOOKUP($B393,'IPCA Hist'!$B:$C,2,0))^12 - 1)+$AA$2)^(1/252)</f>
        <v>40748419.638264313</v>
      </c>
      <c r="AB393" s="2">
        <f>AB392*(1+((1+VLOOKUP($B393,'IPCA Hist'!$B:$C,2,0))^12 - 1)+$AB$2)^(1/252)</f>
        <v>40762671.950545542</v>
      </c>
      <c r="AC393" s="2">
        <v>0</v>
      </c>
      <c r="AD393" s="2">
        <v>0</v>
      </c>
      <c r="AE393" s="2">
        <v>0</v>
      </c>
      <c r="AF393" s="2">
        <f>AF392*(1+((1+VLOOKUP($B393,'IGPM Hist'!$B:$C,2,0))^12 - 1)+$AF$2)^(1/252)</f>
        <v>1659066.0221074114</v>
      </c>
      <c r="AG393" s="2">
        <v>0</v>
      </c>
      <c r="AH393" s="2">
        <v>0</v>
      </c>
      <c r="AI393" s="2">
        <v>0</v>
      </c>
      <c r="AJ393" s="2">
        <f t="shared" si="73"/>
        <v>53250090.473288834</v>
      </c>
      <c r="AK393" s="2">
        <f t="shared" si="69"/>
        <v>174458198.43092901</v>
      </c>
      <c r="AL393" s="2">
        <f t="shared" si="70"/>
        <v>35779158.477163479</v>
      </c>
      <c r="AM393" s="2">
        <f t="shared" si="71"/>
        <v>125264535.07373972</v>
      </c>
      <c r="AN393" s="2">
        <f t="shared" si="72"/>
        <v>53663384.896488801</v>
      </c>
      <c r="AO393" s="2">
        <f t="shared" si="77"/>
        <v>22877231.606289875</v>
      </c>
      <c r="AP393" s="2">
        <v>0</v>
      </c>
      <c r="AQ393" s="2">
        <v>0</v>
      </c>
      <c r="AR393" s="2">
        <v>0</v>
      </c>
      <c r="AS393" s="2">
        <f t="shared" si="74"/>
        <v>104701587.33147129</v>
      </c>
      <c r="AT393" s="2">
        <f t="shared" si="74"/>
        <v>5280219.0978972642</v>
      </c>
      <c r="AU393" s="2">
        <v>0</v>
      </c>
      <c r="AV393" s="2">
        <f t="shared" si="68"/>
        <v>53124701.016108356</v>
      </c>
      <c r="AW393" s="2">
        <f t="shared" si="68"/>
        <v>2729782.4941611988</v>
      </c>
      <c r="AX393" s="2">
        <v>0</v>
      </c>
      <c r="AY393" s="2">
        <v>0</v>
      </c>
      <c r="AZ393" s="2">
        <v>0</v>
      </c>
      <c r="BA393" s="2">
        <f>BA392*(1+VLOOKUP(A393,'SELIC Hist'!$A:$C,3,0))^(1/252)</f>
        <v>2582851.7076650485</v>
      </c>
      <c r="BB393" s="2">
        <f t="shared" si="79"/>
        <v>1703167828.0287662</v>
      </c>
      <c r="BC393" s="2">
        <v>0</v>
      </c>
      <c r="BD393" s="2">
        <v>0</v>
      </c>
      <c r="BE393" s="2">
        <f t="shared" ref="BE393:BE446" si="87">BB393-BB392-BC393+BD393</f>
        <v>627204.90909290314</v>
      </c>
      <c r="BF393" s="2">
        <f t="shared" si="80"/>
        <v>4976351.9379601479</v>
      </c>
      <c r="BG393" s="2">
        <f t="shared" si="81"/>
        <v>4976351.9379601479</v>
      </c>
      <c r="BH393" s="11">
        <f t="shared" si="82"/>
        <v>1.1550260403615116</v>
      </c>
      <c r="BI393" s="12">
        <f t="shared" si="83"/>
        <v>3.683935059026755E-4</v>
      </c>
      <c r="BJ393" s="12">
        <f t="shared" si="84"/>
        <v>2.9485941686464567E-3</v>
      </c>
      <c r="BK393" s="12">
        <f t="shared" si="85"/>
        <v>2.9485941686464567E-3</v>
      </c>
      <c r="BL393" s="5">
        <f t="shared" si="86"/>
        <v>0.15502604036151157</v>
      </c>
      <c r="BM393" s="19">
        <f t="shared" si="76"/>
        <v>4.7627923157717467E-2</v>
      </c>
      <c r="BN393" s="19">
        <f t="shared" si="75"/>
        <v>9.970033664235145E-2</v>
      </c>
      <c r="BO393" s="19" t="s">
        <v>53</v>
      </c>
    </row>
    <row r="394" spans="1:67" x14ac:dyDescent="0.25">
      <c r="A394" s="1">
        <v>45671</v>
      </c>
      <c r="B394" s="1" t="str">
        <f t="shared" si="78"/>
        <v>202501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f>I393*(1+((1+VLOOKUP($B394,'IPCA Hist'!$B:$C,2,0))^12 - 1)+$I$2)^(1/252)</f>
        <v>214341414.4120442</v>
      </c>
      <c r="J394" s="2">
        <f>J393*(1+((1+VLOOKUP($B394,'IPCA Hist'!$B:$C,2,0))^12 - 1)+$J$2)^(1/252)</f>
        <v>136136702.6064235</v>
      </c>
      <c r="K394" s="2">
        <f>K393*(1+((1+VLOOKUP($B394,'IPCA Hist'!$B:$C,2,0))^12 - 1)+$K$2)^(1/252)</f>
        <v>20651257.098914288</v>
      </c>
      <c r="L394" s="2">
        <f>L393*(1+((1+VLOOKUP($B394,'IPCA Hist'!$B:$C,2,0))^12 - 1)+$L$2)^(1/252)</f>
        <v>12574452.155743783</v>
      </c>
      <c r="M394" s="2">
        <v>0</v>
      </c>
      <c r="N394" s="2">
        <v>0</v>
      </c>
      <c r="O394" s="2">
        <v>0</v>
      </c>
      <c r="P394" s="2">
        <v>0</v>
      </c>
      <c r="Q394" s="2">
        <f>Q393*(1+((1+VLOOKUP($B394,'IPCA Hist'!$B:$C,2,0))^12 - 1)+$Q$2)^(1/252)</f>
        <v>46147328.905035444</v>
      </c>
      <c r="R394" s="2">
        <f>R393*(1+((1+VLOOKUP($B394,'IPCA Hist'!$B:$C,2,0))^12 - 1)+$R$2)^(1/252)</f>
        <v>46133019.535267867</v>
      </c>
      <c r="S394" s="2">
        <f>S393*(1+((1+VLOOKUP($B394,'IPCA Hist'!$B:$C,2,0))^12 - 1)+$S$2)^(1/252)</f>
        <v>47160226.425477915</v>
      </c>
      <c r="T394" s="2">
        <f>T393*(1+((1+VLOOKUP($B394,'IPCA Hist'!$B:$C,2,0))^12 - 1)+$T$2)^(1/252)</f>
        <v>238187012.34981149</v>
      </c>
      <c r="U394" s="2">
        <f>U393*(1+((1+VLOOKUP($B394,'IPCA Hist'!$B:$C,2,0))^12 - 1)+$U$2)^(1/252)</f>
        <v>20871691.529599201</v>
      </c>
      <c r="V394" s="2">
        <f>V393*(1+((1+VLOOKUP($B394,'IPCA Hist'!$B:$C,2,0))^12 - 1)+$V$2)^(1/252)</f>
        <v>80684799.165653065</v>
      </c>
      <c r="W394" s="2">
        <f>W393*(1+((1+VLOOKUP($B394,'IPCA Hist'!$B:$C,2,0))^12 - 1)+$W$2)^(1/252)</f>
        <v>42475226.80630853</v>
      </c>
      <c r="X394" s="2">
        <v>0</v>
      </c>
      <c r="Y394" s="2">
        <v>0</v>
      </c>
      <c r="Z394" s="2">
        <f>Z393*(1+((1+VLOOKUP($B394,'IPCA Hist'!$B:$C,2,0))^12 - 1)+$Z$2)^(1/252)</f>
        <v>81215600.012480676</v>
      </c>
      <c r="AA394" s="2">
        <f>AA393*(1+((1+VLOOKUP($B394,'IPCA Hist'!$B:$C,2,0))^12 - 1)+$AA$2)^(1/252)</f>
        <v>40764358.338783063</v>
      </c>
      <c r="AB394" s="2">
        <f>AB393*(1+((1+VLOOKUP($B394,'IPCA Hist'!$B:$C,2,0))^12 - 1)+$AB$2)^(1/252)</f>
        <v>40778601.561865941</v>
      </c>
      <c r="AC394" s="2">
        <v>0</v>
      </c>
      <c r="AD394" s="2">
        <v>0</v>
      </c>
      <c r="AE394" s="2">
        <v>0</v>
      </c>
      <c r="AF394" s="2">
        <f>AF393*(1+((1+VLOOKUP($B394,'IGPM Hist'!$B:$C,2,0))^12 - 1)+$AF$2)^(1/252)</f>
        <v>1659665.8777808566</v>
      </c>
      <c r="AG394" s="2">
        <v>0</v>
      </c>
      <c r="AH394" s="2">
        <v>0</v>
      </c>
      <c r="AI394" s="2">
        <v>0</v>
      </c>
      <c r="AJ394" s="2">
        <f t="shared" ref="AJ394:AO411" si="88">AJ393*(1+AJ$2)^(1/252)</f>
        <v>53274606.95675268</v>
      </c>
      <c r="AK394" s="2">
        <f t="shared" si="88"/>
        <v>174542486.20415771</v>
      </c>
      <c r="AL394" s="2">
        <f t="shared" si="88"/>
        <v>35796451.116186269</v>
      </c>
      <c r="AM394" s="2">
        <f t="shared" si="88"/>
        <v>125325044.40112142</v>
      </c>
      <c r="AN394" s="2">
        <f t="shared" si="88"/>
        <v>53689325.983555146</v>
      </c>
      <c r="AO394" s="2">
        <f t="shared" si="88"/>
        <v>22890353.439969487</v>
      </c>
      <c r="AP394" s="2">
        <v>0</v>
      </c>
      <c r="AQ394" s="2">
        <v>0</v>
      </c>
      <c r="AR394" s="2">
        <v>0</v>
      </c>
      <c r="AS394" s="2">
        <f t="shared" si="74"/>
        <v>104748234.69188328</v>
      </c>
      <c r="AT394" s="2">
        <f t="shared" si="74"/>
        <v>5283206.4516494144</v>
      </c>
      <c r="AU394" s="2">
        <v>0</v>
      </c>
      <c r="AV394" s="2">
        <f t="shared" ref="AV394:AW411" si="89">AV393*(1+AV$2)^(1/252)</f>
        <v>53148877.86654757</v>
      </c>
      <c r="AW394" s="2">
        <f t="shared" si="89"/>
        <v>2731307.1492957515</v>
      </c>
      <c r="AX394" s="2">
        <v>0</v>
      </c>
      <c r="AY394" s="2">
        <v>0</v>
      </c>
      <c r="AZ394" s="2">
        <v>0</v>
      </c>
      <c r="BA394" s="2">
        <f>BA393*(1+VLOOKUP(A394,'SELIC Hist'!$A:$C,3,0))^(1/252)</f>
        <v>2584027.2451373925</v>
      </c>
      <c r="BB394" s="2">
        <f t="shared" si="79"/>
        <v>1703795278.287446</v>
      </c>
      <c r="BC394" s="2">
        <v>0</v>
      </c>
      <c r="BD394" s="2">
        <v>0</v>
      </c>
      <c r="BE394" s="2">
        <f t="shared" si="87"/>
        <v>627450.25867986679</v>
      </c>
      <c r="BF394" s="2">
        <f t="shared" si="80"/>
        <v>5603802.1966400146</v>
      </c>
      <c r="BG394" s="2">
        <f t="shared" si="81"/>
        <v>5603802.1966400146</v>
      </c>
      <c r="BH394" s="11">
        <f t="shared" si="82"/>
        <v>1.1554515541458141</v>
      </c>
      <c r="BI394" s="12">
        <f t="shared" si="83"/>
        <v>3.6840189695586112E-4</v>
      </c>
      <c r="BJ394" s="12">
        <f t="shared" si="84"/>
        <v>3.3180823332874532E-3</v>
      </c>
      <c r="BK394" s="12">
        <f t="shared" si="85"/>
        <v>3.3180823332874532E-3</v>
      </c>
      <c r="BL394" s="5">
        <f t="shared" si="86"/>
        <v>0.15545155414581413</v>
      </c>
      <c r="BM394" s="19">
        <f t="shared" si="76"/>
        <v>4.7358616687531274E-2</v>
      </c>
      <c r="BN394" s="19">
        <f t="shared" si="75"/>
        <v>9.9783637776410528E-2</v>
      </c>
      <c r="BO394" s="19" t="s">
        <v>53</v>
      </c>
    </row>
    <row r="395" spans="1:67" x14ac:dyDescent="0.25">
      <c r="A395" s="1">
        <v>45672</v>
      </c>
      <c r="B395" s="1" t="str">
        <f t="shared" si="78"/>
        <v>202501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f>I394*(1+((1+VLOOKUP($B395,'IPCA Hist'!$B:$C,2,0))^12 - 1)+$I$2)^(1/252)</f>
        <v>214403853.86406127</v>
      </c>
      <c r="J395" s="2">
        <f>J394*(1+((1+VLOOKUP($B395,'IPCA Hist'!$B:$C,2,0))^12 - 1)+$J$2)^(1/252)</f>
        <v>136173894.28999284</v>
      </c>
      <c r="K395" s="2">
        <f>K394*(1+((1+VLOOKUP($B395,'IPCA Hist'!$B:$C,2,0))^12 - 1)+$K$2)^(1/252)</f>
        <v>20658016.104392916</v>
      </c>
      <c r="L395" s="2">
        <f>L394*(1+((1+VLOOKUP($B395,'IPCA Hist'!$B:$C,2,0))^12 - 1)+$L$2)^(1/252)</f>
        <v>12578618.675985491</v>
      </c>
      <c r="M395" s="2">
        <v>0</v>
      </c>
      <c r="N395" s="2">
        <v>0</v>
      </c>
      <c r="O395" s="2">
        <v>0</v>
      </c>
      <c r="P395" s="2">
        <v>0</v>
      </c>
      <c r="Q395" s="2">
        <f>Q394*(1+((1+VLOOKUP($B395,'IPCA Hist'!$B:$C,2,0))^12 - 1)+$Q$2)^(1/252)</f>
        <v>46159901.861446798</v>
      </c>
      <c r="R395" s="2">
        <f>R394*(1+((1+VLOOKUP($B395,'IPCA Hist'!$B:$C,2,0))^12 - 1)+$R$2)^(1/252)</f>
        <v>46145605.68910256</v>
      </c>
      <c r="S395" s="2">
        <f>S394*(1+((1+VLOOKUP($B395,'IPCA Hist'!$B:$C,2,0))^12 - 1)+$S$2)^(1/252)</f>
        <v>47172882.997217342</v>
      </c>
      <c r="T395" s="2">
        <f>T394*(1+((1+VLOOKUP($B395,'IPCA Hist'!$B:$C,2,0))^12 - 1)+$T$2)^(1/252)</f>
        <v>238250847.15005341</v>
      </c>
      <c r="U395" s="2">
        <f>U394*(1+((1+VLOOKUP($B395,'IPCA Hist'!$B:$C,2,0))^12 - 1)+$U$2)^(1/252)</f>
        <v>20878324.082615435</v>
      </c>
      <c r="V395" s="2">
        <f>V394*(1+((1+VLOOKUP($B395,'IPCA Hist'!$B:$C,2,0))^12 - 1)+$V$2)^(1/252)</f>
        <v>80714755.711402446</v>
      </c>
      <c r="W395" s="2">
        <f>W394*(1+((1+VLOOKUP($B395,'IPCA Hist'!$B:$C,2,0))^12 - 1)+$W$2)^(1/252)</f>
        <v>42491136.631928243</v>
      </c>
      <c r="X395" s="2">
        <v>0</v>
      </c>
      <c r="Y395" s="2">
        <v>0</v>
      </c>
      <c r="Z395" s="2">
        <f>Z394*(1+((1+VLOOKUP($B395,'IPCA Hist'!$B:$C,2,0))^12 - 1)+$Z$2)^(1/252)</f>
        <v>81243783.383345619</v>
      </c>
      <c r="AA395" s="2">
        <f>AA394*(1+((1+VLOOKUP($B395,'IPCA Hist'!$B:$C,2,0))^12 - 1)+$AA$2)^(1/252)</f>
        <v>40780303.273707375</v>
      </c>
      <c r="AB395" s="2">
        <f>AB394*(1+((1+VLOOKUP($B395,'IPCA Hist'!$B:$C,2,0))^12 - 1)+$AB$2)^(1/252)</f>
        <v>40794537.398306154</v>
      </c>
      <c r="AC395" s="2">
        <v>0</v>
      </c>
      <c r="AD395" s="2">
        <v>0</v>
      </c>
      <c r="AE395" s="2">
        <v>0</v>
      </c>
      <c r="AF395" s="2">
        <f>AF394*(1+((1+VLOOKUP($B395,'IGPM Hist'!$B:$C,2,0))^12 - 1)+$AF$2)^(1/252)</f>
        <v>1660265.9503394794</v>
      </c>
      <c r="AG395" s="2">
        <v>0</v>
      </c>
      <c r="AH395" s="2">
        <v>0</v>
      </c>
      <c r="AI395" s="2">
        <v>0</v>
      </c>
      <c r="AJ395" s="2">
        <f t="shared" si="88"/>
        <v>53299134.727670804</v>
      </c>
      <c r="AK395" s="2">
        <f t="shared" si="88"/>
        <v>174626814.70020011</v>
      </c>
      <c r="AL395" s="2">
        <f t="shared" si="88"/>
        <v>35813752.113017827</v>
      </c>
      <c r="AM395" s="2">
        <f t="shared" si="88"/>
        <v>125385582.95767561</v>
      </c>
      <c r="AN395" s="2">
        <f t="shared" si="88"/>
        <v>53715279.610642947</v>
      </c>
      <c r="AO395" s="2">
        <f t="shared" si="88"/>
        <v>22903482.800019514</v>
      </c>
      <c r="AP395" s="2">
        <v>0</v>
      </c>
      <c r="AQ395" s="2">
        <v>0</v>
      </c>
      <c r="AR395" s="2">
        <v>0</v>
      </c>
      <c r="AS395" s="2">
        <f t="shared" si="74"/>
        <v>104794902.83494326</v>
      </c>
      <c r="AT395" s="2">
        <f t="shared" si="74"/>
        <v>5286195.4955364382</v>
      </c>
      <c r="AU395" s="2">
        <v>0</v>
      </c>
      <c r="AV395" s="2">
        <f t="shared" si="89"/>
        <v>53173065.719779953</v>
      </c>
      <c r="AW395" s="2">
        <f t="shared" si="89"/>
        <v>2732832.6559901936</v>
      </c>
      <c r="AX395" s="2">
        <v>0</v>
      </c>
      <c r="AY395" s="2">
        <v>0</v>
      </c>
      <c r="AZ395" s="2">
        <v>0</v>
      </c>
      <c r="BA395" s="2">
        <f>BA394*(1+VLOOKUP(A395,'SELIC Hist'!$A:$C,3,0))^(1/252)</f>
        <v>2585203.3176340065</v>
      </c>
      <c r="BB395" s="2">
        <f t="shared" si="79"/>
        <v>1704422973.9970078</v>
      </c>
      <c r="BC395" s="2">
        <v>0</v>
      </c>
      <c r="BD395" s="2">
        <v>0</v>
      </c>
      <c r="BE395" s="2">
        <f t="shared" si="87"/>
        <v>627695.7095618248</v>
      </c>
      <c r="BF395" s="2">
        <f t="shared" si="80"/>
        <v>6231497.9062018394</v>
      </c>
      <c r="BG395" s="2">
        <f t="shared" si="81"/>
        <v>6231497.9062018394</v>
      </c>
      <c r="BH395" s="11">
        <f t="shared" si="82"/>
        <v>1.1558772343859147</v>
      </c>
      <c r="BI395" s="12">
        <f t="shared" si="83"/>
        <v>3.6841028823175748E-4</v>
      </c>
      <c r="BJ395" s="12">
        <f t="shared" si="84"/>
        <v>3.6877150371878997E-3</v>
      </c>
      <c r="BK395" s="12">
        <f t="shared" si="85"/>
        <v>3.6877150371878997E-3</v>
      </c>
      <c r="BL395" s="5">
        <f t="shared" si="86"/>
        <v>0.15587723438591472</v>
      </c>
      <c r="BM395" s="19">
        <f t="shared" si="76"/>
        <v>4.7492063118180994E-2</v>
      </c>
      <c r="BN395" s="19">
        <f t="shared" si="75"/>
        <v>9.9409557639331014E-2</v>
      </c>
      <c r="BO395" s="19" t="s">
        <v>53</v>
      </c>
    </row>
    <row r="396" spans="1:67" x14ac:dyDescent="0.25">
      <c r="A396" s="1">
        <v>45673</v>
      </c>
      <c r="B396" s="1" t="str">
        <f t="shared" si="78"/>
        <v>202501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f>I395*(1+((1+VLOOKUP($B396,'IPCA Hist'!$B:$C,2,0))^12 - 1)+$I$2)^(1/252)</f>
        <v>214466311.50521448</v>
      </c>
      <c r="J396" s="2">
        <f>J395*(1+((1+VLOOKUP($B396,'IPCA Hist'!$B:$C,2,0))^12 - 1)+$J$2)^(1/252)</f>
        <v>136211096.13409421</v>
      </c>
      <c r="K396" s="2">
        <f>K395*(1+((1+VLOOKUP($B396,'IPCA Hist'!$B:$C,2,0))^12 - 1)+$K$2)^(1/252)</f>
        <v>20664777.322044626</v>
      </c>
      <c r="L396" s="2">
        <f>L395*(1+((1+VLOOKUP($B396,'IPCA Hist'!$B:$C,2,0))^12 - 1)+$L$2)^(1/252)</f>
        <v>12582786.576795569</v>
      </c>
      <c r="M396" s="2">
        <v>0</v>
      </c>
      <c r="N396" s="2">
        <v>0</v>
      </c>
      <c r="O396" s="2">
        <v>0</v>
      </c>
      <c r="P396" s="2">
        <v>0</v>
      </c>
      <c r="Q396" s="2">
        <f>Q395*(1+((1+VLOOKUP($B396,'IPCA Hist'!$B:$C,2,0))^12 - 1)+$Q$2)^(1/252)</f>
        <v>46172478.243391909</v>
      </c>
      <c r="R396" s="2">
        <f>R395*(1+((1+VLOOKUP($B396,'IPCA Hist'!$B:$C,2,0))^12 - 1)+$R$2)^(1/252)</f>
        <v>46158195.276730873</v>
      </c>
      <c r="S396" s="2">
        <f>S395*(1+((1+VLOOKUP($B396,'IPCA Hist'!$B:$C,2,0))^12 - 1)+$S$2)^(1/252)</f>
        <v>47185542.965649717</v>
      </c>
      <c r="T396" s="2">
        <f>T395*(1+((1+VLOOKUP($B396,'IPCA Hist'!$B:$C,2,0))^12 - 1)+$T$2)^(1/252)</f>
        <v>238314699.05820426</v>
      </c>
      <c r="U396" s="2">
        <f>U395*(1+((1+VLOOKUP($B396,'IPCA Hist'!$B:$C,2,0))^12 - 1)+$U$2)^(1/252)</f>
        <v>20884958.743307486</v>
      </c>
      <c r="V396" s="2">
        <f>V395*(1+((1+VLOOKUP($B396,'IPCA Hist'!$B:$C,2,0))^12 - 1)+$V$2)^(1/252)</f>
        <v>80744723.379378587</v>
      </c>
      <c r="W396" s="2">
        <f>W395*(1+((1+VLOOKUP($B396,'IPCA Hist'!$B:$C,2,0))^12 - 1)+$W$2)^(1/252)</f>
        <v>42507052.416846357</v>
      </c>
      <c r="X396" s="2">
        <v>0</v>
      </c>
      <c r="Y396" s="2">
        <v>0</v>
      </c>
      <c r="Z396" s="2">
        <f>Z395*(1+((1+VLOOKUP($B396,'IPCA Hist'!$B:$C,2,0))^12 - 1)+$Z$2)^(1/252)</f>
        <v>81271976.534380794</v>
      </c>
      <c r="AA396" s="2">
        <f>AA395*(1+((1+VLOOKUP($B396,'IPCA Hist'!$B:$C,2,0))^12 - 1)+$AA$2)^(1/252)</f>
        <v>40796254.445475839</v>
      </c>
      <c r="AB396" s="2">
        <f>AB395*(1+((1+VLOOKUP($B396,'IPCA Hist'!$B:$C,2,0))^12 - 1)+$AB$2)^(1/252)</f>
        <v>40810479.462298892</v>
      </c>
      <c r="AC396" s="2">
        <v>0</v>
      </c>
      <c r="AD396" s="2">
        <v>0</v>
      </c>
      <c r="AE396" s="2">
        <v>0</v>
      </c>
      <c r="AF396" s="2">
        <f>AF395*(1+((1+VLOOKUP($B396,'IGPM Hist'!$B:$C,2,0))^12 - 1)+$AF$2)^(1/252)</f>
        <v>1660866.2398616974</v>
      </c>
      <c r="AG396" s="2">
        <v>0</v>
      </c>
      <c r="AH396" s="2">
        <v>0</v>
      </c>
      <c r="AI396" s="2">
        <v>0</v>
      </c>
      <c r="AJ396" s="2">
        <f t="shared" si="88"/>
        <v>53323673.791239977</v>
      </c>
      <c r="AK396" s="2">
        <f t="shared" si="88"/>
        <v>174711183.93873107</v>
      </c>
      <c r="AL396" s="2">
        <f t="shared" si="88"/>
        <v>35831061.471697614</v>
      </c>
      <c r="AM396" s="2">
        <f t="shared" si="88"/>
        <v>125446150.75752148</v>
      </c>
      <c r="AN396" s="2">
        <f t="shared" si="88"/>
        <v>53741245.783814102</v>
      </c>
      <c r="AO396" s="2">
        <f t="shared" si="88"/>
        <v>22916619.690756902</v>
      </c>
      <c r="AP396" s="2">
        <v>0</v>
      </c>
      <c r="AQ396" s="2">
        <v>0</v>
      </c>
      <c r="AR396" s="2">
        <v>0</v>
      </c>
      <c r="AS396" s="2">
        <f t="shared" si="74"/>
        <v>104841591.76991045</v>
      </c>
      <c r="AT396" s="2">
        <f t="shared" si="74"/>
        <v>5289186.2305145524</v>
      </c>
      <c r="AU396" s="2">
        <v>0</v>
      </c>
      <c r="AV396" s="2">
        <f t="shared" si="89"/>
        <v>53197264.580812827</v>
      </c>
      <c r="AW396" s="2">
        <f t="shared" si="89"/>
        <v>2734359.0147201438</v>
      </c>
      <c r="AX396" s="2">
        <v>0</v>
      </c>
      <c r="AY396" s="2">
        <v>0</v>
      </c>
      <c r="AZ396" s="2">
        <v>0</v>
      </c>
      <c r="BA396" s="2">
        <f>BA395*(1+VLOOKUP(A396,'SELIC Hist'!$A:$C,3,0))^(1/252)</f>
        <v>2586379.9253983968</v>
      </c>
      <c r="BB396" s="2">
        <f t="shared" si="79"/>
        <v>1705050915.2587931</v>
      </c>
      <c r="BC396" s="2">
        <v>0</v>
      </c>
      <c r="BD396" s="2">
        <v>0</v>
      </c>
      <c r="BE396" s="2">
        <f t="shared" si="87"/>
        <v>627941.26178526878</v>
      </c>
      <c r="BF396" s="2">
        <f t="shared" si="80"/>
        <v>6859439.1679871082</v>
      </c>
      <c r="BG396" s="2">
        <f t="shared" si="81"/>
        <v>6859439.1679871082</v>
      </c>
      <c r="BH396" s="11">
        <f t="shared" si="82"/>
        <v>1.1563030811505397</v>
      </c>
      <c r="BI396" s="12">
        <f t="shared" si="83"/>
        <v>3.6841867973214093E-4</v>
      </c>
      <c r="BJ396" s="12">
        <f t="shared" si="84"/>
        <v>4.0574923400251706E-3</v>
      </c>
      <c r="BK396" s="12">
        <f t="shared" si="85"/>
        <v>4.0574923400251706E-3</v>
      </c>
      <c r="BL396" s="5">
        <f t="shared" si="86"/>
        <v>0.1563030811505397</v>
      </c>
      <c r="BM396" s="19">
        <f t="shared" si="76"/>
        <v>4.7536964977258789E-2</v>
      </c>
      <c r="BN396" s="19">
        <f t="shared" si="75"/>
        <v>9.9456794651287428E-2</v>
      </c>
      <c r="BO396" s="19" t="s">
        <v>53</v>
      </c>
    </row>
    <row r="397" spans="1:67" x14ac:dyDescent="0.25">
      <c r="A397" s="1">
        <v>45674</v>
      </c>
      <c r="B397" s="1" t="str">
        <f t="shared" si="78"/>
        <v>202501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f>I396*(1+((1+VLOOKUP($B397,'IPCA Hist'!$B:$C,2,0))^12 - 1)+$I$2)^(1/252)</f>
        <v>214528787.34080249</v>
      </c>
      <c r="J397" s="2">
        <f>J396*(1+((1+VLOOKUP($B397,'IPCA Hist'!$B:$C,2,0))^12 - 1)+$J$2)^(1/252)</f>
        <v>136248308.14150339</v>
      </c>
      <c r="K397" s="2">
        <f>K396*(1+((1+VLOOKUP($B397,'IPCA Hist'!$B:$C,2,0))^12 - 1)+$K$2)^(1/252)</f>
        <v>20671540.752593447</v>
      </c>
      <c r="L397" s="2">
        <f>L396*(1+((1+VLOOKUP($B397,'IPCA Hist'!$B:$C,2,0))^12 - 1)+$L$2)^(1/252)</f>
        <v>12586955.858631466</v>
      </c>
      <c r="M397" s="2">
        <v>0</v>
      </c>
      <c r="N397" s="2">
        <v>0</v>
      </c>
      <c r="O397" s="2">
        <v>0</v>
      </c>
      <c r="P397" s="2">
        <v>0</v>
      </c>
      <c r="Q397" s="2">
        <f>Q396*(1+((1+VLOOKUP($B397,'IPCA Hist'!$B:$C,2,0))^12 - 1)+$Q$2)^(1/252)</f>
        <v>46185058.051804066</v>
      </c>
      <c r="R397" s="2">
        <f>R396*(1+((1+VLOOKUP($B397,'IPCA Hist'!$B:$C,2,0))^12 - 1)+$R$2)^(1/252)</f>
        <v>46170788.299089633</v>
      </c>
      <c r="S397" s="2">
        <f>S396*(1+((1+VLOOKUP($B397,'IPCA Hist'!$B:$C,2,0))^12 - 1)+$S$2)^(1/252)</f>
        <v>47198206.331686616</v>
      </c>
      <c r="T397" s="2">
        <f>T396*(1+((1+VLOOKUP($B397,'IPCA Hist'!$B:$C,2,0))^12 - 1)+$T$2)^(1/252)</f>
        <v>238378568.07884905</v>
      </c>
      <c r="U397" s="2">
        <f>U396*(1+((1+VLOOKUP($B397,'IPCA Hist'!$B:$C,2,0))^12 - 1)+$U$2)^(1/252)</f>
        <v>20891595.512345128</v>
      </c>
      <c r="V397" s="2">
        <f>V396*(1+((1+VLOOKUP($B397,'IPCA Hist'!$B:$C,2,0))^12 - 1)+$V$2)^(1/252)</f>
        <v>80774702.173710942</v>
      </c>
      <c r="W397" s="2">
        <f>W396*(1+((1+VLOOKUP($B397,'IPCA Hist'!$B:$C,2,0))^12 - 1)+$W$2)^(1/252)</f>
        <v>42522974.163295031</v>
      </c>
      <c r="X397" s="2">
        <v>0</v>
      </c>
      <c r="Y397" s="2">
        <v>0</v>
      </c>
      <c r="Z397" s="2">
        <f>Z396*(1+((1+VLOOKUP($B397,'IPCA Hist'!$B:$C,2,0))^12 - 1)+$Z$2)^(1/252)</f>
        <v>81300179.468980104</v>
      </c>
      <c r="AA397" s="2">
        <f>AA396*(1+((1+VLOOKUP($B397,'IPCA Hist'!$B:$C,2,0))^12 - 1)+$AA$2)^(1/252)</f>
        <v>40812211.856527984</v>
      </c>
      <c r="AB397" s="2">
        <f>AB396*(1+((1+VLOOKUP($B397,'IPCA Hist'!$B:$C,2,0))^12 - 1)+$AB$2)^(1/252)</f>
        <v>40826427.756277815</v>
      </c>
      <c r="AC397" s="2">
        <v>0</v>
      </c>
      <c r="AD397" s="2">
        <v>0</v>
      </c>
      <c r="AE397" s="2">
        <v>0</v>
      </c>
      <c r="AF397" s="2">
        <f>AF396*(1+((1+VLOOKUP($B397,'IGPM Hist'!$B:$C,2,0))^12 - 1)+$AF$2)^(1/252)</f>
        <v>1661466.7464259565</v>
      </c>
      <c r="AG397" s="2">
        <v>0</v>
      </c>
      <c r="AH397" s="2">
        <v>0</v>
      </c>
      <c r="AI397" s="2">
        <v>0</v>
      </c>
      <c r="AJ397" s="2">
        <f t="shared" si="88"/>
        <v>53348224.152659364</v>
      </c>
      <c r="AK397" s="2">
        <f t="shared" si="88"/>
        <v>174795593.93943492</v>
      </c>
      <c r="AL397" s="2">
        <f t="shared" si="88"/>
        <v>35848379.196267046</v>
      </c>
      <c r="AM397" s="2">
        <f t="shared" si="88"/>
        <v>125506747.81478508</v>
      </c>
      <c r="AN397" s="2">
        <f t="shared" si="88"/>
        <v>53767224.509133436</v>
      </c>
      <c r="AO397" s="2">
        <f t="shared" si="88"/>
        <v>22929764.116501074</v>
      </c>
      <c r="AP397" s="2">
        <v>0</v>
      </c>
      <c r="AQ397" s="2">
        <v>0</v>
      </c>
      <c r="AR397" s="2">
        <v>0</v>
      </c>
      <c r="AS397" s="2">
        <f t="shared" si="74"/>
        <v>104888301.50604822</v>
      </c>
      <c r="AT397" s="2">
        <f t="shared" si="74"/>
        <v>5292178.6575405141</v>
      </c>
      <c r="AU397" s="2">
        <v>0</v>
      </c>
      <c r="AV397" s="2">
        <f t="shared" si="89"/>
        <v>53221474.454655804</v>
      </c>
      <c r="AW397" s="2">
        <f t="shared" si="89"/>
        <v>2735886.2259614863</v>
      </c>
      <c r="AX397" s="2">
        <v>0</v>
      </c>
      <c r="AY397" s="2">
        <v>0</v>
      </c>
      <c r="AZ397" s="2">
        <v>0</v>
      </c>
      <c r="BA397" s="2">
        <f>BA396*(1+VLOOKUP(A397,'SELIC Hist'!$A:$C,3,0))^(1/252)</f>
        <v>2587557.0686741802</v>
      </c>
      <c r="BB397" s="2">
        <f t="shared" si="79"/>
        <v>1705679102.1741841</v>
      </c>
      <c r="BC397" s="2">
        <v>0</v>
      </c>
      <c r="BD397" s="2">
        <v>0</v>
      </c>
      <c r="BE397" s="2">
        <f t="shared" si="87"/>
        <v>628186.91539096832</v>
      </c>
      <c r="BF397" s="2">
        <f t="shared" si="80"/>
        <v>7487626.0833780766</v>
      </c>
      <c r="BG397" s="2">
        <f t="shared" si="81"/>
        <v>7487626.0833780766</v>
      </c>
      <c r="BH397" s="11">
        <f t="shared" si="82"/>
        <v>1.1567290945084427</v>
      </c>
      <c r="BI397" s="12">
        <f t="shared" si="83"/>
        <v>3.6842707145523512E-4</v>
      </c>
      <c r="BJ397" s="12">
        <f t="shared" si="84"/>
        <v>4.4274143015006207E-3</v>
      </c>
      <c r="BK397" s="12">
        <f t="shared" si="85"/>
        <v>4.4274143015006207E-3</v>
      </c>
      <c r="BL397" s="5">
        <f t="shared" si="86"/>
        <v>0.15672909450844275</v>
      </c>
      <c r="BM397" s="19">
        <f t="shared" si="76"/>
        <v>4.7545114721577741E-2</v>
      </c>
      <c r="BN397" s="19">
        <f t="shared" si="75"/>
        <v>9.9363643702340188E-2</v>
      </c>
      <c r="BO397" s="19" t="s">
        <v>53</v>
      </c>
    </row>
    <row r="398" spans="1:67" x14ac:dyDescent="0.25">
      <c r="A398" s="1">
        <v>45677</v>
      </c>
      <c r="B398" s="1" t="str">
        <f t="shared" si="78"/>
        <v>202501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f>I397*(1+((1+VLOOKUP($B398,'IPCA Hist'!$B:$C,2,0))^12 - 1)+$I$2)^(1/252)</f>
        <v>214591281.37612548</v>
      </c>
      <c r="J398" s="2">
        <f>J397*(1+((1+VLOOKUP($B398,'IPCA Hist'!$B:$C,2,0))^12 - 1)+$J$2)^(1/252)</f>
        <v>136285530.31499696</v>
      </c>
      <c r="K398" s="2">
        <f>K397*(1+((1+VLOOKUP($B398,'IPCA Hist'!$B:$C,2,0))^12 - 1)+$K$2)^(1/252)</f>
        <v>20678306.396763641</v>
      </c>
      <c r="L398" s="2">
        <f>L397*(1+((1+VLOOKUP($B398,'IPCA Hist'!$B:$C,2,0))^12 - 1)+$L$2)^(1/252)</f>
        <v>12591126.521950783</v>
      </c>
      <c r="M398" s="2">
        <v>0</v>
      </c>
      <c r="N398" s="2">
        <v>0</v>
      </c>
      <c r="O398" s="2">
        <v>0</v>
      </c>
      <c r="P398" s="2">
        <v>0</v>
      </c>
      <c r="Q398" s="2">
        <f>Q397*(1+((1+VLOOKUP($B398,'IPCA Hist'!$B:$C,2,0))^12 - 1)+$Q$2)^(1/252)</f>
        <v>46197641.287616827</v>
      </c>
      <c r="R398" s="2">
        <f>R397*(1+((1+VLOOKUP($B398,'IPCA Hist'!$B:$C,2,0))^12 - 1)+$R$2)^(1/252)</f>
        <v>46183384.757115908</v>
      </c>
      <c r="S398" s="2">
        <f>S397*(1+((1+VLOOKUP($B398,'IPCA Hist'!$B:$C,2,0))^12 - 1)+$S$2)^(1/252)</f>
        <v>47210873.096239865</v>
      </c>
      <c r="T398" s="2">
        <f>T397*(1+((1+VLOOKUP($B398,'IPCA Hist'!$B:$C,2,0))^12 - 1)+$T$2)^(1/252)</f>
        <v>238442454.21657395</v>
      </c>
      <c r="U398" s="2">
        <f>U397*(1+((1+VLOOKUP($B398,'IPCA Hist'!$B:$C,2,0))^12 - 1)+$U$2)^(1/252)</f>
        <v>20898234.390398346</v>
      </c>
      <c r="V398" s="2">
        <f>V397*(1+((1+VLOOKUP($B398,'IPCA Hist'!$B:$C,2,0))^12 - 1)+$V$2)^(1/252)</f>
        <v>80804692.098530501</v>
      </c>
      <c r="W398" s="2">
        <f>W397*(1+((1+VLOOKUP($B398,'IPCA Hist'!$B:$C,2,0))^12 - 1)+$W$2)^(1/252)</f>
        <v>42538901.873507261</v>
      </c>
      <c r="X398" s="2">
        <v>0</v>
      </c>
      <c r="Y398" s="2">
        <v>0</v>
      </c>
      <c r="Z398" s="2">
        <f>Z397*(1+((1+VLOOKUP($B398,'IPCA Hist'!$B:$C,2,0))^12 - 1)+$Z$2)^(1/252)</f>
        <v>81328392.19053863</v>
      </c>
      <c r="AA398" s="2">
        <f>AA397*(1+((1+VLOOKUP($B398,'IPCA Hist'!$B:$C,2,0))^12 - 1)+$AA$2)^(1/252)</f>
        <v>40828175.5093043</v>
      </c>
      <c r="AB398" s="2">
        <f>AB397*(1+((1+VLOOKUP($B398,'IPCA Hist'!$B:$C,2,0))^12 - 1)+$AB$2)^(1/252)</f>
        <v>40842382.282677531</v>
      </c>
      <c r="AC398" s="2">
        <v>0</v>
      </c>
      <c r="AD398" s="2">
        <v>0</v>
      </c>
      <c r="AE398" s="2">
        <v>0</v>
      </c>
      <c r="AF398" s="2">
        <f>AF397*(1+((1+VLOOKUP($B398,'IGPM Hist'!$B:$C,2,0))^12 - 1)+$AF$2)^(1/252)</f>
        <v>1662067.4701107307</v>
      </c>
      <c r="AG398" s="2">
        <v>0</v>
      </c>
      <c r="AH398" s="2">
        <v>0</v>
      </c>
      <c r="AI398" s="2">
        <v>0</v>
      </c>
      <c r="AJ398" s="2">
        <f t="shared" si="88"/>
        <v>53372785.817130528</v>
      </c>
      <c r="AK398" s="2">
        <f t="shared" si="88"/>
        <v>174880044.72200549</v>
      </c>
      <c r="AL398" s="2">
        <f t="shared" si="88"/>
        <v>35865705.290769488</v>
      </c>
      <c r="AM398" s="2">
        <f t="shared" si="88"/>
        <v>125567374.14359927</v>
      </c>
      <c r="AN398" s="2">
        <f t="shared" si="88"/>
        <v>53793215.792668708</v>
      </c>
      <c r="AO398" s="2">
        <f t="shared" si="88"/>
        <v>22942916.08157393</v>
      </c>
      <c r="AP398" s="2">
        <v>0</v>
      </c>
      <c r="AQ398" s="2">
        <v>0</v>
      </c>
      <c r="AR398" s="2">
        <v>0</v>
      </c>
      <c r="AS398" s="2">
        <f t="shared" si="74"/>
        <v>104935032.05262402</v>
      </c>
      <c r="AT398" s="2">
        <f t="shared" si="74"/>
        <v>5295172.7775716223</v>
      </c>
      <c r="AU398" s="2">
        <v>0</v>
      </c>
      <c r="AV398" s="2">
        <f t="shared" si="89"/>
        <v>53245695.346320771</v>
      </c>
      <c r="AW398" s="2">
        <f t="shared" si="89"/>
        <v>2737414.2901903712</v>
      </c>
      <c r="AX398" s="2">
        <v>0</v>
      </c>
      <c r="AY398" s="2">
        <v>0</v>
      </c>
      <c r="AZ398" s="2">
        <v>0</v>
      </c>
      <c r="BA398" s="2">
        <f>BA397*(1+VLOOKUP(A398,'SELIC Hist'!$A:$C,3,0))^(1/252)</f>
        <v>2588734.7477050857</v>
      </c>
      <c r="BB398" s="2">
        <f t="shared" si="79"/>
        <v>1706307534.8446102</v>
      </c>
      <c r="BC398" s="2">
        <v>0</v>
      </c>
      <c r="BD398" s="2">
        <v>0</v>
      </c>
      <c r="BE398" s="2">
        <f t="shared" si="87"/>
        <v>628432.67042613029</v>
      </c>
      <c r="BF398" s="2">
        <f t="shared" si="80"/>
        <v>8116058.7538042068</v>
      </c>
      <c r="BG398" s="2">
        <f t="shared" si="81"/>
        <v>8116058.7538042068</v>
      </c>
      <c r="BH398" s="11">
        <f t="shared" si="82"/>
        <v>1.1571552745284095</v>
      </c>
      <c r="BI398" s="12">
        <f t="shared" si="83"/>
        <v>3.6843546340281641E-4</v>
      </c>
      <c r="BJ398" s="12">
        <f t="shared" si="84"/>
        <v>4.7974809813433605E-3</v>
      </c>
      <c r="BK398" s="12">
        <f t="shared" si="85"/>
        <v>4.7974809813433605E-3</v>
      </c>
      <c r="BL398" s="5">
        <f t="shared" si="86"/>
        <v>0.15715527452840949</v>
      </c>
      <c r="BM398" s="19">
        <f t="shared" si="76"/>
        <v>4.7247614232372337E-2</v>
      </c>
      <c r="BN398" s="19">
        <f t="shared" si="75"/>
        <v>9.9452002341218204E-2</v>
      </c>
      <c r="BO398" s="19" t="s">
        <v>53</v>
      </c>
    </row>
    <row r="399" spans="1:67" x14ac:dyDescent="0.25">
      <c r="A399" s="1">
        <v>45678</v>
      </c>
      <c r="B399" s="1" t="str">
        <f t="shared" si="78"/>
        <v>202501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f>I398*(1+((1+VLOOKUP($B399,'IPCA Hist'!$B:$C,2,0))^12 - 1)+$I$2)^(1/252)</f>
        <v>214653793.61648518</v>
      </c>
      <c r="J399" s="2">
        <f>J398*(1+((1+VLOOKUP($B399,'IPCA Hist'!$B:$C,2,0))^12 - 1)+$J$2)^(1/252)</f>
        <v>136322762.65735221</v>
      </c>
      <c r="K399" s="2">
        <f>K398*(1+((1+VLOOKUP($B399,'IPCA Hist'!$B:$C,2,0))^12 - 1)+$K$2)^(1/252)</f>
        <v>20685074.255279712</v>
      </c>
      <c r="L399" s="2">
        <f>L398*(1+((1+VLOOKUP($B399,'IPCA Hist'!$B:$C,2,0))^12 - 1)+$L$2)^(1/252)</f>
        <v>12595298.567211272</v>
      </c>
      <c r="M399" s="2">
        <v>0</v>
      </c>
      <c r="N399" s="2">
        <v>0</v>
      </c>
      <c r="O399" s="2">
        <v>0</v>
      </c>
      <c r="P399" s="2">
        <v>0</v>
      </c>
      <c r="Q399" s="2">
        <f>Q398*(1+((1+VLOOKUP($B399,'IPCA Hist'!$B:$C,2,0))^12 - 1)+$Q$2)^(1/252)</f>
        <v>46210227.951763995</v>
      </c>
      <c r="R399" s="2">
        <f>R398*(1+((1+VLOOKUP($B399,'IPCA Hist'!$B:$C,2,0))^12 - 1)+$R$2)^(1/252)</f>
        <v>46195984.651747026</v>
      </c>
      <c r="S399" s="2">
        <f>S398*(1+((1+VLOOKUP($B399,'IPCA Hist'!$B:$C,2,0))^12 - 1)+$S$2)^(1/252)</f>
        <v>47223543.260221541</v>
      </c>
      <c r="T399" s="2">
        <f>T398*(1+((1+VLOOKUP($B399,'IPCA Hist'!$B:$C,2,0))^12 - 1)+$T$2)^(1/252)</f>
        <v>238506357.47596642</v>
      </c>
      <c r="U399" s="2">
        <f>U398*(1+((1+VLOOKUP($B399,'IPCA Hist'!$B:$C,2,0))^12 - 1)+$U$2)^(1/252)</f>
        <v>20904875.378137335</v>
      </c>
      <c r="V399" s="2">
        <f>V398*(1+((1+VLOOKUP($B399,'IPCA Hist'!$B:$C,2,0))^12 - 1)+$V$2)^(1/252)</f>
        <v>80834693.157969773</v>
      </c>
      <c r="W399" s="2">
        <f>W398*(1+((1+VLOOKUP($B399,'IPCA Hist'!$B:$C,2,0))^12 - 1)+$W$2)^(1/252)</f>
        <v>42554835.549716875</v>
      </c>
      <c r="X399" s="2">
        <v>0</v>
      </c>
      <c r="Y399" s="2">
        <v>0</v>
      </c>
      <c r="Z399" s="2">
        <f>Z398*(1+((1+VLOOKUP($B399,'IPCA Hist'!$B:$C,2,0))^12 - 1)+$Z$2)^(1/252)</f>
        <v>81356614.702452645</v>
      </c>
      <c r="AA399" s="2">
        <f>AA398*(1+((1+VLOOKUP($B399,'IPCA Hist'!$B:$C,2,0))^12 - 1)+$AA$2)^(1/252)</f>
        <v>40844145.40624623</v>
      </c>
      <c r="AB399" s="2">
        <f>AB398*(1+((1+VLOOKUP($B399,'IPCA Hist'!$B:$C,2,0))^12 - 1)+$AB$2)^(1/252)</f>
        <v>40858343.043933608</v>
      </c>
      <c r="AC399" s="2">
        <v>0</v>
      </c>
      <c r="AD399" s="2">
        <v>0</v>
      </c>
      <c r="AE399" s="2">
        <v>0</v>
      </c>
      <c r="AF399" s="2">
        <f>AF398*(1+((1+VLOOKUP($B399,'IGPM Hist'!$B:$C,2,0))^12 - 1)+$AF$2)^(1/252)</f>
        <v>1662668.4109945227</v>
      </c>
      <c r="AG399" s="2">
        <v>0</v>
      </c>
      <c r="AH399" s="2">
        <v>0</v>
      </c>
      <c r="AI399" s="2">
        <v>0</v>
      </c>
      <c r="AJ399" s="2">
        <f t="shared" si="88"/>
        <v>53397358.789857425</v>
      </c>
      <c r="AK399" s="2">
        <f t="shared" si="88"/>
        <v>174964536.30614614</v>
      </c>
      <c r="AL399" s="2">
        <f t="shared" si="88"/>
        <v>35883039.759250268</v>
      </c>
      <c r="AM399" s="2">
        <f t="shared" si="88"/>
        <v>125628029.75810376</v>
      </c>
      <c r="AN399" s="2">
        <f t="shared" si="88"/>
        <v>53819219.640490606</v>
      </c>
      <c r="AO399" s="2">
        <f t="shared" si="88"/>
        <v>22956075.590299845</v>
      </c>
      <c r="AP399" s="2">
        <v>0</v>
      </c>
      <c r="AQ399" s="2">
        <v>0</v>
      </c>
      <c r="AR399" s="2">
        <v>0</v>
      </c>
      <c r="AS399" s="2">
        <f t="shared" si="74"/>
        <v>104981783.41890948</v>
      </c>
      <c r="AT399" s="2">
        <f t="shared" si="74"/>
        <v>5298168.5915657161</v>
      </c>
      <c r="AU399" s="2">
        <v>0</v>
      </c>
      <c r="AV399" s="2">
        <f t="shared" si="89"/>
        <v>53269927.260821894</v>
      </c>
      <c r="AW399" s="2">
        <f t="shared" si="89"/>
        <v>2738943.2078832141</v>
      </c>
      <c r="AX399" s="2">
        <v>0</v>
      </c>
      <c r="AY399" s="2">
        <v>0</v>
      </c>
      <c r="AZ399" s="2">
        <v>0</v>
      </c>
      <c r="BA399" s="2">
        <f>BA398*(1+VLOOKUP(A399,'SELIC Hist'!$A:$C,3,0))^(1/252)</f>
        <v>2589912.9627349516</v>
      </c>
      <c r="BB399" s="2">
        <f t="shared" si="79"/>
        <v>1706936213.3715415</v>
      </c>
      <c r="BC399" s="2">
        <v>0</v>
      </c>
      <c r="BD399" s="2">
        <v>0</v>
      </c>
      <c r="BE399" s="2">
        <f t="shared" si="87"/>
        <v>628678.52693128586</v>
      </c>
      <c r="BF399" s="2">
        <f t="shared" si="80"/>
        <v>8744737.2807354927</v>
      </c>
      <c r="BG399" s="2">
        <f t="shared" si="81"/>
        <v>8744737.2807354927</v>
      </c>
      <c r="BH399" s="11">
        <f t="shared" si="82"/>
        <v>1.1575816212792533</v>
      </c>
      <c r="BI399" s="12">
        <f t="shared" si="83"/>
        <v>3.6844385557288639E-4</v>
      </c>
      <c r="BJ399" s="12">
        <f t="shared" si="84"/>
        <v>5.1676924393060375E-3</v>
      </c>
      <c r="BK399" s="12">
        <f t="shared" si="85"/>
        <v>5.1676924393060375E-3</v>
      </c>
      <c r="BL399" s="5">
        <f t="shared" si="86"/>
        <v>0.15758162127925335</v>
      </c>
      <c r="BM399" s="19">
        <f t="shared" si="76"/>
        <v>4.725167094459648E-2</v>
      </c>
      <c r="BN399" s="19">
        <f t="shared" si="75"/>
        <v>9.9538275056214598E-2</v>
      </c>
      <c r="BO399" s="19" t="s">
        <v>53</v>
      </c>
    </row>
    <row r="400" spans="1:67" x14ac:dyDescent="0.25">
      <c r="A400" s="1">
        <v>45679</v>
      </c>
      <c r="B400" s="1" t="str">
        <f t="shared" si="78"/>
        <v>202501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f>I399*(1+((1+VLOOKUP($B400,'IPCA Hist'!$B:$C,2,0))^12 - 1)+$I$2)^(1/252)</f>
        <v>214716324.0671849</v>
      </c>
      <c r="J400" s="2">
        <f>J399*(1+((1+VLOOKUP($B400,'IPCA Hist'!$B:$C,2,0))^12 - 1)+$J$2)^(1/252)</f>
        <v>136360005.1713472</v>
      </c>
      <c r="K400" s="2">
        <f>K399*(1+((1+VLOOKUP($B400,'IPCA Hist'!$B:$C,2,0))^12 - 1)+$K$2)^(1/252)</f>
        <v>20691844.3288664</v>
      </c>
      <c r="L400" s="2">
        <f>L399*(1+((1+VLOOKUP($B400,'IPCA Hist'!$B:$C,2,0))^12 - 1)+$L$2)^(1/252)</f>
        <v>12599471.994870836</v>
      </c>
      <c r="M400" s="2">
        <v>0</v>
      </c>
      <c r="N400" s="2">
        <v>0</v>
      </c>
      <c r="O400" s="2">
        <v>0</v>
      </c>
      <c r="P400" s="2">
        <v>0</v>
      </c>
      <c r="Q400" s="2">
        <f>Q399*(1+((1+VLOOKUP($B400,'IPCA Hist'!$B:$C,2,0))^12 - 1)+$Q$2)^(1/252)</f>
        <v>46222818.04517962</v>
      </c>
      <c r="R400" s="2">
        <f>R399*(1+((1+VLOOKUP($B400,'IPCA Hist'!$B:$C,2,0))^12 - 1)+$R$2)^(1/252)</f>
        <v>46208587.983920574</v>
      </c>
      <c r="S400" s="2">
        <f>S399*(1+((1+VLOOKUP($B400,'IPCA Hist'!$B:$C,2,0))^12 - 1)+$S$2)^(1/252)</f>
        <v>47236216.82454396</v>
      </c>
      <c r="T400" s="2">
        <f>T399*(1+((1+VLOOKUP($B400,'IPCA Hist'!$B:$C,2,0))^12 - 1)+$T$2)^(1/252)</f>
        <v>238570277.86161509</v>
      </c>
      <c r="U400" s="2">
        <f>U399*(1+((1+VLOOKUP($B400,'IPCA Hist'!$B:$C,2,0))^12 - 1)+$U$2)^(1/252)</f>
        <v>20911518.476232506</v>
      </c>
      <c r="V400" s="2">
        <f>V399*(1+((1+VLOOKUP($B400,'IPCA Hist'!$B:$C,2,0))^12 - 1)+$V$2)^(1/252)</f>
        <v>80864705.356162786</v>
      </c>
      <c r="W400" s="2">
        <f>W399*(1+((1+VLOOKUP($B400,'IPCA Hist'!$B:$C,2,0))^12 - 1)+$W$2)^(1/252)</f>
        <v>42570775.194158539</v>
      </c>
      <c r="X400" s="2">
        <v>0</v>
      </c>
      <c r="Y400" s="2">
        <v>0</v>
      </c>
      <c r="Z400" s="2">
        <f>Z399*(1+((1+VLOOKUP($B400,'IPCA Hist'!$B:$C,2,0))^12 - 1)+$Z$2)^(1/252)</f>
        <v>81384847.008119583</v>
      </c>
      <c r="AA400" s="2">
        <f>AA399*(1+((1+VLOOKUP($B400,'IPCA Hist'!$B:$C,2,0))^12 - 1)+$AA$2)^(1/252)</f>
        <v>40860121.549796179</v>
      </c>
      <c r="AB400" s="2">
        <f>AB399*(1+((1+VLOOKUP($B400,'IPCA Hist'!$B:$C,2,0))^12 - 1)+$AB$2)^(1/252)</f>
        <v>40874310.042482555</v>
      </c>
      <c r="AC400" s="2">
        <v>0</v>
      </c>
      <c r="AD400" s="2">
        <v>0</v>
      </c>
      <c r="AE400" s="2">
        <v>0</v>
      </c>
      <c r="AF400" s="2">
        <f>AF399*(1+((1+VLOOKUP($B400,'IGPM Hist'!$B:$C,2,0))^12 - 1)+$AF$2)^(1/252)</f>
        <v>1663269.5691558637</v>
      </c>
      <c r="AG400" s="2">
        <v>0</v>
      </c>
      <c r="AH400" s="2">
        <v>0</v>
      </c>
      <c r="AI400" s="2">
        <v>0</v>
      </c>
      <c r="AJ400" s="2">
        <f t="shared" si="88"/>
        <v>53421943.076046407</v>
      </c>
      <c r="AK400" s="2">
        <f t="shared" si="88"/>
        <v>175049068.71156976</v>
      </c>
      <c r="AL400" s="2">
        <f t="shared" si="88"/>
        <v>35900382.605756655</v>
      </c>
      <c r="AM400" s="2">
        <f t="shared" si="88"/>
        <v>125688714.67244506</v>
      </c>
      <c r="AN400" s="2">
        <f t="shared" si="88"/>
        <v>53845236.058672756</v>
      </c>
      <c r="AO400" s="2">
        <f t="shared" si="88"/>
        <v>22969242.647005681</v>
      </c>
      <c r="AP400" s="2">
        <v>0</v>
      </c>
      <c r="AQ400" s="2">
        <v>0</v>
      </c>
      <c r="AR400" s="2">
        <v>0</v>
      </c>
      <c r="AS400" s="2">
        <f t="shared" si="74"/>
        <v>105028555.61418033</v>
      </c>
      <c r="AT400" s="2">
        <f t="shared" si="74"/>
        <v>5301166.1004811777</v>
      </c>
      <c r="AU400" s="2">
        <v>0</v>
      </c>
      <c r="AV400" s="2">
        <f t="shared" si="89"/>
        <v>53294170.203175627</v>
      </c>
      <c r="AW400" s="2">
        <f t="shared" si="89"/>
        <v>2740472.9795166971</v>
      </c>
      <c r="AX400" s="2">
        <v>0</v>
      </c>
      <c r="AY400" s="2">
        <v>0</v>
      </c>
      <c r="AZ400" s="2">
        <v>0</v>
      </c>
      <c r="BA400" s="2">
        <f>BA399*(1+VLOOKUP(A400,'SELIC Hist'!$A:$C,3,0))^(1/252)</f>
        <v>2591091.7140077287</v>
      </c>
      <c r="BB400" s="2">
        <f t="shared" si="79"/>
        <v>1707565137.8564944</v>
      </c>
      <c r="BC400" s="2">
        <v>0</v>
      </c>
      <c r="BD400" s="2">
        <v>0</v>
      </c>
      <c r="BE400" s="2">
        <f t="shared" si="87"/>
        <v>628924.48495292664</v>
      </c>
      <c r="BF400" s="2">
        <f t="shared" si="80"/>
        <v>9373661.7656884193</v>
      </c>
      <c r="BG400" s="2">
        <f t="shared" si="81"/>
        <v>9373661.7656884193</v>
      </c>
      <c r="BH400" s="11">
        <f t="shared" si="82"/>
        <v>1.158008134829819</v>
      </c>
      <c r="BI400" s="12">
        <f t="shared" si="83"/>
        <v>3.6845224796699938E-4</v>
      </c>
      <c r="BJ400" s="12">
        <f t="shared" si="84"/>
        <v>5.5380487351690544E-3</v>
      </c>
      <c r="BK400" s="12">
        <f t="shared" si="85"/>
        <v>5.5380487351690544E-3</v>
      </c>
      <c r="BL400" s="5">
        <f t="shared" si="86"/>
        <v>0.15800813482981901</v>
      </c>
      <c r="BM400" s="19">
        <f t="shared" si="76"/>
        <v>4.7448865138230989E-2</v>
      </c>
      <c r="BN400" s="19">
        <f t="shared" si="75"/>
        <v>9.9424830565882472E-2</v>
      </c>
      <c r="BO400" s="19" t="s">
        <v>53</v>
      </c>
    </row>
    <row r="401" spans="1:67" x14ac:dyDescent="0.25">
      <c r="A401" s="1">
        <v>45680</v>
      </c>
      <c r="B401" s="1" t="str">
        <f t="shared" si="78"/>
        <v>202501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f>I400*(1+((1+VLOOKUP($B401,'IPCA Hist'!$B:$C,2,0))^12 - 1)+$I$2)^(1/252)</f>
        <v>214778872.73352942</v>
      </c>
      <c r="J401" s="2">
        <f>J400*(1+((1+VLOOKUP($B401,'IPCA Hist'!$B:$C,2,0))^12 - 1)+$J$2)^(1/252)</f>
        <v>136397257.85976076</v>
      </c>
      <c r="K401" s="2">
        <f>K400*(1+((1+VLOOKUP($B401,'IPCA Hist'!$B:$C,2,0))^12 - 1)+$K$2)^(1/252)</f>
        <v>20698616.618248679</v>
      </c>
      <c r="L401" s="2">
        <f>L400*(1+((1+VLOOKUP($B401,'IPCA Hist'!$B:$C,2,0))^12 - 1)+$L$2)^(1/252)</f>
        <v>12603646.805387529</v>
      </c>
      <c r="M401" s="2">
        <v>0</v>
      </c>
      <c r="N401" s="2">
        <v>0</v>
      </c>
      <c r="O401" s="2">
        <v>0</v>
      </c>
      <c r="P401" s="2">
        <v>0</v>
      </c>
      <c r="Q401" s="2">
        <f>Q400*(1+((1+VLOOKUP($B401,'IPCA Hist'!$B:$C,2,0))^12 - 1)+$Q$2)^(1/252)</f>
        <v>46235411.568798028</v>
      </c>
      <c r="R401" s="2">
        <f>R400*(1+((1+VLOOKUP($B401,'IPCA Hist'!$B:$C,2,0))^12 - 1)+$R$2)^(1/252)</f>
        <v>46221194.754574396</v>
      </c>
      <c r="S401" s="2">
        <f>S400*(1+((1+VLOOKUP($B401,'IPCA Hist'!$B:$C,2,0))^12 - 1)+$S$2)^(1/252)</f>
        <v>47248893.790119685</v>
      </c>
      <c r="T401" s="2">
        <f>T400*(1+((1+VLOOKUP($B401,'IPCA Hist'!$B:$C,2,0))^12 - 1)+$T$2)^(1/252)</f>
        <v>238634215.37810984</v>
      </c>
      <c r="U401" s="2">
        <f>U400*(1+((1+VLOOKUP($B401,'IPCA Hist'!$B:$C,2,0))^12 - 1)+$U$2)^(1/252)</f>
        <v>20918163.685354482</v>
      </c>
      <c r="V401" s="2">
        <f>V400*(1+((1+VLOOKUP($B401,'IPCA Hist'!$B:$C,2,0))^12 - 1)+$V$2)^(1/252)</f>
        <v>80894728.697245136</v>
      </c>
      <c r="W401" s="2">
        <f>W400*(1+((1+VLOOKUP($B401,'IPCA Hist'!$B:$C,2,0))^12 - 1)+$W$2)^(1/252)</f>
        <v>42586720.809067756</v>
      </c>
      <c r="X401" s="2">
        <v>0</v>
      </c>
      <c r="Y401" s="2">
        <v>0</v>
      </c>
      <c r="Z401" s="2">
        <f>Z400*(1+((1+VLOOKUP($B401,'IPCA Hist'!$B:$C,2,0))^12 - 1)+$Z$2)^(1/252)</f>
        <v>81413089.110938057</v>
      </c>
      <c r="AA401" s="2">
        <f>AA400*(1+((1+VLOOKUP($B401,'IPCA Hist'!$B:$C,2,0))^12 - 1)+$AA$2)^(1/252)</f>
        <v>40876103.94239749</v>
      </c>
      <c r="AB401" s="2">
        <f>AB400*(1+((1+VLOOKUP($B401,'IPCA Hist'!$B:$C,2,0))^12 - 1)+$AB$2)^(1/252)</f>
        <v>40890283.280761838</v>
      </c>
      <c r="AC401" s="2">
        <v>0</v>
      </c>
      <c r="AD401" s="2">
        <v>0</v>
      </c>
      <c r="AE401" s="2">
        <v>0</v>
      </c>
      <c r="AF401" s="2">
        <f>AF400*(1+((1+VLOOKUP($B401,'IGPM Hist'!$B:$C,2,0))^12 - 1)+$AF$2)^(1/252)</f>
        <v>1663870.9446733128</v>
      </c>
      <c r="AG401" s="2">
        <v>0</v>
      </c>
      <c r="AH401" s="2">
        <v>0</v>
      </c>
      <c r="AI401" s="2">
        <v>0</v>
      </c>
      <c r="AJ401" s="2">
        <f t="shared" si="88"/>
        <v>53446538.680906221</v>
      </c>
      <c r="AK401" s="2">
        <f t="shared" si="88"/>
        <v>175133641.95799872</v>
      </c>
      <c r="AL401" s="2">
        <f t="shared" si="88"/>
        <v>35917733.83433789</v>
      </c>
      <c r="AM401" s="2">
        <f t="shared" si="88"/>
        <v>125749428.90077652</v>
      </c>
      <c r="AN401" s="2">
        <f t="shared" si="88"/>
        <v>53871265.053291716</v>
      </c>
      <c r="AO401" s="2">
        <f t="shared" si="88"/>
        <v>22982417.256020777</v>
      </c>
      <c r="AP401" s="2">
        <v>0</v>
      </c>
      <c r="AQ401" s="2">
        <v>0</v>
      </c>
      <c r="AR401" s="2">
        <v>0</v>
      </c>
      <c r="AS401" s="2">
        <f t="shared" si="74"/>
        <v>105075348.64771643</v>
      </c>
      <c r="AT401" s="2">
        <f t="shared" si="74"/>
        <v>5304165.3052769313</v>
      </c>
      <c r="AU401" s="2">
        <v>0</v>
      </c>
      <c r="AV401" s="2">
        <f t="shared" si="89"/>
        <v>53318424.178400703</v>
      </c>
      <c r="AW401" s="2">
        <f t="shared" si="89"/>
        <v>2742003.6055677687</v>
      </c>
      <c r="AX401" s="2">
        <v>0</v>
      </c>
      <c r="AY401" s="2">
        <v>0</v>
      </c>
      <c r="AZ401" s="2">
        <v>0</v>
      </c>
      <c r="BA401" s="2">
        <f>BA400*(1+VLOOKUP(A401,'SELIC Hist'!$A:$C,3,0))^(1/252)</f>
        <v>2592271.001767478</v>
      </c>
      <c r="BB401" s="2">
        <f t="shared" si="79"/>
        <v>1708194308.4010279</v>
      </c>
      <c r="BC401" s="2">
        <v>0</v>
      </c>
      <c r="BD401" s="2">
        <v>0</v>
      </c>
      <c r="BE401" s="2">
        <f t="shared" si="87"/>
        <v>629170.54453349113</v>
      </c>
      <c r="BF401" s="2">
        <f t="shared" si="80"/>
        <v>10002832.31022191</v>
      </c>
      <c r="BG401" s="2">
        <f t="shared" si="81"/>
        <v>10002832.31022191</v>
      </c>
      <c r="BH401" s="11">
        <f t="shared" si="82"/>
        <v>1.1584348152489798</v>
      </c>
      <c r="BI401" s="12">
        <f t="shared" si="83"/>
        <v>3.6846064058404515E-4</v>
      </c>
      <c r="BJ401" s="12">
        <f t="shared" si="84"/>
        <v>5.908549928737683E-3</v>
      </c>
      <c r="BK401" s="12">
        <f t="shared" si="85"/>
        <v>5.908549928737683E-3</v>
      </c>
      <c r="BL401" s="5">
        <f t="shared" si="86"/>
        <v>0.15843481524897984</v>
      </c>
      <c r="BM401" s="19">
        <f t="shared" si="76"/>
        <v>4.7234297046753637E-2</v>
      </c>
      <c r="BN401" s="19">
        <f t="shared" si="75"/>
        <v>9.9445511739274073E-2</v>
      </c>
      <c r="BO401" s="19" t="s">
        <v>53</v>
      </c>
    </row>
    <row r="402" spans="1:67" x14ac:dyDescent="0.25">
      <c r="A402" s="1">
        <v>45681</v>
      </c>
      <c r="B402" s="1" t="str">
        <f t="shared" si="78"/>
        <v>202501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f>I401*(1+((1+VLOOKUP($B402,'IPCA Hist'!$B:$C,2,0))^12 - 1)+$I$2)^(1/252)</f>
        <v>214841439.62082514</v>
      </c>
      <c r="J402" s="2">
        <f>J401*(1+((1+VLOOKUP($B402,'IPCA Hist'!$B:$C,2,0))^12 - 1)+$J$2)^(1/252)</f>
        <v>136434520.72537249</v>
      </c>
      <c r="K402" s="2">
        <f>K401*(1+((1+VLOOKUP($B402,'IPCA Hist'!$B:$C,2,0))^12 - 1)+$K$2)^(1/252)</f>
        <v>20705391.124151766</v>
      </c>
      <c r="L402" s="2">
        <f>L401*(1+((1+VLOOKUP($B402,'IPCA Hist'!$B:$C,2,0))^12 - 1)+$L$2)^(1/252)</f>
        <v>12607822.999219559</v>
      </c>
      <c r="M402" s="2">
        <v>0</v>
      </c>
      <c r="N402" s="2">
        <v>0</v>
      </c>
      <c r="O402" s="2">
        <v>0</v>
      </c>
      <c r="P402" s="2">
        <v>0</v>
      </c>
      <c r="Q402" s="2">
        <f>Q401*(1+((1+VLOOKUP($B402,'IPCA Hist'!$B:$C,2,0))^12 - 1)+$Q$2)^(1/252)</f>
        <v>46248008.523553774</v>
      </c>
      <c r="R402" s="2">
        <f>R401*(1+((1+VLOOKUP($B402,'IPCA Hist'!$B:$C,2,0))^12 - 1)+$R$2)^(1/252)</f>
        <v>46233804.964646585</v>
      </c>
      <c r="S402" s="2">
        <f>S401*(1+((1+VLOOKUP($B402,'IPCA Hist'!$B:$C,2,0))^12 - 1)+$S$2)^(1/252)</f>
        <v>47261574.157861523</v>
      </c>
      <c r="T402" s="2">
        <f>T401*(1+((1+VLOOKUP($B402,'IPCA Hist'!$B:$C,2,0))^12 - 1)+$T$2)^(1/252)</f>
        <v>238698170.03004181</v>
      </c>
      <c r="U402" s="2">
        <f>U401*(1+((1+VLOOKUP($B402,'IPCA Hist'!$B:$C,2,0))^12 - 1)+$U$2)^(1/252)</f>
        <v>20924811.006174102</v>
      </c>
      <c r="V402" s="2">
        <f>V401*(1+((1+VLOOKUP($B402,'IPCA Hist'!$B:$C,2,0))^12 - 1)+$V$2)^(1/252)</f>
        <v>80924763.18535395</v>
      </c>
      <c r="W402" s="2">
        <f>W401*(1+((1+VLOOKUP($B402,'IPCA Hist'!$B:$C,2,0))^12 - 1)+$W$2)^(1/252)</f>
        <v>42602672.396680869</v>
      </c>
      <c r="X402" s="2">
        <v>0</v>
      </c>
      <c r="Y402" s="2">
        <v>0</v>
      </c>
      <c r="Z402" s="2">
        <f>Z401*(1+((1+VLOOKUP($B402,'IPCA Hist'!$B:$C,2,0))^12 - 1)+$Z$2)^(1/252)</f>
        <v>81441341.014307871</v>
      </c>
      <c r="AA402" s="2">
        <f>AA401*(1+((1+VLOOKUP($B402,'IPCA Hist'!$B:$C,2,0))^12 - 1)+$AA$2)^(1/252)</f>
        <v>40892092.586494483</v>
      </c>
      <c r="AB402" s="2">
        <f>AB401*(1+((1+VLOOKUP($B402,'IPCA Hist'!$B:$C,2,0))^12 - 1)+$AB$2)^(1/252)</f>
        <v>40906262.761209883</v>
      </c>
      <c r="AC402" s="2">
        <v>0</v>
      </c>
      <c r="AD402" s="2">
        <v>0</v>
      </c>
      <c r="AE402" s="2">
        <v>0</v>
      </c>
      <c r="AF402" s="2">
        <f>AF401*(1+((1+VLOOKUP($B402,'IGPM Hist'!$B:$C,2,0))^12 - 1)+$AF$2)^(1/252)</f>
        <v>1664472.5376254579</v>
      </c>
      <c r="AG402" s="2">
        <v>0</v>
      </c>
      <c r="AH402" s="2">
        <v>0</v>
      </c>
      <c r="AI402" s="2">
        <v>0</v>
      </c>
      <c r="AJ402" s="2">
        <f t="shared" si="88"/>
        <v>53471145.609648012</v>
      </c>
      <c r="AK402" s="2">
        <f t="shared" si="88"/>
        <v>175218256.06516501</v>
      </c>
      <c r="AL402" s="2">
        <f t="shared" si="88"/>
        <v>35935093.449045159</v>
      </c>
      <c r="AM402" s="2">
        <f t="shared" si="88"/>
        <v>125810172.45725833</v>
      </c>
      <c r="AN402" s="2">
        <f t="shared" si="88"/>
        <v>53897306.630426981</v>
      </c>
      <c r="AO402" s="2">
        <f t="shared" si="88"/>
        <v>22995599.42167696</v>
      </c>
      <c r="AP402" s="2">
        <v>0</v>
      </c>
      <c r="AQ402" s="2">
        <v>0</v>
      </c>
      <c r="AR402" s="2">
        <v>0</v>
      </c>
      <c r="AS402" s="2">
        <f t="shared" si="74"/>
        <v>105122162.52880181</v>
      </c>
      <c r="AT402" s="2">
        <f t="shared" si="74"/>
        <v>5307166.206912444</v>
      </c>
      <c r="AU402" s="2">
        <v>0</v>
      </c>
      <c r="AV402" s="2">
        <f t="shared" si="89"/>
        <v>53342689.191518143</v>
      </c>
      <c r="AW402" s="2">
        <f t="shared" si="89"/>
        <v>2743535.0865136436</v>
      </c>
      <c r="AX402" s="2">
        <v>0</v>
      </c>
      <c r="AY402" s="2">
        <v>0</v>
      </c>
      <c r="AZ402" s="2">
        <v>0</v>
      </c>
      <c r="BA402" s="2">
        <f>BA401*(1+VLOOKUP(A402,'SELIC Hist'!$A:$C,3,0))^(1/252)</f>
        <v>2593450.8262583711</v>
      </c>
      <c r="BB402" s="2">
        <f t="shared" si="79"/>
        <v>1708823725.1067441</v>
      </c>
      <c r="BC402" s="2">
        <v>0</v>
      </c>
      <c r="BD402" s="2">
        <v>0</v>
      </c>
      <c r="BE402" s="2">
        <f t="shared" si="87"/>
        <v>629416.70571613312</v>
      </c>
      <c r="BF402" s="2">
        <f t="shared" si="80"/>
        <v>10632249.015938044</v>
      </c>
      <c r="BG402" s="2">
        <f t="shared" si="81"/>
        <v>10632249.015938044</v>
      </c>
      <c r="BH402" s="11">
        <f t="shared" si="82"/>
        <v>1.1588616626056389</v>
      </c>
      <c r="BI402" s="12">
        <f t="shared" si="83"/>
        <v>3.6846903342357962E-4</v>
      </c>
      <c r="BJ402" s="12">
        <f t="shared" si="84"/>
        <v>6.2791960798425084E-3</v>
      </c>
      <c r="BK402" s="12">
        <f t="shared" si="85"/>
        <v>6.2791960798425084E-3</v>
      </c>
      <c r="BL402" s="5">
        <f t="shared" si="86"/>
        <v>0.15886166260563894</v>
      </c>
      <c r="BM402" s="19">
        <f t="shared" si="76"/>
        <v>4.7691348648625898E-2</v>
      </c>
      <c r="BN402" s="19">
        <f t="shared" si="75"/>
        <v>9.9497288116198179E-2</v>
      </c>
      <c r="BO402" s="19" t="s">
        <v>53</v>
      </c>
    </row>
    <row r="403" spans="1:67" x14ac:dyDescent="0.25">
      <c r="A403" s="1">
        <v>45684</v>
      </c>
      <c r="B403" s="1" t="str">
        <f t="shared" si="78"/>
        <v>202501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f>I402*(1+((1+VLOOKUP($B403,'IPCA Hist'!$B:$C,2,0))^12 - 1)+$I$2)^(1/252)</f>
        <v>214904024.73437998</v>
      </c>
      <c r="J403" s="2">
        <f>J402*(1+((1+VLOOKUP($B403,'IPCA Hist'!$B:$C,2,0))^12 - 1)+$J$2)^(1/252)</f>
        <v>136471793.77096272</v>
      </c>
      <c r="K403" s="2">
        <f>K402*(1+((1+VLOOKUP($B403,'IPCA Hist'!$B:$C,2,0))^12 - 1)+$K$2)^(1/252)</f>
        <v>20712167.847301111</v>
      </c>
      <c r="L403" s="2">
        <f>L402*(1+((1+VLOOKUP($B403,'IPCA Hist'!$B:$C,2,0))^12 - 1)+$L$2)^(1/252)</f>
        <v>12612000.576825285</v>
      </c>
      <c r="M403" s="2">
        <v>0</v>
      </c>
      <c r="N403" s="2">
        <v>0</v>
      </c>
      <c r="O403" s="2">
        <v>0</v>
      </c>
      <c r="P403" s="2">
        <v>0</v>
      </c>
      <c r="Q403" s="2">
        <f>Q402*(1+((1+VLOOKUP($B403,'IPCA Hist'!$B:$C,2,0))^12 - 1)+$Q$2)^(1/252)</f>
        <v>46260608.91038169</v>
      </c>
      <c r="R403" s="2">
        <f>R402*(1+((1+VLOOKUP($B403,'IPCA Hist'!$B:$C,2,0))^12 - 1)+$R$2)^(1/252)</f>
        <v>46246418.615075499</v>
      </c>
      <c r="S403" s="2">
        <f>S402*(1+((1+VLOOKUP($B403,'IPCA Hist'!$B:$C,2,0))^12 - 1)+$S$2)^(1/252)</f>
        <v>47274257.928682528</v>
      </c>
      <c r="T403" s="2">
        <f>T402*(1+((1+VLOOKUP($B403,'IPCA Hist'!$B:$C,2,0))^12 - 1)+$T$2)^(1/252)</f>
        <v>238762141.82200333</v>
      </c>
      <c r="U403" s="2">
        <f>U402*(1+((1+VLOOKUP($B403,'IPCA Hist'!$B:$C,2,0))^12 - 1)+$U$2)^(1/252)</f>
        <v>20931460.439362414</v>
      </c>
      <c r="V403" s="2">
        <f>V402*(1+((1+VLOOKUP($B403,'IPCA Hist'!$B:$C,2,0))^12 - 1)+$V$2)^(1/252)</f>
        <v>80954808.824627861</v>
      </c>
      <c r="W403" s="2">
        <f>W402*(1+((1+VLOOKUP($B403,'IPCA Hist'!$B:$C,2,0))^12 - 1)+$W$2)^(1/252)</f>
        <v>42618629.959235057</v>
      </c>
      <c r="X403" s="2">
        <v>0</v>
      </c>
      <c r="Y403" s="2">
        <v>0</v>
      </c>
      <c r="Z403" s="2">
        <f>Z402*(1+((1+VLOOKUP($B403,'IPCA Hist'!$B:$C,2,0))^12 - 1)+$Z$2)^(1/252)</f>
        <v>81469602.721630007</v>
      </c>
      <c r="AA403" s="2">
        <f>AA402*(1+((1+VLOOKUP($B403,'IPCA Hist'!$B:$C,2,0))^12 - 1)+$AA$2)^(1/252)</f>
        <v>40908087.484532416</v>
      </c>
      <c r="AB403" s="2">
        <f>AB402*(1+((1+VLOOKUP($B403,'IPCA Hist'!$B:$C,2,0))^12 - 1)+$AB$2)^(1/252)</f>
        <v>40922248.486266054</v>
      </c>
      <c r="AC403" s="2">
        <v>0</v>
      </c>
      <c r="AD403" s="2">
        <v>0</v>
      </c>
      <c r="AE403" s="2">
        <v>0</v>
      </c>
      <c r="AF403" s="2">
        <f>AF402*(1+((1+VLOOKUP($B403,'IGPM Hist'!$B:$C,2,0))^12 - 1)+$AF$2)^(1/252)</f>
        <v>1665074.3480909148</v>
      </c>
      <c r="AG403" s="2">
        <v>0</v>
      </c>
      <c r="AH403" s="2">
        <v>0</v>
      </c>
      <c r="AI403" s="2">
        <v>0</v>
      </c>
      <c r="AJ403" s="2">
        <f t="shared" si="88"/>
        <v>53495763.86748533</v>
      </c>
      <c r="AK403" s="2">
        <f t="shared" si="88"/>
        <v>175302911.05281007</v>
      </c>
      <c r="AL403" s="2">
        <f t="shared" si="88"/>
        <v>35952461.453931615</v>
      </c>
      <c r="AM403" s="2">
        <f t="shared" si="88"/>
        <v>125870945.35605752</v>
      </c>
      <c r="AN403" s="2">
        <f t="shared" si="88"/>
        <v>53923360.796160996</v>
      </c>
      <c r="AO403" s="2">
        <f t="shared" si="88"/>
        <v>23008789.148308538</v>
      </c>
      <c r="AP403" s="2">
        <v>0</v>
      </c>
      <c r="AQ403" s="2">
        <v>0</v>
      </c>
      <c r="AR403" s="2">
        <v>0</v>
      </c>
      <c r="AS403" s="2">
        <f t="shared" si="74"/>
        <v>105168997.2667246</v>
      </c>
      <c r="AT403" s="2">
        <f t="shared" si="74"/>
        <v>5310168.8063477241</v>
      </c>
      <c r="AU403" s="2">
        <v>0</v>
      </c>
      <c r="AV403" s="2">
        <f t="shared" si="89"/>
        <v>53366965.247551247</v>
      </c>
      <c r="AW403" s="2">
        <f t="shared" si="89"/>
        <v>2745067.4228318026</v>
      </c>
      <c r="AX403" s="2">
        <v>0</v>
      </c>
      <c r="AY403" s="2">
        <v>0</v>
      </c>
      <c r="AZ403" s="2">
        <v>0</v>
      </c>
      <c r="BA403" s="2">
        <f>BA402*(1+VLOOKUP(A403,'SELIC Hist'!$A:$C,3,0))^(1/252)</f>
        <v>2594631.1877246918</v>
      </c>
      <c r="BB403" s="2">
        <f t="shared" si="79"/>
        <v>1709453388.0752904</v>
      </c>
      <c r="BC403" s="2">
        <v>0</v>
      </c>
      <c r="BD403" s="2">
        <v>0</v>
      </c>
      <c r="BE403" s="2">
        <f t="shared" si="87"/>
        <v>629662.96854639053</v>
      </c>
      <c r="BF403" s="2">
        <f t="shared" si="80"/>
        <v>11261911.984484434</v>
      </c>
      <c r="BG403" s="2">
        <f t="shared" si="81"/>
        <v>11261911.984484434</v>
      </c>
      <c r="BH403" s="11">
        <f t="shared" si="82"/>
        <v>1.1592886769687296</v>
      </c>
      <c r="BI403" s="12">
        <f t="shared" si="83"/>
        <v>3.6847742648649096E-4</v>
      </c>
      <c r="BJ403" s="12">
        <f t="shared" si="84"/>
        <v>6.6499872483409828E-3</v>
      </c>
      <c r="BK403" s="12">
        <f t="shared" si="85"/>
        <v>6.6499872483409828E-3</v>
      </c>
      <c r="BL403" s="5">
        <f t="shared" si="86"/>
        <v>0.15928867696872961</v>
      </c>
      <c r="BM403" s="19">
        <f t="shared" si="76"/>
        <v>4.7285383134484382E-2</v>
      </c>
      <c r="BN403" s="19">
        <f t="shared" si="75"/>
        <v>9.9434854638582815E-2</v>
      </c>
      <c r="BO403" s="19" t="s">
        <v>53</v>
      </c>
    </row>
    <row r="404" spans="1:67" x14ac:dyDescent="0.25">
      <c r="A404" s="1">
        <v>45685</v>
      </c>
      <c r="B404" s="1" t="str">
        <f t="shared" si="78"/>
        <v>202501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f>I403*(1+((1+VLOOKUP($B404,'IPCA Hist'!$B:$C,2,0))^12 - 1)+$I$2)^(1/252)</f>
        <v>214966628.07950339</v>
      </c>
      <c r="J404" s="2">
        <f>J403*(1+((1+VLOOKUP($B404,'IPCA Hist'!$B:$C,2,0))^12 - 1)+$J$2)^(1/252)</f>
        <v>136509076.99931255</v>
      </c>
      <c r="K404" s="2">
        <f>K403*(1+((1+VLOOKUP($B404,'IPCA Hist'!$B:$C,2,0))^12 - 1)+$K$2)^(1/252)</f>
        <v>20718946.788422402</v>
      </c>
      <c r="L404" s="2">
        <f>L403*(1+((1+VLOOKUP($B404,'IPCA Hist'!$B:$C,2,0))^12 - 1)+$L$2)^(1/252)</f>
        <v>12616179.538663218</v>
      </c>
      <c r="M404" s="2">
        <v>0</v>
      </c>
      <c r="N404" s="2">
        <v>0</v>
      </c>
      <c r="O404" s="2">
        <v>0</v>
      </c>
      <c r="P404" s="2">
        <v>0</v>
      </c>
      <c r="Q404" s="2">
        <f>Q403*(1+((1+VLOOKUP($B404,'IPCA Hist'!$B:$C,2,0))^12 - 1)+$Q$2)^(1/252)</f>
        <v>46273212.730216846</v>
      </c>
      <c r="R404" s="2">
        <f>R403*(1+((1+VLOOKUP($B404,'IPCA Hist'!$B:$C,2,0))^12 - 1)+$R$2)^(1/252)</f>
        <v>46259035.706799746</v>
      </c>
      <c r="S404" s="2">
        <f>S403*(1+((1+VLOOKUP($B404,'IPCA Hist'!$B:$C,2,0))^12 - 1)+$S$2)^(1/252)</f>
        <v>47286945.103495993</v>
      </c>
      <c r="T404" s="2">
        <f>T403*(1+((1+VLOOKUP($B404,'IPCA Hist'!$B:$C,2,0))^12 - 1)+$T$2)^(1/252)</f>
        <v>238826130.75858799</v>
      </c>
      <c r="U404" s="2">
        <f>U403*(1+((1+VLOOKUP($B404,'IPCA Hist'!$B:$C,2,0))^12 - 1)+$U$2)^(1/252)</f>
        <v>20938111.985590681</v>
      </c>
      <c r="V404" s="2">
        <f>V403*(1+((1+VLOOKUP($B404,'IPCA Hist'!$B:$C,2,0))^12 - 1)+$V$2)^(1/252)</f>
        <v>80984865.619207069</v>
      </c>
      <c r="W404" s="2">
        <f>W403*(1+((1+VLOOKUP($B404,'IPCA Hist'!$B:$C,2,0))^12 - 1)+$W$2)^(1/252)</f>
        <v>42634593.498968333</v>
      </c>
      <c r="X404" s="2">
        <v>0</v>
      </c>
      <c r="Y404" s="2">
        <v>0</v>
      </c>
      <c r="Z404" s="2">
        <f>Z403*(1+((1+VLOOKUP($B404,'IPCA Hist'!$B:$C,2,0))^12 - 1)+$Z$2)^(1/252)</f>
        <v>81497874.236306623</v>
      </c>
      <c r="AA404" s="2">
        <f>AA403*(1+((1+VLOOKUP($B404,'IPCA Hist'!$B:$C,2,0))^12 - 1)+$AA$2)^(1/252)</f>
        <v>40924088.638957515</v>
      </c>
      <c r="AB404" s="2">
        <f>AB403*(1+((1+VLOOKUP($B404,'IPCA Hist'!$B:$C,2,0))^12 - 1)+$AB$2)^(1/252)</f>
        <v>40938240.458370678</v>
      </c>
      <c r="AC404" s="2">
        <v>0</v>
      </c>
      <c r="AD404" s="2">
        <v>0</v>
      </c>
      <c r="AE404" s="2">
        <v>0</v>
      </c>
      <c r="AF404" s="2">
        <f>AF403*(1+((1+VLOOKUP($B404,'IGPM Hist'!$B:$C,2,0))^12 - 1)+$AF$2)^(1/252)</f>
        <v>1665676.3761483284</v>
      </c>
      <c r="AG404" s="2">
        <v>0</v>
      </c>
      <c r="AH404" s="2">
        <v>0</v>
      </c>
      <c r="AI404" s="2">
        <v>0</v>
      </c>
      <c r="AJ404" s="2">
        <f t="shared" si="88"/>
        <v>53520393.45963411</v>
      </c>
      <c r="AK404" s="2">
        <f t="shared" si="88"/>
        <v>175387606.94068488</v>
      </c>
      <c r="AL404" s="2">
        <f t="shared" si="88"/>
        <v>35969837.853052363</v>
      </c>
      <c r="AM404" s="2">
        <f t="shared" si="88"/>
        <v>125931747.61134799</v>
      </c>
      <c r="AN404" s="2">
        <f t="shared" si="88"/>
        <v>53949427.556579128</v>
      </c>
      <c r="AO404" s="2">
        <f t="shared" si="88"/>
        <v>23021986.440252308</v>
      </c>
      <c r="AP404" s="2">
        <v>0</v>
      </c>
      <c r="AQ404" s="2">
        <v>0</v>
      </c>
      <c r="AR404" s="2">
        <v>0</v>
      </c>
      <c r="AS404" s="2">
        <f t="shared" si="74"/>
        <v>105215852.87077707</v>
      </c>
      <c r="AT404" s="2">
        <f t="shared" si="74"/>
        <v>5313173.1045433255</v>
      </c>
      <c r="AU404" s="2">
        <v>0</v>
      </c>
      <c r="AV404" s="2">
        <f t="shared" si="89"/>
        <v>53391252.351525605</v>
      </c>
      <c r="AW404" s="2">
        <f t="shared" si="89"/>
        <v>2746600.6149999937</v>
      </c>
      <c r="AX404" s="2">
        <v>0</v>
      </c>
      <c r="AY404" s="2">
        <v>0</v>
      </c>
      <c r="AZ404" s="2">
        <v>0</v>
      </c>
      <c r="BA404" s="2">
        <f>BA403*(1+VLOOKUP(A404,'SELIC Hist'!$A:$C,3,0))^(1/252)</f>
        <v>2595812.0864108345</v>
      </c>
      <c r="BB404" s="2">
        <f t="shared" si="79"/>
        <v>1710083297.4083588</v>
      </c>
      <c r="BC404" s="2">
        <v>0</v>
      </c>
      <c r="BD404" s="2">
        <v>0</v>
      </c>
      <c r="BE404" s="2">
        <f t="shared" si="87"/>
        <v>629909.33306837082</v>
      </c>
      <c r="BF404" s="2">
        <f t="shared" si="80"/>
        <v>11891821.317552805</v>
      </c>
      <c r="BG404" s="2">
        <f t="shared" si="81"/>
        <v>11891821.317552805</v>
      </c>
      <c r="BH404" s="11">
        <f t="shared" si="82"/>
        <v>1.1597158584072158</v>
      </c>
      <c r="BI404" s="12">
        <f t="shared" si="83"/>
        <v>3.6848581977277917E-4</v>
      </c>
      <c r="BJ404" s="12">
        <f t="shared" si="84"/>
        <v>7.0209234941165377E-3</v>
      </c>
      <c r="BK404" s="12">
        <f t="shared" si="85"/>
        <v>7.0209234941165377E-3</v>
      </c>
      <c r="BL404" s="5">
        <f t="shared" si="86"/>
        <v>0.1597158584072158</v>
      </c>
      <c r="BM404" s="19">
        <f t="shared" si="76"/>
        <v>4.7395786615010316E-2</v>
      </c>
      <c r="BN404" s="19">
        <f t="shared" si="75"/>
        <v>9.9295481100067029E-2</v>
      </c>
      <c r="BO404" s="19" t="s">
        <v>53</v>
      </c>
    </row>
    <row r="405" spans="1:67" x14ac:dyDescent="0.25">
      <c r="A405" s="1">
        <v>45686</v>
      </c>
      <c r="B405" s="1" t="str">
        <f t="shared" si="78"/>
        <v>202501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f>I404*(1+((1+VLOOKUP($B405,'IPCA Hist'!$B:$C,2,0))^12 - 1)+$I$2)^(1/252)</f>
        <v>215029249.66150638</v>
      </c>
      <c r="J405" s="2">
        <f>J404*(1+((1+VLOOKUP($B405,'IPCA Hist'!$B:$C,2,0))^12 - 1)+$J$2)^(1/252)</f>
        <v>136546370.41320387</v>
      </c>
      <c r="K405" s="2">
        <f>K404*(1+((1+VLOOKUP($B405,'IPCA Hist'!$B:$C,2,0))^12 - 1)+$K$2)^(1/252)</f>
        <v>20725727.948241565</v>
      </c>
      <c r="L405" s="2">
        <f>L404*(1+((1+VLOOKUP($B405,'IPCA Hist'!$B:$C,2,0))^12 - 1)+$L$2)^(1/252)</f>
        <v>12620359.88519202</v>
      </c>
      <c r="M405" s="2">
        <v>0</v>
      </c>
      <c r="N405" s="2">
        <v>0</v>
      </c>
      <c r="O405" s="2">
        <v>0</v>
      </c>
      <c r="P405" s="2">
        <v>0</v>
      </c>
      <c r="Q405" s="2">
        <f>Q404*(1+((1+VLOOKUP($B405,'IPCA Hist'!$B:$C,2,0))^12 - 1)+$Q$2)^(1/252)</f>
        <v>46285819.983994581</v>
      </c>
      <c r="R405" s="2">
        <f>R404*(1+((1+VLOOKUP($B405,'IPCA Hist'!$B:$C,2,0))^12 - 1)+$R$2)^(1/252)</f>
        <v>46271656.240758188</v>
      </c>
      <c r="S405" s="2">
        <f>S404*(1+((1+VLOOKUP($B405,'IPCA Hist'!$B:$C,2,0))^12 - 1)+$S$2)^(1/252)</f>
        <v>47299635.683215462</v>
      </c>
      <c r="T405" s="2">
        <f>T404*(1+((1+VLOOKUP($B405,'IPCA Hist'!$B:$C,2,0))^12 - 1)+$T$2)^(1/252)</f>
        <v>238890136.84439057</v>
      </c>
      <c r="U405" s="2">
        <f>U404*(1+((1+VLOOKUP($B405,'IPCA Hist'!$B:$C,2,0))^12 - 1)+$U$2)^(1/252)</f>
        <v>20944765.645530384</v>
      </c>
      <c r="V405" s="2">
        <f>V404*(1+((1+VLOOKUP($B405,'IPCA Hist'!$B:$C,2,0))^12 - 1)+$V$2)^(1/252)</f>
        <v>81014933.573233306</v>
      </c>
      <c r="W405" s="2">
        <f>W404*(1+((1+VLOOKUP($B405,'IPCA Hist'!$B:$C,2,0))^12 - 1)+$W$2)^(1/252)</f>
        <v>42650563.018119559</v>
      </c>
      <c r="X405" s="2">
        <v>0</v>
      </c>
      <c r="Y405" s="2">
        <v>0</v>
      </c>
      <c r="Z405" s="2">
        <f>Z404*(1+((1+VLOOKUP($B405,'IPCA Hist'!$B:$C,2,0))^12 - 1)+$Z$2)^(1/252)</f>
        <v>81526155.561741069</v>
      </c>
      <c r="AA405" s="2">
        <f>AA404*(1+((1+VLOOKUP($B405,'IPCA Hist'!$B:$C,2,0))^12 - 1)+$AA$2)^(1/252)</f>
        <v>40940096.052216962</v>
      </c>
      <c r="AB405" s="2">
        <f>AB404*(1+((1+VLOOKUP($B405,'IPCA Hist'!$B:$C,2,0))^12 - 1)+$AB$2)^(1/252)</f>
        <v>40954238.679965034</v>
      </c>
      <c r="AC405" s="2">
        <v>0</v>
      </c>
      <c r="AD405" s="2">
        <v>0</v>
      </c>
      <c r="AE405" s="2">
        <v>0</v>
      </c>
      <c r="AF405" s="2">
        <f>AF404*(1+((1+VLOOKUP($B405,'IGPM Hist'!$B:$C,2,0))^12 - 1)+$AF$2)^(1/252)</f>
        <v>1666278.6218763718</v>
      </c>
      <c r="AG405" s="2">
        <v>0</v>
      </c>
      <c r="AH405" s="2">
        <v>0</v>
      </c>
      <c r="AI405" s="2">
        <v>0</v>
      </c>
      <c r="AJ405" s="2">
        <f t="shared" si="88"/>
        <v>53545034.391312711</v>
      </c>
      <c r="AK405" s="2">
        <f t="shared" si="88"/>
        <v>175472343.74855003</v>
      </c>
      <c r="AL405" s="2">
        <f t="shared" si="88"/>
        <v>35987222.650464475</v>
      </c>
      <c r="AM405" s="2">
        <f t="shared" si="88"/>
        <v>125992579.23731044</v>
      </c>
      <c r="AN405" s="2">
        <f t="shared" si="88"/>
        <v>53975506.917769708</v>
      </c>
      <c r="AO405" s="2">
        <f t="shared" si="88"/>
        <v>23035191.301847547</v>
      </c>
      <c r="AP405" s="2">
        <v>0</v>
      </c>
      <c r="AQ405" s="2">
        <v>0</v>
      </c>
      <c r="AR405" s="2">
        <v>0</v>
      </c>
      <c r="AS405" s="2">
        <f t="shared" si="74"/>
        <v>105262729.35025565</v>
      </c>
      <c r="AT405" s="2">
        <f t="shared" si="74"/>
        <v>5316179.1024603443</v>
      </c>
      <c r="AU405" s="2">
        <v>0</v>
      </c>
      <c r="AV405" s="2">
        <f t="shared" si="89"/>
        <v>53415550.50846909</v>
      </c>
      <c r="AW405" s="2">
        <f t="shared" si="89"/>
        <v>2748134.6634962317</v>
      </c>
      <c r="AX405" s="2">
        <v>0</v>
      </c>
      <c r="AY405" s="2">
        <v>0</v>
      </c>
      <c r="AZ405" s="2">
        <v>0</v>
      </c>
      <c r="BA405" s="2">
        <f>BA404*(1+VLOOKUP(A405,'SELIC Hist'!$A:$C,3,0))^(1/252)</f>
        <v>2597085.0075062211</v>
      </c>
      <c r="BB405" s="2">
        <f t="shared" si="79"/>
        <v>1710713544.6926277</v>
      </c>
      <c r="BC405" s="2">
        <v>0</v>
      </c>
      <c r="BD405" s="2">
        <v>0</v>
      </c>
      <c r="BE405" s="2">
        <f t="shared" si="87"/>
        <v>630247.28426885605</v>
      </c>
      <c r="BF405" s="2">
        <f t="shared" si="80"/>
        <v>12522068.601821661</v>
      </c>
      <c r="BG405" s="2">
        <f t="shared" si="81"/>
        <v>12522068.601821661</v>
      </c>
      <c r="BH405" s="11">
        <f t="shared" si="82"/>
        <v>1.1601432690318285</v>
      </c>
      <c r="BI405" s="12">
        <f t="shared" si="83"/>
        <v>3.6854771064320779E-4</v>
      </c>
      <c r="BJ405" s="12">
        <f t="shared" si="84"/>
        <v>7.3920587500400092E-3</v>
      </c>
      <c r="BK405" s="12">
        <f t="shared" si="85"/>
        <v>7.3920587500400092E-3</v>
      </c>
      <c r="BL405" s="5">
        <f t="shared" si="86"/>
        <v>0.16014326903182852</v>
      </c>
      <c r="BM405" s="19">
        <f t="shared" si="76"/>
        <v>4.7679863587035243E-2</v>
      </c>
      <c r="BN405" s="19">
        <f t="shared" si="75"/>
        <v>9.9222171040758145E-2</v>
      </c>
      <c r="BO405" s="19" t="s">
        <v>53</v>
      </c>
    </row>
    <row r="406" spans="1:67" ht="13.5" customHeight="1" x14ac:dyDescent="0.25">
      <c r="A406" s="1">
        <v>45687</v>
      </c>
      <c r="B406" s="1" t="str">
        <f t="shared" si="78"/>
        <v>202501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f>I405*(1+((1+VLOOKUP($B406,'IPCA Hist'!$B:$C,2,0))^12 - 1)+$I$2)^(1/252)</f>
        <v>215091889.4857015</v>
      </c>
      <c r="J406" s="2">
        <f>J405*(1+((1+VLOOKUP($B406,'IPCA Hist'!$B:$C,2,0))^12 - 1)+$J$2)^(1/252)</f>
        <v>136583674.0154193</v>
      </c>
      <c r="K406" s="2">
        <f>K405*(1+((1+VLOOKUP($B406,'IPCA Hist'!$B:$C,2,0))^12 - 1)+$K$2)^(1/252)</f>
        <v>20732511.327484764</v>
      </c>
      <c r="L406" s="2">
        <f>L405*(1+((1+VLOOKUP($B406,'IPCA Hist'!$B:$C,2,0))^12 - 1)+$L$2)^(1/252)</f>
        <v>12624541.616870506</v>
      </c>
      <c r="M406" s="2">
        <v>0</v>
      </c>
      <c r="N406" s="2">
        <v>0</v>
      </c>
      <c r="O406" s="2">
        <v>0</v>
      </c>
      <c r="P406" s="2">
        <v>0</v>
      </c>
      <c r="Q406" s="2">
        <f>Q405*(1+((1+VLOOKUP($B406,'IPCA Hist'!$B:$C,2,0))^12 - 1)+$Q$2)^(1/252)</f>
        <v>46298430.672650471</v>
      </c>
      <c r="R406" s="2">
        <f>R405*(1+((1+VLOOKUP($B406,'IPCA Hist'!$B:$C,2,0))^12 - 1)+$R$2)^(1/252)</f>
        <v>46284280.217889942</v>
      </c>
      <c r="S406" s="2">
        <f>S405*(1+((1+VLOOKUP($B406,'IPCA Hist'!$B:$C,2,0))^12 - 1)+$S$2)^(1/252)</f>
        <v>47312329.668754727</v>
      </c>
      <c r="T406" s="2">
        <f>T405*(1+((1+VLOOKUP($B406,'IPCA Hist'!$B:$C,2,0))^12 - 1)+$T$2)^(1/252)</f>
        <v>238954160.08400711</v>
      </c>
      <c r="U406" s="2">
        <f>U405*(1+((1+VLOOKUP($B406,'IPCA Hist'!$B:$C,2,0))^12 - 1)+$U$2)^(1/252)</f>
        <v>20951421.419853207</v>
      </c>
      <c r="V406" s="2">
        <f>V405*(1+((1+VLOOKUP($B406,'IPCA Hist'!$B:$C,2,0))^12 - 1)+$V$2)^(1/252)</f>
        <v>81045012.690849826</v>
      </c>
      <c r="W406" s="2">
        <f>W405*(1+((1+VLOOKUP($B406,'IPCA Hist'!$B:$C,2,0))^12 - 1)+$W$2)^(1/252)</f>
        <v>42666538.518928424</v>
      </c>
      <c r="X406" s="2">
        <v>0</v>
      </c>
      <c r="Y406" s="2">
        <v>0</v>
      </c>
      <c r="Z406" s="2">
        <f>Z405*(1+((1+VLOOKUP($B406,'IPCA Hist'!$B:$C,2,0))^12 - 1)+$Z$2)^(1/252)</f>
        <v>81554446.701337859</v>
      </c>
      <c r="AA406" s="2">
        <f>AA405*(1+((1+VLOOKUP($B406,'IPCA Hist'!$B:$C,2,0))^12 - 1)+$AA$2)^(1/252)</f>
        <v>40956109.72675889</v>
      </c>
      <c r="AB406" s="2">
        <f>AB405*(1+((1+VLOOKUP($B406,'IPCA Hist'!$B:$C,2,0))^12 - 1)+$AB$2)^(1/252)</f>
        <v>40970243.153491363</v>
      </c>
      <c r="AC406" s="2">
        <v>0</v>
      </c>
      <c r="AD406" s="2">
        <v>0</v>
      </c>
      <c r="AE406" s="2">
        <v>0</v>
      </c>
      <c r="AF406" s="2">
        <f>AF405*(1+((1+VLOOKUP($B406,'IGPM Hist'!$B:$C,2,0))^12 - 1)+$AF$2)^(1/252)</f>
        <v>1666881.0853537465</v>
      </c>
      <c r="AG406" s="2">
        <v>0</v>
      </c>
      <c r="AH406" s="2">
        <v>0</v>
      </c>
      <c r="AI406" s="2">
        <v>0</v>
      </c>
      <c r="AJ406" s="2">
        <f t="shared" si="88"/>
        <v>53569686.66774188</v>
      </c>
      <c r="AK406" s="2">
        <f t="shared" si="88"/>
        <v>175557121.49617559</v>
      </c>
      <c r="AL406" s="2">
        <f t="shared" si="88"/>
        <v>36004615.850226976</v>
      </c>
      <c r="AM406" s="2">
        <f t="shared" si="88"/>
        <v>126053440.24813244</v>
      </c>
      <c r="AN406" s="2">
        <f t="shared" si="88"/>
        <v>54001598.885823987</v>
      </c>
      <c r="AO406" s="2">
        <f t="shared" si="88"/>
        <v>23048403.73743603</v>
      </c>
      <c r="AP406" s="2">
        <v>0</v>
      </c>
      <c r="AQ406" s="2">
        <v>0</v>
      </c>
      <c r="AR406" s="2">
        <v>0</v>
      </c>
      <c r="AS406" s="2">
        <f t="shared" si="74"/>
        <v>105309626.71446089</v>
      </c>
      <c r="AT406" s="2">
        <f t="shared" si="74"/>
        <v>5319186.8010604195</v>
      </c>
      <c r="AU406" s="2">
        <v>0</v>
      </c>
      <c r="AV406" s="2">
        <f t="shared" si="89"/>
        <v>53439859.723411873</v>
      </c>
      <c r="AW406" s="2">
        <f t="shared" si="89"/>
        <v>2749669.5687987981</v>
      </c>
      <c r="AX406" s="2">
        <v>0</v>
      </c>
      <c r="AY406" s="2">
        <v>0</v>
      </c>
      <c r="AZ406" s="2">
        <v>0</v>
      </c>
      <c r="BA406" s="2">
        <f>BA405*(1+VLOOKUP(A406,'SELIC Hist'!$A:$C,3,0))^(1/252)</f>
        <v>2598358.5528101642</v>
      </c>
      <c r="BB406" s="2">
        <f t="shared" si="79"/>
        <v>1711344038.6314304</v>
      </c>
      <c r="BC406" s="2">
        <v>0</v>
      </c>
      <c r="BD406" s="2">
        <v>0</v>
      </c>
      <c r="BE406" s="2">
        <f t="shared" si="87"/>
        <v>630493.93880271912</v>
      </c>
      <c r="BF406" s="2">
        <f t="shared" si="80"/>
        <v>13152562.54062438</v>
      </c>
      <c r="BG406" s="2">
        <f t="shared" si="81"/>
        <v>13152562.54062438</v>
      </c>
      <c r="BH406" s="11">
        <f t="shared" si="82"/>
        <v>1.1605708469285119</v>
      </c>
      <c r="BI406" s="12">
        <f t="shared" si="83"/>
        <v>3.6855611552200074E-4</v>
      </c>
      <c r="BJ406" s="12">
        <f t="shared" si="84"/>
        <v>7.7633392540206181E-3</v>
      </c>
      <c r="BK406" s="12">
        <f t="shared" si="85"/>
        <v>7.7633392540206181E-3</v>
      </c>
      <c r="BL406" s="5">
        <f t="shared" si="86"/>
        <v>0.16057084692851187</v>
      </c>
      <c r="BM406" s="19">
        <f t="shared" si="76"/>
        <v>4.7456009268954213E-2</v>
      </c>
      <c r="BN406" s="19">
        <f t="shared" si="75"/>
        <v>9.9330928077928649E-2</v>
      </c>
      <c r="BO406" s="19" t="s">
        <v>53</v>
      </c>
    </row>
    <row r="407" spans="1:67" x14ac:dyDescent="0.25">
      <c r="A407" s="1">
        <v>45688</v>
      </c>
      <c r="B407" s="1" t="str">
        <f t="shared" si="78"/>
        <v>202501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f>I406*(1+((1+VLOOKUP($B407,'IPCA Hist'!$B:$C,2,0))^12 - 1)+$I$2)^(1/252)</f>
        <v>215154547.55740288</v>
      </c>
      <c r="J407" s="2">
        <f>J406*(1+((1+VLOOKUP($B407,'IPCA Hist'!$B:$C,2,0))^12 - 1)+$J$2)^(1/252)</f>
        <v>136620987.80874223</v>
      </c>
      <c r="K407" s="2">
        <f>K406*(1+((1+VLOOKUP($B407,'IPCA Hist'!$B:$C,2,0))^12 - 1)+$K$2)^(1/252)</f>
        <v>20739296.9268784</v>
      </c>
      <c r="L407" s="2">
        <f>L406*(1+((1+VLOOKUP($B407,'IPCA Hist'!$B:$C,2,0))^12 - 1)+$L$2)^(1/252)</f>
        <v>12628724.734157642</v>
      </c>
      <c r="M407" s="2">
        <v>0</v>
      </c>
      <c r="N407" s="2">
        <v>0</v>
      </c>
      <c r="O407" s="2">
        <v>0</v>
      </c>
      <c r="P407" s="2">
        <v>0</v>
      </c>
      <c r="Q407" s="2">
        <f>Q406*(1+((1+VLOOKUP($B407,'IPCA Hist'!$B:$C,2,0))^12 - 1)+$Q$2)^(1/252)</f>
        <v>46311044.797120363</v>
      </c>
      <c r="R407" s="2">
        <f>R406*(1+((1+VLOOKUP($B407,'IPCA Hist'!$B:$C,2,0))^12 - 1)+$R$2)^(1/252)</f>
        <v>46296907.639134392</v>
      </c>
      <c r="S407" s="2">
        <f>S406*(1+((1+VLOOKUP($B407,'IPCA Hist'!$B:$C,2,0))^12 - 1)+$S$2)^(1/252)</f>
        <v>47325027.061027817</v>
      </c>
      <c r="T407" s="2">
        <f>T406*(1+((1+VLOOKUP($B407,'IPCA Hist'!$B:$C,2,0))^12 - 1)+$T$2)^(1/252)</f>
        <v>239018200.48203492</v>
      </c>
      <c r="U407" s="2">
        <f>U406*(1+((1+VLOOKUP($B407,'IPCA Hist'!$B:$C,2,0))^12 - 1)+$U$2)^(1/252)</f>
        <v>20958079.309231054</v>
      </c>
      <c r="V407" s="2">
        <f>V406*(1+((1+VLOOKUP($B407,'IPCA Hist'!$B:$C,2,0))^12 - 1)+$V$2)^(1/252)</f>
        <v>81075102.976201445</v>
      </c>
      <c r="W407" s="2">
        <f>W406*(1+((1+VLOOKUP($B407,'IPCA Hist'!$B:$C,2,0))^12 - 1)+$W$2)^(1/252)</f>
        <v>42682520.003635459</v>
      </c>
      <c r="X407" s="2">
        <v>0</v>
      </c>
      <c r="Y407" s="2">
        <v>0</v>
      </c>
      <c r="Z407" s="2">
        <f>Z406*(1+((1+VLOOKUP($B407,'IPCA Hist'!$B:$C,2,0))^12 - 1)+$Z$2)^(1/252)</f>
        <v>81582747.658502683</v>
      </c>
      <c r="AA407" s="2">
        <f>AA406*(1+((1+VLOOKUP($B407,'IPCA Hist'!$B:$C,2,0))^12 - 1)+$AA$2)^(1/252)</f>
        <v>40972129.665032394</v>
      </c>
      <c r="AB407" s="2">
        <f>AB406*(1+((1+VLOOKUP($B407,'IPCA Hist'!$B:$C,2,0))^12 - 1)+$AB$2)^(1/252)</f>
        <v>40986253.881392844</v>
      </c>
      <c r="AC407" s="2">
        <v>0</v>
      </c>
      <c r="AD407" s="2">
        <v>0</v>
      </c>
      <c r="AE407" s="2">
        <v>0</v>
      </c>
      <c r="AF407" s="2">
        <f>AF406*(1+((1+VLOOKUP($B407,'IGPM Hist'!$B:$C,2,0))^12 - 1)+$AF$2)^(1/252)</f>
        <v>1667483.7666591825</v>
      </c>
      <c r="AG407" s="2">
        <v>0</v>
      </c>
      <c r="AH407" s="2">
        <v>0</v>
      </c>
      <c r="AI407" s="2">
        <v>0</v>
      </c>
      <c r="AJ407" s="2">
        <f t="shared" si="88"/>
        <v>53594350.294144765</v>
      </c>
      <c r="AK407" s="2">
        <f t="shared" si="88"/>
        <v>175641940.20334119</v>
      </c>
      <c r="AL407" s="2">
        <f t="shared" si="88"/>
        <v>36022017.456400849</v>
      </c>
      <c r="AM407" s="2">
        <f t="shared" si="88"/>
        <v>126114330.65800843</v>
      </c>
      <c r="AN407" s="2">
        <f t="shared" si="88"/>
        <v>54027703.466836177</v>
      </c>
      <c r="AO407" s="2">
        <f t="shared" si="88"/>
        <v>23061623.751362018</v>
      </c>
      <c r="AP407" s="2">
        <v>0</v>
      </c>
      <c r="AQ407" s="2">
        <v>0</v>
      </c>
      <c r="AR407" s="2">
        <v>0</v>
      </c>
      <c r="AS407" s="2">
        <f t="shared" si="74"/>
        <v>105356544.97269751</v>
      </c>
      <c r="AT407" s="2">
        <f t="shared" si="74"/>
        <v>5322196.2013057359</v>
      </c>
      <c r="AU407" s="2">
        <v>0</v>
      </c>
      <c r="AV407" s="2">
        <f t="shared" si="89"/>
        <v>53464180.001386404</v>
      </c>
      <c r="AW407" s="2">
        <f t="shared" si="89"/>
        <v>2751205.3313862421</v>
      </c>
      <c r="AX407" s="2">
        <v>0</v>
      </c>
      <c r="AY407" s="2">
        <v>0</v>
      </c>
      <c r="AZ407" s="2">
        <v>0</v>
      </c>
      <c r="BA407" s="2">
        <f>BA406*(1+VLOOKUP(A407,'SELIC Hist'!$A:$C,3,0))^(1/252)</f>
        <v>2599632.7226287597</v>
      </c>
      <c r="BB407" s="2">
        <f t="shared" si="79"/>
        <v>1711974779.3266518</v>
      </c>
      <c r="BC407" s="2">
        <v>0</v>
      </c>
      <c r="BD407" s="2">
        <v>0</v>
      </c>
      <c r="BE407" s="2">
        <f t="shared" si="87"/>
        <v>630740.6952214241</v>
      </c>
      <c r="BF407" s="2">
        <f t="shared" si="80"/>
        <v>13783303.235845804</v>
      </c>
      <c r="BG407" s="2">
        <f t="shared" si="81"/>
        <v>13783303.235845804</v>
      </c>
      <c r="BH407" s="11">
        <f t="shared" si="82"/>
        <v>1.1609985921663608</v>
      </c>
      <c r="BI407" s="12">
        <f t="shared" si="83"/>
        <v>3.685645206243926E-4</v>
      </c>
      <c r="BJ407" s="12">
        <f t="shared" si="84"/>
        <v>8.1347650660557047E-3</v>
      </c>
      <c r="BK407" s="12">
        <f t="shared" si="85"/>
        <v>8.1347650660557047E-3</v>
      </c>
      <c r="BL407" s="5">
        <f t="shared" si="86"/>
        <v>0.16099859216636081</v>
      </c>
      <c r="BM407" s="19">
        <f t="shared" si="76"/>
        <v>4.7758684248785599E-2</v>
      </c>
      <c r="BN407" s="19">
        <f>BH407/BH155 - 1</f>
        <v>9.9440783960603296E-2</v>
      </c>
      <c r="BO407" s="19" t="s">
        <v>53</v>
      </c>
    </row>
    <row r="408" spans="1:67" x14ac:dyDescent="0.25">
      <c r="A408" s="1">
        <v>45691</v>
      </c>
      <c r="B408" s="1" t="str">
        <f t="shared" si="78"/>
        <v>202502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f>I407*(1+((1+VLOOKUP($B408,'IPCA Hist'!$B:$C,2,0))^12 - 1)+$I$2)^(1/252)</f>
        <v>215328461.55669945</v>
      </c>
      <c r="J408" s="2">
        <f>J407*(1+((1+VLOOKUP($B408,'IPCA Hist'!$B:$C,2,0))^12 - 1)+$J$2)^(1/252)</f>
        <v>136729248.25328231</v>
      </c>
      <c r="K408" s="2">
        <f>K407*(1+((1+VLOOKUP($B408,'IPCA Hist'!$B:$C,2,0))^12 - 1)+$K$2)^(1/252)</f>
        <v>20756716.812797915</v>
      </c>
      <c r="L408" s="2">
        <f>L407*(1+((1+VLOOKUP($B408,'IPCA Hist'!$B:$C,2,0))^12 - 1)+$L$2)^(1/252)</f>
        <v>12639377.215384692</v>
      </c>
      <c r="M408" s="2">
        <v>0</v>
      </c>
      <c r="N408" s="2">
        <v>0</v>
      </c>
      <c r="O408" s="2">
        <v>0</v>
      </c>
      <c r="P408" s="2">
        <v>0</v>
      </c>
      <c r="Q408" s="2">
        <f>Q407*(1+((1+VLOOKUP($B408,'IPCA Hist'!$B:$C,2,0))^12 - 1)+$Q$2)^(1/252)</f>
        <v>46347712.207732424</v>
      </c>
      <c r="R408" s="2">
        <f>R407*(1+((1+VLOOKUP($B408,'IPCA Hist'!$B:$C,2,0))^12 - 1)+$R$2)^(1/252)</f>
        <v>46333578.917648174</v>
      </c>
      <c r="S408" s="2">
        <f>S407*(1+((1+VLOOKUP($B408,'IPCA Hist'!$B:$C,2,0))^12 - 1)+$S$2)^(1/252)</f>
        <v>47362327.870941736</v>
      </c>
      <c r="T408" s="2">
        <f>T407*(1+((1+VLOOKUP($B408,'IPCA Hist'!$B:$C,2,0))^12 - 1)+$T$2)^(1/252)</f>
        <v>239206512.87331852</v>
      </c>
      <c r="U408" s="2">
        <f>U407*(1+((1+VLOOKUP($B408,'IPCA Hist'!$B:$C,2,0))^12 - 1)+$U$2)^(1/252)</f>
        <v>20975507.62999567</v>
      </c>
      <c r="V408" s="2">
        <f>V407*(1+((1+VLOOKUP($B408,'IPCA Hist'!$B:$C,2,0))^12 - 1)+$V$2)^(1/252)</f>
        <v>81146339.581589893</v>
      </c>
      <c r="W408" s="2">
        <f>W407*(1+((1+VLOOKUP($B408,'IPCA Hist'!$B:$C,2,0))^12 - 1)+$W$2)^(1/252)</f>
        <v>42720146.57548435</v>
      </c>
      <c r="X408" s="2">
        <v>0</v>
      </c>
      <c r="Y408" s="2">
        <v>0</v>
      </c>
      <c r="Z408" s="2">
        <f>Z407*(1+((1+VLOOKUP($B408,'IPCA Hist'!$B:$C,2,0))^12 - 1)+$Z$2)^(1/252)</f>
        <v>81652688.304410324</v>
      </c>
      <c r="AA408" s="2">
        <f>AA407*(1+((1+VLOOKUP($B408,'IPCA Hist'!$B:$C,2,0))^12 - 1)+$AA$2)^(1/252)</f>
        <v>41008846.858138375</v>
      </c>
      <c r="AB408" s="2">
        <f>AB407*(1+((1+VLOOKUP($B408,'IPCA Hist'!$B:$C,2,0))^12 - 1)+$AB$2)^(1/252)</f>
        <v>41022970.741860755</v>
      </c>
      <c r="AC408" s="2">
        <v>0</v>
      </c>
      <c r="AD408" s="2">
        <v>0</v>
      </c>
      <c r="AE408" s="2">
        <v>0</v>
      </c>
      <c r="AF408" s="2">
        <f>AF407*(1+((1+VLOOKUP($B408,'IGPM Hist'!$B:$C,2,0))^12 - 1)+$AF$2)^(1/252)</f>
        <v>1668676.1190384494</v>
      </c>
      <c r="AG408" s="2">
        <v>0</v>
      </c>
      <c r="AH408" s="2">
        <v>0</v>
      </c>
      <c r="AI408" s="2">
        <v>0</v>
      </c>
      <c r="AJ408" s="2">
        <f t="shared" si="88"/>
        <v>53619025.275746927</v>
      </c>
      <c r="AK408" s="2">
        <f t="shared" si="88"/>
        <v>175726799.88983604</v>
      </c>
      <c r="AL408" s="2">
        <f t="shared" si="88"/>
        <v>36039427.47304906</v>
      </c>
      <c r="AM408" s="2">
        <f t="shared" si="88"/>
        <v>126175250.48113967</v>
      </c>
      <c r="AN408" s="2">
        <f t="shared" si="88"/>
        <v>54053820.666903429</v>
      </c>
      <c r="AO408" s="2">
        <f t="shared" si="88"/>
        <v>23074851.347972266</v>
      </c>
      <c r="AP408" s="2">
        <v>0</v>
      </c>
      <c r="AQ408" s="2">
        <v>0</v>
      </c>
      <c r="AR408" s="2">
        <v>0</v>
      </c>
      <c r="AS408" s="2">
        <f t="shared" si="74"/>
        <v>105403484.13427435</v>
      </c>
      <c r="AT408" s="2">
        <f t="shared" si="74"/>
        <v>5325207.304159021</v>
      </c>
      <c r="AU408" s="2">
        <v>0</v>
      </c>
      <c r="AV408" s="2">
        <f t="shared" si="89"/>
        <v>53488511.347427428</v>
      </c>
      <c r="AW408" s="2">
        <f t="shared" si="89"/>
        <v>2752741.9517373792</v>
      </c>
      <c r="AX408" s="2">
        <v>0</v>
      </c>
      <c r="AY408" s="2">
        <v>0</v>
      </c>
      <c r="AZ408" s="2">
        <v>0</v>
      </c>
      <c r="BA408" s="2">
        <f>BA407*(1+VLOOKUP(A408,'SELIC Hist'!$A:$C,3,0))^(1/252)</f>
        <v>2600907.517268254</v>
      </c>
      <c r="BB408" s="2">
        <f t="shared" si="79"/>
        <v>1713159138.9078367</v>
      </c>
      <c r="BC408" s="2">
        <v>0</v>
      </c>
      <c r="BD408" s="2">
        <v>0</v>
      </c>
      <c r="BE408" s="2">
        <f t="shared" si="87"/>
        <v>1184359.581184864</v>
      </c>
      <c r="BF408" s="2">
        <f t="shared" si="80"/>
        <v>1184359.581184864</v>
      </c>
      <c r="BG408" s="2">
        <f t="shared" si="81"/>
        <v>14967662.817030668</v>
      </c>
      <c r="BH408" s="11">
        <f t="shared" si="82"/>
        <v>1.1618017814557002</v>
      </c>
      <c r="BI408" s="12">
        <f t="shared" si="83"/>
        <v>6.9180901230958547E-4</v>
      </c>
      <c r="BJ408" s="12">
        <f t="shared" si="84"/>
        <v>6.9180901230958547E-4</v>
      </c>
      <c r="BK408" s="12">
        <f t="shared" si="85"/>
        <v>8.8322017821509391E-3</v>
      </c>
      <c r="BL408" s="5">
        <f t="shared" si="86"/>
        <v>0.16180178145570023</v>
      </c>
      <c r="BM408" s="19">
        <f t="shared" si="76"/>
        <v>4.8211521364227794E-2</v>
      </c>
      <c r="BN408" s="19">
        <f t="shared" si="75"/>
        <v>9.9508323857288028E-2</v>
      </c>
      <c r="BO408" s="19" t="s">
        <v>53</v>
      </c>
    </row>
    <row r="409" spans="1:67" x14ac:dyDescent="0.25">
      <c r="A409" s="1">
        <v>45692</v>
      </c>
      <c r="B409" s="1" t="str">
        <f t="shared" si="78"/>
        <v>202502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f>I408*(1+((1+VLOOKUP($B409,'IPCA Hist'!$B:$C,2,0))^12 - 1)+$I$2)^(1/252)</f>
        <v>215502516.13438258</v>
      </c>
      <c r="J409" s="2">
        <f>J408*(1+((1+VLOOKUP($B409,'IPCA Hist'!$B:$C,2,0))^12 - 1)+$J$2)^(1/252)</f>
        <v>136837594.48496273</v>
      </c>
      <c r="K409" s="2">
        <f>K408*(1+((1+VLOOKUP($B409,'IPCA Hist'!$B:$C,2,0))^12 - 1)+$K$2)^(1/252)</f>
        <v>20774151.330477923</v>
      </c>
      <c r="L409" s="2">
        <f>L408*(1+((1+VLOOKUP($B409,'IPCA Hist'!$B:$C,2,0))^12 - 1)+$L$2)^(1/252)</f>
        <v>12650038.682107797</v>
      </c>
      <c r="M409" s="2">
        <v>0</v>
      </c>
      <c r="N409" s="2">
        <v>0</v>
      </c>
      <c r="O409" s="2">
        <v>0</v>
      </c>
      <c r="P409" s="2">
        <v>0</v>
      </c>
      <c r="Q409" s="2">
        <f>Q408*(1+((1+VLOOKUP($B409,'IPCA Hist'!$B:$C,2,0))^12 - 1)+$Q$2)^(1/252)</f>
        <v>46384408.650274277</v>
      </c>
      <c r="R409" s="2">
        <f>R408*(1+((1+VLOOKUP($B409,'IPCA Hist'!$B:$C,2,0))^12 - 1)+$R$2)^(1/252)</f>
        <v>46370279.243084021</v>
      </c>
      <c r="S409" s="2">
        <f>S408*(1+((1+VLOOKUP($B409,'IPCA Hist'!$B:$C,2,0))^12 - 1)+$S$2)^(1/252)</f>
        <v>47399658.080742076</v>
      </c>
      <c r="T409" s="2">
        <f>T408*(1+((1+VLOOKUP($B409,'IPCA Hist'!$B:$C,2,0))^12 - 1)+$T$2)^(1/252)</f>
        <v>239394973.62801814</v>
      </c>
      <c r="U409" s="2">
        <f>U408*(1+((1+VLOOKUP($B409,'IPCA Hist'!$B:$C,2,0))^12 - 1)+$U$2)^(1/252)</f>
        <v>20992950.443804242</v>
      </c>
      <c r="V409" s="2">
        <f>V408*(1+((1+VLOOKUP($B409,'IPCA Hist'!$B:$C,2,0))^12 - 1)+$V$2)^(1/252)</f>
        <v>81217638.778991938</v>
      </c>
      <c r="W409" s="2">
        <f>W408*(1+((1+VLOOKUP($B409,'IPCA Hist'!$B:$C,2,0))^12 - 1)+$W$2)^(1/252)</f>
        <v>42757806.31685812</v>
      </c>
      <c r="X409" s="2">
        <v>0</v>
      </c>
      <c r="Y409" s="2">
        <v>0</v>
      </c>
      <c r="Z409" s="2">
        <f>Z408*(1+((1+VLOOKUP($B409,'IPCA Hist'!$B:$C,2,0))^12 - 1)+$Z$2)^(1/252)</f>
        <v>81722688.91022481</v>
      </c>
      <c r="AA409" s="2">
        <f>AA408*(1+((1+VLOOKUP($B409,'IPCA Hist'!$B:$C,2,0))^12 - 1)+$AA$2)^(1/252)</f>
        <v>41045596.955374084</v>
      </c>
      <c r="AB409" s="2">
        <f>AB408*(1+((1+VLOOKUP($B409,'IPCA Hist'!$B:$C,2,0))^12 - 1)+$AB$2)^(1/252)</f>
        <v>41059720.494523369</v>
      </c>
      <c r="AC409" s="2">
        <v>0</v>
      </c>
      <c r="AD409" s="2">
        <v>0</v>
      </c>
      <c r="AE409" s="2">
        <v>0</v>
      </c>
      <c r="AF409" s="2">
        <f>AF408*(1+((1+VLOOKUP($B409,'IGPM Hist'!$B:$C,2,0))^12 - 1)+$AF$2)^(1/252)</f>
        <v>1669869.324022236</v>
      </c>
      <c r="AG409" s="2">
        <v>0</v>
      </c>
      <c r="AH409" s="2">
        <v>0</v>
      </c>
      <c r="AI409" s="2">
        <v>0</v>
      </c>
      <c r="AJ409" s="2">
        <f t="shared" si="88"/>
        <v>53643711.617776334</v>
      </c>
      <c r="AK409" s="2">
        <f t="shared" si="88"/>
        <v>175811700.57545891</v>
      </c>
      <c r="AL409" s="2">
        <f t="shared" si="88"/>
        <v>36056845.904236518</v>
      </c>
      <c r="AM409" s="2">
        <f t="shared" si="88"/>
        <v>126236199.73173434</v>
      </c>
      <c r="AN409" s="2">
        <f t="shared" si="88"/>
        <v>54079950.492125846</v>
      </c>
      <c r="AO409" s="2">
        <f t="shared" si="88"/>
        <v>23088086.531616017</v>
      </c>
      <c r="AP409" s="2">
        <v>0</v>
      </c>
      <c r="AQ409" s="2">
        <v>0</v>
      </c>
      <c r="AR409" s="2">
        <v>0</v>
      </c>
      <c r="AS409" s="2">
        <f t="shared" si="74"/>
        <v>105450444.20850441</v>
      </c>
      <c r="AT409" s="2">
        <f t="shared" si="74"/>
        <v>5328220.1105835484</v>
      </c>
      <c r="AU409" s="2">
        <v>0</v>
      </c>
      <c r="AV409" s="2">
        <f t="shared" si="89"/>
        <v>53512853.766571976</v>
      </c>
      <c r="AW409" s="2">
        <f t="shared" si="89"/>
        <v>2754279.4303312935</v>
      </c>
      <c r="AX409" s="2">
        <v>0</v>
      </c>
      <c r="AY409" s="2">
        <v>0</v>
      </c>
      <c r="AZ409" s="2">
        <v>0</v>
      </c>
      <c r="BA409" s="2">
        <f>BA408*(1+VLOOKUP(A409,'SELIC Hist'!$A:$C,3,0))^(1/252)</f>
        <v>2602182.9370350437</v>
      </c>
      <c r="BB409" s="2">
        <f t="shared" si="79"/>
        <v>1714344366.7638228</v>
      </c>
      <c r="BC409" s="2">
        <v>0</v>
      </c>
      <c r="BD409" s="2">
        <v>0</v>
      </c>
      <c r="BE409" s="2">
        <f t="shared" si="87"/>
        <v>1185227.8559861183</v>
      </c>
      <c r="BF409" s="2">
        <f t="shared" si="80"/>
        <v>2369587.4371709824</v>
      </c>
      <c r="BG409" s="2">
        <f t="shared" si="81"/>
        <v>16152890.673016787</v>
      </c>
      <c r="BH409" s="11">
        <f t="shared" si="82"/>
        <v>1.1626055595772082</v>
      </c>
      <c r="BI409" s="12">
        <f t="shared" si="83"/>
        <v>6.9183757017565739E-4</v>
      </c>
      <c r="BJ409" s="12">
        <f t="shared" si="84"/>
        <v>1.3841252019513028E-3</v>
      </c>
      <c r="BK409" s="12">
        <f t="shared" si="85"/>
        <v>9.530149801346921E-3</v>
      </c>
      <c r="BL409" s="5">
        <f t="shared" si="86"/>
        <v>0.16260555957720824</v>
      </c>
      <c r="BM409" s="19">
        <f t="shared" si="76"/>
        <v>4.8591021205558915E-2</v>
      </c>
      <c r="BN409" s="19">
        <f t="shared" si="75"/>
        <v>9.9845718962993324E-2</v>
      </c>
      <c r="BO409" s="19" t="s">
        <v>53</v>
      </c>
    </row>
    <row r="410" spans="1:67" x14ac:dyDescent="0.25">
      <c r="A410" s="1">
        <v>45693</v>
      </c>
      <c r="B410" s="1" t="str">
        <f t="shared" si="78"/>
        <v>202502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f>I409*(1+((1+VLOOKUP($B410,'IPCA Hist'!$B:$C,2,0))^12 - 1)+$I$2)^(1/252)</f>
        <v>215676711.40408474</v>
      </c>
      <c r="J410" s="2">
        <f>J409*(1+((1+VLOOKUP($B410,'IPCA Hist'!$B:$C,2,0))^12 - 1)+$J$2)^(1/252)</f>
        <v>136946026.57176244</v>
      </c>
      <c r="K410" s="2">
        <f>K409*(1+((1+VLOOKUP($B410,'IPCA Hist'!$B:$C,2,0))^12 - 1)+$K$2)^(1/252)</f>
        <v>20791600.492208313</v>
      </c>
      <c r="L410" s="2">
        <f>L409*(1+((1+VLOOKUP($B410,'IPCA Hist'!$B:$C,2,0))^12 - 1)+$L$2)^(1/252)</f>
        <v>12660709.141906332</v>
      </c>
      <c r="M410" s="2">
        <v>0</v>
      </c>
      <c r="N410" s="2">
        <v>0</v>
      </c>
      <c r="O410" s="2">
        <v>0</v>
      </c>
      <c r="P410" s="2">
        <v>0</v>
      </c>
      <c r="Q410" s="2">
        <f>Q409*(1+((1+VLOOKUP($B410,'IPCA Hist'!$B:$C,2,0))^12 - 1)+$Q$2)^(1/252)</f>
        <v>46421134.147732347</v>
      </c>
      <c r="R410" s="2">
        <f>R409*(1+((1+VLOOKUP($B410,'IPCA Hist'!$B:$C,2,0))^12 - 1)+$R$2)^(1/252)</f>
        <v>46407008.638449676</v>
      </c>
      <c r="S410" s="2">
        <f>S409*(1+((1+VLOOKUP($B410,'IPCA Hist'!$B:$C,2,0))^12 - 1)+$S$2)^(1/252)</f>
        <v>47437017.713601336</v>
      </c>
      <c r="T410" s="2">
        <f>T409*(1+((1+VLOOKUP($B410,'IPCA Hist'!$B:$C,2,0))^12 - 1)+$T$2)^(1/252)</f>
        <v>239583582.86302304</v>
      </c>
      <c r="U410" s="2">
        <f>U409*(1+((1+VLOOKUP($B410,'IPCA Hist'!$B:$C,2,0))^12 - 1)+$U$2)^(1/252)</f>
        <v>21010407.762708899</v>
      </c>
      <c r="V410" s="2">
        <f>V409*(1+((1+VLOOKUP($B410,'IPCA Hist'!$B:$C,2,0))^12 - 1)+$V$2)^(1/252)</f>
        <v>81289000.623404011</v>
      </c>
      <c r="W410" s="2">
        <f>W409*(1+((1+VLOOKUP($B410,'IPCA Hist'!$B:$C,2,0))^12 - 1)+$W$2)^(1/252)</f>
        <v>42795499.256997198</v>
      </c>
      <c r="X410" s="2">
        <v>0</v>
      </c>
      <c r="Y410" s="2">
        <v>0</v>
      </c>
      <c r="Z410" s="2">
        <f>Z409*(1+((1+VLOOKUP($B410,'IPCA Hist'!$B:$C,2,0))^12 - 1)+$Z$2)^(1/252)</f>
        <v>81792749.527349591</v>
      </c>
      <c r="AA410" s="2">
        <f>AA409*(1+((1+VLOOKUP($B410,'IPCA Hist'!$B:$C,2,0))^12 - 1)+$AA$2)^(1/252)</f>
        <v>41082379.986226566</v>
      </c>
      <c r="AB410" s="2">
        <f>AB409*(1+((1+VLOOKUP($B410,'IPCA Hist'!$B:$C,2,0))^12 - 1)+$AB$2)^(1/252)</f>
        <v>41096503.168846607</v>
      </c>
      <c r="AC410" s="2">
        <v>0</v>
      </c>
      <c r="AD410" s="2">
        <v>0</v>
      </c>
      <c r="AE410" s="2">
        <v>0</v>
      </c>
      <c r="AF410" s="2">
        <f>AF409*(1+((1+VLOOKUP($B410,'IGPM Hist'!$B:$C,2,0))^12 - 1)+$AF$2)^(1/252)</f>
        <v>1671063.3822202068</v>
      </c>
      <c r="AG410" s="2">
        <v>0</v>
      </c>
      <c r="AH410" s="2">
        <v>0</v>
      </c>
      <c r="AI410" s="2">
        <v>0</v>
      </c>
      <c r="AJ410" s="2">
        <f t="shared" si="88"/>
        <v>53668409.325463355</v>
      </c>
      <c r="AK410" s="2">
        <f t="shared" si="88"/>
        <v>175896642.28001815</v>
      </c>
      <c r="AL410" s="2">
        <f t="shared" si="88"/>
        <v>36074272.754030101</v>
      </c>
      <c r="AM410" s="2">
        <f t="shared" si="88"/>
        <v>126297178.4240074</v>
      </c>
      <c r="AN410" s="2">
        <f t="shared" si="88"/>
        <v>54106092.948606476</v>
      </c>
      <c r="AO410" s="2">
        <f t="shared" si="88"/>
        <v>23101329.306645017</v>
      </c>
      <c r="AP410" s="2">
        <v>0</v>
      </c>
      <c r="AQ410" s="2">
        <v>0</v>
      </c>
      <c r="AR410" s="2">
        <v>0</v>
      </c>
      <c r="AS410" s="2">
        <f t="shared" si="74"/>
        <v>105497425.20470484</v>
      </c>
      <c r="AT410" s="2">
        <f t="shared" si="74"/>
        <v>5331234.6215431355</v>
      </c>
      <c r="AU410" s="2">
        <v>0</v>
      </c>
      <c r="AV410" s="2">
        <f t="shared" si="89"/>
        <v>53537207.263859384</v>
      </c>
      <c r="AW410" s="2">
        <f t="shared" si="89"/>
        <v>2755817.7676473358</v>
      </c>
      <c r="AX410" s="2">
        <v>0</v>
      </c>
      <c r="AY410" s="2">
        <v>0</v>
      </c>
      <c r="AZ410" s="2">
        <v>0</v>
      </c>
      <c r="BA410" s="2">
        <f>BA409*(1+VLOOKUP(A410,'SELIC Hist'!$A:$C,3,0))^(1/252)</f>
        <v>2603458.9822356757</v>
      </c>
      <c r="BB410" s="2">
        <f t="shared" si="79"/>
        <v>1715530463.5592818</v>
      </c>
      <c r="BC410" s="2">
        <v>0</v>
      </c>
      <c r="BD410" s="2">
        <v>0</v>
      </c>
      <c r="BE410" s="2">
        <f t="shared" si="87"/>
        <v>1186096.7954590321</v>
      </c>
      <c r="BF410" s="2">
        <f t="shared" si="80"/>
        <v>3555684.2326300144</v>
      </c>
      <c r="BG410" s="2">
        <f t="shared" si="81"/>
        <v>17338987.468475819</v>
      </c>
      <c r="BH410" s="11">
        <f t="shared" si="82"/>
        <v>1.1634099269816409</v>
      </c>
      <c r="BI410" s="12">
        <f t="shared" si="83"/>
        <v>6.9186612588123531E-4</v>
      </c>
      <c r="BJ410" s="12">
        <f t="shared" si="84"/>
        <v>2.0769489571736965E-3</v>
      </c>
      <c r="BK410" s="12">
        <f t="shared" si="85"/>
        <v>1.0228609515050335E-2</v>
      </c>
      <c r="BL410" s="5">
        <f t="shared" si="86"/>
        <v>0.16340992698164092</v>
      </c>
      <c r="BM410" s="19">
        <f t="shared" si="76"/>
        <v>4.9100937710929937E-2</v>
      </c>
      <c r="BN410" s="19">
        <f t="shared" si="75"/>
        <v>9.9955558239632758E-2</v>
      </c>
      <c r="BO410" s="19" t="s">
        <v>53</v>
      </c>
    </row>
    <row r="411" spans="1:67" x14ac:dyDescent="0.25">
      <c r="A411" s="1">
        <v>45694</v>
      </c>
      <c r="B411" s="1" t="str">
        <f t="shared" si="78"/>
        <v>202502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f>I410*(1+((1+VLOOKUP($B411,'IPCA Hist'!$B:$C,2,0))^12 - 1)+$I$2)^(1/252)</f>
        <v>215851047.4795303</v>
      </c>
      <c r="J411" s="2">
        <f>J410*(1+((1+VLOOKUP($B411,'IPCA Hist'!$B:$C,2,0))^12 - 1)+$J$2)^(1/252)</f>
        <v>137054544.58171427</v>
      </c>
      <c r="K411" s="2">
        <f>K410*(1+((1+VLOOKUP($B411,'IPCA Hist'!$B:$C,2,0))^12 - 1)+$K$2)^(1/252)</f>
        <v>20809064.310289294</v>
      </c>
      <c r="L411" s="2">
        <f>L410*(1+((1+VLOOKUP($B411,'IPCA Hist'!$B:$C,2,0))^12 - 1)+$L$2)^(1/252)</f>
        <v>12671388.602366066</v>
      </c>
      <c r="M411" s="2">
        <v>0</v>
      </c>
      <c r="N411" s="2">
        <v>0</v>
      </c>
      <c r="O411" s="2">
        <v>0</v>
      </c>
      <c r="P411" s="2">
        <v>0</v>
      </c>
      <c r="Q411" s="2">
        <f>Q410*(1+((1+VLOOKUP($B411,'IPCA Hist'!$B:$C,2,0))^12 - 1)+$Q$2)^(1/252)</f>
        <v>46457888.723111272</v>
      </c>
      <c r="R411" s="2">
        <f>R410*(1+((1+VLOOKUP($B411,'IPCA Hist'!$B:$C,2,0))^12 - 1)+$R$2)^(1/252)</f>
        <v>46443767.126771122</v>
      </c>
      <c r="S411" s="2">
        <f>S410*(1+((1+VLOOKUP($B411,'IPCA Hist'!$B:$C,2,0))^12 - 1)+$S$2)^(1/252)</f>
        <v>47474406.792710297</v>
      </c>
      <c r="T411" s="2">
        <f>T410*(1+((1+VLOOKUP($B411,'IPCA Hist'!$B:$C,2,0))^12 - 1)+$T$2)^(1/252)</f>
        <v>239772340.69531465</v>
      </c>
      <c r="U411" s="2">
        <f>U410*(1+((1+VLOOKUP($B411,'IPCA Hist'!$B:$C,2,0))^12 - 1)+$U$2)^(1/252)</f>
        <v>21027879.598771784</v>
      </c>
      <c r="V411" s="2">
        <f>V410*(1+((1+VLOOKUP($B411,'IPCA Hist'!$B:$C,2,0))^12 - 1)+$V$2)^(1/252)</f>
        <v>81360425.169870898</v>
      </c>
      <c r="W411" s="2">
        <f>W410*(1+((1+VLOOKUP($B411,'IPCA Hist'!$B:$C,2,0))^12 - 1)+$W$2)^(1/252)</f>
        <v>42833225.425167806</v>
      </c>
      <c r="X411" s="2">
        <v>0</v>
      </c>
      <c r="Y411" s="2">
        <v>0</v>
      </c>
      <c r="Z411" s="2">
        <f>Z410*(1+((1+VLOOKUP($B411,'IPCA Hist'!$B:$C,2,0))^12 - 1)+$Z$2)^(1/252)</f>
        <v>81862870.207232177</v>
      </c>
      <c r="AA411" s="2">
        <f>AA410*(1+((1+VLOOKUP($B411,'IPCA Hist'!$B:$C,2,0))^12 - 1)+$AA$2)^(1/252)</f>
        <v>41119195.980209298</v>
      </c>
      <c r="AB411" s="2">
        <f>AB410*(1+((1+VLOOKUP($B411,'IPCA Hist'!$B:$C,2,0))^12 - 1)+$AB$2)^(1/252)</f>
        <v>41133318.794322804</v>
      </c>
      <c r="AC411" s="2">
        <v>0</v>
      </c>
      <c r="AD411" s="2">
        <v>0</v>
      </c>
      <c r="AE411" s="2">
        <v>0</v>
      </c>
      <c r="AF411" s="2">
        <f>AF410*(1+((1+VLOOKUP($B411,'IGPM Hist'!$B:$C,2,0))^12 - 1)+$AF$2)^(1/252)</f>
        <v>1672258.2942424617</v>
      </c>
      <c r="AG411" s="2">
        <v>0</v>
      </c>
      <c r="AH411" s="2">
        <v>0</v>
      </c>
      <c r="AI411" s="2">
        <v>0</v>
      </c>
      <c r="AJ411" s="2">
        <f t="shared" si="88"/>
        <v>53693118.404040761</v>
      </c>
      <c r="AK411" s="2">
        <f t="shared" si="88"/>
        <v>175981625.02333161</v>
      </c>
      <c r="AL411" s="2">
        <f t="shared" si="88"/>
        <v>36091708.02649866</v>
      </c>
      <c r="AM411" s="2">
        <f t="shared" si="88"/>
        <v>126358186.57218075</v>
      </c>
      <c r="AN411" s="2">
        <f t="shared" si="88"/>
        <v>54132248.042451315</v>
      </c>
      <c r="AO411" s="2">
        <f t="shared" si="88"/>
        <v>23114579.677413501</v>
      </c>
      <c r="AP411" s="2">
        <v>0</v>
      </c>
      <c r="AQ411" s="2">
        <v>0</v>
      </c>
      <c r="AR411" s="2">
        <v>0</v>
      </c>
      <c r="AS411" s="2">
        <f t="shared" si="74"/>
        <v>105544427.13219693</v>
      </c>
      <c r="AT411" s="2">
        <f t="shared" si="74"/>
        <v>5334250.8380021462</v>
      </c>
      <c r="AU411" s="2">
        <v>0</v>
      </c>
      <c r="AV411" s="2">
        <f t="shared" si="89"/>
        <v>53561571.844331264</v>
      </c>
      <c r="AW411" s="2">
        <f t="shared" si="89"/>
        <v>2757356.964165125</v>
      </c>
      <c r="AX411" s="2">
        <v>0</v>
      </c>
      <c r="AY411" s="2">
        <v>0</v>
      </c>
      <c r="AZ411" s="2">
        <v>0</v>
      </c>
      <c r="BA411" s="2">
        <f>BA410*(1+VLOOKUP(A411,'SELIC Hist'!$A:$C,3,0))^(1/252)</f>
        <v>2604735.6531768469</v>
      </c>
      <c r="BB411" s="2">
        <f t="shared" si="79"/>
        <v>1716717429.9594133</v>
      </c>
      <c r="BC411" s="2">
        <v>0</v>
      </c>
      <c r="BD411" s="2">
        <v>0</v>
      </c>
      <c r="BE411" s="2">
        <f t="shared" si="87"/>
        <v>1186966.400131464</v>
      </c>
      <c r="BF411" s="2">
        <f t="shared" si="80"/>
        <v>4742650.6327614784</v>
      </c>
      <c r="BG411" s="2">
        <f t="shared" si="81"/>
        <v>18525953.868607283</v>
      </c>
      <c r="BH411" s="11">
        <f t="shared" si="82"/>
        <v>1.1642148841201121</v>
      </c>
      <c r="BI411" s="12">
        <f t="shared" si="83"/>
        <v>6.9189467942698535E-4</v>
      </c>
      <c r="BJ411" s="12">
        <f t="shared" si="84"/>
        <v>2.7702806665335089E-3</v>
      </c>
      <c r="BK411" s="12">
        <f t="shared" si="85"/>
        <v>1.0927581314978729E-2</v>
      </c>
      <c r="BL411" s="5">
        <f t="shared" si="86"/>
        <v>0.16421488412011209</v>
      </c>
      <c r="BM411" s="19">
        <f t="shared" si="76"/>
        <v>4.9633124320008992E-2</v>
      </c>
      <c r="BN411" s="19">
        <f t="shared" si="75"/>
        <v>0.10061324639801184</v>
      </c>
      <c r="BO411" s="19" t="s">
        <v>53</v>
      </c>
    </row>
    <row r="412" spans="1:67" x14ac:dyDescent="0.25">
      <c r="A412" s="1">
        <v>45695</v>
      </c>
      <c r="B412" s="1" t="str">
        <f t="shared" si="78"/>
        <v>202502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f>I411*(1+((1+VLOOKUP($B412,'IPCA Hist'!$B:$C,2,0))^12 - 1)+$I$2)^(1/252)</f>
        <v>216025524.47453552</v>
      </c>
      <c r="J412" s="2">
        <f>J411*(1+((1+VLOOKUP($B412,'IPCA Hist'!$B:$C,2,0))^12 - 1)+$J$2)^(1/252)</f>
        <v>137163148.58290499</v>
      </c>
      <c r="K412" s="2">
        <f>K411*(1+((1+VLOOKUP($B412,'IPCA Hist'!$B:$C,2,0))^12 - 1)+$K$2)^(1/252)</f>
        <v>20826542.797031403</v>
      </c>
      <c r="L412" s="2">
        <f>L411*(1+((1+VLOOKUP($B412,'IPCA Hist'!$B:$C,2,0))^12 - 1)+$L$2)^(1/252)</f>
        <v>12682077.071079163</v>
      </c>
      <c r="M412" s="2">
        <v>0</v>
      </c>
      <c r="N412" s="2">
        <v>0</v>
      </c>
      <c r="O412" s="2">
        <v>0</v>
      </c>
      <c r="P412" s="2">
        <v>0</v>
      </c>
      <c r="Q412" s="2">
        <f>Q411*(1+((1+VLOOKUP($B412,'IPCA Hist'!$B:$C,2,0))^12 - 1)+$Q$2)^(1/252)</f>
        <v>46494672.399433896</v>
      </c>
      <c r="R412" s="2">
        <f>R411*(1+((1+VLOOKUP($B412,'IPCA Hist'!$B:$C,2,0))^12 - 1)+$R$2)^(1/252)</f>
        <v>46480554.731092572</v>
      </c>
      <c r="S412" s="2">
        <f>S411*(1+((1+VLOOKUP($B412,'IPCA Hist'!$B:$C,2,0))^12 - 1)+$S$2)^(1/252)</f>
        <v>47511825.341278002</v>
      </c>
      <c r="T412" s="2">
        <f>T411*(1+((1+VLOOKUP($B412,'IPCA Hist'!$B:$C,2,0))^12 - 1)+$T$2)^(1/252)</f>
        <v>239961247.24196649</v>
      </c>
      <c r="U412" s="2">
        <f>U411*(1+((1+VLOOKUP($B412,'IPCA Hist'!$B:$C,2,0))^12 - 1)+$U$2)^(1/252)</f>
        <v>21045365.964065082</v>
      </c>
      <c r="V412" s="2">
        <f>V411*(1+((1+VLOOKUP($B412,'IPCA Hist'!$B:$C,2,0))^12 - 1)+$V$2)^(1/252)</f>
        <v>81431912.473485723</v>
      </c>
      <c r="W412" s="2">
        <f>W411*(1+((1+VLOOKUP($B412,'IPCA Hist'!$B:$C,2,0))^12 - 1)+$W$2)^(1/252)</f>
        <v>42870984.850661956</v>
      </c>
      <c r="X412" s="2">
        <v>0</v>
      </c>
      <c r="Y412" s="2">
        <v>0</v>
      </c>
      <c r="Z412" s="2">
        <f>Z411*(1+((1+VLOOKUP($B412,'IPCA Hist'!$B:$C,2,0))^12 - 1)+$Z$2)^(1/252)</f>
        <v>81933051.001364201</v>
      </c>
      <c r="AA412" s="2">
        <f>AA411*(1+((1+VLOOKUP($B412,'IPCA Hist'!$B:$C,2,0))^12 - 1)+$AA$2)^(1/252)</f>
        <v>41156044.966862209</v>
      </c>
      <c r="AB412" s="2">
        <f>AB411*(1+((1+VLOOKUP($B412,'IPCA Hist'!$B:$C,2,0))^12 - 1)+$AB$2)^(1/252)</f>
        <v>41170167.400470704</v>
      </c>
      <c r="AC412" s="2">
        <v>0</v>
      </c>
      <c r="AD412" s="2">
        <v>0</v>
      </c>
      <c r="AE412" s="2">
        <v>0</v>
      </c>
      <c r="AF412" s="2">
        <f>AF411*(1+((1+VLOOKUP($B412,'IGPM Hist'!$B:$C,2,0))^12 - 1)+$AF$2)^(1/252)</f>
        <v>1673454.0606995369</v>
      </c>
      <c r="AG412" s="2">
        <v>0</v>
      </c>
      <c r="AH412" s="2">
        <v>0</v>
      </c>
      <c r="AI412" s="2">
        <v>0</v>
      </c>
      <c r="AJ412" s="2">
        <f t="shared" ref="AJ412:AW412" si="90">AJ411*(1+AJ$2)^(1/252)</f>
        <v>53717838.85874375</v>
      </c>
      <c r="AK412" s="2">
        <f t="shared" si="90"/>
        <v>176066648.82522681</v>
      </c>
      <c r="AL412" s="2">
        <f t="shared" si="90"/>
        <v>36109151.725713015</v>
      </c>
      <c r="AM412" s="2">
        <f t="shared" si="90"/>
        <v>126419224.19048312</v>
      </c>
      <c r="AN412" s="2">
        <f t="shared" si="90"/>
        <v>54158415.779769316</v>
      </c>
      <c r="AO412" s="2">
        <f t="shared" si="90"/>
        <v>23127837.648278203</v>
      </c>
      <c r="AP412" s="2">
        <v>0</v>
      </c>
      <c r="AQ412" s="2">
        <v>0</v>
      </c>
      <c r="AR412" s="2">
        <v>0</v>
      </c>
      <c r="AS412" s="2">
        <f t="shared" si="90"/>
        <v>105591450.00030614</v>
      </c>
      <c r="AT412" s="2">
        <f t="shared" si="90"/>
        <v>5337268.7609254885</v>
      </c>
      <c r="AU412" s="2">
        <v>0</v>
      </c>
      <c r="AV412" s="2">
        <f t="shared" si="90"/>
        <v>53585947.513031535</v>
      </c>
      <c r="AW412" s="2">
        <f t="shared" si="90"/>
        <v>2758897.0203645476</v>
      </c>
      <c r="AX412" s="2">
        <v>0</v>
      </c>
      <c r="AY412" s="2">
        <v>0</v>
      </c>
      <c r="AZ412" s="2">
        <v>0</v>
      </c>
      <c r="BA412" s="2">
        <f>BA411*(1+VLOOKUP(A412,'SELIC Hist'!$A:$C,3,0))^(1/252)</f>
        <v>2606012.9501654049</v>
      </c>
      <c r="BB412" s="2">
        <f t="shared" ref="BB412:BB423" si="91">SUM(C412:BA412)</f>
        <v>1717905266.6299388</v>
      </c>
      <c r="BC412" s="2">
        <v>0</v>
      </c>
      <c r="BD412" s="2">
        <v>0</v>
      </c>
      <c r="BE412" s="2">
        <f t="shared" si="87"/>
        <v>1187836.6705255508</v>
      </c>
      <c r="BF412" s="2">
        <f t="shared" si="80"/>
        <v>5930487.3032870293</v>
      </c>
      <c r="BG412" s="2">
        <f t="shared" si="81"/>
        <v>19713790.539132833</v>
      </c>
      <c r="BH412" s="11">
        <f t="shared" ref="BH412:BH423" si="92">(1+(BB412-BB411-BC412+BD412)/BB411)*BH411</f>
        <v>1.1650204314440895</v>
      </c>
      <c r="BI412" s="12">
        <f t="shared" ref="BI412:BI423" si="93">BH412/BH411 - 1</f>
        <v>6.9192323081002094E-4</v>
      </c>
      <c r="BJ412" s="12">
        <f t="shared" ref="BJ412:BJ423" si="94">IF(MONTH(A412)=MONTH(A411),(1+BI412)*(1+BJ411) - 1,BI412)</f>
        <v>3.4641207188925716E-3</v>
      </c>
      <c r="BK412" s="12">
        <f t="shared" ref="BK412:BK423" si="95">IF(YEAR(A412)=YEAR(A411),(1+BI412)*(1+BK411) - 1,BI412)</f>
        <v>1.1627065593157182E-2</v>
      </c>
      <c r="BL412" s="5">
        <f t="shared" ref="BL412:BL423" si="96">(1+BI412)*(1+BL411) - 1</f>
        <v>0.16502043144408951</v>
      </c>
      <c r="BM412" s="19">
        <f t="shared" ref="BM412:BM423" si="97">BH412/BH286 - 1</f>
        <v>5.0366020849741844E-2</v>
      </c>
      <c r="BN412" s="19">
        <f t="shared" ref="BN412:BN423" si="98">BH412/BH160 - 1</f>
        <v>0.10055024907210242</v>
      </c>
      <c r="BO412" s="19" t="s">
        <v>53</v>
      </c>
    </row>
    <row r="413" spans="1:67" x14ac:dyDescent="0.25">
      <c r="A413" s="1">
        <v>45698</v>
      </c>
      <c r="B413" s="1" t="str">
        <f t="shared" si="78"/>
        <v>202502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f>I412*(1+((1+VLOOKUP($B413,'IPCA Hist'!$B:$C,2,0))^12 - 1)+$I$2)^(1/252)</f>
        <v>216200142.50300869</v>
      </c>
      <c r="J413" s="2">
        <f>J412*(1+((1+VLOOKUP($B413,'IPCA Hist'!$B:$C,2,0))^12 - 1)+$J$2)^(1/252)</f>
        <v>137271838.64347526</v>
      </c>
      <c r="K413" s="2">
        <f>K412*(1+((1+VLOOKUP($B413,'IPCA Hist'!$B:$C,2,0))^12 - 1)+$K$2)^(1/252)</f>
        <v>20844035.96475552</v>
      </c>
      <c r="L413" s="2">
        <f>L412*(1+((1+VLOOKUP($B413,'IPCA Hist'!$B:$C,2,0))^12 - 1)+$L$2)^(1/252)</f>
        <v>12692774.555644194</v>
      </c>
      <c r="M413" s="2">
        <v>0</v>
      </c>
      <c r="N413" s="2">
        <v>0</v>
      </c>
      <c r="O413" s="2">
        <v>0</v>
      </c>
      <c r="P413" s="2">
        <v>0</v>
      </c>
      <c r="Q413" s="2">
        <f>Q412*(1+((1+VLOOKUP($B413,'IPCA Hist'!$B:$C,2,0))^12 - 1)+$Q$2)^(1/252)</f>
        <v>46531485.199741296</v>
      </c>
      <c r="R413" s="2">
        <f>R412*(1+((1+VLOOKUP($B413,'IPCA Hist'!$B:$C,2,0))^12 - 1)+$R$2)^(1/252)</f>
        <v>46517371.474476494</v>
      </c>
      <c r="S413" s="2">
        <f>S412*(1+((1+VLOOKUP($B413,'IPCA Hist'!$B:$C,2,0))^12 - 1)+$S$2)^(1/252)</f>
        <v>47549273.382531799</v>
      </c>
      <c r="T413" s="2">
        <f>T412*(1+((1+VLOOKUP($B413,'IPCA Hist'!$B:$C,2,0))^12 - 1)+$T$2)^(1/252)</f>
        <v>240150302.62014437</v>
      </c>
      <c r="U413" s="2">
        <f>U412*(1+((1+VLOOKUP($B413,'IPCA Hist'!$B:$C,2,0))^12 - 1)+$U$2)^(1/252)</f>
        <v>21062866.870671008</v>
      </c>
      <c r="V413" s="2">
        <f>V412*(1+((1+VLOOKUP($B413,'IPCA Hist'!$B:$C,2,0))^12 - 1)+$V$2)^(1/252)</f>
        <v>81503462.589390025</v>
      </c>
      <c r="W413" s="2">
        <f>W412*(1+((1+VLOOKUP($B413,'IPCA Hist'!$B:$C,2,0))^12 - 1)+$W$2)^(1/252)</f>
        <v>42908777.562797479</v>
      </c>
      <c r="X413" s="2">
        <v>0</v>
      </c>
      <c r="Y413" s="2">
        <v>0</v>
      </c>
      <c r="Z413" s="2">
        <f>Z412*(1+((1+VLOOKUP($B413,'IPCA Hist'!$B:$C,2,0))^12 - 1)+$Z$2)^(1/252)</f>
        <v>82003291.961281434</v>
      </c>
      <c r="AA413" s="2">
        <f>AA412*(1+((1+VLOOKUP($B413,'IPCA Hist'!$B:$C,2,0))^12 - 1)+$AA$2)^(1/252)</f>
        <v>41192926.975751691</v>
      </c>
      <c r="AB413" s="2">
        <f>AB412*(1+((1+VLOOKUP($B413,'IPCA Hist'!$B:$C,2,0))^12 - 1)+$AB$2)^(1/252)</f>
        <v>41207049.016835503</v>
      </c>
      <c r="AC413" s="2">
        <v>0</v>
      </c>
      <c r="AD413" s="2">
        <v>0</v>
      </c>
      <c r="AE413" s="2">
        <v>0</v>
      </c>
      <c r="AF413" s="2">
        <f>AF412*(1+((1+VLOOKUP($B413,'IGPM Hist'!$B:$C,2,0))^12 - 1)+$AF$2)^(1/252)</f>
        <v>1674650.6822024055</v>
      </c>
      <c r="AG413" s="2">
        <v>0</v>
      </c>
      <c r="AH413" s="2">
        <v>0</v>
      </c>
      <c r="AI413" s="2">
        <v>0</v>
      </c>
      <c r="AJ413" s="2">
        <f t="shared" ref="AJ413:AW413" si="99">AJ412*(1+AJ$2)^(1/252)</f>
        <v>53742570.694809914</v>
      </c>
      <c r="AK413" s="2">
        <f t="shared" si="99"/>
        <v>176151713.70554078</v>
      </c>
      <c r="AL413" s="2">
        <f t="shared" si="99"/>
        <v>36126603.855745934</v>
      </c>
      <c r="AM413" s="2">
        <f t="shared" si="99"/>
        <v>126480291.29315013</v>
      </c>
      <c r="AN413" s="2">
        <f t="shared" si="99"/>
        <v>54184596.166672379</v>
      </c>
      <c r="AO413" s="2">
        <f t="shared" si="99"/>
        <v>23141103.223598357</v>
      </c>
      <c r="AP413" s="2">
        <v>0</v>
      </c>
      <c r="AQ413" s="2">
        <v>0</v>
      </c>
      <c r="AR413" s="2">
        <v>0</v>
      </c>
      <c r="AS413" s="2">
        <f t="shared" si="99"/>
        <v>105638493.81836207</v>
      </c>
      <c r="AT413" s="2">
        <f t="shared" si="99"/>
        <v>5340288.391278618</v>
      </c>
      <c r="AU413" s="2">
        <v>0</v>
      </c>
      <c r="AV413" s="2">
        <f t="shared" si="99"/>
        <v>53610334.275006413</v>
      </c>
      <c r="AW413" s="2">
        <f t="shared" si="99"/>
        <v>2760437.9367257585</v>
      </c>
      <c r="AX413" s="2">
        <v>0</v>
      </c>
      <c r="AY413" s="2">
        <v>0</v>
      </c>
      <c r="AZ413" s="2">
        <v>0</v>
      </c>
      <c r="BA413" s="2">
        <f>BA412*(1+VLOOKUP(A413,'SELIC Hist'!$A:$C,3,0))^(1/252)</f>
        <v>2607290.8735083472</v>
      </c>
      <c r="BB413" s="2">
        <f t="shared" si="91"/>
        <v>1719093974.2371056</v>
      </c>
      <c r="BC413" s="2">
        <v>0</v>
      </c>
      <c r="BD413" s="2">
        <v>0</v>
      </c>
      <c r="BE413" s="2">
        <f t="shared" si="87"/>
        <v>1188707.6071667671</v>
      </c>
      <c r="BF413" s="2">
        <f t="shared" si="80"/>
        <v>7119194.9104537964</v>
      </c>
      <c r="BG413" s="2">
        <f t="shared" si="81"/>
        <v>20902498.146299601</v>
      </c>
      <c r="BH413" s="11">
        <f t="shared" si="92"/>
        <v>1.1658265694053982</v>
      </c>
      <c r="BI413" s="12">
        <f t="shared" si="93"/>
        <v>6.9195178002967594E-4</v>
      </c>
      <c r="BJ413" s="12">
        <f t="shared" si="94"/>
        <v>4.1584695034200259E-3</v>
      </c>
      <c r="BK413" s="12">
        <f t="shared" si="95"/>
        <v>1.2327062741920525E-2</v>
      </c>
      <c r="BL413" s="5">
        <f t="shared" si="96"/>
        <v>0.16582656940539819</v>
      </c>
      <c r="BM413" s="19">
        <f t="shared" si="97"/>
        <v>5.1084469318806391E-2</v>
      </c>
      <c r="BN413" s="19">
        <f t="shared" si="98"/>
        <v>0.10066857938248508</v>
      </c>
      <c r="BO413" s="19" t="s">
        <v>53</v>
      </c>
    </row>
    <row r="414" spans="1:67" x14ac:dyDescent="0.25">
      <c r="A414" s="1">
        <v>45699</v>
      </c>
      <c r="B414" s="1" t="str">
        <f t="shared" si="78"/>
        <v>202502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f>I413*(1+((1+VLOOKUP($B414,'IPCA Hist'!$B:$C,2,0))^12 - 1)+$I$2)^(1/252)</f>
        <v>216374901.67895016</v>
      </c>
      <c r="J414" s="2">
        <f>J413*(1+((1+VLOOKUP($B414,'IPCA Hist'!$B:$C,2,0))^12 - 1)+$J$2)^(1/252)</f>
        <v>137380614.83161983</v>
      </c>
      <c r="K414" s="2">
        <f>K413*(1+((1+VLOOKUP($B414,'IPCA Hist'!$B:$C,2,0))^12 - 1)+$K$2)^(1/252)</f>
        <v>20861543.825792879</v>
      </c>
      <c r="L414" s="2">
        <f>L413*(1+((1+VLOOKUP($B414,'IPCA Hist'!$B:$C,2,0))^12 - 1)+$L$2)^(1/252)</f>
        <v>12703481.063666137</v>
      </c>
      <c r="M414" s="2">
        <v>0</v>
      </c>
      <c r="N414" s="2">
        <v>0</v>
      </c>
      <c r="O414" s="2">
        <v>0</v>
      </c>
      <c r="P414" s="2">
        <v>0</v>
      </c>
      <c r="Q414" s="2">
        <f>Q413*(1+((1+VLOOKUP($B414,'IPCA Hist'!$B:$C,2,0))^12 - 1)+$Q$2)^(1/252)</f>
        <v>46568327.147092789</v>
      </c>
      <c r="R414" s="2">
        <f>R413*(1+((1+VLOOKUP($B414,'IPCA Hist'!$B:$C,2,0))^12 - 1)+$R$2)^(1/252)</f>
        <v>46554217.380003624</v>
      </c>
      <c r="S414" s="2">
        <f>S413*(1+((1+VLOOKUP($B414,'IPCA Hist'!$B:$C,2,0))^12 - 1)+$S$2)^(1/252)</f>
        <v>47586750.939717337</v>
      </c>
      <c r="T414" s="2">
        <f>T413*(1+((1+VLOOKUP($B414,'IPCA Hist'!$B:$C,2,0))^12 - 1)+$T$2)^(1/252)</f>
        <v>240339506.94710639</v>
      </c>
      <c r="U414" s="2">
        <f>U413*(1+((1+VLOOKUP($B414,'IPCA Hist'!$B:$C,2,0))^12 - 1)+$U$2)^(1/252)</f>
        <v>21080382.330681831</v>
      </c>
      <c r="V414" s="2">
        <f>V413*(1+((1+VLOOKUP($B414,'IPCA Hist'!$B:$C,2,0))^12 - 1)+$V$2)^(1/252)</f>
        <v>81575075.572773799</v>
      </c>
      <c r="W414" s="2">
        <f>W413*(1+((1+VLOOKUP($B414,'IPCA Hist'!$B:$C,2,0))^12 - 1)+$W$2)^(1/252)</f>
        <v>42946603.590918057</v>
      </c>
      <c r="X414" s="2">
        <v>0</v>
      </c>
      <c r="Y414" s="2">
        <v>0</v>
      </c>
      <c r="Z414" s="2">
        <f>Z413*(1+((1+VLOOKUP($B414,'IPCA Hist'!$B:$C,2,0))^12 - 1)+$Z$2)^(1/252)</f>
        <v>82073593.138563812</v>
      </c>
      <c r="AA414" s="2">
        <f>AA413*(1+((1+VLOOKUP($B414,'IPCA Hist'!$B:$C,2,0))^12 - 1)+$AA$2)^(1/252)</f>
        <v>41229842.036470637</v>
      </c>
      <c r="AB414" s="2">
        <f>AB413*(1+((1+VLOOKUP($B414,'IPCA Hist'!$B:$C,2,0))^12 - 1)+$AB$2)^(1/252)</f>
        <v>41243963.672988854</v>
      </c>
      <c r="AC414" s="2">
        <v>0</v>
      </c>
      <c r="AD414" s="2">
        <v>0</v>
      </c>
      <c r="AE414" s="2">
        <v>0</v>
      </c>
      <c r="AF414" s="2">
        <f>AF413*(1+((1+VLOOKUP($B414,'IGPM Hist'!$B:$C,2,0))^12 - 1)+$AF$2)^(1/252)</f>
        <v>1675848.1593624773</v>
      </c>
      <c r="AG414" s="2">
        <v>0</v>
      </c>
      <c r="AH414" s="2">
        <v>0</v>
      </c>
      <c r="AI414" s="2">
        <v>0</v>
      </c>
      <c r="AJ414" s="2">
        <f t="shared" ref="AJ414:AW414" si="100">AJ413*(1+AJ$2)^(1/252)</f>
        <v>53767313.917479269</v>
      </c>
      <c r="AK414" s="2">
        <f t="shared" si="100"/>
        <v>176236819.68412015</v>
      </c>
      <c r="AL414" s="2">
        <f t="shared" si="100"/>
        <v>36144064.420672178</v>
      </c>
      <c r="AM414" s="2">
        <f t="shared" si="100"/>
        <v>126541387.89442427</v>
      </c>
      <c r="AN414" s="2">
        <f t="shared" si="100"/>
        <v>54210789.209275365</v>
      </c>
      <c r="AO414" s="2">
        <f t="shared" si="100"/>
        <v>23154376.407735698</v>
      </c>
      <c r="AP414" s="2">
        <v>0</v>
      </c>
      <c r="AQ414" s="2">
        <v>0</v>
      </c>
      <c r="AR414" s="2">
        <v>0</v>
      </c>
      <c r="AS414" s="2">
        <f t="shared" si="100"/>
        <v>105685558.59569849</v>
      </c>
      <c r="AT414" s="2">
        <f t="shared" si="100"/>
        <v>5343309.730027535</v>
      </c>
      <c r="AU414" s="2">
        <v>0</v>
      </c>
      <c r="AV414" s="2">
        <f t="shared" si="100"/>
        <v>53634732.135304399</v>
      </c>
      <c r="AW414" s="2">
        <f t="shared" si="100"/>
        <v>2761979.7137291809</v>
      </c>
      <c r="AX414" s="2">
        <v>0</v>
      </c>
      <c r="AY414" s="2">
        <v>0</v>
      </c>
      <c r="AZ414" s="2">
        <v>0</v>
      </c>
      <c r="BA414" s="2">
        <f>BA413*(1+VLOOKUP(A414,'SELIC Hist'!$A:$C,3,0))^(1/252)</f>
        <v>2608569.4235128225</v>
      </c>
      <c r="BB414" s="2">
        <f t="shared" si="91"/>
        <v>1720283553.4476881</v>
      </c>
      <c r="BC414" s="2">
        <v>0</v>
      </c>
      <c r="BD414" s="2">
        <v>0</v>
      </c>
      <c r="BE414" s="2">
        <f t="shared" si="87"/>
        <v>1189579.2105824947</v>
      </c>
      <c r="BF414" s="2">
        <f t="shared" si="80"/>
        <v>8308774.1210362911</v>
      </c>
      <c r="BG414" s="2">
        <f t="shared" si="81"/>
        <v>22092077.356882095</v>
      </c>
      <c r="BH414" s="11">
        <f t="shared" si="92"/>
        <v>1.1666332984562198</v>
      </c>
      <c r="BI414" s="12">
        <f t="shared" si="93"/>
        <v>6.9198032708506219E-4</v>
      </c>
      <c r="BJ414" s="12">
        <f t="shared" si="94"/>
        <v>4.8533274095923229E-3</v>
      </c>
      <c r="BK414" s="12">
        <f t="shared" si="95"/>
        <v>1.3027573153913785E-2</v>
      </c>
      <c r="BL414" s="5">
        <f t="shared" si="96"/>
        <v>0.16663329845621977</v>
      </c>
      <c r="BM414" s="19">
        <f t="shared" si="97"/>
        <v>5.1209036661308716E-2</v>
      </c>
      <c r="BN414" s="19">
        <f t="shared" si="98"/>
        <v>0.10069335112806588</v>
      </c>
      <c r="BO414" s="19" t="s">
        <v>53</v>
      </c>
    </row>
    <row r="415" spans="1:67" x14ac:dyDescent="0.25">
      <c r="A415" s="1">
        <v>45700</v>
      </c>
      <c r="B415" s="1" t="str">
        <f t="shared" si="78"/>
        <v>202502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f>I414*(1+((1+VLOOKUP($B415,'IPCA Hist'!$B:$C,2,0))^12 - 1)+$I$2)^(1/252)</f>
        <v>216549802.11645243</v>
      </c>
      <c r="J415" s="2">
        <f>J414*(1+((1+VLOOKUP($B415,'IPCA Hist'!$B:$C,2,0))^12 - 1)+$J$2)^(1/252)</f>
        <v>137489477.21558738</v>
      </c>
      <c r="K415" s="2">
        <f>K414*(1+((1+VLOOKUP($B415,'IPCA Hist'!$B:$C,2,0))^12 - 1)+$K$2)^(1/252)</f>
        <v>20879066.392485064</v>
      </c>
      <c r="L415" s="2">
        <f>L414*(1+((1+VLOOKUP($B415,'IPCA Hist'!$B:$C,2,0))^12 - 1)+$L$2)^(1/252)</f>
        <v>12714196.602756388</v>
      </c>
      <c r="M415" s="2">
        <v>0</v>
      </c>
      <c r="N415" s="2">
        <v>0</v>
      </c>
      <c r="O415" s="2">
        <v>0</v>
      </c>
      <c r="P415" s="2">
        <v>0</v>
      </c>
      <c r="Q415" s="2">
        <f>Q414*(1+((1+VLOOKUP($B415,'IPCA Hist'!$B:$C,2,0))^12 - 1)+$Q$2)^(1/252)</f>
        <v>46605198.264565952</v>
      </c>
      <c r="R415" s="2">
        <f>R414*(1+((1+VLOOKUP($B415,'IPCA Hist'!$B:$C,2,0))^12 - 1)+$R$2)^(1/252)</f>
        <v>46591092.470772974</v>
      </c>
      <c r="S415" s="2">
        <f>S414*(1+((1+VLOOKUP($B415,'IPCA Hist'!$B:$C,2,0))^12 - 1)+$S$2)^(1/252)</f>
        <v>47624258.036098592</v>
      </c>
      <c r="T415" s="2">
        <f>T414*(1+((1+VLOOKUP($B415,'IPCA Hist'!$B:$C,2,0))^12 - 1)+$T$2)^(1/252)</f>
        <v>240528860.34020305</v>
      </c>
      <c r="U415" s="2">
        <f>U414*(1+((1+VLOOKUP($B415,'IPCA Hist'!$B:$C,2,0))^12 - 1)+$U$2)^(1/252)</f>
        <v>21097912.356199868</v>
      </c>
      <c r="V415" s="2">
        <f>V414*(1+((1+VLOOKUP($B415,'IPCA Hist'!$B:$C,2,0))^12 - 1)+$V$2)^(1/252)</f>
        <v>81646751.478875533</v>
      </c>
      <c r="W415" s="2">
        <f>W414*(1+((1+VLOOKUP($B415,'IPCA Hist'!$B:$C,2,0))^12 - 1)+$W$2)^(1/252)</f>
        <v>42984462.964393236</v>
      </c>
      <c r="X415" s="2">
        <v>0</v>
      </c>
      <c r="Y415" s="2">
        <v>0</v>
      </c>
      <c r="Z415" s="2">
        <f>Z414*(1+((1+VLOOKUP($B415,'IPCA Hist'!$B:$C,2,0))^12 - 1)+$Z$2)^(1/252)</f>
        <v>82143954.584835514</v>
      </c>
      <c r="AA415" s="2">
        <f>AA414*(1+((1+VLOOKUP($B415,'IPCA Hist'!$B:$C,2,0))^12 - 1)+$AA$2)^(1/252)</f>
        <v>41266790.178638466</v>
      </c>
      <c r="AB415" s="2">
        <f>AB414*(1+((1+VLOOKUP($B415,'IPCA Hist'!$B:$C,2,0))^12 - 1)+$AB$2)^(1/252)</f>
        <v>41280911.398528911</v>
      </c>
      <c r="AC415" s="2">
        <v>0</v>
      </c>
      <c r="AD415" s="2">
        <v>0</v>
      </c>
      <c r="AE415" s="2">
        <v>0</v>
      </c>
      <c r="AF415" s="2">
        <f>AF414*(1+((1+VLOOKUP($B415,'IGPM Hist'!$B:$C,2,0))^12 - 1)+$AF$2)^(1/252)</f>
        <v>1677046.4927915991</v>
      </c>
      <c r="AG415" s="2">
        <v>0</v>
      </c>
      <c r="AH415" s="2">
        <v>0</v>
      </c>
      <c r="AI415" s="2">
        <v>0</v>
      </c>
      <c r="AJ415" s="2">
        <f t="shared" ref="AJ415:AW415" si="101">AJ414*(1+AJ$2)^(1/252)</f>
        <v>53792068.531994231</v>
      </c>
      <c r="AK415" s="2">
        <f t="shared" si="101"/>
        <v>176321966.78082114</v>
      </c>
      <c r="AL415" s="2">
        <f t="shared" si="101"/>
        <v>36161533.424568459</v>
      </c>
      <c r="AM415" s="2">
        <f t="shared" si="101"/>
        <v>126602514.00855492</v>
      </c>
      <c r="AN415" s="2">
        <f t="shared" si="101"/>
        <v>54236994.913696088</v>
      </c>
      <c r="AO415" s="2">
        <f t="shared" si="101"/>
        <v>23167657.205054458</v>
      </c>
      <c r="AP415" s="2">
        <v>0</v>
      </c>
      <c r="AQ415" s="2">
        <v>0</v>
      </c>
      <c r="AR415" s="2">
        <v>0</v>
      </c>
      <c r="AS415" s="2">
        <f t="shared" si="101"/>
        <v>105732644.34165332</v>
      </c>
      <c r="AT415" s="2">
        <f t="shared" si="101"/>
        <v>5346332.7781387875</v>
      </c>
      <c r="AU415" s="2">
        <v>0</v>
      </c>
      <c r="AV415" s="2">
        <f t="shared" si="101"/>
        <v>53659141.098976299</v>
      </c>
      <c r="AW415" s="2">
        <f t="shared" si="101"/>
        <v>2763522.3518555057</v>
      </c>
      <c r="AX415" s="2">
        <v>0</v>
      </c>
      <c r="AY415" s="2">
        <v>0</v>
      </c>
      <c r="AZ415" s="2">
        <v>0</v>
      </c>
      <c r="BA415" s="2">
        <f>BA414*(1+VLOOKUP(A415,'SELIC Hist'!$A:$C,3,0))^(1/252)</f>
        <v>2609848.60048613</v>
      </c>
      <c r="BB415" s="2">
        <f t="shared" si="91"/>
        <v>1721474004.9289846</v>
      </c>
      <c r="BC415" s="2">
        <v>0</v>
      </c>
      <c r="BD415" s="2">
        <v>0</v>
      </c>
      <c r="BE415" s="2">
        <f t="shared" si="87"/>
        <v>1190451.4812965393</v>
      </c>
      <c r="BF415" s="2">
        <f t="shared" si="80"/>
        <v>9499225.6023328304</v>
      </c>
      <c r="BG415" s="2">
        <f t="shared" si="81"/>
        <v>23282528.838178635</v>
      </c>
      <c r="BH415" s="11">
        <f t="shared" si="92"/>
        <v>1.1674406190490918</v>
      </c>
      <c r="BI415" s="12">
        <f t="shared" si="93"/>
        <v>6.9200887197395922E-4</v>
      </c>
      <c r="BJ415" s="12">
        <f t="shared" si="94"/>
        <v>5.5486948271923353E-3</v>
      </c>
      <c r="BK415" s="12">
        <f t="shared" si="95"/>
        <v>1.3728597222090633E-2</v>
      </c>
      <c r="BL415" s="5">
        <f t="shared" si="96"/>
        <v>0.1674406190490918</v>
      </c>
      <c r="BM415" s="19">
        <f t="shared" si="97"/>
        <v>5.1692433816669547E-2</v>
      </c>
      <c r="BN415" s="19">
        <f t="shared" si="98"/>
        <v>0.10102829935365287</v>
      </c>
      <c r="BO415" s="19" t="s">
        <v>53</v>
      </c>
    </row>
    <row r="416" spans="1:67" x14ac:dyDescent="0.25">
      <c r="A416" s="1">
        <v>45701</v>
      </c>
      <c r="B416" s="1" t="str">
        <f t="shared" si="78"/>
        <v>202502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f>I415*(1+((1+VLOOKUP($B416,'IPCA Hist'!$B:$C,2,0))^12 - 1)+$I$2)^(1/252)</f>
        <v>216724843.92970023</v>
      </c>
      <c r="J416" s="2">
        <f>J415*(1+((1+VLOOKUP($B416,'IPCA Hist'!$B:$C,2,0))^12 - 1)+$J$2)^(1/252)</f>
        <v>137598425.86368075</v>
      </c>
      <c r="K416" s="2">
        <f>K415*(1+((1+VLOOKUP($B416,'IPCA Hist'!$B:$C,2,0))^12 - 1)+$K$2)^(1/252)</f>
        <v>20896603.67718403</v>
      </c>
      <c r="L416" s="2">
        <f>L415*(1+((1+VLOOKUP($B416,'IPCA Hist'!$B:$C,2,0))^12 - 1)+$L$2)^(1/252)</f>
        <v>12724921.180532761</v>
      </c>
      <c r="M416" s="2">
        <v>0</v>
      </c>
      <c r="N416" s="2">
        <v>0</v>
      </c>
      <c r="O416" s="2">
        <v>0</v>
      </c>
      <c r="P416" s="2">
        <v>0</v>
      </c>
      <c r="Q416" s="2">
        <f>Q415*(1+((1+VLOOKUP($B416,'IPCA Hist'!$B:$C,2,0))^12 - 1)+$Q$2)^(1/252)</f>
        <v>46642098.575256623</v>
      </c>
      <c r="R416" s="2">
        <f>R415*(1+((1+VLOOKUP($B416,'IPCA Hist'!$B:$C,2,0))^12 - 1)+$R$2)^(1/252)</f>
        <v>46627996.769901864</v>
      </c>
      <c r="S416" s="2">
        <f>S415*(1+((1+VLOOKUP($B416,'IPCA Hist'!$B:$C,2,0))^12 - 1)+$S$2)^(1/252)</f>
        <v>47661794.694957875</v>
      </c>
      <c r="T416" s="2">
        <f>T415*(1+((1+VLOOKUP($B416,'IPCA Hist'!$B:$C,2,0))^12 - 1)+$T$2)^(1/252)</f>
        <v>240718362.91687727</v>
      </c>
      <c r="U416" s="2">
        <f>U415*(1+((1+VLOOKUP($B416,'IPCA Hist'!$B:$C,2,0))^12 - 1)+$U$2)^(1/252)</f>
        <v>21115456.959337506</v>
      </c>
      <c r="V416" s="2">
        <f>V415*(1+((1+VLOOKUP($B416,'IPCA Hist'!$B:$C,2,0))^12 - 1)+$V$2)^(1/252)</f>
        <v>81718490.362982243</v>
      </c>
      <c r="W416" s="2">
        <f>W415*(1+((1+VLOOKUP($B416,'IPCA Hist'!$B:$C,2,0))^12 - 1)+$W$2)^(1/252)</f>
        <v>43022355.712618455</v>
      </c>
      <c r="X416" s="2">
        <v>0</v>
      </c>
      <c r="Y416" s="2">
        <v>0</v>
      </c>
      <c r="Z416" s="2">
        <f>Z415*(1+((1+VLOOKUP($B416,'IPCA Hist'!$B:$C,2,0))^12 - 1)+$Z$2)^(1/252)</f>
        <v>82214376.351764962</v>
      </c>
      <c r="AA416" s="2">
        <f>AA415*(1+((1+VLOOKUP($B416,'IPCA Hist'!$B:$C,2,0))^12 - 1)+$AA$2)^(1/252)</f>
        <v>41303771.431901127</v>
      </c>
      <c r="AB416" s="2">
        <f>AB415*(1+((1+VLOOKUP($B416,'IPCA Hist'!$B:$C,2,0))^12 - 1)+$AB$2)^(1/252)</f>
        <v>41317892.223080337</v>
      </c>
      <c r="AC416" s="2">
        <v>0</v>
      </c>
      <c r="AD416" s="2">
        <v>0</v>
      </c>
      <c r="AE416" s="2">
        <v>0</v>
      </c>
      <c r="AF416" s="2">
        <f>AF415*(1+((1+VLOOKUP($B416,'IGPM Hist'!$B:$C,2,0))^12 - 1)+$AF$2)^(1/252)</f>
        <v>1678245.6831020555</v>
      </c>
      <c r="AG416" s="2">
        <v>0</v>
      </c>
      <c r="AH416" s="2">
        <v>0</v>
      </c>
      <c r="AI416" s="2">
        <v>0</v>
      </c>
      <c r="AJ416" s="2">
        <f t="shared" ref="AJ416:AW416" si="102">AJ415*(1+AJ$2)^(1/252)</f>
        <v>53816834.543599643</v>
      </c>
      <c r="AK416" s="2">
        <f t="shared" si="102"/>
        <v>176407155.01550961</v>
      </c>
      <c r="AL416" s="2">
        <f t="shared" si="102"/>
        <v>36179010.871513471</v>
      </c>
      <c r="AM416" s="2">
        <f t="shared" si="102"/>
        <v>126663669.64979832</v>
      </c>
      <c r="AN416" s="2">
        <f t="shared" si="102"/>
        <v>54263213.286055319</v>
      </c>
      <c r="AO416" s="2">
        <f t="shared" si="102"/>
        <v>23180945.619921379</v>
      </c>
      <c r="AP416" s="2">
        <v>0</v>
      </c>
      <c r="AQ416" s="2">
        <v>0</v>
      </c>
      <c r="AR416" s="2">
        <v>0</v>
      </c>
      <c r="AS416" s="2">
        <f t="shared" si="102"/>
        <v>105779751.06556863</v>
      </c>
      <c r="AT416" s="2">
        <f t="shared" si="102"/>
        <v>5349357.5365794692</v>
      </c>
      <c r="AU416" s="2">
        <v>0</v>
      </c>
      <c r="AV416" s="2">
        <f t="shared" si="102"/>
        <v>53683561.171075217</v>
      </c>
      <c r="AW416" s="2">
        <f t="shared" si="102"/>
        <v>2765065.8515856927</v>
      </c>
      <c r="AX416" s="2">
        <v>0</v>
      </c>
      <c r="AY416" s="2">
        <v>0</v>
      </c>
      <c r="AZ416" s="2">
        <v>0</v>
      </c>
      <c r="BA416" s="2">
        <f>BA415*(1+VLOOKUP(A416,'SELIC Hist'!$A:$C,3,0))^(1/252)</f>
        <v>2611128.4047357193</v>
      </c>
      <c r="BB416" s="2">
        <f t="shared" si="91"/>
        <v>1722665329.3488204</v>
      </c>
      <c r="BC416" s="2">
        <v>0</v>
      </c>
      <c r="BD416" s="2">
        <v>0</v>
      </c>
      <c r="BE416" s="2">
        <f t="shared" si="87"/>
        <v>1191324.4198358059</v>
      </c>
      <c r="BF416" s="2">
        <f t="shared" si="80"/>
        <v>10690550.022168636</v>
      </c>
      <c r="BG416" s="2">
        <f t="shared" si="81"/>
        <v>24473853.258014441</v>
      </c>
      <c r="BH416" s="11">
        <f t="shared" si="92"/>
        <v>1.1682485316369084</v>
      </c>
      <c r="BI416" s="12">
        <f t="shared" si="93"/>
        <v>6.9203741469503477E-4</v>
      </c>
      <c r="BJ416" s="12">
        <f t="shared" si="94"/>
        <v>6.2445721463104675E-3</v>
      </c>
      <c r="BK416" s="12">
        <f t="shared" si="95"/>
        <v>1.4430135339714711E-2</v>
      </c>
      <c r="BL416" s="5">
        <f t="shared" si="96"/>
        <v>0.16824853163690845</v>
      </c>
      <c r="BM416" s="19">
        <f t="shared" si="97"/>
        <v>5.2383762642553178E-2</v>
      </c>
      <c r="BN416" s="19">
        <f t="shared" si="98"/>
        <v>0.10120574058067344</v>
      </c>
      <c r="BO416" s="19" t="s">
        <v>53</v>
      </c>
    </row>
    <row r="417" spans="1:67" x14ac:dyDescent="0.25">
      <c r="A417" s="1">
        <v>45702</v>
      </c>
      <c r="B417" s="1" t="str">
        <f t="shared" si="78"/>
        <v>202502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f>I416*(1+((1+VLOOKUP($B417,'IPCA Hist'!$B:$C,2,0))^12 - 1)+$I$2)^(1/252)</f>
        <v>216900027.23297057</v>
      </c>
      <c r="J417" s="2">
        <f>J416*(1+((1+VLOOKUP($B417,'IPCA Hist'!$B:$C,2,0))^12 - 1)+$J$2)^(1/252)</f>
        <v>137707460.84425688</v>
      </c>
      <c r="K417" s="2">
        <f>K416*(1+((1+VLOOKUP($B417,'IPCA Hist'!$B:$C,2,0))^12 - 1)+$K$2)^(1/252)</f>
        <v>20914155.692252107</v>
      </c>
      <c r="L417" s="2">
        <f>L416*(1+((1+VLOOKUP($B417,'IPCA Hist'!$B:$C,2,0))^12 - 1)+$L$2)^(1/252)</f>
        <v>12735654.804619497</v>
      </c>
      <c r="M417" s="2">
        <v>0</v>
      </c>
      <c r="N417" s="2">
        <v>0</v>
      </c>
      <c r="O417" s="2">
        <v>0</v>
      </c>
      <c r="P417" s="2">
        <v>0</v>
      </c>
      <c r="Q417" s="2">
        <f>Q416*(1+((1+VLOOKUP($B417,'IPCA Hist'!$B:$C,2,0))^12 - 1)+$Q$2)^(1/252)</f>
        <v>46679028.102278948</v>
      </c>
      <c r="R417" s="2">
        <f>R416*(1+((1+VLOOKUP($B417,'IPCA Hist'!$B:$C,2,0))^12 - 1)+$R$2)^(1/252)</f>
        <v>46664930.300525919</v>
      </c>
      <c r="S417" s="2">
        <f>S416*(1+((1+VLOOKUP($B417,'IPCA Hist'!$B:$C,2,0))^12 - 1)+$S$2)^(1/252)</f>
        <v>47699360.939595841</v>
      </c>
      <c r="T417" s="2">
        <f>T416*(1+((1+VLOOKUP($B417,'IPCA Hist'!$B:$C,2,0))^12 - 1)+$T$2)^(1/252)</f>
        <v>240908014.79466453</v>
      </c>
      <c r="U417" s="2">
        <f>U416*(1+((1+VLOOKUP($B417,'IPCA Hist'!$B:$C,2,0))^12 - 1)+$U$2)^(1/252)</f>
        <v>21133016.152217202</v>
      </c>
      <c r="V417" s="2">
        <f>V416*(1+((1+VLOOKUP($B417,'IPCA Hist'!$B:$C,2,0))^12 - 1)+$V$2)^(1/252)</f>
        <v>81790292.280429527</v>
      </c>
      <c r="W417" s="2">
        <f>W416*(1+((1+VLOOKUP($B417,'IPCA Hist'!$B:$C,2,0))^12 - 1)+$W$2)^(1/252)</f>
        <v>43060281.865015067</v>
      </c>
      <c r="X417" s="2">
        <v>0</v>
      </c>
      <c r="Y417" s="2">
        <v>0</v>
      </c>
      <c r="Z417" s="2">
        <f>Z416*(1+((1+VLOOKUP($B417,'IPCA Hist'!$B:$C,2,0))^12 - 1)+$Z$2)^(1/252)</f>
        <v>82284858.491064876</v>
      </c>
      <c r="AA417" s="2">
        <f>AA416*(1+((1+VLOOKUP($B417,'IPCA Hist'!$B:$C,2,0))^12 - 1)+$AA$2)^(1/252)</f>
        <v>41340785.825931147</v>
      </c>
      <c r="AB417" s="2">
        <f>AB416*(1+((1+VLOOKUP($B417,'IPCA Hist'!$B:$C,2,0))^12 - 1)+$AB$2)^(1/252)</f>
        <v>41354906.176294342</v>
      </c>
      <c r="AC417" s="2">
        <v>0</v>
      </c>
      <c r="AD417" s="2">
        <v>0</v>
      </c>
      <c r="AE417" s="2">
        <v>0</v>
      </c>
      <c r="AF417" s="2">
        <f>AF416*(1+((1+VLOOKUP($B417,'IGPM Hist'!$B:$C,2,0))^12 - 1)+$AF$2)^(1/252)</f>
        <v>1679445.7309065687</v>
      </c>
      <c r="AG417" s="2">
        <v>0</v>
      </c>
      <c r="AH417" s="2">
        <v>0</v>
      </c>
      <c r="AI417" s="2">
        <v>0</v>
      </c>
      <c r="AJ417" s="2">
        <f t="shared" ref="AJ417:AW417" si="103">AJ416*(1+AJ$2)^(1/252)</f>
        <v>53841611.957542755</v>
      </c>
      <c r="AK417" s="2">
        <f t="shared" si="103"/>
        <v>176492384.40806094</v>
      </c>
      <c r="AL417" s="2">
        <f t="shared" si="103"/>
        <v>36196496.765587866</v>
      </c>
      <c r="AM417" s="2">
        <f t="shared" si="103"/>
        <v>126724854.83241762</v>
      </c>
      <c r="AN417" s="2">
        <f t="shared" si="103"/>
        <v>54289444.332476787</v>
      </c>
      <c r="AO417" s="2">
        <f t="shared" si="103"/>
        <v>23194241.656705704</v>
      </c>
      <c r="AP417" s="2">
        <v>0</v>
      </c>
      <c r="AQ417" s="2">
        <v>0</v>
      </c>
      <c r="AR417" s="2">
        <v>0</v>
      </c>
      <c r="AS417" s="2">
        <f t="shared" si="103"/>
        <v>105826878.77679066</v>
      </c>
      <c r="AT417" s="2">
        <f t="shared" si="103"/>
        <v>5352384.0063172225</v>
      </c>
      <c r="AU417" s="2">
        <v>0</v>
      </c>
      <c r="AV417" s="2">
        <f t="shared" si="103"/>
        <v>53707992.356656551</v>
      </c>
      <c r="AW417" s="2">
        <f t="shared" si="103"/>
        <v>2766610.2134009702</v>
      </c>
      <c r="AX417" s="2">
        <v>0</v>
      </c>
      <c r="AY417" s="2">
        <v>0</v>
      </c>
      <c r="AZ417" s="2">
        <v>0</v>
      </c>
      <c r="BA417" s="2">
        <f>BA416*(1+VLOOKUP(A417,'SELIC Hist'!$A:$C,3,0))^(1/252)</f>
        <v>2612408.836569191</v>
      </c>
      <c r="BB417" s="2">
        <f t="shared" si="91"/>
        <v>1723857527.3755493</v>
      </c>
      <c r="BC417" s="2">
        <v>0</v>
      </c>
      <c r="BD417" s="2">
        <v>0</v>
      </c>
      <c r="BE417" s="2">
        <f t="shared" si="87"/>
        <v>1192198.0267288685</v>
      </c>
      <c r="BF417" s="2">
        <f t="shared" si="80"/>
        <v>11882748.048897505</v>
      </c>
      <c r="BG417" s="2">
        <f t="shared" si="81"/>
        <v>25666051.284743309</v>
      </c>
      <c r="BH417" s="11">
        <f t="shared" si="92"/>
        <v>1.1690570366729232</v>
      </c>
      <c r="BI417" s="12">
        <f t="shared" si="93"/>
        <v>6.9206595524828884E-4</v>
      </c>
      <c r="BJ417" s="12">
        <f t="shared" si="94"/>
        <v>6.9409597573462101E-3</v>
      </c>
      <c r="BK417" s="12">
        <f t="shared" si="95"/>
        <v>1.5132187900361194E-2</v>
      </c>
      <c r="BL417" s="5">
        <f t="shared" si="96"/>
        <v>0.16905703667292316</v>
      </c>
      <c r="BM417" s="19">
        <f t="shared" si="97"/>
        <v>5.3407746835127279E-2</v>
      </c>
      <c r="BN417" s="19">
        <f t="shared" si="98"/>
        <v>0.1012678126581763</v>
      </c>
      <c r="BO417" s="19" t="s">
        <v>53</v>
      </c>
    </row>
    <row r="418" spans="1:67" s="17" customFormat="1" x14ac:dyDescent="0.25">
      <c r="A418" s="13">
        <v>45705</v>
      </c>
      <c r="B418" s="13" t="str">
        <f t="shared" si="78"/>
        <v>202502</v>
      </c>
      <c r="C418" s="14">
        <v>0</v>
      </c>
      <c r="D418" s="14">
        <v>0</v>
      </c>
      <c r="E418" s="14">
        <v>0</v>
      </c>
      <c r="F418" s="14">
        <v>0</v>
      </c>
      <c r="G418" s="14">
        <v>0</v>
      </c>
      <c r="H418" s="14">
        <v>0</v>
      </c>
      <c r="I418" s="14">
        <f>I417*(1+((1+VLOOKUP($B418,'IPCA Hist'!$B:$C,2,0))^12 - 1)+$I$2)^(1/252)</f>
        <v>217075352.14063287</v>
      </c>
      <c r="J418" s="14">
        <f>J417*(1+((1+VLOOKUP($B418,'IPCA Hist'!$B:$C,2,0))^12 - 1)+$J$2)^(1/252)</f>
        <v>137816582.22572687</v>
      </c>
      <c r="K418" s="14">
        <f>K417*(1+((1+VLOOKUP($B418,'IPCA Hist'!$B:$C,2,0))^12 - 1)+$K$2)^(1/252)</f>
        <v>20931722.450062003</v>
      </c>
      <c r="L418" s="14">
        <f>L417*(1+((1+VLOOKUP($B418,'IPCA Hist'!$B:$C,2,0))^12 - 1)+$L$2)^(1/252)</f>
        <v>12746397.482647266</v>
      </c>
      <c r="M418" s="14">
        <v>0</v>
      </c>
      <c r="N418" s="14">
        <v>0</v>
      </c>
      <c r="O418" s="14">
        <v>0</v>
      </c>
      <c r="P418" s="14">
        <v>0</v>
      </c>
      <c r="Q418" s="14">
        <f>Q417*(1+((1+VLOOKUP($B418,'IPCA Hist'!$B:$C,2,0))^12 - 1)+$Q$2)^(1/252)</f>
        <v>46715986.868765354</v>
      </c>
      <c r="R418" s="14">
        <f>R417*(1+((1+VLOOKUP($B418,'IPCA Hist'!$B:$C,2,0))^12 - 1)+$R$2)^(1/252)</f>
        <v>46701893.085799083</v>
      </c>
      <c r="S418" s="14">
        <f>S417*(1+((1+VLOOKUP($B418,'IPCA Hist'!$B:$C,2,0))^12 - 1)+$S$2)^(1/252)</f>
        <v>47736956.793331519</v>
      </c>
      <c r="T418" s="14">
        <f>T417*(1+((1+VLOOKUP($B418,'IPCA Hist'!$B:$C,2,0))^12 - 1)+$T$2)^(1/252)</f>
        <v>241097816.0911929</v>
      </c>
      <c r="U418" s="14">
        <f>U417*(1+((1+VLOOKUP($B418,'IPCA Hist'!$B:$C,2,0))^12 - 1)+$U$2)^(1/252)</f>
        <v>21150589.946971495</v>
      </c>
      <c r="V418" s="14">
        <f>V417*(1+((1+VLOOKUP($B418,'IPCA Hist'!$B:$C,2,0))^12 - 1)+$V$2)^(1/252)</f>
        <v>81862157.286601618</v>
      </c>
      <c r="W418" s="14">
        <f>W417*(1+((1+VLOOKUP($B418,'IPCA Hist'!$B:$C,2,0))^12 - 1)+$W$2)^(1/252)</f>
        <v>43098241.451030359</v>
      </c>
      <c r="X418" s="14">
        <v>0</v>
      </c>
      <c r="Y418" s="14">
        <v>0</v>
      </c>
      <c r="Z418" s="14">
        <f>Z417*(1+((1+VLOOKUP($B418,'IPCA Hist'!$B:$C,2,0))^12 - 1)+$Z$2)^(1/252)</f>
        <v>82355401.054492295</v>
      </c>
      <c r="AA418" s="14">
        <f>AA417*(1+((1+VLOOKUP($B418,'IPCA Hist'!$B:$C,2,0))^12 - 1)+$AA$2)^(1/252)</f>
        <v>41377833.390427634</v>
      </c>
      <c r="AB418" s="14">
        <f>AB417*(1+((1+VLOOKUP($B418,'IPCA Hist'!$B:$C,2,0))^12 - 1)+$AB$2)^(1/252)</f>
        <v>41391953.287848689</v>
      </c>
      <c r="AC418" s="2">
        <v>0</v>
      </c>
      <c r="AD418" s="2">
        <v>0</v>
      </c>
      <c r="AE418" s="14">
        <v>0</v>
      </c>
      <c r="AF418" s="14">
        <f>AF417*(1+((1+VLOOKUP($B418,'IGPM Hist'!$B:$C,2,0))^12 - 1)+$AF$2)^(1/252)</f>
        <v>1680646.6368182993</v>
      </c>
      <c r="AG418" s="14">
        <v>0</v>
      </c>
      <c r="AH418" s="14">
        <v>0</v>
      </c>
      <c r="AI418" s="14">
        <v>0</v>
      </c>
      <c r="AJ418" s="14">
        <f t="shared" ref="AJ418:AW418" si="104">AJ417*(1+AJ$2)^(1/252)</f>
        <v>53866400.779073223</v>
      </c>
      <c r="AK418" s="14">
        <f t="shared" si="104"/>
        <v>176577654.97836015</v>
      </c>
      <c r="AL418" s="14">
        <f t="shared" si="104"/>
        <v>36213991.110874288</v>
      </c>
      <c r="AM418" s="14">
        <f t="shared" si="104"/>
        <v>126786069.57068285</v>
      </c>
      <c r="AN418" s="14">
        <f t="shared" si="104"/>
        <v>54315688.059087187</v>
      </c>
      <c r="AO418" s="14">
        <f t="shared" si="104"/>
        <v>23207545.319779184</v>
      </c>
      <c r="AP418" s="2">
        <v>0</v>
      </c>
      <c r="AQ418" s="2">
        <v>0</v>
      </c>
      <c r="AR418" s="2">
        <v>0</v>
      </c>
      <c r="AS418" s="14">
        <f t="shared" si="104"/>
        <v>105874027.48466983</v>
      </c>
      <c r="AT418" s="14">
        <f t="shared" si="104"/>
        <v>5355412.1883202353</v>
      </c>
      <c r="AU418" s="2">
        <v>0</v>
      </c>
      <c r="AV418" s="14">
        <f t="shared" si="104"/>
        <v>53732434.660778016</v>
      </c>
      <c r="AW418" s="14">
        <f t="shared" si="104"/>
        <v>2768155.4377828357</v>
      </c>
      <c r="AX418" s="2">
        <v>0</v>
      </c>
      <c r="AY418" s="2">
        <v>0</v>
      </c>
      <c r="AZ418" s="14">
        <v>0</v>
      </c>
      <c r="BA418" s="14">
        <f>BA417*(1+VLOOKUP(A418,'SELIC Hist'!$A:$C,3,0))^(1/252)</f>
        <v>2613689.8962942967</v>
      </c>
      <c r="BB418" s="14">
        <f t="shared" si="91"/>
        <v>1725050599.6780505</v>
      </c>
      <c r="BC418" s="14">
        <v>0</v>
      </c>
      <c r="BD418" s="14">
        <v>0</v>
      </c>
      <c r="BE418" s="2">
        <f t="shared" si="87"/>
        <v>1193072.3025012016</v>
      </c>
      <c r="BF418" s="2">
        <f t="shared" si="80"/>
        <v>13075820.351398706</v>
      </c>
      <c r="BG418" s="2">
        <f t="shared" si="81"/>
        <v>26859123.587244511</v>
      </c>
      <c r="BH418" s="15">
        <f t="shared" si="92"/>
        <v>1.1698661346107451</v>
      </c>
      <c r="BI418" s="16">
        <f t="shared" si="93"/>
        <v>6.9209449363105691E-4</v>
      </c>
      <c r="BJ418" s="16">
        <f t="shared" si="94"/>
        <v>7.6378580510059191E-3</v>
      </c>
      <c r="BK418" s="16">
        <f t="shared" si="95"/>
        <v>1.5834755297914782E-2</v>
      </c>
      <c r="BL418" s="20">
        <f t="shared" si="96"/>
        <v>0.16986613461074507</v>
      </c>
      <c r="BM418" s="21">
        <f t="shared" si="97"/>
        <v>5.3820331795199294E-2</v>
      </c>
      <c r="BN418" s="21">
        <f t="shared" si="98"/>
        <v>0.1009867564145539</v>
      </c>
      <c r="BO418" s="21" t="s">
        <v>53</v>
      </c>
    </row>
    <row r="419" spans="1:67" x14ac:dyDescent="0.25">
      <c r="A419" s="1">
        <v>45706</v>
      </c>
      <c r="B419" s="1" t="str">
        <f t="shared" si="78"/>
        <v>202502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f>I418*(1+((1+VLOOKUP($B419,'IPCA Hist'!$B:$C,2,0))^12 - 1)+$I$2)^(1/252) - 5907313.80594591</f>
        <v>211343504.96120304</v>
      </c>
      <c r="J419" s="2">
        <f>J418*(1+((1+VLOOKUP($B419,'IPCA Hist'!$B:$C,2,0))^12 - 1)+$J$2)^(1/252) - 3750431.69717185</f>
        <v>134175358.3793842</v>
      </c>
      <c r="K419" s="2">
        <f>K418*(1+((1+VLOOKUP($B419,'IPCA Hist'!$B:$C,2,0))^12 - 1)+$K$2)^(1/252) - 569618.369732086</f>
        <v>20379685.59326474</v>
      </c>
      <c r="L419" s="2">
        <f>L418*(1+((1+VLOOKUP($B419,'IPCA Hist'!$B:$C,2,0))^12 - 1)+$L$2)^(1/252) - 346869.743600156</f>
        <v>12410279.478653023</v>
      </c>
      <c r="M419" s="2">
        <v>10574233.616450001</v>
      </c>
      <c r="N419" s="2">
        <v>0</v>
      </c>
      <c r="O419" s="2">
        <v>0</v>
      </c>
      <c r="P419" s="2">
        <v>0</v>
      </c>
      <c r="Q419" s="2">
        <f>Q418*(1+((1+VLOOKUP($B419,'IPCA Hist'!$B:$C,2,0))^12 - 1)+$Q$2)^(1/252) - 1272075.94117531</f>
        <v>45480898.956691287</v>
      </c>
      <c r="R419" s="2">
        <f>R418*(1+((1+VLOOKUP($B419,'IPCA Hist'!$B:$C,2,0))^12 - 1)+$R$2)^(1/252) - 1271692.15213437</f>
        <v>45467192.996759281</v>
      </c>
      <c r="S419" s="2">
        <f>S418*(1+((1+VLOOKUP($B419,'IPCA Hist'!$B:$C,2,0))^12 - 1)+$S$2)^(1/252) - 1299877.11772871</f>
        <v>46474705.1617736</v>
      </c>
      <c r="T419" s="2">
        <f>T418*(1+((1+VLOOKUP($B419,'IPCA Hist'!$B:$C,2,0))^12 - 1)+$T$2)^(1/252) - 6565092.52238401</f>
        <v>234722674.40179911</v>
      </c>
      <c r="U419" s="2">
        <f>U418*(1+((1+VLOOKUP($B419,'IPCA Hist'!$B:$C,2,0))^12 - 1)+$U$2)^(1/252) - 575929.539734636</f>
        <v>20592248.816008378</v>
      </c>
      <c r="V419" s="2">
        <f>V418*(1+((1+VLOOKUP($B419,'IPCA Hist'!$B:$C,2,0))^12 - 1)+$V$2)^(1/252) - 2229098.72207892</f>
        <v>79704986.714852452</v>
      </c>
      <c r="W419" s="2">
        <f>W418*(1+((1+VLOOKUP($B419,'IPCA Hist'!$B:$C,2,0))^12 - 1)+$W$2)^(1/252) - 1173560.87316404</f>
        <v>41962673.626973532</v>
      </c>
      <c r="X419" s="2">
        <v>14387326.8684</v>
      </c>
      <c r="Y419" s="2">
        <v>0</v>
      </c>
      <c r="Z419" s="2">
        <f>Z418*(1+((1+VLOOKUP($B419,'IPCA Hist'!$B:$C,2,0))^12 - 1)+$Z$2)^(1/252)</f>
        <v>82426004.093848661</v>
      </c>
      <c r="AA419" s="2">
        <f>AA418*(1+((1+VLOOKUP($B419,'IPCA Hist'!$B:$C,2,0))^12 - 1)+$AA$2)^(1/252)</f>
        <v>41414914.15511632</v>
      </c>
      <c r="AB419" s="2">
        <f>AB418*(1+((1+VLOOKUP($B419,'IPCA Hist'!$B:$C,2,0))^12 - 1)+$AB$2)^(1/252)</f>
        <v>41429033.587447725</v>
      </c>
      <c r="AC419" s="2">
        <v>0</v>
      </c>
      <c r="AD419" s="2">
        <v>0</v>
      </c>
      <c r="AE419" s="2">
        <v>0</v>
      </c>
      <c r="AF419" s="2">
        <f>AF418*(1+((1+VLOOKUP($B419,'IGPM Hist'!$B:$C,2,0))^12 - 1)+$AF$2)^(1/252)</f>
        <v>1681848.4014508461</v>
      </c>
      <c r="AG419" s="2">
        <v>0</v>
      </c>
      <c r="AH419" s="2">
        <v>0</v>
      </c>
      <c r="AI419" s="2">
        <v>0</v>
      </c>
      <c r="AJ419" s="2">
        <f t="shared" ref="AJ419:AW419" si="105">AJ418*(1+AJ$2)^(1/252)</f>
        <v>53891201.013443142</v>
      </c>
      <c r="AK419" s="2">
        <f t="shared" si="105"/>
        <v>176662966.74630186</v>
      </c>
      <c r="AL419" s="2">
        <f t="shared" si="105"/>
        <v>36231493.91145733</v>
      </c>
      <c r="AM419" s="2">
        <f t="shared" si="105"/>
        <v>126847313.87887093</v>
      </c>
      <c r="AN419" s="2">
        <f t="shared" si="105"/>
        <v>54341944.472016171</v>
      </c>
      <c r="AO419" s="2">
        <f t="shared" si="105"/>
        <v>23220856.613516077</v>
      </c>
      <c r="AP419" s="2">
        <v>0</v>
      </c>
      <c r="AQ419" s="2">
        <v>0</v>
      </c>
      <c r="AR419" s="2">
        <v>0</v>
      </c>
      <c r="AS419" s="2">
        <f t="shared" si="105"/>
        <v>105921197.19856071</v>
      </c>
      <c r="AT419" s="2">
        <f t="shared" si="105"/>
        <v>5358442.0835572453</v>
      </c>
      <c r="AU419" s="2">
        <v>0</v>
      </c>
      <c r="AV419" s="2">
        <f t="shared" si="105"/>
        <v>53756888.088499606</v>
      </c>
      <c r="AW419" s="2">
        <f t="shared" si="105"/>
        <v>2769701.5252130548</v>
      </c>
      <c r="AX419" s="2">
        <v>0</v>
      </c>
      <c r="AY419" s="2">
        <v>0</v>
      </c>
      <c r="AZ419" s="2">
        <v>0</v>
      </c>
      <c r="BA419" s="2">
        <f>BA418*(1+VLOOKUP(A419,'SELIC Hist'!$A:$C,3,0))^(1/252) + 1533717.50578106</f>
        <v>4148689.0899999985</v>
      </c>
      <c r="BB419" s="2">
        <f t="shared" si="91"/>
        <v>1727778264.4315121</v>
      </c>
      <c r="BC419" s="2">
        <v>0</v>
      </c>
      <c r="BD419" s="2">
        <v>0</v>
      </c>
      <c r="BE419" s="2">
        <f t="shared" si="87"/>
        <v>2727664.7534615993</v>
      </c>
      <c r="BF419" s="2">
        <f t="shared" si="80"/>
        <v>15803485.104860306</v>
      </c>
      <c r="BG419" s="2">
        <f t="shared" si="81"/>
        <v>29586788.34070611</v>
      </c>
      <c r="BH419" s="11">
        <f t="shared" si="92"/>
        <v>1.1717159369424806</v>
      </c>
      <c r="BI419" s="12">
        <f t="shared" si="93"/>
        <v>1.5812085477207027E-3</v>
      </c>
      <c r="BJ419" s="12">
        <f t="shared" si="94"/>
        <v>9.2311436451630868E-3</v>
      </c>
      <c r="BK419" s="12">
        <f t="shared" si="95"/>
        <v>1.7441001896063568E-2</v>
      </c>
      <c r="BL419" s="5">
        <f t="shared" si="96"/>
        <v>0.17171593694248055</v>
      </c>
      <c r="BM419" s="19">
        <f t="shared" si="97"/>
        <v>5.5295098755758554E-2</v>
      </c>
      <c r="BN419" s="19">
        <f t="shared" si="98"/>
        <v>0.10247310957912115</v>
      </c>
      <c r="BO419" s="19" t="s">
        <v>53</v>
      </c>
    </row>
    <row r="420" spans="1:67" x14ac:dyDescent="0.25">
      <c r="A420" s="1">
        <v>45707</v>
      </c>
      <c r="B420" s="1" t="str">
        <f t="shared" si="78"/>
        <v>202502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f>I419*(1+((1+VLOOKUP($B420,'IPCA Hist'!$B:$C,2,0))^12 - 1)+$I$2)^(1/252)</f>
        <v>211514338.41366982</v>
      </c>
      <c r="J420" s="2">
        <f>J419*(1+((1+VLOOKUP($B420,'IPCA Hist'!$B:$C,2,0))^12 - 1)+$J$2)^(1/252)</f>
        <v>134281680.8718318</v>
      </c>
      <c r="K420" s="2">
        <f>K419*(1+((1+VLOOKUP($B420,'IPCA Hist'!$B:$C,2,0))^12 - 1)+$K$2)^(1/252)</f>
        <v>20396803.425145056</v>
      </c>
      <c r="L420" s="2">
        <f>L419*(1+((1+VLOOKUP($B420,'IPCA Hist'!$B:$C,2,0))^12 - 1)+$L$2)^(1/252)</f>
        <v>12420747.698679326</v>
      </c>
      <c r="M420" s="2">
        <f>M419*(1+((1+VLOOKUP($B420,'IPCA Hist'!$B:$C,2,0))^12 - 1)+$M$2)^(1/252)</f>
        <v>10583443.801562011</v>
      </c>
      <c r="N420" s="2">
        <v>0</v>
      </c>
      <c r="O420" s="2">
        <v>0</v>
      </c>
      <c r="P420" s="2">
        <v>0</v>
      </c>
      <c r="Q420" s="2">
        <f>Q419*(1+((1+VLOOKUP($B420,'IPCA Hist'!$B:$C,2,0))^12 - 1)+$Q$2)^(1/252)</f>
        <v>45516909.087845884</v>
      </c>
      <c r="R420" s="2">
        <f>R419*(1+((1+VLOOKUP($B420,'IPCA Hist'!$B:$C,2,0))^12 - 1)+$R$2)^(1/252)</f>
        <v>45503207.067301966</v>
      </c>
      <c r="S420" s="2">
        <f>S419*(1+((1+VLOOKUP($B420,'IPCA Hist'!$B:$C,2,0))^12 - 1)+$S$2)^(1/252)</f>
        <v>46511335.761916928</v>
      </c>
      <c r="T420" s="2">
        <f>T419*(1+((1+VLOOKUP($B420,'IPCA Hist'!$B:$C,2,0))^12 - 1)+$T$2)^(1/252)</f>
        <v>234907602.52867791</v>
      </c>
      <c r="U420" s="2">
        <f>U419*(1+((1+VLOOKUP($B420,'IPCA Hist'!$B:$C,2,0))^12 - 1)+$U$2)^(1/252)</f>
        <v>20609372.919430971</v>
      </c>
      <c r="V420" s="2">
        <f>V419*(1+((1+VLOOKUP($B420,'IPCA Hist'!$B:$C,2,0))^12 - 1)+$V$2)^(1/252)</f>
        <v>79775019.468159765</v>
      </c>
      <c r="W420" s="2">
        <f>W419*(1+((1+VLOOKUP($B420,'IPCA Hist'!$B:$C,2,0))^12 - 1)+$W$2)^(1/252)</f>
        <v>41999665.621683836</v>
      </c>
      <c r="X420" s="2">
        <f>X419*(1+((1+VLOOKUP($B420,'IPCA Hist'!$B:$C,2,0))^12 - 1)+$X$2)^(1/252)</f>
        <v>14399766.423379278</v>
      </c>
      <c r="Y420" s="2">
        <v>0</v>
      </c>
      <c r="Z420" s="2">
        <f>Z419*(1+((1+VLOOKUP($B420,'IPCA Hist'!$B:$C,2,0))^12 - 1)+$Z$2)^(1/252)</f>
        <v>82496667.660979792</v>
      </c>
      <c r="AA420" s="2">
        <f>AA419*(1+((1+VLOOKUP($B420,'IPCA Hist'!$B:$C,2,0))^12 - 1)+$AA$2)^(1/252)</f>
        <v>41452028.149749577</v>
      </c>
      <c r="AB420" s="2">
        <f>AB419*(1+((1+VLOOKUP($B420,'IPCA Hist'!$B:$C,2,0))^12 - 1)+$AB$2)^(1/252)</f>
        <v>41466147.10482242</v>
      </c>
      <c r="AC420" s="2">
        <v>0</v>
      </c>
      <c r="AD420" s="2">
        <v>0</v>
      </c>
      <c r="AE420" s="2">
        <v>0</v>
      </c>
      <c r="AF420" s="2">
        <f>AF419*(1+((1+VLOOKUP($B420,'IGPM Hist'!$B:$C,2,0))^12 - 1)+$AF$2)^(1/252)</f>
        <v>1683051.0254182469</v>
      </c>
      <c r="AG420" s="2">
        <v>0</v>
      </c>
      <c r="AH420" s="2">
        <v>0</v>
      </c>
      <c r="AI420" s="2">
        <v>0</v>
      </c>
      <c r="AJ420" s="2">
        <f t="shared" ref="AJ420:AW420" si="106">AJ419*(1+AJ$2)^(1/252)</f>
        <v>53916012.66590701</v>
      </c>
      <c r="AK420" s="2">
        <f t="shared" si="106"/>
        <v>176748319.73179033</v>
      </c>
      <c r="AL420" s="2">
        <f t="shared" si="106"/>
        <v>36249005.171423584</v>
      </c>
      <c r="AM420" s="2">
        <f t="shared" si="106"/>
        <v>126908587.77126569</v>
      </c>
      <c r="AN420" s="2">
        <f t="shared" si="106"/>
        <v>54368213.577396348</v>
      </c>
      <c r="AO420" s="2">
        <f t="shared" si="106"/>
        <v>23234175.542293146</v>
      </c>
      <c r="AP420" s="2">
        <v>0</v>
      </c>
      <c r="AQ420" s="2">
        <v>0</v>
      </c>
      <c r="AR420" s="2">
        <v>0</v>
      </c>
      <c r="AS420" s="2">
        <f t="shared" si="106"/>
        <v>105968387.92782204</v>
      </c>
      <c r="AT420" s="2">
        <f t="shared" si="106"/>
        <v>5361473.6929975366</v>
      </c>
      <c r="AU420" s="2">
        <v>0</v>
      </c>
      <c r="AV420" s="2">
        <f t="shared" si="106"/>
        <v>53781352.644883633</v>
      </c>
      <c r="AW420" s="2">
        <f t="shared" si="106"/>
        <v>2771248.476173663</v>
      </c>
      <c r="AX420" s="2">
        <v>0</v>
      </c>
      <c r="AY420" s="2">
        <v>0</v>
      </c>
      <c r="AZ420" s="2">
        <v>0</v>
      </c>
      <c r="BA420" s="2">
        <f>BA419*(1+VLOOKUP(A420,'SELIC Hist'!$A:$C,3,0))^(1/252)</f>
        <v>4150723.5030025835</v>
      </c>
      <c r="BB420" s="2">
        <f t="shared" si="91"/>
        <v>1728975287.7352102</v>
      </c>
      <c r="BC420" s="2">
        <v>0</v>
      </c>
      <c r="BD420" s="2">
        <v>0</v>
      </c>
      <c r="BE420" s="2">
        <f t="shared" si="87"/>
        <v>1197023.3036980629</v>
      </c>
      <c r="BF420" s="2">
        <f t="shared" si="80"/>
        <v>17000508.408558369</v>
      </c>
      <c r="BG420" s="2">
        <f t="shared" si="81"/>
        <v>30783811.644404173</v>
      </c>
      <c r="BH420" s="11">
        <f t="shared" si="92"/>
        <v>1.172527714304604</v>
      </c>
      <c r="BI420" s="12">
        <f t="shared" si="93"/>
        <v>6.9281072018334555E-4</v>
      </c>
      <c r="BJ420" s="12">
        <f t="shared" si="94"/>
        <v>9.9303498006233504E-3</v>
      </c>
      <c r="BK420" s="12">
        <f t="shared" si="95"/>
        <v>1.8145895929331246E-2</v>
      </c>
      <c r="BL420" s="5">
        <f t="shared" si="96"/>
        <v>0.17252771430460401</v>
      </c>
      <c r="BM420" s="19">
        <f t="shared" si="97"/>
        <v>5.5820641709394492E-2</v>
      </c>
      <c r="BN420" s="19">
        <f t="shared" si="98"/>
        <v>0.1028750914585761</v>
      </c>
      <c r="BO420" s="19" t="s">
        <v>53</v>
      </c>
    </row>
    <row r="421" spans="1:67" x14ac:dyDescent="0.25">
      <c r="A421" s="1">
        <v>45708</v>
      </c>
      <c r="B421" s="1" t="str">
        <f t="shared" si="78"/>
        <v>202502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f>I420*(1+((1+VLOOKUP($B421,'IPCA Hist'!$B:$C,2,0))^12 - 1)+$I$2)^(1/252)</f>
        <v>211685309.95445159</v>
      </c>
      <c r="J421" s="2">
        <f>J420*(1+((1+VLOOKUP($B421,'IPCA Hist'!$B:$C,2,0))^12 - 1)+$J$2)^(1/252)</f>
        <v>134388087.61575848</v>
      </c>
      <c r="K421" s="2">
        <f>K420*(1+((1+VLOOKUP($B421,'IPCA Hist'!$B:$C,2,0))^12 - 1)+$K$2)^(1/252)</f>
        <v>20413935.635076836</v>
      </c>
      <c r="L421" s="2">
        <f>L420*(1+((1+VLOOKUP($B421,'IPCA Hist'!$B:$C,2,0))^12 - 1)+$L$2)^(1/252)</f>
        <v>12431224.748775147</v>
      </c>
      <c r="M421" s="2">
        <f>M420*(1+((1+VLOOKUP($B421,'IPCA Hist'!$B:$C,2,0))^12 - 1)+$M$2)^(1/252)</f>
        <v>10592662.008769322</v>
      </c>
      <c r="N421" s="2">
        <v>0</v>
      </c>
      <c r="O421" s="2">
        <v>0</v>
      </c>
      <c r="P421" s="2">
        <v>0</v>
      </c>
      <c r="Q421" s="2">
        <f>Q420*(1+((1+VLOOKUP($B421,'IPCA Hist'!$B:$C,2,0))^12 - 1)+$Q$2)^(1/252)</f>
        <v>45552947.730520166</v>
      </c>
      <c r="R421" s="2">
        <f>R420*(1+((1+VLOOKUP($B421,'IPCA Hist'!$B:$C,2,0))^12 - 1)+$R$2)^(1/252)</f>
        <v>45539249.664199404</v>
      </c>
      <c r="S421" s="2">
        <f>S420*(1+((1+VLOOKUP($B421,'IPCA Hist'!$B:$C,2,0))^12 - 1)+$S$2)^(1/252)</f>
        <v>46547995.233698331</v>
      </c>
      <c r="T421" s="2">
        <f>T420*(1+((1+VLOOKUP($B421,'IPCA Hist'!$B:$C,2,0))^12 - 1)+$T$2)^(1/252)</f>
        <v>235092676.35265309</v>
      </c>
      <c r="U421" s="2">
        <f>U420*(1+((1+VLOOKUP($B421,'IPCA Hist'!$B:$C,2,0))^12 - 1)+$U$2)^(1/252)</f>
        <v>20626511.262916446</v>
      </c>
      <c r="V421" s="2">
        <f>V420*(1+((1+VLOOKUP($B421,'IPCA Hist'!$B:$C,2,0))^12 - 1)+$V$2)^(1/252)</f>
        <v>79845113.755716547</v>
      </c>
      <c r="W421" s="2">
        <f>W420*(1+((1+VLOOKUP($B421,'IPCA Hist'!$B:$C,2,0))^12 - 1)+$W$2)^(1/252)</f>
        <v>42036690.226510569</v>
      </c>
      <c r="X421" s="2">
        <f>X420*(1+((1+VLOOKUP($B421,'IPCA Hist'!$B:$C,2,0))^12 - 1)+$X$2)^(1/252)</f>
        <v>14412216.733833112</v>
      </c>
      <c r="Y421" s="2">
        <v>0</v>
      </c>
      <c r="Z421" s="2">
        <f>Z420*(1+((1+VLOOKUP($B421,'IPCA Hist'!$B:$C,2,0))^12 - 1)+$Z$2)^(1/252)</f>
        <v>82567391.807775989</v>
      </c>
      <c r="AA421" s="2">
        <f>AA420*(1+((1+VLOOKUP($B421,'IPCA Hist'!$B:$C,2,0))^12 - 1)+$AA$2)^(1/252)</f>
        <v>41489175.404106431</v>
      </c>
      <c r="AB421" s="2">
        <f>AB420*(1+((1+VLOOKUP($B421,'IPCA Hist'!$B:$C,2,0))^12 - 1)+$AB$2)^(1/252)</f>
        <v>41503293.869730376</v>
      </c>
      <c r="AC421" s="2">
        <v>0</v>
      </c>
      <c r="AD421" s="2">
        <v>0</v>
      </c>
      <c r="AE421" s="2">
        <v>0</v>
      </c>
      <c r="AF421" s="2">
        <f>AF420*(1+((1+VLOOKUP($B421,'IGPM Hist'!$B:$C,2,0))^12 - 1)+$AF$2)^(1/252)</f>
        <v>1684254.5093349782</v>
      </c>
      <c r="AG421" s="2">
        <v>0</v>
      </c>
      <c r="AH421" s="2">
        <v>0</v>
      </c>
      <c r="AI421" s="2">
        <v>0</v>
      </c>
      <c r="AJ421" s="2">
        <f t="shared" ref="AJ421:AW421" si="107">AJ420*(1+AJ$2)^(1/252)</f>
        <v>53940835.741721749</v>
      </c>
      <c r="AK421" s="2">
        <f t="shared" si="107"/>
        <v>176833713.95473942</v>
      </c>
      <c r="AL421" s="2">
        <f t="shared" si="107"/>
        <v>36266524.894861601</v>
      </c>
      <c r="AM421" s="2">
        <f t="shared" si="107"/>
        <v>126969891.26215783</v>
      </c>
      <c r="AN421" s="2">
        <f t="shared" si="107"/>
        <v>54394495.381363302</v>
      </c>
      <c r="AO421" s="2">
        <f t="shared" si="107"/>
        <v>23247502.11048967</v>
      </c>
      <c r="AP421" s="2">
        <v>0</v>
      </c>
      <c r="AQ421" s="2">
        <v>0</v>
      </c>
      <c r="AR421" s="2">
        <v>0</v>
      </c>
      <c r="AS421" s="2">
        <f t="shared" si="107"/>
        <v>106015599.68181673</v>
      </c>
      <c r="AT421" s="2">
        <f t="shared" si="107"/>
        <v>5364507.0176109429</v>
      </c>
      <c r="AU421" s="2">
        <v>0</v>
      </c>
      <c r="AV421" s="2">
        <f t="shared" si="107"/>
        <v>53805828.334994711</v>
      </c>
      <c r="AW421" s="2">
        <f t="shared" si="107"/>
        <v>2772796.2911469643</v>
      </c>
      <c r="AX421" s="2">
        <v>0</v>
      </c>
      <c r="AY421" s="2">
        <v>0</v>
      </c>
      <c r="AZ421" s="2">
        <v>0</v>
      </c>
      <c r="BA421" s="2">
        <f>BA420*(1+VLOOKUP(A421,'SELIC Hist'!$A:$C,3,0))^(1/252)</f>
        <v>4152758.9136302434</v>
      </c>
      <c r="BB421" s="2">
        <f t="shared" si="91"/>
        <v>1730173190.0983603</v>
      </c>
      <c r="BC421" s="2">
        <v>0</v>
      </c>
      <c r="BD421" s="2">
        <v>0</v>
      </c>
      <c r="BE421" s="2">
        <f t="shared" si="87"/>
        <v>1197902.3631501198</v>
      </c>
      <c r="BF421" s="2">
        <f t="shared" si="80"/>
        <v>18198410.771708488</v>
      </c>
      <c r="BG421" s="2">
        <f t="shared" si="81"/>
        <v>31981714.007554293</v>
      </c>
      <c r="BH421" s="11">
        <f t="shared" si="92"/>
        <v>1.1733400878126512</v>
      </c>
      <c r="BI421" s="12">
        <f t="shared" si="93"/>
        <v>6.9283949380172238E-4</v>
      </c>
      <c r="BJ421" s="12">
        <f t="shared" si="94"/>
        <v>1.0630069432954192E-2</v>
      </c>
      <c r="BK421" s="12">
        <f t="shared" si="95"/>
        <v>1.8851307616483126E-2</v>
      </c>
      <c r="BL421" s="5">
        <f t="shared" si="96"/>
        <v>0.1733400878126512</v>
      </c>
      <c r="BM421" s="19">
        <f t="shared" si="97"/>
        <v>5.621821575608843E-2</v>
      </c>
      <c r="BN421" s="19">
        <f t="shared" si="98"/>
        <v>0.1030198544123424</v>
      </c>
      <c r="BO421" s="19" t="s">
        <v>53</v>
      </c>
    </row>
    <row r="422" spans="1:67" x14ac:dyDescent="0.25">
      <c r="A422" s="1">
        <v>45709</v>
      </c>
      <c r="B422" s="1" t="str">
        <f t="shared" si="78"/>
        <v>202502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f>I421*(1+((1+VLOOKUP($B422,'IPCA Hist'!$B:$C,2,0))^12 - 1)+$I$2)^(1/252)</f>
        <v>211856419.69516805</v>
      </c>
      <c r="J422" s="2">
        <f>J421*(1+((1+VLOOKUP($B422,'IPCA Hist'!$B:$C,2,0))^12 - 1)+$J$2)^(1/252)</f>
        <v>134494578.67792633</v>
      </c>
      <c r="K422" s="2">
        <f>K421*(1+((1+VLOOKUP($B422,'IPCA Hist'!$B:$C,2,0))^12 - 1)+$K$2)^(1/252)</f>
        <v>20431082.235136863</v>
      </c>
      <c r="L422" s="2">
        <f>L421*(1+((1+VLOOKUP($B422,'IPCA Hist'!$B:$C,2,0))^12 - 1)+$L$2)^(1/252)</f>
        <v>12441710.636388754</v>
      </c>
      <c r="M422" s="2">
        <f>M421*(1+((1+VLOOKUP($B422,'IPCA Hist'!$B:$C,2,0))^12 - 1)+$M$2)^(1/252)</f>
        <v>10601888.245059198</v>
      </c>
      <c r="N422" s="2">
        <v>0</v>
      </c>
      <c r="O422" s="2">
        <v>0</v>
      </c>
      <c r="P422" s="2">
        <v>0</v>
      </c>
      <c r="Q422" s="2">
        <f>Q421*(1+((1+VLOOKUP($B422,'IPCA Hist'!$B:$C,2,0))^12 - 1)+$Q$2)^(1/252)</f>
        <v>45589014.907288522</v>
      </c>
      <c r="R422" s="2">
        <f>R421*(1+((1+VLOOKUP($B422,'IPCA Hist'!$B:$C,2,0))^12 - 1)+$R$2)^(1/252)</f>
        <v>45575320.810047016</v>
      </c>
      <c r="S422" s="2">
        <f>S421*(1+((1+VLOOKUP($B422,'IPCA Hist'!$B:$C,2,0))^12 - 1)+$S$2)^(1/252)</f>
        <v>46584683.599873953</v>
      </c>
      <c r="T422" s="2">
        <f>T421*(1+((1+VLOOKUP($B422,'IPCA Hist'!$B:$C,2,0))^12 - 1)+$T$2)^(1/252)</f>
        <v>235277895.98851323</v>
      </c>
      <c r="U422" s="2">
        <f>U421*(1+((1+VLOOKUP($B422,'IPCA Hist'!$B:$C,2,0))^12 - 1)+$U$2)^(1/252)</f>
        <v>20643663.858306557</v>
      </c>
      <c r="V422" s="2">
        <f>V421*(1+((1+VLOOKUP($B422,'IPCA Hist'!$B:$C,2,0))^12 - 1)+$V$2)^(1/252)</f>
        <v>79915269.63158983</v>
      </c>
      <c r="W422" s="2">
        <f>W421*(1+((1+VLOOKUP($B422,'IPCA Hist'!$B:$C,2,0))^12 - 1)+$W$2)^(1/252)</f>
        <v>42073747.470201023</v>
      </c>
      <c r="X422" s="2">
        <f>X421*(1+((1+VLOOKUP($B422,'IPCA Hist'!$B:$C,2,0))^12 - 1)+$X$2)^(1/252)</f>
        <v>14424677.80906089</v>
      </c>
      <c r="Y422" s="2">
        <v>0</v>
      </c>
      <c r="Z422" s="2">
        <f>Z421*(1+((1+VLOOKUP($B422,'IPCA Hist'!$B:$C,2,0))^12 - 1)+$Z$2)^(1/252)</f>
        <v>82638176.586172</v>
      </c>
      <c r="AA422" s="2">
        <f>AA421*(1+((1+VLOOKUP($B422,'IPCA Hist'!$B:$C,2,0))^12 - 1)+$AA$2)^(1/252)</f>
        <v>41526355.947992601</v>
      </c>
      <c r="AB422" s="2">
        <f>AB421*(1+((1+VLOOKUP($B422,'IPCA Hist'!$B:$C,2,0))^12 - 1)+$AB$2)^(1/252)</f>
        <v>41540473.911955841</v>
      </c>
      <c r="AC422" s="2">
        <v>0</v>
      </c>
      <c r="AD422" s="2">
        <v>0</v>
      </c>
      <c r="AE422" s="2">
        <v>0</v>
      </c>
      <c r="AF422" s="2">
        <f>AF421*(1+((1+VLOOKUP($B422,'IGPM Hist'!$B:$C,2,0))^12 - 1)+$AF$2)^(1/252)</f>
        <v>1685458.853815956</v>
      </c>
      <c r="AG422" s="2">
        <v>0</v>
      </c>
      <c r="AH422" s="2">
        <v>0</v>
      </c>
      <c r="AI422" s="2">
        <v>0</v>
      </c>
      <c r="AJ422" s="2">
        <f t="shared" ref="AJ422:AW422" si="108">AJ421*(1+AJ$2)^(1/252)</f>
        <v>53965670.246146701</v>
      </c>
      <c r="AK422" s="2">
        <f t="shared" si="108"/>
        <v>176919149.43507257</v>
      </c>
      <c r="AL422" s="2">
        <f t="shared" si="108"/>
        <v>36284053.085861906</v>
      </c>
      <c r="AM422" s="2">
        <f t="shared" si="108"/>
        <v>127031224.36584499</v>
      </c>
      <c r="AN422" s="2">
        <f t="shared" si="108"/>
        <v>54420789.890055582</v>
      </c>
      <c r="AO422" s="2">
        <f t="shared" si="108"/>
        <v>23260836.32248744</v>
      </c>
      <c r="AP422" s="2">
        <v>0</v>
      </c>
      <c r="AQ422" s="2">
        <v>0</v>
      </c>
      <c r="AR422" s="2">
        <v>0</v>
      </c>
      <c r="AS422" s="2">
        <f t="shared" si="108"/>
        <v>106062832.46991186</v>
      </c>
      <c r="AT422" s="2">
        <f t="shared" si="108"/>
        <v>5367542.0583678456</v>
      </c>
      <c r="AU422" s="2">
        <v>0</v>
      </c>
      <c r="AV422" s="2">
        <f t="shared" si="108"/>
        <v>53830315.163899757</v>
      </c>
      <c r="AW422" s="2">
        <f t="shared" si="108"/>
        <v>2774344.9706155327</v>
      </c>
      <c r="AX422" s="2">
        <v>0</v>
      </c>
      <c r="AY422" s="2">
        <v>0</v>
      </c>
      <c r="AZ422" s="2">
        <v>0</v>
      </c>
      <c r="BA422" s="2">
        <f>BA421*(1+VLOOKUP(A422,'SELIC Hist'!$A:$C,3,0))^(1/252)</f>
        <v>4154795.3223721888</v>
      </c>
      <c r="BB422" s="2">
        <f t="shared" si="91"/>
        <v>1731371972.195133</v>
      </c>
      <c r="BC422" s="2">
        <v>0</v>
      </c>
      <c r="BD422" s="2">
        <v>0</v>
      </c>
      <c r="BE422" s="2">
        <f t="shared" si="87"/>
        <v>1198782.0967726707</v>
      </c>
      <c r="BF422" s="2">
        <f t="shared" si="80"/>
        <v>19397192.868481159</v>
      </c>
      <c r="BG422" s="2">
        <f t="shared" si="81"/>
        <v>33180496.104326963</v>
      </c>
      <c r="BH422" s="11">
        <f t="shared" si="92"/>
        <v>1.17415305792382</v>
      </c>
      <c r="BI422" s="12">
        <f t="shared" si="93"/>
        <v>6.9286826523096146E-4</v>
      </c>
      <c r="BJ422" s="12">
        <f t="shared" si="94"/>
        <v>1.1330302935952385E-2</v>
      </c>
      <c r="BK422" s="12">
        <f t="shared" si="95"/>
        <v>1.9557237354519641E-2</v>
      </c>
      <c r="BL422" s="5">
        <f t="shared" si="96"/>
        <v>0.17415305792381996</v>
      </c>
      <c r="BM422" s="19">
        <f t="shared" si="97"/>
        <v>5.6926360043025204E-2</v>
      </c>
      <c r="BN422" s="19">
        <f t="shared" si="98"/>
        <v>0.10284993107586904</v>
      </c>
      <c r="BO422" s="19" t="s">
        <v>53</v>
      </c>
    </row>
    <row r="423" spans="1:67" x14ac:dyDescent="0.25">
      <c r="A423" s="1">
        <v>45712</v>
      </c>
      <c r="B423" s="1" t="str">
        <f t="shared" si="78"/>
        <v>202502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f>I422*(1+((1+VLOOKUP($B423,'IPCA Hist'!$B:$C,2,0))^12 - 1)+$I$2)^(1/252)</f>
        <v>212027667.74752918</v>
      </c>
      <c r="J423" s="2">
        <f>J422*(1+((1+VLOOKUP($B423,'IPCA Hist'!$B:$C,2,0))^12 - 1)+$J$2)^(1/252)</f>
        <v>134601154.12515035</v>
      </c>
      <c r="K423" s="2">
        <f>K422*(1+((1+VLOOKUP($B423,'IPCA Hist'!$B:$C,2,0))^12 - 1)+$K$2)^(1/252)</f>
        <v>20448243.237412069</v>
      </c>
      <c r="L423" s="2">
        <f>L422*(1+((1+VLOOKUP($B423,'IPCA Hist'!$B:$C,2,0))^12 - 1)+$L$2)^(1/252)</f>
        <v>12452205.368974701</v>
      </c>
      <c r="M423" s="2">
        <f>M422*(1+((1+VLOOKUP($B423,'IPCA Hist'!$B:$C,2,0))^12 - 1)+$M$2)^(1/252)</f>
        <v>10611122.517424991</v>
      </c>
      <c r="N423" s="2">
        <v>0</v>
      </c>
      <c r="O423" s="2">
        <v>0</v>
      </c>
      <c r="P423" s="2">
        <v>0</v>
      </c>
      <c r="Q423" s="2">
        <f>Q422*(1+((1+VLOOKUP($B423,'IPCA Hist'!$B:$C,2,0))^12 - 1)+$Q$2)^(1/252)</f>
        <v>45625110.640743211</v>
      </c>
      <c r="R423" s="2">
        <f>R422*(1+((1+VLOOKUP($B423,'IPCA Hist'!$B:$C,2,0))^12 - 1)+$R$2)^(1/252)</f>
        <v>45611420.527458109</v>
      </c>
      <c r="S423" s="2">
        <f>S422*(1+((1+VLOOKUP($B423,'IPCA Hist'!$B:$C,2,0))^12 - 1)+$S$2)^(1/252)</f>
        <v>46621400.883217886</v>
      </c>
      <c r="T423" s="2">
        <f>T422*(1+((1+VLOOKUP($B423,'IPCA Hist'!$B:$C,2,0))^12 - 1)+$T$2)^(1/252)</f>
        <v>235463261.55113742</v>
      </c>
      <c r="U423" s="2">
        <f>U422*(1+((1+VLOOKUP($B423,'IPCA Hist'!$B:$C,2,0))^12 - 1)+$U$2)^(1/252)</f>
        <v>20660830.717452902</v>
      </c>
      <c r="V423" s="2">
        <f>V422*(1+((1+VLOOKUP($B423,'IPCA Hist'!$B:$C,2,0))^12 - 1)+$V$2)^(1/252)</f>
        <v>79985487.149894163</v>
      </c>
      <c r="W423" s="2">
        <f>W422*(1+((1+VLOOKUP($B423,'IPCA Hist'!$B:$C,2,0))^12 - 1)+$W$2)^(1/252)</f>
        <v>42110837.381527834</v>
      </c>
      <c r="X423" s="2">
        <f>X422*(1+((1+VLOOKUP($B423,'IPCA Hist'!$B:$C,2,0))^12 - 1)+$X$2)^(1/252)</f>
        <v>14437149.65837004</v>
      </c>
      <c r="Y423" s="2">
        <v>0</v>
      </c>
      <c r="Z423" s="2">
        <f>Z422*(1+((1+VLOOKUP($B423,'IPCA Hist'!$B:$C,2,0))^12 - 1)+$Z$2)^(1/252)</f>
        <v>82709022.048147112</v>
      </c>
      <c r="AA423" s="2">
        <f>AA422*(1+((1+VLOOKUP($B423,'IPCA Hist'!$B:$C,2,0))^12 - 1)+$AA$2)^(1/252)</f>
        <v>41563569.811240509</v>
      </c>
      <c r="AB423" s="2">
        <f>AB422*(1+((1+VLOOKUP($B423,'IPCA Hist'!$B:$C,2,0))^12 - 1)+$AB$2)^(1/252)</f>
        <v>41577687.26130975</v>
      </c>
      <c r="AC423" s="2">
        <v>0</v>
      </c>
      <c r="AD423" s="2">
        <v>0</v>
      </c>
      <c r="AE423" s="2">
        <v>0</v>
      </c>
      <c r="AF423" s="2">
        <f>AF422*(1+((1+VLOOKUP($B423,'IGPM Hist'!$B:$C,2,0))^12 - 1)+$AF$2)^(1/252)</f>
        <v>1686664.0594765365</v>
      </c>
      <c r="AG423" s="2">
        <v>0</v>
      </c>
      <c r="AH423" s="2">
        <v>0</v>
      </c>
      <c r="AI423" s="2">
        <v>0</v>
      </c>
      <c r="AJ423" s="2">
        <f t="shared" ref="AJ423:AW423" si="109">AJ422*(1+AJ$2)^(1/252)</f>
        <v>53990516.184443623</v>
      </c>
      <c r="AK423" s="2">
        <f t="shared" si="109"/>
        <v>177004626.19272292</v>
      </c>
      <c r="AL423" s="2">
        <f t="shared" si="109"/>
        <v>36301589.748517014</v>
      </c>
      <c r="AM423" s="2">
        <f t="shared" si="109"/>
        <v>127092587.09663171</v>
      </c>
      <c r="AN423" s="2">
        <f t="shared" si="109"/>
        <v>54447097.109614693</v>
      </c>
      <c r="AO423" s="2">
        <f t="shared" si="109"/>
        <v>23274178.182670753</v>
      </c>
      <c r="AP423" s="2">
        <v>0</v>
      </c>
      <c r="AQ423" s="2">
        <v>0</v>
      </c>
      <c r="AR423" s="2">
        <v>0</v>
      </c>
      <c r="AS423" s="2">
        <f t="shared" si="109"/>
        <v>106110086.30147868</v>
      </c>
      <c r="AT423" s="2">
        <f t="shared" si="109"/>
        <v>5370578.8162391763</v>
      </c>
      <c r="AU423" s="2">
        <v>0</v>
      </c>
      <c r="AV423" s="2">
        <f t="shared" si="109"/>
        <v>53854813.136667997</v>
      </c>
      <c r="AW423" s="2">
        <f t="shared" si="109"/>
        <v>2775894.5150622115</v>
      </c>
      <c r="AX423" s="2">
        <v>0</v>
      </c>
      <c r="AY423" s="2">
        <v>0</v>
      </c>
      <c r="AZ423" s="2">
        <v>0</v>
      </c>
      <c r="BA423" s="2">
        <f>BA422*(1+VLOOKUP(A423,'SELIC Hist'!$A:$C,3,0))^(1/252)</f>
        <v>4156832.7297178698</v>
      </c>
      <c r="BB423" s="2">
        <f t="shared" si="91"/>
        <v>1732571634.7002335</v>
      </c>
      <c r="BC423" s="2">
        <v>0</v>
      </c>
      <c r="BD423" s="2">
        <v>0</v>
      </c>
      <c r="BE423" s="2">
        <f t="shared" si="87"/>
        <v>1199662.5051004887</v>
      </c>
      <c r="BF423" s="2">
        <f t="shared" si="80"/>
        <v>20596855.373581648</v>
      </c>
      <c r="BG423" s="2">
        <f t="shared" si="81"/>
        <v>34380158.609427452</v>
      </c>
      <c r="BH423" s="11">
        <f t="shared" si="92"/>
        <v>1.1749666250956705</v>
      </c>
      <c r="BI423" s="12">
        <f t="shared" si="93"/>
        <v>6.9289703447106277E-4</v>
      </c>
      <c r="BJ423" s="12">
        <f t="shared" si="94"/>
        <v>1.2031050703727342E-2</v>
      </c>
      <c r="BK423" s="12">
        <f t="shared" si="95"/>
        <v>2.0263685540756082E-2</v>
      </c>
      <c r="BL423" s="5">
        <f t="shared" si="96"/>
        <v>0.17496662509567051</v>
      </c>
      <c r="BM423" s="19">
        <f t="shared" si="97"/>
        <v>5.7926546048210792E-2</v>
      </c>
      <c r="BN423" s="19">
        <f t="shared" si="98"/>
        <v>0.10319914958280463</v>
      </c>
      <c r="BO423" s="19" t="s">
        <v>53</v>
      </c>
    </row>
    <row r="424" spans="1:67" x14ac:dyDescent="0.25">
      <c r="A424" s="1">
        <v>45713</v>
      </c>
      <c r="B424" s="1" t="str">
        <f t="shared" si="78"/>
        <v>202502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f>I423*(1+((1+VLOOKUP($B424,'IPCA Hist'!$B:$C,2,0))^12 - 1)+$I$2)^(1/252)</f>
        <v>212199054.22333521</v>
      </c>
      <c r="J424" s="2">
        <f>J423*(1+((1+VLOOKUP($B424,'IPCA Hist'!$B:$C,2,0))^12 - 1)+$J$2)^(1/252)</f>
        <v>134707814.02429849</v>
      </c>
      <c r="K424" s="2">
        <f>K423*(1+((1+VLOOKUP($B424,'IPCA Hist'!$B:$C,2,0))^12 - 1)+$K$2)^(1/252)</f>
        <v>20465418.65399953</v>
      </c>
      <c r="L424" s="2">
        <f>L423*(1+((1+VLOOKUP($B424,'IPCA Hist'!$B:$C,2,0))^12 - 1)+$L$2)^(1/252)</f>
        <v>12462708.953993827</v>
      </c>
      <c r="M424" s="2">
        <f>M423*(1+((1+VLOOKUP($B424,'IPCA Hist'!$B:$C,2,0))^12 - 1)+$M$2)^(1/252)</f>
        <v>10620364.832866147</v>
      </c>
      <c r="N424" s="2">
        <v>0</v>
      </c>
      <c r="O424" s="2">
        <v>0</v>
      </c>
      <c r="P424" s="2">
        <v>0</v>
      </c>
      <c r="Q424" s="2">
        <f>Q423*(1+((1+VLOOKUP($B424,'IPCA Hist'!$B:$C,2,0))^12 - 1)+$Q$2)^(1/252)</f>
        <v>45661234.953494385</v>
      </c>
      <c r="R424" s="2">
        <f>R423*(1+((1+VLOOKUP($B424,'IPCA Hist'!$B:$C,2,0))^12 - 1)+$R$2)^(1/252)</f>
        <v>45647548.839063913</v>
      </c>
      <c r="S424" s="2">
        <f>S423*(1+((1+VLOOKUP($B424,'IPCA Hist'!$B:$C,2,0))^12 - 1)+$S$2)^(1/252)</f>
        <v>46658147.106522165</v>
      </c>
      <c r="T424" s="2">
        <f>T423*(1+((1+VLOOKUP($B424,'IPCA Hist'!$B:$C,2,0))^12 - 1)+$T$2)^(1/252)</f>
        <v>235648773.1554952</v>
      </c>
      <c r="U424" s="2">
        <f>U423*(1+((1+VLOOKUP($B424,'IPCA Hist'!$B:$C,2,0))^12 - 1)+$U$2)^(1/252)</f>
        <v>20678011.852216937</v>
      </c>
      <c r="V424" s="2">
        <f>V423*(1+((1+VLOOKUP($B424,'IPCA Hist'!$B:$C,2,0))^12 - 1)+$V$2)^(1/252)</f>
        <v>80055766.364791647</v>
      </c>
      <c r="W424" s="2">
        <f>W423*(1+((1+VLOOKUP($B424,'IPCA Hist'!$B:$C,2,0))^12 - 1)+$W$2)^(1/252)</f>
        <v>42147959.989288993</v>
      </c>
      <c r="X424" s="2">
        <f>X423*(1+((1+VLOOKUP($B424,'IPCA Hist'!$B:$C,2,0))^12 - 1)+$X$2)^(1/252)</f>
        <v>14449632.291076036</v>
      </c>
      <c r="Y424" s="2">
        <v>0</v>
      </c>
      <c r="Z424" s="2">
        <f>Z423*(1+((1+VLOOKUP($B424,'IPCA Hist'!$B:$C,2,0))^12 - 1)+$Z$2)^(1/252)</f>
        <v>82779928.245725185</v>
      </c>
      <c r="AA424" s="2">
        <f>AA423*(1+((1+VLOOKUP($B424,'IPCA Hist'!$B:$C,2,0))^12 - 1)+$AA$2)^(1/252)</f>
        <v>41600817.023709327</v>
      </c>
      <c r="AB424" s="2">
        <f>AB423*(1+((1+VLOOKUP($B424,'IPCA Hist'!$B:$C,2,0))^12 - 1)+$AB$2)^(1/252)</f>
        <v>41614933.94762975</v>
      </c>
      <c r="AC424" s="2">
        <v>0</v>
      </c>
      <c r="AD424" s="2">
        <v>0</v>
      </c>
      <c r="AE424" s="2">
        <v>0</v>
      </c>
      <c r="AF424" s="2">
        <f>AF423*(1+((1+VLOOKUP($B424,'IGPM Hist'!$B:$C,2,0))^12 - 1)+$AF$2)^(1/252)</f>
        <v>1687870.1269325153</v>
      </c>
      <c r="AG424" s="2">
        <v>0</v>
      </c>
      <c r="AH424" s="2">
        <v>0</v>
      </c>
      <c r="AI424" s="2">
        <v>0</v>
      </c>
      <c r="AJ424" s="2">
        <f t="shared" ref="AJ424:AW424" si="110">AJ423*(1+AJ$2)^(1/252)</f>
        <v>54015373.561876707</v>
      </c>
      <c r="AK424" s="2">
        <f t="shared" si="110"/>
        <v>177090144.24763319</v>
      </c>
      <c r="AL424" s="2">
        <f t="shared" si="110"/>
        <v>36319134.886921406</v>
      </c>
      <c r="AM424" s="2">
        <f t="shared" si="110"/>
        <v>127153979.46882939</v>
      </c>
      <c r="AN424" s="2">
        <f t="shared" si="110"/>
        <v>54473417.046185121</v>
      </c>
      <c r="AO424" s="2">
        <f t="shared" si="110"/>
        <v>23287527.695426431</v>
      </c>
      <c r="AP424" s="2">
        <v>0</v>
      </c>
      <c r="AQ424" s="2">
        <v>0</v>
      </c>
      <c r="AR424" s="2">
        <v>0</v>
      </c>
      <c r="AS424" s="2">
        <f t="shared" si="110"/>
        <v>106157361.18589263</v>
      </c>
      <c r="AT424" s="2">
        <f t="shared" si="110"/>
        <v>5373617.2921964144</v>
      </c>
      <c r="AU424" s="2">
        <v>0</v>
      </c>
      <c r="AV424" s="2">
        <f t="shared" si="110"/>
        <v>53879322.258370958</v>
      </c>
      <c r="AW424" s="2">
        <f t="shared" si="110"/>
        <v>2777444.9249701137</v>
      </c>
      <c r="AX424" s="2">
        <v>0</v>
      </c>
      <c r="AY424" s="2">
        <v>0</v>
      </c>
      <c r="AZ424" s="2">
        <v>0</v>
      </c>
      <c r="BA424" s="2">
        <f>BA423*(1+VLOOKUP(A424,'SELIC Hist'!$A:$C,3,0))^(1/252)</f>
        <v>4158871.1361569767</v>
      </c>
      <c r="BB424" s="2">
        <f t="shared" ref="BB424:BB430" si="111">SUM(C424:BA424)</f>
        <v>1733772178.2888987</v>
      </c>
      <c r="BC424" s="2">
        <v>0</v>
      </c>
      <c r="BD424" s="2">
        <v>0</v>
      </c>
      <c r="BE424" s="2">
        <f t="shared" si="87"/>
        <v>1200543.588665247</v>
      </c>
      <c r="BF424" s="2">
        <f t="shared" si="80"/>
        <v>21797398.962246895</v>
      </c>
      <c r="BG424" s="2">
        <f t="shared" si="81"/>
        <v>35580702.198092699</v>
      </c>
      <c r="BH424" s="11">
        <f t="shared" ref="BH424:BH430" si="112">(1+(BB424-BB423-BC424+BD424)/BB423)*BH423</f>
        <v>1.1757807897861239</v>
      </c>
      <c r="BI424" s="12">
        <f t="shared" ref="BI424:BI430" si="113">BH424/BH423 - 1</f>
        <v>6.9292580151980587E-4</v>
      </c>
      <c r="BJ424" s="12">
        <f t="shared" ref="BJ424:BJ430" si="114">IF(MONTH(A424)=MONTH(A423),(1+BI424)*(1+BJ423) - 1,BI424)</f>
        <v>1.2732313130699113E-2</v>
      </c>
      <c r="BK424" s="12">
        <f t="shared" ref="BK424:BK430" si="115">IF(YEAR(A424)=YEAR(A423),(1+BI424)*(1+BK423) - 1,BI424)</f>
        <v>2.0970652572821047E-2</v>
      </c>
      <c r="BL424" s="5">
        <f t="shared" ref="BL424:BL430" si="116">(1+BI424)*(1+BL423) - 1</f>
        <v>0.17578078978612388</v>
      </c>
      <c r="BM424" s="19">
        <f t="shared" ref="BM424:BM430" si="117">BH424/BH298 - 1</f>
        <v>5.8742791251788384E-2</v>
      </c>
      <c r="BN424" s="19">
        <f t="shared" ref="BN424:BN430" si="118">BH424/BH172 - 1</f>
        <v>0.10397691446579871</v>
      </c>
      <c r="BO424" s="19" t="s">
        <v>53</v>
      </c>
    </row>
    <row r="425" spans="1:67" x14ac:dyDescent="0.25">
      <c r="A425" s="1">
        <v>45714</v>
      </c>
      <c r="B425" s="1" t="str">
        <f t="shared" si="78"/>
        <v>202502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f>I424*(1+((1+VLOOKUP($B425,'IPCA Hist'!$B:$C,2,0))^12 - 1)+$I$2)^(1/252)</f>
        <v>212370579.23447675</v>
      </c>
      <c r="J425" s="2">
        <f>J424*(1+((1+VLOOKUP($B425,'IPCA Hist'!$B:$C,2,0))^12 - 1)+$J$2)^(1/252)</f>
        <v>134814558.44229165</v>
      </c>
      <c r="K425" s="2">
        <f>K424*(1+((1+VLOOKUP($B425,'IPCA Hist'!$B:$C,2,0))^12 - 1)+$K$2)^(1/252)</f>
        <v>20482608.497006491</v>
      </c>
      <c r="L425" s="2">
        <f>L424*(1+((1+VLOOKUP($B425,'IPCA Hist'!$B:$C,2,0))^12 - 1)+$L$2)^(1/252)</f>
        <v>12473221.398913266</v>
      </c>
      <c r="M425" s="2">
        <f>M424*(1+((1+VLOOKUP($B425,'IPCA Hist'!$B:$C,2,0))^12 - 1)+$M$2)^(1/252)</f>
        <v>10629615.198388204</v>
      </c>
      <c r="N425" s="2">
        <v>0</v>
      </c>
      <c r="O425" s="2">
        <v>0</v>
      </c>
      <c r="P425" s="2">
        <v>0</v>
      </c>
      <c r="Q425" s="2">
        <f>Q424*(1+((1+VLOOKUP($B425,'IPCA Hist'!$B:$C,2,0))^12 - 1)+$Q$2)^(1/252)</f>
        <v>45697387.868170105</v>
      </c>
      <c r="R425" s="2">
        <f>R424*(1+((1+VLOOKUP($B425,'IPCA Hist'!$B:$C,2,0))^12 - 1)+$R$2)^(1/252)</f>
        <v>45683705.767513573</v>
      </c>
      <c r="S425" s="2">
        <f>S424*(1+((1+VLOOKUP($B425,'IPCA Hist'!$B:$C,2,0))^12 - 1)+$S$2)^(1/252)</f>
        <v>46694922.292596795</v>
      </c>
      <c r="T425" s="2">
        <f>T424*(1+((1+VLOOKUP($B425,'IPCA Hist'!$B:$C,2,0))^12 - 1)+$T$2)^(1/252)</f>
        <v>235834430.91664672</v>
      </c>
      <c r="U425" s="2">
        <f>U424*(1+((1+VLOOKUP($B425,'IPCA Hist'!$B:$C,2,0))^12 - 1)+$U$2)^(1/252)</f>
        <v>20695207.274469979</v>
      </c>
      <c r="V425" s="2">
        <f>V424*(1+((1+VLOOKUP($B425,'IPCA Hist'!$B:$C,2,0))^12 - 1)+$V$2)^(1/252)</f>
        <v>80126107.33049196</v>
      </c>
      <c r="W425" s="2">
        <f>W424*(1+((1+VLOOKUP($B425,'IPCA Hist'!$B:$C,2,0))^12 - 1)+$W$2)^(1/252)</f>
        <v>42185115.3223079</v>
      </c>
      <c r="X425" s="2">
        <f>X424*(1+((1+VLOOKUP($B425,'IPCA Hist'!$B:$C,2,0))^12 - 1)+$X$2)^(1/252)</f>
        <v>14462125.716502408</v>
      </c>
      <c r="Y425" s="2">
        <v>0</v>
      </c>
      <c r="Z425" s="2">
        <f>Z424*(1+((1+VLOOKUP($B425,'IPCA Hist'!$B:$C,2,0))^12 - 1)+$Z$2)^(1/252)</f>
        <v>82850895.230974674</v>
      </c>
      <c r="AA425" s="2">
        <f>AA424*(1+((1+VLOOKUP($B425,'IPCA Hist'!$B:$C,2,0))^12 - 1)+$AA$2)^(1/252)</f>
        <v>41638097.615284964</v>
      </c>
      <c r="AB425" s="2">
        <f>AB424*(1+((1+VLOOKUP($B425,'IPCA Hist'!$B:$C,2,0))^12 - 1)+$AB$2)^(1/252)</f>
        <v>41652214.00078021</v>
      </c>
      <c r="AC425" s="2">
        <v>0</v>
      </c>
      <c r="AD425" s="2">
        <v>0</v>
      </c>
      <c r="AE425" s="2">
        <v>0</v>
      </c>
      <c r="AF425" s="2">
        <f>AF424*(1+((1+VLOOKUP($B425,'IGPM Hist'!$B:$C,2,0))^12 - 1)+$AF$2)^(1/252)</f>
        <v>1689077.0568001287</v>
      </c>
      <c r="AG425" s="2">
        <v>0</v>
      </c>
      <c r="AH425" s="2">
        <v>0</v>
      </c>
      <c r="AI425" s="2">
        <v>0</v>
      </c>
      <c r="AJ425" s="2">
        <f t="shared" ref="AJ425:AW425" si="119">AJ424*(1+AJ$2)^(1/252)</f>
        <v>54040242.38371256</v>
      </c>
      <c r="AK425" s="2">
        <f t="shared" si="119"/>
        <v>177175703.61975574</v>
      </c>
      <c r="AL425" s="2">
        <f t="shared" si="119"/>
        <v>36336688.505171552</v>
      </c>
      <c r="AM425" s="2">
        <f t="shared" si="119"/>
        <v>127215401.49675643</v>
      </c>
      <c r="AN425" s="2">
        <f t="shared" si="119"/>
        <v>54499749.705914319</v>
      </c>
      <c r="AO425" s="2">
        <f t="shared" si="119"/>
        <v>23300884.865143802</v>
      </c>
      <c r="AP425" s="2">
        <v>0</v>
      </c>
      <c r="AQ425" s="2">
        <v>0</v>
      </c>
      <c r="AR425" s="2">
        <v>0</v>
      </c>
      <c r="AS425" s="2">
        <f t="shared" si="119"/>
        <v>106204657.13253331</v>
      </c>
      <c r="AT425" s="2">
        <f t="shared" si="119"/>
        <v>5376657.4872115897</v>
      </c>
      <c r="AU425" s="2">
        <v>0</v>
      </c>
      <c r="AV425" s="2">
        <f t="shared" si="119"/>
        <v>53903842.53408248</v>
      </c>
      <c r="AW425" s="2">
        <f t="shared" si="119"/>
        <v>2778996.200822622</v>
      </c>
      <c r="AX425" s="2">
        <v>0</v>
      </c>
      <c r="AY425" s="2">
        <v>0</v>
      </c>
      <c r="AZ425" s="2">
        <v>0</v>
      </c>
      <c r="BA425" s="2">
        <f>BA424*(1+VLOOKUP(A425,'SELIC Hist'!$A:$C,3,0))^(1/252)</f>
        <v>4160910.5421794397</v>
      </c>
      <c r="BB425" s="2">
        <f t="shared" si="111"/>
        <v>1734973603.6368995</v>
      </c>
      <c r="BC425" s="2">
        <v>0</v>
      </c>
      <c r="BD425" s="2">
        <v>0</v>
      </c>
      <c r="BE425" s="2">
        <f t="shared" si="87"/>
        <v>1201425.3480007648</v>
      </c>
      <c r="BF425" s="2">
        <f t="shared" si="80"/>
        <v>22998824.31024766</v>
      </c>
      <c r="BG425" s="2">
        <f t="shared" si="81"/>
        <v>36782127.546093464</v>
      </c>
      <c r="BH425" s="11">
        <f t="shared" si="112"/>
        <v>1.1765955524534633</v>
      </c>
      <c r="BI425" s="12">
        <f t="shared" si="113"/>
        <v>6.9295456637585851E-4</v>
      </c>
      <c r="BJ425" s="12">
        <f t="shared" si="114"/>
        <v>1.3434090611599503E-2</v>
      </c>
      <c r="BK425" s="12">
        <f t="shared" si="115"/>
        <v>2.1678138848657102E-2</v>
      </c>
      <c r="BL425" s="5">
        <f t="shared" si="116"/>
        <v>0.17659555245346326</v>
      </c>
      <c r="BM425" s="19">
        <f t="shared" si="117"/>
        <v>5.8832158441219251E-2</v>
      </c>
      <c r="BN425" s="19">
        <f t="shared" si="118"/>
        <v>0.10348121894862317</v>
      </c>
      <c r="BO425" s="19" t="s">
        <v>53</v>
      </c>
    </row>
    <row r="426" spans="1:67" x14ac:dyDescent="0.25">
      <c r="A426" s="1">
        <v>45715</v>
      </c>
      <c r="B426" s="1" t="str">
        <f t="shared" si="78"/>
        <v>202502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f>I425*(1+((1+VLOOKUP($B426,'IPCA Hist'!$B:$C,2,0))^12 - 1)+$I$2)^(1/252)</f>
        <v>212542242.89293486</v>
      </c>
      <c r="J426" s="2">
        <f>J425*(1+((1+VLOOKUP($B426,'IPCA Hist'!$B:$C,2,0))^12 - 1)+$J$2)^(1/252)</f>
        <v>134921387.44610378</v>
      </c>
      <c r="K426" s="2">
        <f>K425*(1+((1+VLOOKUP($B426,'IPCA Hist'!$B:$C,2,0))^12 - 1)+$K$2)^(1/252)</f>
        <v>20499812.77855036</v>
      </c>
      <c r="L426" s="2">
        <f>L425*(1+((1+VLOOKUP($B426,'IPCA Hist'!$B:$C,2,0))^12 - 1)+$L$2)^(1/252)</f>
        <v>12483742.711206453</v>
      </c>
      <c r="M426" s="2">
        <f>M425*(1+((1+VLOOKUP($B426,'IPCA Hist'!$B:$C,2,0))^12 - 1)+$M$2)^(1/252)</f>
        <v>10638873.621002803</v>
      </c>
      <c r="N426" s="2">
        <v>0</v>
      </c>
      <c r="O426" s="2">
        <v>0</v>
      </c>
      <c r="P426" s="2">
        <v>0</v>
      </c>
      <c r="Q426" s="2">
        <f>Q425*(1+((1+VLOOKUP($B426,'IPCA Hist'!$B:$C,2,0))^12 - 1)+$Q$2)^(1/252)</f>
        <v>45733569.407416336</v>
      </c>
      <c r="R426" s="2">
        <f>R425*(1+((1+VLOOKUP($B426,'IPCA Hist'!$B:$C,2,0))^12 - 1)+$R$2)^(1/252)</f>
        <v>45719891.335474186</v>
      </c>
      <c r="S426" s="2">
        <f>S425*(1+((1+VLOOKUP($B426,'IPCA Hist'!$B:$C,2,0))^12 - 1)+$S$2)^(1/252)</f>
        <v>46731726.46426975</v>
      </c>
      <c r="T426" s="2">
        <f>T425*(1+((1+VLOOKUP($B426,'IPCA Hist'!$B:$C,2,0))^12 - 1)+$T$2)^(1/252)</f>
        <v>236020234.94974276</v>
      </c>
      <c r="U426" s="2">
        <f>U425*(1+((1+VLOOKUP($B426,'IPCA Hist'!$B:$C,2,0))^12 - 1)+$U$2)^(1/252)</f>
        <v>20712416.996093221</v>
      </c>
      <c r="V426" s="2">
        <f>V425*(1+((1+VLOOKUP($B426,'IPCA Hist'!$B:$C,2,0))^12 - 1)+$V$2)^(1/252)</f>
        <v>80196510.101252437</v>
      </c>
      <c r="W426" s="2">
        <f>W425*(1+((1+VLOOKUP($B426,'IPCA Hist'!$B:$C,2,0))^12 - 1)+$W$2)^(1/252)</f>
        <v>42222303.409433343</v>
      </c>
      <c r="X426" s="2">
        <f>X425*(1+((1+VLOOKUP($B426,'IPCA Hist'!$B:$C,2,0))^12 - 1)+$X$2)^(1/252)</f>
        <v>14474629.943980744</v>
      </c>
      <c r="Y426" s="2">
        <v>0</v>
      </c>
      <c r="Z426" s="2">
        <f>Z425*(1+((1+VLOOKUP($B426,'IPCA Hist'!$B:$C,2,0))^12 - 1)+$Z$2)^(1/252)</f>
        <v>82921923.056008667</v>
      </c>
      <c r="AA426" s="2">
        <f>AA425*(1+((1+VLOOKUP($B426,'IPCA Hist'!$B:$C,2,0))^12 - 1)+$AA$2)^(1/252)</f>
        <v>41675411.615880132</v>
      </c>
      <c r="AB426" s="2">
        <f>AB425*(1+((1+VLOOKUP($B426,'IPCA Hist'!$B:$C,2,0))^12 - 1)+$AB$2)^(1/252)</f>
        <v>41689527.450652257</v>
      </c>
      <c r="AC426" s="2">
        <v>0</v>
      </c>
      <c r="AD426" s="2">
        <v>0</v>
      </c>
      <c r="AE426" s="2">
        <v>0</v>
      </c>
      <c r="AF426" s="2">
        <f>AF425*(1+((1+VLOOKUP($B426,'IGPM Hist'!$B:$C,2,0))^12 - 1)+$AF$2)^(1/252)</f>
        <v>1690284.8496960532</v>
      </c>
      <c r="AG426" s="2">
        <v>0</v>
      </c>
      <c r="AH426" s="2">
        <v>0</v>
      </c>
      <c r="AI426" s="2">
        <v>0</v>
      </c>
      <c r="AJ426" s="2">
        <f t="shared" ref="AJ426:AW426" si="120">AJ425*(1+AJ$2)^(1/252)</f>
        <v>54065122.655220211</v>
      </c>
      <c r="AK426" s="2">
        <f t="shared" si="120"/>
        <v>177261304.3290526</v>
      </c>
      <c r="AL426" s="2">
        <f t="shared" si="120"/>
        <v>36354250.607365899</v>
      </c>
      <c r="AM426" s="2">
        <f t="shared" si="120"/>
        <v>127276853.19473808</v>
      </c>
      <c r="AN426" s="2">
        <f t="shared" si="120"/>
        <v>54526095.09495271</v>
      </c>
      <c r="AO426" s="2">
        <f t="shared" si="120"/>
        <v>23314249.696214717</v>
      </c>
      <c r="AP426" s="2">
        <v>0</v>
      </c>
      <c r="AQ426" s="2">
        <v>0</v>
      </c>
      <c r="AR426" s="2">
        <v>0</v>
      </c>
      <c r="AS426" s="2">
        <f t="shared" si="120"/>
        <v>106251974.15078451</v>
      </c>
      <c r="AT426" s="2">
        <f t="shared" si="120"/>
        <v>5379699.4022572823</v>
      </c>
      <c r="AU426" s="2">
        <v>0</v>
      </c>
      <c r="AV426" s="2">
        <f t="shared" si="120"/>
        <v>53928373.968878701</v>
      </c>
      <c r="AW426" s="2">
        <f t="shared" si="120"/>
        <v>2780548.3431033893</v>
      </c>
      <c r="AX426" s="2">
        <v>0</v>
      </c>
      <c r="AY426" s="2">
        <v>0</v>
      </c>
      <c r="AZ426" s="2">
        <v>0</v>
      </c>
      <c r="BA426" s="2">
        <f>BA425*(1+VLOOKUP(A426,'SELIC Hist'!$A:$C,3,0))^(1/252)</f>
        <v>4162950.9482754297</v>
      </c>
      <c r="BB426" s="2">
        <f t="shared" si="111"/>
        <v>1736175911.420542</v>
      </c>
      <c r="BC426" s="2">
        <v>0</v>
      </c>
      <c r="BD426" s="2">
        <v>0</v>
      </c>
      <c r="BE426" s="2">
        <f t="shared" si="87"/>
        <v>1202307.7836425304</v>
      </c>
      <c r="BF426" s="2">
        <f t="shared" si="80"/>
        <v>24201132.09389019</v>
      </c>
      <c r="BG426" s="2">
        <f t="shared" si="81"/>
        <v>37984435.329735994</v>
      </c>
      <c r="BH426" s="11">
        <f t="shared" si="112"/>
        <v>1.1774109135563346</v>
      </c>
      <c r="BI426" s="12">
        <f t="shared" si="113"/>
        <v>6.9298332903877657E-4</v>
      </c>
      <c r="BJ426" s="12">
        <f t="shared" si="114"/>
        <v>1.4136383541472952E-2</v>
      </c>
      <c r="BK426" s="12">
        <f t="shared" si="115"/>
        <v>2.2386144766522564E-2</v>
      </c>
      <c r="BL426" s="5">
        <f t="shared" si="116"/>
        <v>0.17741091355633465</v>
      </c>
      <c r="BM426" s="19">
        <f t="shared" si="117"/>
        <v>5.9287661986817231E-2</v>
      </c>
      <c r="BN426" s="19">
        <f t="shared" si="118"/>
        <v>0.10427427897819519</v>
      </c>
      <c r="BO426" s="19" t="s">
        <v>53</v>
      </c>
    </row>
    <row r="427" spans="1:67" x14ac:dyDescent="0.25">
      <c r="A427" s="1">
        <v>45716</v>
      </c>
      <c r="B427" s="1" t="str">
        <f t="shared" si="78"/>
        <v>202502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f>I426*(1+((1+VLOOKUP($B427,'IPCA Hist'!$B:$C,2,0))^12 - 1)+$I$2)^(1/252)</f>
        <v>212714045.31078109</v>
      </c>
      <c r="J427" s="2">
        <f>J426*(1+((1+VLOOKUP($B427,'IPCA Hist'!$B:$C,2,0))^12 - 1)+$J$2)^(1/252)</f>
        <v>135028301.10276192</v>
      </c>
      <c r="K427" s="2">
        <f>K426*(1+((1+VLOOKUP($B427,'IPCA Hist'!$B:$C,2,0))^12 - 1)+$K$2)^(1/252)</f>
        <v>20517031.510758728</v>
      </c>
      <c r="L427" s="2">
        <f>L426*(1+((1+VLOOKUP($B427,'IPCA Hist'!$B:$C,2,0))^12 - 1)+$L$2)^(1/252)</f>
        <v>12494272.898353122</v>
      </c>
      <c r="M427" s="2">
        <f>M426*(1+((1+VLOOKUP($B427,'IPCA Hist'!$B:$C,2,0))^12 - 1)+$M$2)^(1/252)</f>
        <v>10648140.107727692</v>
      </c>
      <c r="N427" s="2">
        <v>0</v>
      </c>
      <c r="O427" s="2">
        <v>0</v>
      </c>
      <c r="P427" s="2">
        <v>0</v>
      </c>
      <c r="Q427" s="2">
        <f>Q426*(1+((1+VLOOKUP($B427,'IPCA Hist'!$B:$C,2,0))^12 - 1)+$Q$2)^(1/252)</f>
        <v>45769779.593896978</v>
      </c>
      <c r="R427" s="2">
        <f>R426*(1+((1+VLOOKUP($B427,'IPCA Hist'!$B:$C,2,0))^12 - 1)+$R$2)^(1/252)</f>
        <v>45756105.565630801</v>
      </c>
      <c r="S427" s="2">
        <f>S426*(1+((1+VLOOKUP($B427,'IPCA Hist'!$B:$C,2,0))^12 - 1)+$S$2)^(1/252)</f>
        <v>46768559.644387014</v>
      </c>
      <c r="T427" s="2">
        <f>T426*(1+((1+VLOOKUP($B427,'IPCA Hist'!$B:$C,2,0))^12 - 1)+$T$2)^(1/252)</f>
        <v>236206185.37002486</v>
      </c>
      <c r="U427" s="2">
        <f>U426*(1+((1+VLOOKUP($B427,'IPCA Hist'!$B:$C,2,0))^12 - 1)+$U$2)^(1/252)</f>
        <v>20729641.028977733</v>
      </c>
      <c r="V427" s="2">
        <f>V426*(1+((1+VLOOKUP($B427,'IPCA Hist'!$B:$C,2,0))^12 - 1)+$V$2)^(1/252)</f>
        <v>80266974.731378049</v>
      </c>
      <c r="W427" s="2">
        <f>W426*(1+((1+VLOOKUP($B427,'IPCA Hist'!$B:$C,2,0))^12 - 1)+$W$2)^(1/252)</f>
        <v>42259524.27953954</v>
      </c>
      <c r="X427" s="2">
        <f>X426*(1+((1+VLOOKUP($B427,'IPCA Hist'!$B:$C,2,0))^12 - 1)+$X$2)^(1/252)</f>
        <v>14487144.982850704</v>
      </c>
      <c r="Y427" s="2">
        <v>0</v>
      </c>
      <c r="Z427" s="2">
        <f>Z426*(1+((1+VLOOKUP($B427,'IPCA Hist'!$B:$C,2,0))^12 - 1)+$Z$2)^(1/252)</f>
        <v>82993011.772984922</v>
      </c>
      <c r="AA427" s="2">
        <f>AA426*(1+((1+VLOOKUP($B427,'IPCA Hist'!$B:$C,2,0))^12 - 1)+$AA$2)^(1/252)</f>
        <v>41712759.055434331</v>
      </c>
      <c r="AB427" s="2">
        <f>AB426*(1+((1+VLOOKUP($B427,'IPCA Hist'!$B:$C,2,0))^12 - 1)+$AB$2)^(1/252)</f>
        <v>41726874.327163793</v>
      </c>
      <c r="AC427" s="2">
        <v>0</v>
      </c>
      <c r="AD427" s="2">
        <v>0</v>
      </c>
      <c r="AE427" s="2">
        <v>0</v>
      </c>
      <c r="AF427" s="2">
        <f>AF426*(1+((1+VLOOKUP($B427,'IGPM Hist'!$B:$C,2,0))^12 - 1)+$AF$2)^(1/252)</f>
        <v>1691493.5062374067</v>
      </c>
      <c r="AG427" s="2">
        <v>0</v>
      </c>
      <c r="AH427" s="2">
        <v>0</v>
      </c>
      <c r="AI427" s="2">
        <v>0</v>
      </c>
      <c r="AJ427" s="2">
        <f t="shared" ref="AJ427:AW427" si="121">AJ426*(1+AJ$2)^(1/252)</f>
        <v>54090014.381671123</v>
      </c>
      <c r="AK427" s="2">
        <f t="shared" si="121"/>
        <v>177346946.39549538</v>
      </c>
      <c r="AL427" s="2">
        <f t="shared" si="121"/>
        <v>36371821.197604865</v>
      </c>
      <c r="AM427" s="2">
        <f t="shared" si="121"/>
        <v>127338334.57710652</v>
      </c>
      <c r="AN427" s="2">
        <f t="shared" si="121"/>
        <v>54552453.219453692</v>
      </c>
      <c r="AO427" s="2">
        <f t="shared" si="121"/>
        <v>23327622.193033546</v>
      </c>
      <c r="AP427" s="2">
        <v>0</v>
      </c>
      <c r="AQ427" s="2">
        <v>0</v>
      </c>
      <c r="AR427" s="2">
        <v>0</v>
      </c>
      <c r="AS427" s="2">
        <f t="shared" si="121"/>
        <v>106299312.2500342</v>
      </c>
      <c r="AT427" s="2">
        <f t="shared" si="121"/>
        <v>5382743.0383066218</v>
      </c>
      <c r="AU427" s="2">
        <v>0</v>
      </c>
      <c r="AV427" s="2">
        <f t="shared" si="121"/>
        <v>53952916.567838088</v>
      </c>
      <c r="AW427" s="2">
        <f t="shared" si="121"/>
        <v>2782101.3522963384</v>
      </c>
      <c r="AX427" s="2">
        <v>0</v>
      </c>
      <c r="AY427" s="2">
        <v>0</v>
      </c>
      <c r="AZ427" s="2">
        <v>0</v>
      </c>
      <c r="BA427" s="2">
        <v>4164980.64</v>
      </c>
      <c r="BB427" s="2">
        <f t="shared" si="111"/>
        <v>1737379090.6017296</v>
      </c>
      <c r="BC427" s="2">
        <v>0</v>
      </c>
      <c r="BD427" s="2">
        <v>0</v>
      </c>
      <c r="BE427" s="2">
        <f t="shared" si="87"/>
        <v>1203179.1811876297</v>
      </c>
      <c r="BF427" s="2">
        <f t="shared" si="80"/>
        <v>25404311.27507782</v>
      </c>
      <c r="BG427" s="2">
        <f t="shared" si="81"/>
        <v>39187614.510923624</v>
      </c>
      <c r="BH427" s="11">
        <f t="shared" si="112"/>
        <v>1.1782268656091051</v>
      </c>
      <c r="BI427" s="12">
        <f t="shared" si="113"/>
        <v>6.9300534195471108E-4</v>
      </c>
      <c r="BJ427" s="12">
        <f t="shared" si="114"/>
        <v>1.4839185472737881E-2</v>
      </c>
      <c r="BK427" s="12">
        <f t="shared" si="115"/>
        <v>2.3094663826386252E-2</v>
      </c>
      <c r="BL427" s="5">
        <f t="shared" si="116"/>
        <v>0.17822686560910506</v>
      </c>
      <c r="BM427" s="19">
        <f t="shared" si="117"/>
        <v>5.9761048140366757E-2</v>
      </c>
      <c r="BN427" s="19">
        <f t="shared" si="118"/>
        <v>0.10551470984044964</v>
      </c>
      <c r="BO427" s="19" t="s">
        <v>53</v>
      </c>
    </row>
    <row r="428" spans="1:67" x14ac:dyDescent="0.25">
      <c r="A428" s="1">
        <v>45721</v>
      </c>
      <c r="B428" s="1" t="str">
        <f t="shared" si="78"/>
        <v>202503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f>I427*(1+((1+VLOOKUP($B428,'IPCA Hist'!$B:$C,2,0))^12 - 1)+$I$2)^(1/252)</f>
        <v>212814314.09888029</v>
      </c>
      <c r="J428" s="2">
        <f>J427*(1+((1+VLOOKUP($B428,'IPCA Hist'!$B:$C,2,0))^12 - 1)+$J$2)^(1/252)</f>
        <v>135089612.80204499</v>
      </c>
      <c r="K428" s="2">
        <f>K427*(1+((1+VLOOKUP($B428,'IPCA Hist'!$B:$C,2,0))^12 - 1)+$K$2)^(1/252)</f>
        <v>20527408.612495553</v>
      </c>
      <c r="L428" s="2">
        <f>L427*(1+((1+VLOOKUP($B428,'IPCA Hist'!$B:$C,2,0))^12 - 1)+$L$2)^(1/252)</f>
        <v>12500640.701127557</v>
      </c>
      <c r="M428" s="2">
        <f>M427*(1+((1+VLOOKUP($B428,'IPCA Hist'!$B:$C,2,0))^12 - 1)+$M$2)^(1/252)</f>
        <v>10653885.210791426</v>
      </c>
      <c r="N428" s="2">
        <v>0</v>
      </c>
      <c r="O428" s="2">
        <v>0</v>
      </c>
      <c r="P428" s="2">
        <v>0</v>
      </c>
      <c r="Q428" s="2">
        <f>Q427*(1+((1+VLOOKUP($B428,'IPCA Hist'!$B:$C,2,0))^12 - 1)+$Q$2)^(1/252)</f>
        <v>45790529.657720283</v>
      </c>
      <c r="R428" s="2">
        <f>R427*(1+((1+VLOOKUP($B428,'IPCA Hist'!$B:$C,2,0))^12 - 1)+$R$2)^(1/252)</f>
        <v>45776865.634183146</v>
      </c>
      <c r="S428" s="2">
        <f>S427*(1+((1+VLOOKUP($B428,'IPCA Hist'!$B:$C,2,0))^12 - 1)+$S$2)^(1/252)</f>
        <v>46789580.227779098</v>
      </c>
      <c r="T428" s="2">
        <f>T427*(1+((1+VLOOKUP($B428,'IPCA Hist'!$B:$C,2,0))^12 - 1)+$T$2)^(1/252)</f>
        <v>236312266.79556254</v>
      </c>
      <c r="U428" s="2">
        <f>U427*(1+((1+VLOOKUP($B428,'IPCA Hist'!$B:$C,2,0))^12 - 1)+$U$2)^(1/252)</f>
        <v>20739937.065041393</v>
      </c>
      <c r="V428" s="2">
        <f>V427*(1+((1+VLOOKUP($B428,'IPCA Hist'!$B:$C,2,0))^12 - 1)+$V$2)^(1/252)</f>
        <v>80310948.971789494</v>
      </c>
      <c r="W428" s="2">
        <f>W427*(1+((1+VLOOKUP($B428,'IPCA Hist'!$B:$C,2,0))^12 - 1)+$W$2)^(1/252)</f>
        <v>42282809.099142969</v>
      </c>
      <c r="X428" s="2">
        <f>X427*(1+((1+VLOOKUP($B428,'IPCA Hist'!$B:$C,2,0))^12 - 1)+$X$2)^(1/252)</f>
        <v>14494860.878648711</v>
      </c>
      <c r="Y428" s="2">
        <v>0</v>
      </c>
      <c r="Z428" s="2">
        <f>Z427*(1+((1+VLOOKUP($B428,'IPCA Hist'!$B:$C,2,0))^12 - 1)+$Z$2)^(1/252)</f>
        <v>83036553.602009177</v>
      </c>
      <c r="AA428" s="2">
        <f>AA427*(1+((1+VLOOKUP($B428,'IPCA Hist'!$B:$C,2,0))^12 - 1)+$AA$2)^(1/252)</f>
        <v>41736404.39227473</v>
      </c>
      <c r="AB428" s="2">
        <f>AB427*(1+((1+VLOOKUP($B428,'IPCA Hist'!$B:$C,2,0))^12 - 1)+$AB$2)^(1/252)</f>
        <v>41750513.301935971</v>
      </c>
      <c r="AC428" s="2">
        <v>0</v>
      </c>
      <c r="AD428" s="2">
        <v>0</v>
      </c>
      <c r="AE428" s="2">
        <v>0</v>
      </c>
      <c r="AF428" s="2">
        <f>AF427*(1+((1+VLOOKUP($B428,'IGPM Hist'!$B:$C,2,0))^12 - 1)+$AF$2)^(1/252)</f>
        <v>1691642.4998846718</v>
      </c>
      <c r="AG428" s="2">
        <v>0</v>
      </c>
      <c r="AH428" s="2">
        <v>0</v>
      </c>
      <c r="AI428" s="2">
        <v>0</v>
      </c>
      <c r="AJ428" s="2">
        <f t="shared" ref="AJ428:AW428" si="122">AJ427*(1+AJ$2)^(1/252)</f>
        <v>54114917.568339184</v>
      </c>
      <c r="AK428" s="2">
        <f t="shared" si="122"/>
        <v>177432629.8390654</v>
      </c>
      <c r="AL428" s="2">
        <f t="shared" si="122"/>
        <v>36389400.279990859</v>
      </c>
      <c r="AM428" s="2">
        <f t="shared" si="122"/>
        <v>127399845.65820087</v>
      </c>
      <c r="AN428" s="2">
        <f t="shared" si="122"/>
        <v>54578824.085573636</v>
      </c>
      <c r="AO428" s="2">
        <f t="shared" si="122"/>
        <v>23341002.359997179</v>
      </c>
      <c r="AP428" s="2">
        <v>0</v>
      </c>
      <c r="AQ428" s="2">
        <v>0</v>
      </c>
      <c r="AR428" s="2">
        <v>0</v>
      </c>
      <c r="AS428" s="2">
        <f t="shared" si="122"/>
        <v>106346671.43967453</v>
      </c>
      <c r="AT428" s="2">
        <f t="shared" si="122"/>
        <v>5385788.3963332893</v>
      </c>
      <c r="AU428" s="2">
        <v>0</v>
      </c>
      <c r="AV428" s="2">
        <f t="shared" si="122"/>
        <v>53977470.336041406</v>
      </c>
      <c r="AW428" s="2">
        <f t="shared" si="122"/>
        <v>2783655.2288856627</v>
      </c>
      <c r="AX428" s="2">
        <v>0</v>
      </c>
      <c r="AY428" s="2">
        <v>0</v>
      </c>
      <c r="AZ428" s="2">
        <v>0</v>
      </c>
      <c r="BA428" s="2">
        <f>BA427*(1+VLOOKUP(A428,'SELIC Hist'!$A:$C,3,0))^(1/252)</f>
        <v>4167023.0419698064</v>
      </c>
      <c r="BB428" s="2">
        <f t="shared" si="111"/>
        <v>1738216001.7853839</v>
      </c>
      <c r="BC428" s="2">
        <v>0</v>
      </c>
      <c r="BD428" s="2">
        <v>0</v>
      </c>
      <c r="BE428" s="2">
        <f t="shared" si="87"/>
        <v>836911.18365430832</v>
      </c>
      <c r="BF428" s="2">
        <f t="shared" si="80"/>
        <v>836911.18365430832</v>
      </c>
      <c r="BG428" s="2">
        <f t="shared" si="81"/>
        <v>40024525.694577932</v>
      </c>
      <c r="BH428" s="11">
        <f t="shared" si="112"/>
        <v>1.1787944281209624</v>
      </c>
      <c r="BI428" s="12">
        <f t="shared" si="113"/>
        <v>4.8170902262012483E-4</v>
      </c>
      <c r="BJ428" s="12">
        <f t="shared" si="114"/>
        <v>4.8170902262012483E-4</v>
      </c>
      <c r="BK428" s="12">
        <f t="shared" si="115"/>
        <v>2.3587497756945908E-2</v>
      </c>
      <c r="BL428" s="5">
        <f t="shared" si="116"/>
        <v>0.17879442812096236</v>
      </c>
      <c r="BM428" s="19">
        <f t="shared" si="117"/>
        <v>6.0136492118032514E-2</v>
      </c>
      <c r="BN428" s="19">
        <f t="shared" si="118"/>
        <v>0.1048885866933269</v>
      </c>
      <c r="BO428" s="19" t="s">
        <v>53</v>
      </c>
    </row>
    <row r="429" spans="1:67" x14ac:dyDescent="0.25">
      <c r="A429" s="1">
        <v>45722</v>
      </c>
      <c r="B429" s="1" t="str">
        <f t="shared" si="78"/>
        <v>202503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f>I428*(1+((1+VLOOKUP($B429,'IPCA Hist'!$B:$C,2,0))^12 - 1)+$I$2)^(1/252)</f>
        <v>212914630.15151182</v>
      </c>
      <c r="J429" s="2">
        <f>J428*(1+((1+VLOOKUP($B429,'IPCA Hist'!$B:$C,2,0))^12 - 1)+$J$2)^(1/252)</f>
        <v>135150952.34085825</v>
      </c>
      <c r="K429" s="2">
        <f>K428*(1+((1+VLOOKUP($B429,'IPCA Hist'!$B:$C,2,0))^12 - 1)+$K$2)^(1/252)</f>
        <v>20537790.962761648</v>
      </c>
      <c r="L429" s="2">
        <f>L428*(1+((1+VLOOKUP($B429,'IPCA Hist'!$B:$C,2,0))^12 - 1)+$L$2)^(1/252)</f>
        <v>12507011.749301905</v>
      </c>
      <c r="M429" s="2">
        <f>M428*(1+((1+VLOOKUP($B429,'IPCA Hist'!$B:$C,2,0))^12 - 1)+$M$2)^(1/252)</f>
        <v>10659633.413571062</v>
      </c>
      <c r="N429" s="2">
        <v>0</v>
      </c>
      <c r="O429" s="2">
        <v>0</v>
      </c>
      <c r="P429" s="2">
        <v>0</v>
      </c>
      <c r="Q429" s="2">
        <f>Q428*(1+((1+VLOOKUP($B429,'IPCA Hist'!$B:$C,2,0))^12 - 1)+$Q$2)^(1/252)</f>
        <v>45811289.128736548</v>
      </c>
      <c r="R429" s="2">
        <f>R428*(1+((1+VLOOKUP($B429,'IPCA Hist'!$B:$C,2,0))^12 - 1)+$R$2)^(1/252)</f>
        <v>45797635.121816091</v>
      </c>
      <c r="S429" s="2">
        <f>S428*(1+((1+VLOOKUP($B429,'IPCA Hist'!$B:$C,2,0))^12 - 1)+$S$2)^(1/252)</f>
        <v>46810610.259076558</v>
      </c>
      <c r="T429" s="2">
        <f>T428*(1+((1+VLOOKUP($B429,'IPCA Hist'!$B:$C,2,0))^12 - 1)+$T$2)^(1/252)</f>
        <v>236418395.86281976</v>
      </c>
      <c r="U429" s="2">
        <f>U428*(1+((1+VLOOKUP($B429,'IPCA Hist'!$B:$C,2,0))^12 - 1)+$U$2)^(1/252)</f>
        <v>20750238.2149591</v>
      </c>
      <c r="V429" s="2">
        <f>V428*(1+((1+VLOOKUP($B429,'IPCA Hist'!$B:$C,2,0))^12 - 1)+$V$2)^(1/252)</f>
        <v>80354947.303476661</v>
      </c>
      <c r="W429" s="2">
        <f>W428*(1+((1+VLOOKUP($B429,'IPCA Hist'!$B:$C,2,0))^12 - 1)+$W$2)^(1/252)</f>
        <v>42306106.748583764</v>
      </c>
      <c r="X429" s="2">
        <f>X428*(1+((1+VLOOKUP($B429,'IPCA Hist'!$B:$C,2,0))^12 - 1)+$X$2)^(1/252)</f>
        <v>14502580.883955393</v>
      </c>
      <c r="Y429" s="2">
        <v>0</v>
      </c>
      <c r="Z429" s="2">
        <f>Z428*(1+((1+VLOOKUP($B429,'IPCA Hist'!$B:$C,2,0))^12 - 1)+$Z$2)^(1/252)</f>
        <v>83080118.275015533</v>
      </c>
      <c r="AA429" s="2">
        <f>AA428*(1+((1+VLOOKUP($B429,'IPCA Hist'!$B:$C,2,0))^12 - 1)+$AA$2)^(1/252)</f>
        <v>41760063.132734716</v>
      </c>
      <c r="AB429" s="2">
        <f>AB428*(1+((1+VLOOKUP($B429,'IPCA Hist'!$B:$C,2,0))^12 - 1)+$AB$2)^(1/252)</f>
        <v>41774165.668584183</v>
      </c>
      <c r="AC429" s="2">
        <v>0</v>
      </c>
      <c r="AD429" s="2">
        <v>0</v>
      </c>
      <c r="AE429" s="2">
        <v>0</v>
      </c>
      <c r="AF429" s="2">
        <f>AF428*(1+((1+VLOOKUP($B429,'IGPM Hist'!$B:$C,2,0))^12 - 1)+$AF$2)^(1/252)</f>
        <v>1691791.5066559049</v>
      </c>
      <c r="AG429" s="2">
        <v>0</v>
      </c>
      <c r="AH429" s="2">
        <v>0</v>
      </c>
      <c r="AI429" s="2">
        <v>0</v>
      </c>
      <c r="AJ429" s="2">
        <f t="shared" ref="AJ429:AW429" si="123">AJ428*(1+AJ$2)^(1/252)</f>
        <v>54139832.220500708</v>
      </c>
      <c r="AK429" s="2">
        <f t="shared" si="123"/>
        <v>177518354.67975363</v>
      </c>
      <c r="AL429" s="2">
        <f t="shared" si="123"/>
        <v>36406987.85862828</v>
      </c>
      <c r="AM429" s="2">
        <f t="shared" si="123"/>
        <v>127461386.45236719</v>
      </c>
      <c r="AN429" s="2">
        <f t="shared" si="123"/>
        <v>54605207.699471891</v>
      </c>
      <c r="AO429" s="2">
        <f t="shared" si="123"/>
        <v>23354390.201505028</v>
      </c>
      <c r="AP429" s="2">
        <v>0</v>
      </c>
      <c r="AQ429" s="2">
        <v>0</v>
      </c>
      <c r="AR429" s="2">
        <v>0</v>
      </c>
      <c r="AS429" s="2">
        <f t="shared" si="123"/>
        <v>106394051.72910182</v>
      </c>
      <c r="AT429" s="2">
        <f t="shared" si="123"/>
        <v>5388835.4773115162</v>
      </c>
      <c r="AU429" s="2">
        <v>0</v>
      </c>
      <c r="AV429" s="2">
        <f t="shared" si="123"/>
        <v>54002035.27857174</v>
      </c>
      <c r="AW429" s="2">
        <f t="shared" si="123"/>
        <v>2785209.9733558255</v>
      </c>
      <c r="AX429" s="2">
        <v>0</v>
      </c>
      <c r="AY429" s="2">
        <v>0</v>
      </c>
      <c r="AZ429" s="2">
        <v>0</v>
      </c>
      <c r="BA429" s="2">
        <f>BA428*(1+VLOOKUP(A429,'SELIC Hist'!$A:$C,3,0))^(1/252)</f>
        <v>4169066.4454822768</v>
      </c>
      <c r="BB429" s="2">
        <f t="shared" si="111"/>
        <v>1739053318.7404687</v>
      </c>
      <c r="BC429" s="2">
        <v>0</v>
      </c>
      <c r="BD429" s="2">
        <v>0</v>
      </c>
      <c r="BE429" s="2">
        <f t="shared" si="87"/>
        <v>837316.95508480072</v>
      </c>
      <c r="BF429" s="2">
        <f t="shared" si="80"/>
        <v>1674228.138739109</v>
      </c>
      <c r="BG429" s="2">
        <f t="shared" si="81"/>
        <v>40861842.649662733</v>
      </c>
      <c r="BH429" s="11">
        <f t="shared" si="112"/>
        <v>1.1793622658121419</v>
      </c>
      <c r="BI429" s="12">
        <f t="shared" si="113"/>
        <v>4.8171053207690662E-4</v>
      </c>
      <c r="BJ429" s="12">
        <f t="shared" si="114"/>
        <v>9.6365159900657638E-4</v>
      </c>
      <c r="BK429" s="12">
        <f t="shared" si="115"/>
        <v>2.4080570635117704E-2</v>
      </c>
      <c r="BL429" s="5">
        <f t="shared" si="116"/>
        <v>0.17936226581214187</v>
      </c>
      <c r="BM429" s="19">
        <f t="shared" si="117"/>
        <v>6.0280171371737801E-2</v>
      </c>
      <c r="BN429" s="19">
        <f t="shared" si="118"/>
        <v>0.1048483675929377</v>
      </c>
      <c r="BO429" s="19" t="s">
        <v>53</v>
      </c>
    </row>
    <row r="430" spans="1:67" x14ac:dyDescent="0.25">
      <c r="A430" s="1">
        <v>45723</v>
      </c>
      <c r="B430" s="1" t="str">
        <f t="shared" si="78"/>
        <v>202503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f>I429*(1+((1+VLOOKUP($B430,'IPCA Hist'!$B:$C,2,0))^12 - 1)+$I$2)^(1/252)</f>
        <v>213014993.49095511</v>
      </c>
      <c r="J430" s="2">
        <f>J429*(1+((1+VLOOKUP($B430,'IPCA Hist'!$B:$C,2,0))^12 - 1)+$J$2)^(1/252)</f>
        <v>135212319.73184273</v>
      </c>
      <c r="K430" s="2">
        <f>K429*(1+((1+VLOOKUP($B430,'IPCA Hist'!$B:$C,2,0))^12 - 1)+$K$2)^(1/252)</f>
        <v>20548178.564211614</v>
      </c>
      <c r="L430" s="2">
        <f>L429*(1+((1+VLOOKUP($B430,'IPCA Hist'!$B:$C,2,0))^12 - 1)+$L$2)^(1/252)</f>
        <v>12513386.044530209</v>
      </c>
      <c r="M430" s="2">
        <f>M429*(1+((1+VLOOKUP($B430,'IPCA Hist'!$B:$C,2,0))^12 - 1)+$M$2)^(1/252)</f>
        <v>10665384.71773902</v>
      </c>
      <c r="N430" s="2">
        <v>0</v>
      </c>
      <c r="O430" s="2">
        <v>0</v>
      </c>
      <c r="P430" s="2">
        <v>0</v>
      </c>
      <c r="Q430" s="2">
        <f>Q429*(1+((1+VLOOKUP($B430,'IPCA Hist'!$B:$C,2,0))^12 - 1)+$Q$2)^(1/252)</f>
        <v>45832058.011210606</v>
      </c>
      <c r="R430" s="2">
        <f>R429*(1+((1+VLOOKUP($B430,'IPCA Hist'!$B:$C,2,0))^12 - 1)+$R$2)^(1/252)</f>
        <v>45818414.032803178</v>
      </c>
      <c r="S430" s="2">
        <f>S429*(1+((1+VLOOKUP($B430,'IPCA Hist'!$B:$C,2,0))^12 - 1)+$S$2)^(1/252)</f>
        <v>46831649.742525853</v>
      </c>
      <c r="T430" s="2">
        <f>T429*(1+((1+VLOOKUP($B430,'IPCA Hist'!$B:$C,2,0))^12 - 1)+$T$2)^(1/252)</f>
        <v>236524572.5931927</v>
      </c>
      <c r="U430" s="2">
        <f>U429*(1+((1+VLOOKUP($B430,'IPCA Hist'!$B:$C,2,0))^12 - 1)+$U$2)^(1/252)</f>
        <v>20760544.481270809</v>
      </c>
      <c r="V430" s="2">
        <f>V429*(1+((1+VLOOKUP($B430,'IPCA Hist'!$B:$C,2,0))^12 - 1)+$V$2)^(1/252)</f>
        <v>80398969.739637941</v>
      </c>
      <c r="W430" s="2">
        <f>W429*(1+((1+VLOOKUP($B430,'IPCA Hist'!$B:$C,2,0))^12 - 1)+$W$2)^(1/252)</f>
        <v>42329417.234931119</v>
      </c>
      <c r="X430" s="2">
        <f>X429*(1+((1+VLOOKUP($B430,'IPCA Hist'!$B:$C,2,0))^12 - 1)+$X$2)^(1/252)</f>
        <v>14510305.000959484</v>
      </c>
      <c r="Y430" s="2">
        <v>0</v>
      </c>
      <c r="Z430" s="2">
        <f>Z429*(1+((1+VLOOKUP($B430,'IPCA Hist'!$B:$C,2,0))^12 - 1)+$Z$2)^(1/252)</f>
        <v>83123705.803988948</v>
      </c>
      <c r="AA430" s="2">
        <f>AA429*(1+((1+VLOOKUP($B430,'IPCA Hist'!$B:$C,2,0))^12 - 1)+$AA$2)^(1/252)</f>
        <v>41783735.28441228</v>
      </c>
      <c r="AB430" s="2">
        <f>AB429*(1+((1+VLOOKUP($B430,'IPCA Hist'!$B:$C,2,0))^12 - 1)+$AB$2)^(1/252)</f>
        <v>41797831.434695154</v>
      </c>
      <c r="AC430" s="2">
        <v>0</v>
      </c>
      <c r="AD430" s="2">
        <v>0</v>
      </c>
      <c r="AE430" s="2">
        <v>0</v>
      </c>
      <c r="AF430" s="2">
        <f>AF429*(1+((1+VLOOKUP($B430,'IGPM Hist'!$B:$C,2,0))^12 - 1)+$AF$2)^(1/252)</f>
        <v>1691940.5265522623</v>
      </c>
      <c r="AG430" s="2">
        <v>0</v>
      </c>
      <c r="AH430" s="2">
        <v>0</v>
      </c>
      <c r="AI430" s="2">
        <v>0</v>
      </c>
      <c r="AJ430" s="2">
        <f t="shared" ref="AJ430:AW430" si="124">AJ429*(1+AJ$2)^(1/252)</f>
        <v>54164758.343434431</v>
      </c>
      <c r="AK430" s="2">
        <f t="shared" si="124"/>
        <v>177604120.93756068</v>
      </c>
      <c r="AL430" s="2">
        <f t="shared" si="124"/>
        <v>36424583.937623493</v>
      </c>
      <c r="AM430" s="2">
        <f t="shared" si="124"/>
        <v>127522956.97395842</v>
      </c>
      <c r="AN430" s="2">
        <f t="shared" si="124"/>
        <v>54631604.06731078</v>
      </c>
      <c r="AO430" s="2">
        <f t="shared" si="124"/>
        <v>23367785.721959028</v>
      </c>
      <c r="AP430" s="2">
        <v>0</v>
      </c>
      <c r="AQ430" s="2">
        <v>0</v>
      </c>
      <c r="AR430" s="2">
        <v>0</v>
      </c>
      <c r="AS430" s="2">
        <f t="shared" si="124"/>
        <v>106441453.1277166</v>
      </c>
      <c r="AT430" s="2">
        <f t="shared" si="124"/>
        <v>5391884.2822160851</v>
      </c>
      <c r="AU430" s="2">
        <v>0</v>
      </c>
      <c r="AV430" s="2">
        <f t="shared" si="124"/>
        <v>54026611.400514476</v>
      </c>
      <c r="AW430" s="2">
        <f t="shared" si="124"/>
        <v>2786765.5861915611</v>
      </c>
      <c r="AX430" s="2">
        <v>0</v>
      </c>
      <c r="AY430" s="2">
        <v>0</v>
      </c>
      <c r="AZ430" s="2">
        <v>0</v>
      </c>
      <c r="BA430" s="2">
        <f>BA429*(1+VLOOKUP(A430,'SELIC Hist'!$A:$C,3,0))^(1/252)</f>
        <v>4171110.851028543</v>
      </c>
      <c r="BB430" s="2">
        <f t="shared" si="111"/>
        <v>1739891041.664973</v>
      </c>
      <c r="BC430" s="2">
        <v>0</v>
      </c>
      <c r="BD430" s="2">
        <v>0</v>
      </c>
      <c r="BE430" s="2">
        <f t="shared" si="87"/>
        <v>837722.92450428009</v>
      </c>
      <c r="BF430" s="2">
        <f t="shared" si="80"/>
        <v>2511951.0632433891</v>
      </c>
      <c r="BG430" s="2">
        <f t="shared" si="81"/>
        <v>41699565.574167013</v>
      </c>
      <c r="BH430" s="11">
        <f t="shared" si="112"/>
        <v>1.1799303788169124</v>
      </c>
      <c r="BI430" s="12">
        <f t="shared" si="113"/>
        <v>4.8171204153235614E-4</v>
      </c>
      <c r="BJ430" s="12">
        <f t="shared" si="114"/>
        <v>1.445827843117975E-3</v>
      </c>
      <c r="BK430" s="12">
        <f t="shared" si="115"/>
        <v>2.4573882577491934E-2</v>
      </c>
      <c r="BL430" s="5">
        <f t="shared" si="116"/>
        <v>0.17993037881691243</v>
      </c>
      <c r="BM430" s="19">
        <f t="shared" si="117"/>
        <v>6.0355865067630132E-2</v>
      </c>
      <c r="BN430" s="19">
        <f t="shared" si="118"/>
        <v>0.10470341089369417</v>
      </c>
      <c r="BO430" s="19" t="s">
        <v>53</v>
      </c>
    </row>
    <row r="431" spans="1:67" x14ac:dyDescent="0.25">
      <c r="A431" s="1">
        <v>45726</v>
      </c>
      <c r="B431" s="1" t="str">
        <f t="shared" ref="B431:B446" si="125">_xlfn.CONCAT(TEXT(YEAR(A431),"0000"),TEXT(MONTH(A431),"00"))</f>
        <v>202503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f>I430*(1+((1+VLOOKUP($B431,'IPCA Hist'!$B:$C,2,0))^12 - 1)+$I$2)^(1/252)</f>
        <v>213115404.13950017</v>
      </c>
      <c r="J431" s="2">
        <f>J430*(1+((1+VLOOKUP($B431,'IPCA Hist'!$B:$C,2,0))^12 - 1)+$J$2)^(1/252)</f>
        <v>135273714.98764509</v>
      </c>
      <c r="K431" s="2">
        <f>K430*(1+((1+VLOOKUP($B431,'IPCA Hist'!$B:$C,2,0))^12 - 1)+$K$2)^(1/252)</f>
        <v>20558571.419501398</v>
      </c>
      <c r="L431" s="2">
        <f>L430*(1+((1+VLOOKUP($B431,'IPCA Hist'!$B:$C,2,0))^12 - 1)+$L$2)^(1/252)</f>
        <v>12519763.588467354</v>
      </c>
      <c r="M431" s="2">
        <f>M430*(1+((1+VLOOKUP($B431,'IPCA Hist'!$B:$C,2,0))^12 - 1)+$M$2)^(1/252)</f>
        <v>10671139.124968627</v>
      </c>
      <c r="N431" s="2">
        <v>0</v>
      </c>
      <c r="O431" s="2">
        <v>0</v>
      </c>
      <c r="P431" s="2">
        <v>0</v>
      </c>
      <c r="Q431" s="2">
        <f>Q430*(1+((1+VLOOKUP($B431,'IPCA Hist'!$B:$C,2,0))^12 - 1)+$Q$2)^(1/252)</f>
        <v>45852836.309409201</v>
      </c>
      <c r="R431" s="2">
        <f>R430*(1+((1+VLOOKUP($B431,'IPCA Hist'!$B:$C,2,0))^12 - 1)+$R$2)^(1/252)</f>
        <v>45839202.371419899</v>
      </c>
      <c r="S431" s="2">
        <f>S430*(1+((1+VLOOKUP($B431,'IPCA Hist'!$B:$C,2,0))^12 - 1)+$S$2)^(1/252)</f>
        <v>46852698.682375334</v>
      </c>
      <c r="T431" s="2">
        <f>T430*(1+((1+VLOOKUP($B431,'IPCA Hist'!$B:$C,2,0))^12 - 1)+$T$2)^(1/252)</f>
        <v>236630797.0080871</v>
      </c>
      <c r="U431" s="2">
        <f>U430*(1+((1+VLOOKUP($B431,'IPCA Hist'!$B:$C,2,0))^12 - 1)+$U$2)^(1/252)</f>
        <v>20770855.866517741</v>
      </c>
      <c r="V431" s="2">
        <f>V430*(1+((1+VLOOKUP($B431,'IPCA Hist'!$B:$C,2,0))^12 - 1)+$V$2)^(1/252)</f>
        <v>80443016.293478981</v>
      </c>
      <c r="W431" s="2">
        <f>W430*(1+((1+VLOOKUP($B431,'IPCA Hist'!$B:$C,2,0))^12 - 1)+$W$2)^(1/252)</f>
        <v>42352740.565258116</v>
      </c>
      <c r="X431" s="2">
        <f>X430*(1+((1+VLOOKUP($B431,'IPCA Hist'!$B:$C,2,0))^12 - 1)+$X$2)^(1/252)</f>
        <v>14518033.231850887</v>
      </c>
      <c r="Y431" s="2">
        <v>0</v>
      </c>
      <c r="Z431" s="2">
        <f>Z430*(1+((1+VLOOKUP($B431,'IPCA Hist'!$B:$C,2,0))^12 - 1)+$Z$2)^(1/252)</f>
        <v>83167316.200920686</v>
      </c>
      <c r="AA431" s="2">
        <f>AA430*(1+((1+VLOOKUP($B431,'IPCA Hist'!$B:$C,2,0))^12 - 1)+$AA$2)^(1/252)</f>
        <v>41807420.854909718</v>
      </c>
      <c r="AB431" s="2">
        <f>AB430*(1+((1+VLOOKUP($B431,'IPCA Hist'!$B:$C,2,0))^12 - 1)+$AB$2)^(1/252)</f>
        <v>41821510.607859902</v>
      </c>
      <c r="AC431" s="2">
        <v>0</v>
      </c>
      <c r="AD431" s="2">
        <v>0</v>
      </c>
      <c r="AE431" s="2">
        <v>0</v>
      </c>
      <c r="AF431" s="2">
        <f>AF430*(1+((1+VLOOKUP($B431,'IGPM Hist'!$B:$C,2,0))^12 - 1)+$AF$2)^(1/252)</f>
        <v>1692089.5595748997</v>
      </c>
      <c r="AG431" s="2">
        <v>0</v>
      </c>
      <c r="AH431" s="2">
        <v>0</v>
      </c>
      <c r="AI431" s="2">
        <v>0</v>
      </c>
      <c r="AJ431" s="2">
        <f t="shared" ref="AJ431:AW431" si="126">AJ430*(1+AJ$2)^(1/252)</f>
        <v>54189695.942421533</v>
      </c>
      <c r="AK431" s="2">
        <f t="shared" si="126"/>
        <v>177689928.6324968</v>
      </c>
      <c r="AL431" s="2">
        <f t="shared" si="126"/>
        <v>36442188.52108486</v>
      </c>
      <c r="AM431" s="2">
        <f t="shared" si="126"/>
        <v>127584557.23733446</v>
      </c>
      <c r="AN431" s="2">
        <f t="shared" si="126"/>
        <v>54658013.195255607</v>
      </c>
      <c r="AO431" s="2">
        <f t="shared" si="126"/>
        <v>23381188.925763641</v>
      </c>
      <c r="AP431" s="2">
        <v>0</v>
      </c>
      <c r="AQ431" s="2">
        <v>0</v>
      </c>
      <c r="AR431" s="2">
        <v>0</v>
      </c>
      <c r="AS431" s="2">
        <f t="shared" si="126"/>
        <v>106488875.64492358</v>
      </c>
      <c r="AT431" s="2">
        <f t="shared" si="126"/>
        <v>5394934.8120223293</v>
      </c>
      <c r="AU431" s="2">
        <v>0</v>
      </c>
      <c r="AV431" s="2">
        <f t="shared" si="126"/>
        <v>54051198.706957325</v>
      </c>
      <c r="AW431" s="2">
        <f t="shared" si="126"/>
        <v>2788322.0678778747</v>
      </c>
      <c r="AX431" s="2">
        <v>0</v>
      </c>
      <c r="AY431" s="2">
        <v>0</v>
      </c>
      <c r="AZ431" s="2">
        <v>0</v>
      </c>
      <c r="BA431" s="2">
        <f>BA430*(1+VLOOKUP(A431,'SELIC Hist'!$A:$C,3,0))^(1/252)</f>
        <v>4173156.2590999766</v>
      </c>
      <c r="BB431" s="2">
        <f t="shared" ref="BB431:BB440" si="127">SUM(C431:BA431)</f>
        <v>1740729170.756983</v>
      </c>
      <c r="BC431" s="2">
        <v>0</v>
      </c>
      <c r="BD431" s="2">
        <v>0</v>
      </c>
      <c r="BE431" s="2">
        <f t="shared" si="87"/>
        <v>838129.09201002121</v>
      </c>
      <c r="BF431" s="2">
        <f t="shared" si="80"/>
        <v>3350080.1552534103</v>
      </c>
      <c r="BG431" s="2">
        <f t="shared" si="81"/>
        <v>42537694.666177034</v>
      </c>
      <c r="BH431" s="11">
        <f t="shared" ref="BH431:BH440" si="128">(1+(BB431-BB430-BC431+BD431)/BB430)*BH430</f>
        <v>1.1804987672696092</v>
      </c>
      <c r="BI431" s="12">
        <f t="shared" ref="BI431:BI440" si="129">BH431/BH430 - 1</f>
        <v>4.8171355098647339E-4</v>
      </c>
      <c r="BJ431" s="12">
        <f t="shared" ref="BJ431:BJ440" si="130">IF(MONTH(A431)=MONTH(A430),(1+BI431)*(1+BJ430) - 1,BI431)</f>
        <v>1.9282378689688962E-3</v>
      </c>
      <c r="BK431" s="12">
        <f t="shared" ref="BK431:BK440" si="131">IF(YEAR(A431)=YEAR(A430),(1+BI431)*(1+BK430) - 1,BI431)</f>
        <v>2.5067433700716402E-2</v>
      </c>
      <c r="BL431" s="5">
        <f t="shared" ref="BL431:BL440" si="132">(1+BI431)*(1+BL430) - 1</f>
        <v>0.18049876726960923</v>
      </c>
      <c r="BM431" s="19">
        <f t="shared" ref="BM431:BM440" si="133">BH431/BH305 - 1</f>
        <v>6.0431565383687991E-2</v>
      </c>
      <c r="BN431" s="19">
        <f t="shared" ref="BN431:BN440" si="134">BH431/BH179 - 1</f>
        <v>0.10565883160607159</v>
      </c>
      <c r="BO431" s="19" t="s">
        <v>53</v>
      </c>
    </row>
    <row r="432" spans="1:67" x14ac:dyDescent="0.25">
      <c r="A432" s="1">
        <v>45727</v>
      </c>
      <c r="B432" s="1" t="str">
        <f t="shared" si="125"/>
        <v>202503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f>I431*(1+((1+VLOOKUP($B432,'IPCA Hist'!$B:$C,2,0))^12 - 1)+$I$2)^(1/252)</f>
        <v>213215862.11944747</v>
      </c>
      <c r="J432" s="2">
        <f>J431*(1+((1+VLOOKUP($B432,'IPCA Hist'!$B:$C,2,0))^12 - 1)+$J$2)^(1/252)</f>
        <v>135335138.12091783</v>
      </c>
      <c r="K432" s="2">
        <f>K431*(1+((1+VLOOKUP($B432,'IPCA Hist'!$B:$C,2,0))^12 - 1)+$K$2)^(1/252)</f>
        <v>20568969.531288281</v>
      </c>
      <c r="L432" s="2">
        <f>L431*(1+((1+VLOOKUP($B432,'IPCA Hist'!$B:$C,2,0))^12 - 1)+$L$2)^(1/252)</f>
        <v>12526144.382769071</v>
      </c>
      <c r="M432" s="2">
        <f>M431*(1+((1+VLOOKUP($B432,'IPCA Hist'!$B:$C,2,0))^12 - 1)+$M$2)^(1/252)</f>
        <v>10676896.636934111</v>
      </c>
      <c r="N432" s="2">
        <v>0</v>
      </c>
      <c r="O432" s="2">
        <v>0</v>
      </c>
      <c r="P432" s="2">
        <v>0</v>
      </c>
      <c r="Q432" s="2">
        <f>Q431*(1+((1+VLOOKUP($B432,'IPCA Hist'!$B:$C,2,0))^12 - 1)+$Q$2)^(1/252)</f>
        <v>45873624.027601019</v>
      </c>
      <c r="R432" s="2">
        <f>R431*(1+((1+VLOOKUP($B432,'IPCA Hist'!$B:$C,2,0))^12 - 1)+$R$2)^(1/252)</f>
        <v>45860000.141943671</v>
      </c>
      <c r="S432" s="2">
        <f>S431*(1+((1+VLOOKUP($B432,'IPCA Hist'!$B:$C,2,0))^12 - 1)+$S$2)^(1/252)</f>
        <v>46873757.082875282</v>
      </c>
      <c r="T432" s="2">
        <f>T431*(1+((1+VLOOKUP($B432,'IPCA Hist'!$B:$C,2,0))^12 - 1)+$T$2)^(1/252)</f>
        <v>236737069.12891835</v>
      </c>
      <c r="U432" s="2">
        <f>U431*(1+((1+VLOOKUP($B432,'IPCA Hist'!$B:$C,2,0))^12 - 1)+$U$2)^(1/252)</f>
        <v>20781172.373242378</v>
      </c>
      <c r="V432" s="2">
        <f>V431*(1+((1+VLOOKUP($B432,'IPCA Hist'!$B:$C,2,0))^12 - 1)+$V$2)^(1/252)</f>
        <v>80487086.97821264</v>
      </c>
      <c r="W432" s="2">
        <f>W431*(1+((1+VLOOKUP($B432,'IPCA Hist'!$B:$C,2,0))^12 - 1)+$W$2)^(1/252)</f>
        <v>42376076.746641733</v>
      </c>
      <c r="X432" s="2">
        <f>X431*(1+((1+VLOOKUP($B432,'IPCA Hist'!$B:$C,2,0))^12 - 1)+$X$2)^(1/252)</f>
        <v>14525765.57882067</v>
      </c>
      <c r="Y432" s="2">
        <v>0</v>
      </c>
      <c r="Z432" s="2">
        <f>Z431*(1+((1+VLOOKUP($B432,'IPCA Hist'!$B:$C,2,0))^12 - 1)+$Z$2)^(1/252)</f>
        <v>83210949.477808282</v>
      </c>
      <c r="AA432" s="2">
        <f>AA431*(1+((1+VLOOKUP($B432,'IPCA Hist'!$B:$C,2,0))^12 - 1)+$AA$2)^(1/252)</f>
        <v>41831119.851833634</v>
      </c>
      <c r="AB432" s="2">
        <f>AB431*(1+((1+VLOOKUP($B432,'IPCA Hist'!$B:$C,2,0))^12 - 1)+$AB$2)^(1/252)</f>
        <v>41845203.195673749</v>
      </c>
      <c r="AC432" s="2">
        <v>0</v>
      </c>
      <c r="AD432" s="2">
        <v>0</v>
      </c>
      <c r="AE432" s="2">
        <v>0</v>
      </c>
      <c r="AF432" s="2">
        <f>AF431*(1+((1+VLOOKUP($B432,'IGPM Hist'!$B:$C,2,0))^12 - 1)+$AF$2)^(1/252)</f>
        <v>1692238.6057249738</v>
      </c>
      <c r="AG432" s="2">
        <v>0</v>
      </c>
      <c r="AH432" s="2">
        <v>0</v>
      </c>
      <c r="AI432" s="2">
        <v>0</v>
      </c>
      <c r="AJ432" s="2">
        <f t="shared" ref="AJ432:AW432" si="135">AJ431*(1+AJ$2)^(1/252)</f>
        <v>54214645.022745624</v>
      </c>
      <c r="AK432" s="2">
        <f t="shared" si="135"/>
        <v>177775777.78458196</v>
      </c>
      <c r="AL432" s="2">
        <f t="shared" si="135"/>
        <v>36459801.613122724</v>
      </c>
      <c r="AM432" s="2">
        <f t="shared" si="135"/>
        <v>127646187.25686216</v>
      </c>
      <c r="AN432" s="2">
        <f t="shared" si="135"/>
        <v>54684435.089474663</v>
      </c>
      <c r="AO432" s="2">
        <f t="shared" si="135"/>
        <v>23394599.817325849</v>
      </c>
      <c r="AP432" s="2">
        <v>0</v>
      </c>
      <c r="AQ432" s="2">
        <v>0</v>
      </c>
      <c r="AR432" s="2">
        <v>0</v>
      </c>
      <c r="AS432" s="2">
        <f t="shared" si="135"/>
        <v>106536319.29013166</v>
      </c>
      <c r="AT432" s="2">
        <f t="shared" si="135"/>
        <v>5397987.067706136</v>
      </c>
      <c r="AU432" s="2">
        <v>0</v>
      </c>
      <c r="AV432" s="2">
        <f t="shared" si="135"/>
        <v>54075797.202990316</v>
      </c>
      <c r="AW432" s="2">
        <f t="shared" si="135"/>
        <v>2789879.4189000418</v>
      </c>
      <c r="AX432" s="2">
        <v>0</v>
      </c>
      <c r="AY432" s="2">
        <v>0</v>
      </c>
      <c r="AZ432" s="2">
        <v>0</v>
      </c>
      <c r="BA432" s="2">
        <f>BA431*(1+VLOOKUP(A432,'SELIC Hist'!$A:$C,3,0))^(1/252)</f>
        <v>4175202.6701881913</v>
      </c>
      <c r="BB432" s="2">
        <f t="shared" si="127"/>
        <v>1741567706.2146821</v>
      </c>
      <c r="BC432" s="2">
        <v>0</v>
      </c>
      <c r="BD432" s="2">
        <v>0</v>
      </c>
      <c r="BE432" s="2">
        <f t="shared" si="87"/>
        <v>838535.45769906044</v>
      </c>
      <c r="BF432" s="2">
        <f t="shared" si="80"/>
        <v>4188615.6129524708</v>
      </c>
      <c r="BG432" s="2">
        <f t="shared" si="81"/>
        <v>43376230.123876095</v>
      </c>
      <c r="BH432" s="11">
        <f t="shared" si="128"/>
        <v>1.1810674313046328</v>
      </c>
      <c r="BI432" s="12">
        <f t="shared" si="129"/>
        <v>4.8171506043903634E-4</v>
      </c>
      <c r="BJ432" s="12">
        <f t="shared" si="130"/>
        <v>2.4108817906294266E-3</v>
      </c>
      <c r="BK432" s="12">
        <f t="shared" si="131"/>
        <v>2.5561224121495529E-2</v>
      </c>
      <c r="BL432" s="5">
        <f t="shared" si="132"/>
        <v>0.18106743130463276</v>
      </c>
      <c r="BM432" s="19">
        <f t="shared" si="133"/>
        <v>6.0507272320546424E-2</v>
      </c>
      <c r="BN432" s="19">
        <f t="shared" si="134"/>
        <v>0.10559832096263588</v>
      </c>
      <c r="BO432" s="19" t="s">
        <v>53</v>
      </c>
    </row>
    <row r="433" spans="1:67" x14ac:dyDescent="0.25">
      <c r="A433" s="1">
        <v>45728</v>
      </c>
      <c r="B433" s="1" t="str">
        <f t="shared" si="125"/>
        <v>202503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f>I432*(1+((1+VLOOKUP($B433,'IPCA Hist'!$B:$C,2,0))^12 - 1)+$I$2)^(1/252)</f>
        <v>213316367.45310801</v>
      </c>
      <c r="J433" s="2">
        <f>J432*(1+((1+VLOOKUP($B433,'IPCA Hist'!$B:$C,2,0))^12 - 1)+$J$2)^(1/252)</f>
        <v>135396589.14431912</v>
      </c>
      <c r="K433" s="2">
        <f>K432*(1+((1+VLOOKUP($B433,'IPCA Hist'!$B:$C,2,0))^12 - 1)+$K$2)^(1/252)</f>
        <v>20579372.9022309</v>
      </c>
      <c r="L433" s="2">
        <f>L432*(1+((1+VLOOKUP($B433,'IPCA Hist'!$B:$C,2,0))^12 - 1)+$L$2)^(1/252)</f>
        <v>12532528.429091932</v>
      </c>
      <c r="M433" s="2">
        <f>M432*(1+((1+VLOOKUP($B433,'IPCA Hist'!$B:$C,2,0))^12 - 1)+$M$2)^(1/252)</f>
        <v>10682657.255310601</v>
      </c>
      <c r="N433" s="2">
        <v>0</v>
      </c>
      <c r="O433" s="2">
        <v>0</v>
      </c>
      <c r="P433" s="2">
        <v>0</v>
      </c>
      <c r="Q433" s="2">
        <f>Q432*(1+((1+VLOOKUP($B433,'IPCA Hist'!$B:$C,2,0))^12 - 1)+$Q$2)^(1/252)</f>
        <v>45894421.170056686</v>
      </c>
      <c r="R433" s="2">
        <f>R432*(1+((1+VLOOKUP($B433,'IPCA Hist'!$B:$C,2,0))^12 - 1)+$R$2)^(1/252)</f>
        <v>45880807.34865386</v>
      </c>
      <c r="S433" s="2">
        <f>S432*(1+((1+VLOOKUP($B433,'IPCA Hist'!$B:$C,2,0))^12 - 1)+$S$2)^(1/252)</f>
        <v>46894824.948277868</v>
      </c>
      <c r="T433" s="2">
        <f>T432*(1+((1+VLOOKUP($B433,'IPCA Hist'!$B:$C,2,0))^12 - 1)+$T$2)^(1/252)</f>
        <v>236843388.97711143</v>
      </c>
      <c r="U433" s="2">
        <f>U432*(1+((1+VLOOKUP($B433,'IPCA Hist'!$B:$C,2,0))^12 - 1)+$U$2)^(1/252)</f>
        <v>20791494.003988467</v>
      </c>
      <c r="V433" s="2">
        <f>V432*(1+((1+VLOOKUP($B433,'IPCA Hist'!$B:$C,2,0))^12 - 1)+$V$2)^(1/252)</f>
        <v>80531181.80705902</v>
      </c>
      <c r="W433" s="2">
        <f>W432*(1+((1+VLOOKUP($B433,'IPCA Hist'!$B:$C,2,0))^12 - 1)+$W$2)^(1/252)</f>
        <v>42399425.786162846</v>
      </c>
      <c r="X433" s="2">
        <f>X432*(1+((1+VLOOKUP($B433,'IPCA Hist'!$B:$C,2,0))^12 - 1)+$X$2)^(1/252)</f>
        <v>14533502.04406107</v>
      </c>
      <c r="Y433" s="2">
        <v>0</v>
      </c>
      <c r="Z433" s="2">
        <f>Z432*(1+((1+VLOOKUP($B433,'IPCA Hist'!$B:$C,2,0))^12 - 1)+$Z$2)^(1/252)</f>
        <v>83254605.646655604</v>
      </c>
      <c r="AA433" s="2">
        <f>AA432*(1+((1+VLOOKUP($B433,'IPCA Hist'!$B:$C,2,0))^12 - 1)+$AA$2)^(1/252)</f>
        <v>41854832.282794945</v>
      </c>
      <c r="AB433" s="2">
        <f>AB432*(1+((1+VLOOKUP($B433,'IPCA Hist'!$B:$C,2,0))^12 - 1)+$AB$2)^(1/252)</f>
        <v>41868909.205736317</v>
      </c>
      <c r="AC433" s="2">
        <v>0</v>
      </c>
      <c r="AD433" s="2">
        <v>0</v>
      </c>
      <c r="AE433" s="2">
        <v>0</v>
      </c>
      <c r="AF433" s="2">
        <f>AF432*(1+((1+VLOOKUP($B433,'IGPM Hist'!$B:$C,2,0))^12 - 1)+$AF$2)^(1/252)</f>
        <v>1692387.6650036408</v>
      </c>
      <c r="AG433" s="2">
        <v>0</v>
      </c>
      <c r="AH433" s="2">
        <v>0</v>
      </c>
      <c r="AI433" s="2">
        <v>0</v>
      </c>
      <c r="AJ433" s="2">
        <f t="shared" ref="AJ433:AW433" si="136">AJ432*(1+AJ$2)^(1/252)</f>
        <v>54239605.589692734</v>
      </c>
      <c r="AK433" s="2">
        <f t="shared" si="136"/>
        <v>177861668.41384575</v>
      </c>
      <c r="AL433" s="2">
        <f t="shared" si="136"/>
        <v>36477423.217849419</v>
      </c>
      <c r="AM433" s="2">
        <f t="shared" si="136"/>
        <v>127707847.04691531</v>
      </c>
      <c r="AN433" s="2">
        <f t="shared" si="136"/>
        <v>54710869.756139204</v>
      </c>
      <c r="AO433" s="2">
        <f t="shared" si="136"/>
        <v>23408018.401055172</v>
      </c>
      <c r="AP433" s="2">
        <v>0</v>
      </c>
      <c r="AQ433" s="2">
        <v>0</v>
      </c>
      <c r="AR433" s="2">
        <v>0</v>
      </c>
      <c r="AS433" s="2">
        <f t="shared" si="136"/>
        <v>106583784.07275392</v>
      </c>
      <c r="AT433" s="2">
        <f t="shared" si="136"/>
        <v>5401041.0502439421</v>
      </c>
      <c r="AU433" s="2">
        <v>0</v>
      </c>
      <c r="AV433" s="2">
        <f t="shared" si="136"/>
        <v>54100406.893705785</v>
      </c>
      <c r="AW433" s="2">
        <f t="shared" si="136"/>
        <v>2791437.6397436094</v>
      </c>
      <c r="AX433" s="2">
        <v>0</v>
      </c>
      <c r="AY433" s="2">
        <v>0</v>
      </c>
      <c r="AZ433" s="2">
        <v>0</v>
      </c>
      <c r="BA433" s="2">
        <f>BA432*(1+VLOOKUP(A433,'SELIC Hist'!$A:$C,3,0))^(1/252)</f>
        <v>4177250.0847850414</v>
      </c>
      <c r="BB433" s="2">
        <f t="shared" si="127"/>
        <v>1742406648.2363522</v>
      </c>
      <c r="BC433" s="2">
        <v>0</v>
      </c>
      <c r="BD433" s="2">
        <v>0</v>
      </c>
      <c r="BE433" s="2">
        <f t="shared" si="87"/>
        <v>838942.02167010307</v>
      </c>
      <c r="BF433" s="2">
        <f t="shared" si="80"/>
        <v>5027557.6346225739</v>
      </c>
      <c r="BG433" s="2">
        <f t="shared" si="81"/>
        <v>44215172.145546198</v>
      </c>
      <c r="BH433" s="11">
        <f t="shared" si="128"/>
        <v>1.1816363710564504</v>
      </c>
      <c r="BI433" s="12">
        <f t="shared" si="129"/>
        <v>4.817165698907111E-4</v>
      </c>
      <c r="BJ433" s="12">
        <f t="shared" si="130"/>
        <v>2.8937597222267186E-3</v>
      </c>
      <c r="BK433" s="12">
        <f t="shared" si="131"/>
        <v>2.6055253956592361E-2</v>
      </c>
      <c r="BL433" s="5">
        <f t="shared" si="132"/>
        <v>0.18163637105645036</v>
      </c>
      <c r="BM433" s="19">
        <f t="shared" si="133"/>
        <v>6.0582985878841589E-2</v>
      </c>
      <c r="BN433" s="19">
        <f t="shared" si="134"/>
        <v>0.10621055762822329</v>
      </c>
      <c r="BO433" s="19" t="s">
        <v>53</v>
      </c>
    </row>
    <row r="434" spans="1:67" x14ac:dyDescent="0.25">
      <c r="A434" s="1">
        <v>45729</v>
      </c>
      <c r="B434" s="1" t="str">
        <f t="shared" si="125"/>
        <v>202503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f>I433*(1+((1+VLOOKUP($B434,'IPCA Hist'!$B:$C,2,0))^12 - 1)+$I$2)^(1/252)</f>
        <v>213416920.16280332</v>
      </c>
      <c r="J434" s="2">
        <f>J433*(1+((1+VLOOKUP($B434,'IPCA Hist'!$B:$C,2,0))^12 - 1)+$J$2)^(1/252)</f>
        <v>135458068.07051289</v>
      </c>
      <c r="K434" s="2">
        <f>K433*(1+((1+VLOOKUP($B434,'IPCA Hist'!$B:$C,2,0))^12 - 1)+$K$2)^(1/252)</f>
        <v>20589781.534989227</v>
      </c>
      <c r="L434" s="2">
        <f>L433*(1+((1+VLOOKUP($B434,'IPCA Hist'!$B:$C,2,0))^12 - 1)+$L$2)^(1/252)</f>
        <v>12538915.729093358</v>
      </c>
      <c r="M434" s="2">
        <f>M433*(1+((1+VLOOKUP($B434,'IPCA Hist'!$B:$C,2,0))^12 - 1)+$M$2)^(1/252)</f>
        <v>10688420.981774133</v>
      </c>
      <c r="N434" s="2">
        <v>0</v>
      </c>
      <c r="O434" s="2">
        <v>0</v>
      </c>
      <c r="P434" s="2">
        <v>0</v>
      </c>
      <c r="Q434" s="2">
        <f>Q433*(1+((1+VLOOKUP($B434,'IPCA Hist'!$B:$C,2,0))^12 - 1)+$Q$2)^(1/252)</f>
        <v>45915227.741048761</v>
      </c>
      <c r="R434" s="2">
        <f>R433*(1+((1+VLOOKUP($B434,'IPCA Hist'!$B:$C,2,0))^12 - 1)+$R$2)^(1/252)</f>
        <v>45901623.995831773</v>
      </c>
      <c r="S434" s="2">
        <f>S433*(1+((1+VLOOKUP($B434,'IPCA Hist'!$B:$C,2,0))^12 - 1)+$S$2)^(1/252)</f>
        <v>46915902.282837197</v>
      </c>
      <c r="T434" s="2">
        <f>T433*(1+((1+VLOOKUP($B434,'IPCA Hist'!$B:$C,2,0))^12 - 1)+$T$2)^(1/252)</f>
        <v>236949756.57410091</v>
      </c>
      <c r="U434" s="2">
        <f>U433*(1+((1+VLOOKUP($B434,'IPCA Hist'!$B:$C,2,0))^12 - 1)+$U$2)^(1/252)</f>
        <v>20801820.761301015</v>
      </c>
      <c r="V434" s="2">
        <f>V433*(1+((1+VLOOKUP($B434,'IPCA Hist'!$B:$C,2,0))^12 - 1)+$V$2)^(1/252)</f>
        <v>80575300.793245465</v>
      </c>
      <c r="W434" s="2">
        <f>W433*(1+((1+VLOOKUP($B434,'IPCA Hist'!$B:$C,2,0))^12 - 1)+$W$2)^(1/252)</f>
        <v>42422787.690906234</v>
      </c>
      <c r="X434" s="2">
        <f>X433*(1+((1+VLOOKUP($B434,'IPCA Hist'!$B:$C,2,0))^12 - 1)+$X$2)^(1/252)</f>
        <v>14541242.62976549</v>
      </c>
      <c r="Y434" s="2">
        <v>0</v>
      </c>
      <c r="Z434" s="2">
        <f>Z433*(1+((1+VLOOKUP($B434,'IPCA Hist'!$B:$C,2,0))^12 - 1)+$Z$2)^(1/252)</f>
        <v>83298284.719472781</v>
      </c>
      <c r="AA434" s="2">
        <f>AA433*(1+((1+VLOOKUP($B434,'IPCA Hist'!$B:$C,2,0))^12 - 1)+$AA$2)^(1/252)</f>
        <v>41878558.155408882</v>
      </c>
      <c r="AB434" s="2">
        <f>AB433*(1+((1+VLOOKUP($B434,'IPCA Hist'!$B:$C,2,0))^12 - 1)+$AB$2)^(1/252)</f>
        <v>41892628.645651534</v>
      </c>
      <c r="AC434" s="2">
        <v>0</v>
      </c>
      <c r="AD434" s="2">
        <v>0</v>
      </c>
      <c r="AE434" s="2">
        <v>0</v>
      </c>
      <c r="AF434" s="2">
        <f>AF433*(1+((1+VLOOKUP($B434,'IGPM Hist'!$B:$C,2,0))^12 - 1)+$AF$2)^(1/252)</f>
        <v>1692536.7374120569</v>
      </c>
      <c r="AG434" s="2">
        <v>0</v>
      </c>
      <c r="AH434" s="2">
        <v>0</v>
      </c>
      <c r="AI434" s="2">
        <v>0</v>
      </c>
      <c r="AJ434" s="2">
        <f t="shared" ref="AJ434:AW434" si="137">AJ433*(1+AJ$2)^(1/252)</f>
        <v>54264577.648551345</v>
      </c>
      <c r="AK434" s="2">
        <f t="shared" si="137"/>
        <v>177947600.54032749</v>
      </c>
      <c r="AL434" s="2">
        <f t="shared" si="137"/>
        <v>36495053.339379258</v>
      </c>
      <c r="AM434" s="2">
        <f t="shared" si="137"/>
        <v>127769536.62187462</v>
      </c>
      <c r="AN434" s="2">
        <f t="shared" si="137"/>
        <v>54737317.201423489</v>
      </c>
      <c r="AO434" s="2">
        <f t="shared" si="137"/>
        <v>23421444.68136365</v>
      </c>
      <c r="AP434" s="2">
        <v>0</v>
      </c>
      <c r="AQ434" s="2">
        <v>0</v>
      </c>
      <c r="AR434" s="2">
        <v>0</v>
      </c>
      <c r="AS434" s="2">
        <f t="shared" si="137"/>
        <v>106631270.00220765</v>
      </c>
      <c r="AT434" s="2">
        <f t="shared" si="137"/>
        <v>5404096.7606127383</v>
      </c>
      <c r="AU434" s="2">
        <v>0</v>
      </c>
      <c r="AV434" s="2">
        <f t="shared" si="137"/>
        <v>54125027.784198388</v>
      </c>
      <c r="AW434" s="2">
        <f t="shared" si="137"/>
        <v>2792996.7308943956</v>
      </c>
      <c r="AX434" s="2">
        <v>0</v>
      </c>
      <c r="AY434" s="2">
        <v>0</v>
      </c>
      <c r="AZ434" s="2">
        <v>0</v>
      </c>
      <c r="BA434" s="2">
        <f>BA433*(1+VLOOKUP(A434,'SELIC Hist'!$A:$C,3,0))^(1/252)</f>
        <v>4179298.5033826218</v>
      </c>
      <c r="BB434" s="2">
        <f t="shared" si="127"/>
        <v>1743245997.0203705</v>
      </c>
      <c r="BC434" s="2">
        <v>0</v>
      </c>
      <c r="BD434" s="2">
        <v>0</v>
      </c>
      <c r="BE434" s="2">
        <f t="shared" si="87"/>
        <v>839348.78401827812</v>
      </c>
      <c r="BF434" s="2">
        <f t="shared" si="80"/>
        <v>5866906.418640852</v>
      </c>
      <c r="BG434" s="2">
        <f t="shared" si="81"/>
        <v>45054520.929564476</v>
      </c>
      <c r="BH434" s="11">
        <f t="shared" si="128"/>
        <v>1.1822055866595944</v>
      </c>
      <c r="BI434" s="12">
        <f t="shared" si="129"/>
        <v>4.8171807934038746E-4</v>
      </c>
      <c r="BJ434" s="12">
        <f t="shared" si="130"/>
        <v>3.3768717779425472E-3</v>
      </c>
      <c r="BK434" s="12">
        <f t="shared" si="131"/>
        <v>2.6549523322825452E-2</v>
      </c>
      <c r="BL434" s="5">
        <f t="shared" si="132"/>
        <v>0.18220558665959441</v>
      </c>
      <c r="BM434" s="19">
        <f t="shared" si="133"/>
        <v>6.0658706059208978E-2</v>
      </c>
      <c r="BN434" s="19">
        <f t="shared" si="134"/>
        <v>0.10600673097638458</v>
      </c>
      <c r="BO434" s="19" t="s">
        <v>53</v>
      </c>
    </row>
    <row r="435" spans="1:67" x14ac:dyDescent="0.25">
      <c r="A435" s="1">
        <v>45730</v>
      </c>
      <c r="B435" s="1" t="str">
        <f t="shared" si="125"/>
        <v>202503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f>I434*(1+((1+VLOOKUP($B435,'IPCA Hist'!$B:$C,2,0))^12 - 1)+$I$2)^(1/252)</f>
        <v>213517520.27086541</v>
      </c>
      <c r="J435" s="2">
        <f>J434*(1+((1+VLOOKUP($B435,'IPCA Hist'!$B:$C,2,0))^12 - 1)+$J$2)^(1/252)</f>
        <v>135519574.91216886</v>
      </c>
      <c r="K435" s="2">
        <f>K434*(1+((1+VLOOKUP($B435,'IPCA Hist'!$B:$C,2,0))^12 - 1)+$K$2)^(1/252)</f>
        <v>20600195.432224579</v>
      </c>
      <c r="L435" s="2">
        <f>L434*(1+((1+VLOOKUP($B435,'IPCA Hist'!$B:$C,2,0))^12 - 1)+$L$2)^(1/252)</f>
        <v>12545306.284431608</v>
      </c>
      <c r="M435" s="2">
        <f>M434*(1+((1+VLOOKUP($B435,'IPCA Hist'!$B:$C,2,0))^12 - 1)+$M$2)^(1/252)</f>
        <v>10694187.818001645</v>
      </c>
      <c r="N435" s="2">
        <v>0</v>
      </c>
      <c r="O435" s="2">
        <v>0</v>
      </c>
      <c r="P435" s="2">
        <v>0</v>
      </c>
      <c r="Q435" s="2">
        <f>Q434*(1+((1+VLOOKUP($B435,'IPCA Hist'!$B:$C,2,0))^12 - 1)+$Q$2)^(1/252)</f>
        <v>45936043.744851746</v>
      </c>
      <c r="R435" s="2">
        <f>R434*(1+((1+VLOOKUP($B435,'IPCA Hist'!$B:$C,2,0))^12 - 1)+$R$2)^(1/252)</f>
        <v>45922450.08776065</v>
      </c>
      <c r="S435" s="2">
        <f>S434*(1+((1+VLOOKUP($B435,'IPCA Hist'!$B:$C,2,0))^12 - 1)+$S$2)^(1/252)</f>
        <v>46936989.090809263</v>
      </c>
      <c r="T435" s="2">
        <f>T434*(1+((1+VLOOKUP($B435,'IPCA Hist'!$B:$C,2,0))^12 - 1)+$T$2)^(1/252)</f>
        <v>237056171.94133106</v>
      </c>
      <c r="U435" s="2">
        <f>U434*(1+((1+VLOOKUP($B435,'IPCA Hist'!$B:$C,2,0))^12 - 1)+$U$2)^(1/252)</f>
        <v>20812152.647726294</v>
      </c>
      <c r="V435" s="2">
        <f>V434*(1+((1+VLOOKUP($B435,'IPCA Hist'!$B:$C,2,0))^12 - 1)+$V$2)^(1/252)</f>
        <v>80619443.950006559</v>
      </c>
      <c r="W435" s="2">
        <f>W434*(1+((1+VLOOKUP($B435,'IPCA Hist'!$B:$C,2,0))^12 - 1)+$W$2)^(1/252)</f>
        <v>42446162.467960589</v>
      </c>
      <c r="X435" s="2">
        <f>X434*(1+((1+VLOOKUP($B435,'IPCA Hist'!$B:$C,2,0))^12 - 1)+$X$2)^(1/252)</f>
        <v>14548987.3381285</v>
      </c>
      <c r="Y435" s="2">
        <v>0</v>
      </c>
      <c r="Z435" s="2">
        <f>Z434*(1+((1+VLOOKUP($B435,'IPCA Hist'!$B:$C,2,0))^12 - 1)+$Z$2)^(1/252)</f>
        <v>83341986.708276242</v>
      </c>
      <c r="AA435" s="2">
        <f>AA434*(1+((1+VLOOKUP($B435,'IPCA Hist'!$B:$C,2,0))^12 - 1)+$AA$2)^(1/252)</f>
        <v>41902297.477294996</v>
      </c>
      <c r="AB435" s="2">
        <f>AB434*(1+((1+VLOOKUP($B435,'IPCA Hist'!$B:$C,2,0))^12 - 1)+$AB$2)^(1/252)</f>
        <v>41916361.523027644</v>
      </c>
      <c r="AC435" s="2">
        <v>0</v>
      </c>
      <c r="AD435" s="2">
        <v>0</v>
      </c>
      <c r="AE435" s="2">
        <v>0</v>
      </c>
      <c r="AF435" s="2">
        <f>AF434*(1+((1+VLOOKUP($B435,'IGPM Hist'!$B:$C,2,0))^12 - 1)+$AF$2)^(1/252)</f>
        <v>1692685.8229513788</v>
      </c>
      <c r="AG435" s="2">
        <v>0</v>
      </c>
      <c r="AH435" s="2">
        <v>0</v>
      </c>
      <c r="AI435" s="2">
        <v>0</v>
      </c>
      <c r="AJ435" s="2">
        <f t="shared" ref="AJ435:AW435" si="138">AJ434*(1+AJ$2)^(1/252)</f>
        <v>54289561.204612352</v>
      </c>
      <c r="AK435" s="2">
        <f t="shared" si="138"/>
        <v>178033574.18407616</v>
      </c>
      <c r="AL435" s="2">
        <f t="shared" si="138"/>
        <v>36512691.981828555</v>
      </c>
      <c r="AM435" s="2">
        <f t="shared" si="138"/>
        <v>127831255.99612775</v>
      </c>
      <c r="AN435" s="2">
        <f t="shared" si="138"/>
        <v>54763777.431504741</v>
      </c>
      <c r="AO435" s="2">
        <f t="shared" si="138"/>
        <v>23434878.662665855</v>
      </c>
      <c r="AP435" s="2">
        <v>0</v>
      </c>
      <c r="AQ435" s="2">
        <v>0</v>
      </c>
      <c r="AR435" s="2">
        <v>0</v>
      </c>
      <c r="AS435" s="2">
        <f t="shared" si="138"/>
        <v>106678777.08791433</v>
      </c>
      <c r="AT435" s="2">
        <f t="shared" si="138"/>
        <v>5407154.1997900689</v>
      </c>
      <c r="AU435" s="2">
        <v>0</v>
      </c>
      <c r="AV435" s="2">
        <f t="shared" si="138"/>
        <v>54149659.879565105</v>
      </c>
      <c r="AW435" s="2">
        <f t="shared" si="138"/>
        <v>2794556.69283849</v>
      </c>
      <c r="AX435" s="2">
        <v>0</v>
      </c>
      <c r="AY435" s="2">
        <v>0</v>
      </c>
      <c r="AZ435" s="2">
        <v>0</v>
      </c>
      <c r="BA435" s="2">
        <f>BA434*(1+VLOOKUP(A435,'SELIC Hist'!$A:$C,3,0))^(1/252)</f>
        <v>4181347.9264732697</v>
      </c>
      <c r="BB435" s="2">
        <f t="shared" si="127"/>
        <v>1744085752.7652133</v>
      </c>
      <c r="BC435" s="2">
        <v>0</v>
      </c>
      <c r="BD435" s="2">
        <v>0</v>
      </c>
      <c r="BE435" s="2">
        <f t="shared" si="87"/>
        <v>839755.74484276772</v>
      </c>
      <c r="BF435" s="2">
        <f t="shared" si="80"/>
        <v>6706662.1634836197</v>
      </c>
      <c r="BG435" s="2">
        <f t="shared" si="81"/>
        <v>45894276.674407244</v>
      </c>
      <c r="BH435" s="11">
        <f t="shared" si="128"/>
        <v>1.1827750782486641</v>
      </c>
      <c r="BI435" s="12">
        <f t="shared" si="129"/>
        <v>4.817195887889536E-4</v>
      </c>
      <c r="BJ435" s="12">
        <f t="shared" si="130"/>
        <v>3.8602180720157531E-3</v>
      </c>
      <c r="BK435" s="12">
        <f t="shared" si="131"/>
        <v>2.7044032337071977E-2</v>
      </c>
      <c r="BL435" s="5">
        <f t="shared" si="132"/>
        <v>0.18277507824866412</v>
      </c>
      <c r="BM435" s="19">
        <f t="shared" si="133"/>
        <v>6.0734432862283638E-2</v>
      </c>
      <c r="BN435" s="19">
        <f t="shared" si="134"/>
        <v>0.10611756098535396</v>
      </c>
      <c r="BO435" s="19" t="s">
        <v>53</v>
      </c>
    </row>
    <row r="436" spans="1:67" x14ac:dyDescent="0.25">
      <c r="A436" s="1">
        <v>45733</v>
      </c>
      <c r="B436" s="1" t="str">
        <f t="shared" si="125"/>
        <v>202503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f>I435*(1+((1+VLOOKUP($B436,'IPCA Hist'!$B:$C,2,0))^12 - 1)+$I$2)^(1/252)</f>
        <v>213618167.79963687</v>
      </c>
      <c r="J436" s="2">
        <f>J435*(1+((1+VLOOKUP($B436,'IPCA Hist'!$B:$C,2,0))^12 - 1)+$J$2)^(1/252)</f>
        <v>135581109.68196249</v>
      </c>
      <c r="K436" s="2">
        <f>K435*(1+((1+VLOOKUP($B436,'IPCA Hist'!$B:$C,2,0))^12 - 1)+$K$2)^(1/252)</f>
        <v>20610614.596599627</v>
      </c>
      <c r="L436" s="2">
        <f>L435*(1+((1+VLOOKUP($B436,'IPCA Hist'!$B:$C,2,0))^12 - 1)+$L$2)^(1/252)</f>
        <v>12551700.096765792</v>
      </c>
      <c r="M436" s="2">
        <f>M435*(1+((1+VLOOKUP($B436,'IPCA Hist'!$B:$C,2,0))^12 - 1)+$M$2)^(1/252)</f>
        <v>10699957.765670981</v>
      </c>
      <c r="N436" s="2">
        <v>0</v>
      </c>
      <c r="O436" s="2">
        <v>0</v>
      </c>
      <c r="P436" s="2">
        <v>0</v>
      </c>
      <c r="Q436" s="2">
        <f>Q435*(1+((1+VLOOKUP($B436,'IPCA Hist'!$B:$C,2,0))^12 - 1)+$Q$2)^(1/252)</f>
        <v>45956869.185742065</v>
      </c>
      <c r="R436" s="2">
        <f>R435*(1+((1+VLOOKUP($B436,'IPCA Hist'!$B:$C,2,0))^12 - 1)+$R$2)^(1/252)</f>
        <v>45943285.628725693</v>
      </c>
      <c r="S436" s="2">
        <f>S435*(1+((1+VLOOKUP($B436,'IPCA Hist'!$B:$C,2,0))^12 - 1)+$S$2)^(1/252)</f>
        <v>46958085.376451991</v>
      </c>
      <c r="T436" s="2">
        <f>T435*(1+((1+VLOOKUP($B436,'IPCA Hist'!$B:$C,2,0))^12 - 1)+$T$2)^(1/252)</f>
        <v>237162635.10025573</v>
      </c>
      <c r="U436" s="2">
        <f>U435*(1+((1+VLOOKUP($B436,'IPCA Hist'!$B:$C,2,0))^12 - 1)+$U$2)^(1/252)</f>
        <v>20822489.66581184</v>
      </c>
      <c r="V436" s="2">
        <f>V435*(1+((1+VLOOKUP($B436,'IPCA Hist'!$B:$C,2,0))^12 - 1)+$V$2)^(1/252)</f>
        <v>80663611.290584162</v>
      </c>
      <c r="W436" s="2">
        <f>W435*(1+((1+VLOOKUP($B436,'IPCA Hist'!$B:$C,2,0))^12 - 1)+$W$2)^(1/252)</f>
        <v>42469550.12441849</v>
      </c>
      <c r="X436" s="2">
        <f>X435*(1+((1+VLOOKUP($B436,'IPCA Hist'!$B:$C,2,0))^12 - 1)+$X$2)^(1/252)</f>
        <v>14556736.171345839</v>
      </c>
      <c r="Y436" s="2">
        <v>0</v>
      </c>
      <c r="Z436" s="2">
        <f>Z435*(1+((1+VLOOKUP($B436,'IPCA Hist'!$B:$C,2,0))^12 - 1)+$Z$2)^(1/252)</f>
        <v>83385711.625088751</v>
      </c>
      <c r="AA436" s="2">
        <f>AA435*(1+((1+VLOOKUP($B436,'IPCA Hist'!$B:$C,2,0))^12 - 1)+$AA$2)^(1/252)</f>
        <v>41926050.256077155</v>
      </c>
      <c r="AB436" s="2">
        <f>AB435*(1+((1+VLOOKUP($B436,'IPCA Hist'!$B:$C,2,0))^12 - 1)+$AB$2)^(1/252)</f>
        <v>41940107.845477186</v>
      </c>
      <c r="AC436" s="2">
        <v>0</v>
      </c>
      <c r="AD436" s="2">
        <v>0</v>
      </c>
      <c r="AE436" s="2">
        <v>0</v>
      </c>
      <c r="AF436" s="2">
        <f>AF435*(1+((1+VLOOKUP($B436,'IGPM Hist'!$B:$C,2,0))^12 - 1)+$AF$2)^(1/252)</f>
        <v>1692834.9216227632</v>
      </c>
      <c r="AG436" s="2">
        <v>0</v>
      </c>
      <c r="AH436" s="2">
        <v>0</v>
      </c>
      <c r="AI436" s="2">
        <v>0</v>
      </c>
      <c r="AJ436" s="2">
        <f t="shared" ref="AJ436:AW436" si="139">AJ435*(1+AJ$2)^(1/252)</f>
        <v>54314556.263169102</v>
      </c>
      <c r="AK436" s="2">
        <f t="shared" si="139"/>
        <v>178119589.36515039</v>
      </c>
      <c r="AL436" s="2">
        <f t="shared" si="139"/>
        <v>36530339.149315603</v>
      </c>
      <c r="AM436" s="2">
        <f t="shared" si="139"/>
        <v>127893005.18406935</v>
      </c>
      <c r="AN436" s="2">
        <f t="shared" si="139"/>
        <v>54790250.452563189</v>
      </c>
      <c r="AO436" s="2">
        <f t="shared" si="139"/>
        <v>23448320.349378895</v>
      </c>
      <c r="AP436" s="2">
        <v>0</v>
      </c>
      <c r="AQ436" s="2">
        <v>0</v>
      </c>
      <c r="AR436" s="2">
        <v>0</v>
      </c>
      <c r="AS436" s="2">
        <f t="shared" si="139"/>
        <v>106726305.33929963</v>
      </c>
      <c r="AT436" s="2">
        <f t="shared" si="139"/>
        <v>5410213.3687540293</v>
      </c>
      <c r="AU436" s="2">
        <v>0</v>
      </c>
      <c r="AV436" s="2">
        <f t="shared" si="139"/>
        <v>54174303.184905231</v>
      </c>
      <c r="AW436" s="2">
        <f t="shared" si="139"/>
        <v>2796117.5260622534</v>
      </c>
      <c r="AX436" s="2">
        <v>0</v>
      </c>
      <c r="AY436" s="2">
        <v>0</v>
      </c>
      <c r="AZ436" s="2">
        <v>0</v>
      </c>
      <c r="BA436" s="2">
        <f>BA435*(1+VLOOKUP(A436,'SELIC Hist'!$A:$C,3,0))^(1/252)</f>
        <v>4183398.3545495635</v>
      </c>
      <c r="BB436" s="2">
        <f t="shared" si="127"/>
        <v>1744925915.6694553</v>
      </c>
      <c r="BC436" s="2">
        <v>0</v>
      </c>
      <c r="BD436" s="2">
        <v>0</v>
      </c>
      <c r="BE436" s="2">
        <f t="shared" si="87"/>
        <v>840162.90424203873</v>
      </c>
      <c r="BF436" s="2">
        <f t="shared" si="80"/>
        <v>7546825.0677256584</v>
      </c>
      <c r="BG436" s="2">
        <f t="shared" si="81"/>
        <v>46734439.578649282</v>
      </c>
      <c r="BH436" s="11">
        <f t="shared" si="128"/>
        <v>1.1833448459583258</v>
      </c>
      <c r="BI436" s="12">
        <f t="shared" si="129"/>
        <v>4.817210982372977E-4</v>
      </c>
      <c r="BJ436" s="12">
        <f t="shared" si="130"/>
        <v>4.3437987187422422E-3</v>
      </c>
      <c r="BK436" s="12">
        <f t="shared" si="131"/>
        <v>2.7538781116267508E-2</v>
      </c>
      <c r="BL436" s="5">
        <f t="shared" si="132"/>
        <v>0.18334484595832579</v>
      </c>
      <c r="BM436" s="19">
        <f t="shared" si="133"/>
        <v>6.0810166288703282E-2</v>
      </c>
      <c r="BN436" s="19">
        <f t="shared" si="134"/>
        <v>0.10696489518852026</v>
      </c>
      <c r="BO436" s="19" t="s">
        <v>53</v>
      </c>
    </row>
    <row r="437" spans="1:67" x14ac:dyDescent="0.25">
      <c r="A437" s="1">
        <v>45734</v>
      </c>
      <c r="B437" s="1" t="str">
        <f t="shared" si="125"/>
        <v>202503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f>I436*(1+((1+VLOOKUP($B437,'IPCA Hist'!$B:$C,2,0))^12 - 1)+$I$2)^(1/252)</f>
        <v>213718862.77147076</v>
      </c>
      <c r="J437" s="2">
        <f>J436*(1+((1+VLOOKUP($B437,'IPCA Hist'!$B:$C,2,0))^12 - 1)+$J$2)^(1/252)</f>
        <v>135642672.39257497</v>
      </c>
      <c r="K437" s="2">
        <f>K436*(1+((1+VLOOKUP($B437,'IPCA Hist'!$B:$C,2,0))^12 - 1)+$K$2)^(1/252)</f>
        <v>20621039.030778382</v>
      </c>
      <c r="L437" s="2">
        <f>L436*(1+((1+VLOOKUP($B437,'IPCA Hist'!$B:$C,2,0))^12 - 1)+$L$2)^(1/252)</f>
        <v>12558097.167755861</v>
      </c>
      <c r="M437" s="2">
        <f>M436*(1+((1+VLOOKUP($B437,'IPCA Hist'!$B:$C,2,0))^12 - 1)+$M$2)^(1/252)</f>
        <v>10705730.82646089</v>
      </c>
      <c r="N437" s="2">
        <v>0</v>
      </c>
      <c r="O437" s="2">
        <v>0</v>
      </c>
      <c r="P437" s="2">
        <v>0</v>
      </c>
      <c r="Q437" s="2">
        <f>Q436*(1+((1+VLOOKUP($B437,'IPCA Hist'!$B:$C,2,0))^12 - 1)+$Q$2)^(1/252)</f>
        <v>45977704.067998096</v>
      </c>
      <c r="R437" s="2">
        <f>R436*(1+((1+VLOOKUP($B437,'IPCA Hist'!$B:$C,2,0))^12 - 1)+$R$2)^(1/252)</f>
        <v>45964130.623014033</v>
      </c>
      <c r="S437" s="2">
        <f>S436*(1+((1+VLOOKUP($B437,'IPCA Hist'!$B:$C,2,0))^12 - 1)+$S$2)^(1/252)</f>
        <v>46979191.144025207</v>
      </c>
      <c r="T437" s="2">
        <f>T436*(1+((1+VLOOKUP($B437,'IPCA Hist'!$B:$C,2,0))^12 - 1)+$T$2)^(1/252)</f>
        <v>237269146.0723384</v>
      </c>
      <c r="U437" s="2">
        <f>U436*(1+((1+VLOOKUP($B437,'IPCA Hist'!$B:$C,2,0))^12 - 1)+$U$2)^(1/252)</f>
        <v>20832831.818106458</v>
      </c>
      <c r="V437" s="2">
        <f>V436*(1+((1+VLOOKUP($B437,'IPCA Hist'!$B:$C,2,0))^12 - 1)+$V$2)^(1/252)</f>
        <v>80707802.828227356</v>
      </c>
      <c r="W437" s="2">
        <f>W436*(1+((1+VLOOKUP($B437,'IPCA Hist'!$B:$C,2,0))^12 - 1)+$W$2)^(1/252)</f>
        <v>42492950.667376436</v>
      </c>
      <c r="X437" s="2">
        <f>X436*(1+((1+VLOOKUP($B437,'IPCA Hist'!$B:$C,2,0))^12 - 1)+$X$2)^(1/252)</f>
        <v>14564489.131614419</v>
      </c>
      <c r="Y437" s="2">
        <v>0</v>
      </c>
      <c r="Z437" s="2">
        <f>Z436*(1+((1+VLOOKUP($B437,'IPCA Hist'!$B:$C,2,0))^12 - 1)+$Z$2)^(1/252)</f>
        <v>83429459.48193936</v>
      </c>
      <c r="AA437" s="2">
        <f>AA436*(1+((1+VLOOKUP($B437,'IPCA Hist'!$B:$C,2,0))^12 - 1)+$AA$2)^(1/252)</f>
        <v>41949816.499383554</v>
      </c>
      <c r="AB437" s="2">
        <f>AB436*(1+((1+VLOOKUP($B437,'IPCA Hist'!$B:$C,2,0))^12 - 1)+$AB$2)^(1/252)</f>
        <v>41963867.620617025</v>
      </c>
      <c r="AC437" s="2">
        <v>0</v>
      </c>
      <c r="AD437" s="2">
        <v>0</v>
      </c>
      <c r="AE437" s="2">
        <v>0</v>
      </c>
      <c r="AF437" s="2">
        <f>AF436*(1+((1+VLOOKUP($B437,'IGPM Hist'!$B:$C,2,0))^12 - 1)+$AF$2)^(1/252)</f>
        <v>1692984.0334273665</v>
      </c>
      <c r="AG437" s="2">
        <v>0</v>
      </c>
      <c r="AH437" s="2">
        <v>0</v>
      </c>
      <c r="AI437" s="2">
        <v>0</v>
      </c>
      <c r="AJ437" s="2">
        <f t="shared" ref="AJ437:AW437" si="140">AJ436*(1+AJ$2)^(1/252)</f>
        <v>54339562.829517379</v>
      </c>
      <c r="AK437" s="2">
        <f t="shared" si="140"/>
        <v>178205646.10361856</v>
      </c>
      <c r="AL437" s="2">
        <f t="shared" si="140"/>
        <v>36547994.845960692</v>
      </c>
      <c r="AM437" s="2">
        <f t="shared" si="140"/>
        <v>127954784.20010096</v>
      </c>
      <c r="AN437" s="2">
        <f t="shared" si="140"/>
        <v>54816736.270782039</v>
      </c>
      <c r="AO437" s="2">
        <f t="shared" si="140"/>
        <v>23461769.745922413</v>
      </c>
      <c r="AP437" s="2">
        <v>0</v>
      </c>
      <c r="AQ437" s="2">
        <v>0</v>
      </c>
      <c r="AR437" s="2">
        <v>0</v>
      </c>
      <c r="AS437" s="2">
        <f t="shared" si="140"/>
        <v>106773854.76579344</v>
      </c>
      <c r="AT437" s="2">
        <f t="shared" si="140"/>
        <v>5413274.268483269</v>
      </c>
      <c r="AU437" s="2">
        <v>0</v>
      </c>
      <c r="AV437" s="2">
        <f t="shared" si="140"/>
        <v>54198957.705320381</v>
      </c>
      <c r="AW437" s="2">
        <f t="shared" si="140"/>
        <v>2797679.2310523181</v>
      </c>
      <c r="AX437" s="2">
        <v>0</v>
      </c>
      <c r="AY437" s="2">
        <v>0</v>
      </c>
      <c r="AZ437" s="2">
        <v>0</v>
      </c>
      <c r="BA437" s="2">
        <f>BA436*(1+VLOOKUP(A437,'SELIC Hist'!$A:$C,3,0))^(1/252)</f>
        <v>4185449.7881043223</v>
      </c>
      <c r="BB437" s="2">
        <f t="shared" si="127"/>
        <v>1745766485.9317639</v>
      </c>
      <c r="BC437" s="2">
        <v>0</v>
      </c>
      <c r="BD437" s="2">
        <v>0</v>
      </c>
      <c r="BE437" s="2">
        <f t="shared" si="87"/>
        <v>840570.26230859756</v>
      </c>
      <c r="BF437" s="2">
        <f t="shared" si="80"/>
        <v>8387395.330034256</v>
      </c>
      <c r="BG437" s="2">
        <f t="shared" si="81"/>
        <v>47575009.84095788</v>
      </c>
      <c r="BH437" s="11">
        <f t="shared" si="128"/>
        <v>1.1839148899233083</v>
      </c>
      <c r="BI437" s="12">
        <f t="shared" si="129"/>
        <v>4.8172260768231112E-4</v>
      </c>
      <c r="BJ437" s="12">
        <f t="shared" si="130"/>
        <v>4.8276138324705453E-3</v>
      </c>
      <c r="BK437" s="12">
        <f t="shared" si="131"/>
        <v>2.8033769777401574E-2</v>
      </c>
      <c r="BL437" s="5">
        <f t="shared" si="132"/>
        <v>0.18391488992330829</v>
      </c>
      <c r="BM437" s="19">
        <f t="shared" si="133"/>
        <v>6.0885906339101181E-2</v>
      </c>
      <c r="BN437" s="19">
        <f t="shared" si="134"/>
        <v>0.10727694976059543</v>
      </c>
      <c r="BO437" s="19" t="s">
        <v>53</v>
      </c>
    </row>
    <row r="438" spans="1:67" x14ac:dyDescent="0.25">
      <c r="A438" s="1">
        <v>45735</v>
      </c>
      <c r="B438" s="1" t="str">
        <f t="shared" si="125"/>
        <v>202503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f>I437*(1+((1+VLOOKUP($B438,'IPCA Hist'!$B:$C,2,0))^12 - 1)+$I$2)^(1/252)</f>
        <v>213819605.20873073</v>
      </c>
      <c r="J438" s="2">
        <f>J437*(1+((1+VLOOKUP($B438,'IPCA Hist'!$B:$C,2,0))^12 - 1)+$J$2)^(1/252)</f>
        <v>135704263.05669326</v>
      </c>
      <c r="K438" s="2">
        <f>K437*(1+((1+VLOOKUP($B438,'IPCA Hist'!$B:$C,2,0))^12 - 1)+$K$2)^(1/252)</f>
        <v>20631468.737426206</v>
      </c>
      <c r="L438" s="2">
        <f>L437*(1+((1+VLOOKUP($B438,'IPCA Hist'!$B:$C,2,0))^12 - 1)+$L$2)^(1/252)</f>
        <v>12564497.499062615</v>
      </c>
      <c r="M438" s="2">
        <f>M437*(1+((1+VLOOKUP($B438,'IPCA Hist'!$B:$C,2,0))^12 - 1)+$M$2)^(1/252)</f>
        <v>10711507.002051027</v>
      </c>
      <c r="N438" s="2">
        <v>0</v>
      </c>
      <c r="O438" s="2">
        <v>0</v>
      </c>
      <c r="P438" s="2">
        <v>0</v>
      </c>
      <c r="Q438" s="2">
        <f>Q437*(1+((1+VLOOKUP($B438,'IPCA Hist'!$B:$C,2,0))^12 - 1)+$Q$2)^(1/252)</f>
        <v>45998548.395900145</v>
      </c>
      <c r="R438" s="2">
        <f>R437*(1+((1+VLOOKUP($B438,'IPCA Hist'!$B:$C,2,0))^12 - 1)+$R$2)^(1/252)</f>
        <v>45984985.074914753</v>
      </c>
      <c r="S438" s="2">
        <f>S437*(1+((1+VLOOKUP($B438,'IPCA Hist'!$B:$C,2,0))^12 - 1)+$S$2)^(1/252)</f>
        <v>47000306.397790655</v>
      </c>
      <c r="T438" s="2">
        <f>T437*(1+((1+VLOOKUP($B438,'IPCA Hist'!$B:$C,2,0))^12 - 1)+$T$2)^(1/252)</f>
        <v>237375704.87905225</v>
      </c>
      <c r="U438" s="2">
        <f>U437*(1+((1+VLOOKUP($B438,'IPCA Hist'!$B:$C,2,0))^12 - 1)+$U$2)^(1/252)</f>
        <v>20843179.107160214</v>
      </c>
      <c r="V438" s="2">
        <f>V437*(1+((1+VLOOKUP($B438,'IPCA Hist'!$B:$C,2,0))^12 - 1)+$V$2)^(1/252)</f>
        <v>80752018.576192498</v>
      </c>
      <c r="W438" s="2">
        <f>W437*(1+((1+VLOOKUP($B438,'IPCA Hist'!$B:$C,2,0))^12 - 1)+$W$2)^(1/252)</f>
        <v>42516364.103934832</v>
      </c>
      <c r="X438" s="2">
        <f>X437*(1+((1+VLOOKUP($B438,'IPCA Hist'!$B:$C,2,0))^12 - 1)+$X$2)^(1/252)</f>
        <v>14572246.221132318</v>
      </c>
      <c r="Y438" s="2">
        <v>0</v>
      </c>
      <c r="Z438" s="2">
        <f>Z437*(1+((1+VLOOKUP($B438,'IPCA Hist'!$B:$C,2,0))^12 - 1)+$Z$2)^(1/252)</f>
        <v>83473230.290863439</v>
      </c>
      <c r="AA438" s="2">
        <f>AA437*(1+((1+VLOOKUP($B438,'IPCA Hist'!$B:$C,2,0))^12 - 1)+$AA$2)^(1/252)</f>
        <v>41973596.2148467</v>
      </c>
      <c r="AB438" s="2">
        <f>AB437*(1+((1+VLOOKUP($B438,'IPCA Hist'!$B:$C,2,0))^12 - 1)+$AB$2)^(1/252)</f>
        <v>41987640.856068335</v>
      </c>
      <c r="AC438" s="2">
        <v>0</v>
      </c>
      <c r="AD438" s="2">
        <v>0</v>
      </c>
      <c r="AE438" s="2">
        <v>0</v>
      </c>
      <c r="AF438" s="2">
        <f>AF437*(1+((1+VLOOKUP($B438,'IGPM Hist'!$B:$C,2,0))^12 - 1)+$AF$2)^(1/252)</f>
        <v>1693133.1583663458</v>
      </c>
      <c r="AG438" s="2">
        <v>0</v>
      </c>
      <c r="AH438" s="2">
        <v>0</v>
      </c>
      <c r="AI438" s="2">
        <v>0</v>
      </c>
      <c r="AJ438" s="2">
        <f t="shared" ref="AJ438:AW438" si="141">AJ437*(1+AJ$2)^(1/252)</f>
        <v>54364580.908955395</v>
      </c>
      <c r="AK438" s="2">
        <f t="shared" si="141"/>
        <v>178291744.4195587</v>
      </c>
      <c r="AL438" s="2">
        <f t="shared" si="141"/>
        <v>36565659.075886093</v>
      </c>
      <c r="AM438" s="2">
        <f t="shared" si="141"/>
        <v>128016593.05863112</v>
      </c>
      <c r="AN438" s="2">
        <f t="shared" si="141"/>
        <v>54843234.892347485</v>
      </c>
      <c r="AO438" s="2">
        <f t="shared" si="141"/>
        <v>23475226.856718577</v>
      </c>
      <c r="AP438" s="2">
        <v>0</v>
      </c>
      <c r="AQ438" s="2">
        <v>0</v>
      </c>
      <c r="AR438" s="2">
        <v>0</v>
      </c>
      <c r="AS438" s="2">
        <f t="shared" si="141"/>
        <v>106821425.37682983</v>
      </c>
      <c r="AT438" s="2">
        <f t="shared" si="141"/>
        <v>5416336.8999569919</v>
      </c>
      <c r="AU438" s="2">
        <v>0</v>
      </c>
      <c r="AV438" s="2">
        <f t="shared" si="141"/>
        <v>54223623.445914492</v>
      </c>
      <c r="AW438" s="2">
        <f t="shared" si="141"/>
        <v>2799241.8082955885</v>
      </c>
      <c r="AX438" s="2">
        <v>0</v>
      </c>
      <c r="AY438" s="2">
        <v>0</v>
      </c>
      <c r="AZ438" s="2">
        <v>0</v>
      </c>
      <c r="BA438" s="2">
        <f>BA437*(1+VLOOKUP(A438,'SELIC Hist'!$A:$C,3,0))^(1/252)</f>
        <v>4187502.2276306078</v>
      </c>
      <c r="BB438" s="2">
        <f t="shared" si="127"/>
        <v>1746607463.7509112</v>
      </c>
      <c r="BC438" s="2">
        <v>0</v>
      </c>
      <c r="BD438" s="2">
        <v>0</v>
      </c>
      <c r="BE438" s="2">
        <f t="shared" si="87"/>
        <v>840977.8191473484</v>
      </c>
      <c r="BF438" s="2">
        <f t="shared" si="80"/>
        <v>9228373.1491816044</v>
      </c>
      <c r="BG438" s="2">
        <f t="shared" si="81"/>
        <v>48415987.660105228</v>
      </c>
      <c r="BH438" s="11">
        <f t="shared" si="128"/>
        <v>1.1844852102784116</v>
      </c>
      <c r="BI438" s="12">
        <f t="shared" si="129"/>
        <v>4.8172411712821273E-4</v>
      </c>
      <c r="BJ438" s="12">
        <f t="shared" si="130"/>
        <v>5.3116635276100332E-3</v>
      </c>
      <c r="BK438" s="12">
        <f t="shared" si="131"/>
        <v>2.8528998437525654E-2</v>
      </c>
      <c r="BL438" s="5">
        <f t="shared" si="132"/>
        <v>0.18448521027841158</v>
      </c>
      <c r="BM438" s="19">
        <f t="shared" si="133"/>
        <v>6.0961653014115935E-2</v>
      </c>
      <c r="BN438" s="19">
        <f t="shared" si="134"/>
        <v>0.10710252086120597</v>
      </c>
      <c r="BO438" s="19" t="s">
        <v>53</v>
      </c>
    </row>
    <row r="439" spans="1:67" x14ac:dyDescent="0.25">
      <c r="A439" s="1">
        <v>45736</v>
      </c>
      <c r="B439" s="1" t="str">
        <f t="shared" si="125"/>
        <v>202503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f>I438*(1+((1+VLOOKUP($B439,'IPCA Hist'!$B:$C,2,0))^12 - 1)+$I$2)^(1/252)</f>
        <v>213920395.13379094</v>
      </c>
      <c r="J439" s="2">
        <f>J438*(1+((1+VLOOKUP($B439,'IPCA Hist'!$B:$C,2,0))^12 - 1)+$J$2)^(1/252)</f>
        <v>135765881.68701008</v>
      </c>
      <c r="K439" s="2">
        <f>K438*(1+((1+VLOOKUP($B439,'IPCA Hist'!$B:$C,2,0))^12 - 1)+$K$2)^(1/252)</f>
        <v>20641903.719209809</v>
      </c>
      <c r="L439" s="2">
        <f>L438*(1+((1+VLOOKUP($B439,'IPCA Hist'!$B:$C,2,0))^12 - 1)+$L$2)^(1/252)</f>
        <v>12570901.0923477</v>
      </c>
      <c r="M439" s="2">
        <f>M438*(1+((1+VLOOKUP($B439,'IPCA Hist'!$B:$C,2,0))^12 - 1)+$M$2)^(1/252)</f>
        <v>10717286.294121953</v>
      </c>
      <c r="N439" s="2">
        <v>0</v>
      </c>
      <c r="O439" s="2">
        <v>0</v>
      </c>
      <c r="P439" s="2">
        <v>0</v>
      </c>
      <c r="Q439" s="2">
        <f>Q438*(1+((1+VLOOKUP($B439,'IPCA Hist'!$B:$C,2,0))^12 - 1)+$Q$2)^(1/252)</f>
        <v>46019402.17373047</v>
      </c>
      <c r="R439" s="2">
        <f>R438*(1+((1+VLOOKUP($B439,'IPCA Hist'!$B:$C,2,0))^12 - 1)+$R$2)^(1/252)</f>
        <v>46005848.988718875</v>
      </c>
      <c r="S439" s="2">
        <f>S438*(1+((1+VLOOKUP($B439,'IPCA Hist'!$B:$C,2,0))^12 - 1)+$S$2)^(1/252)</f>
        <v>47021431.142012</v>
      </c>
      <c r="T439" s="2">
        <f>T438*(1+((1+VLOOKUP($B439,'IPCA Hist'!$B:$C,2,0))^12 - 1)+$T$2)^(1/252)</f>
        <v>237482311.54188004</v>
      </c>
      <c r="U439" s="2">
        <f>U438*(1+((1+VLOOKUP($B439,'IPCA Hist'!$B:$C,2,0))^12 - 1)+$U$2)^(1/252)</f>
        <v>20853531.535524443</v>
      </c>
      <c r="V439" s="2">
        <f>V438*(1+((1+VLOOKUP($B439,'IPCA Hist'!$B:$C,2,0))^12 - 1)+$V$2)^(1/252)</f>
        <v>80796258.547743216</v>
      </c>
      <c r="W439" s="2">
        <f>W438*(1+((1+VLOOKUP($B439,'IPCA Hist'!$B:$C,2,0))^12 - 1)+$W$2)^(1/252)</f>
        <v>42539790.441198006</v>
      </c>
      <c r="X439" s="2">
        <f>X438*(1+((1+VLOOKUP($B439,'IPCA Hist'!$B:$C,2,0))^12 - 1)+$X$2)^(1/252)</f>
        <v>14580007.442098785</v>
      </c>
      <c r="Y439" s="2">
        <v>0</v>
      </c>
      <c r="Z439" s="2">
        <f>Z438*(1+((1+VLOOKUP($B439,'IPCA Hist'!$B:$C,2,0))^12 - 1)+$Z$2)^(1/252)</f>
        <v>83517024.063902661</v>
      </c>
      <c r="AA439" s="2">
        <f>AA438*(1+((1+VLOOKUP($B439,'IPCA Hist'!$B:$C,2,0))^12 - 1)+$AA$2)^(1/252)</f>
        <v>41997389.410103433</v>
      </c>
      <c r="AB439" s="2">
        <f>AB438*(1+((1+VLOOKUP($B439,'IPCA Hist'!$B:$C,2,0))^12 - 1)+$AB$2)^(1/252)</f>
        <v>42011427.559456609</v>
      </c>
      <c r="AC439" s="2">
        <v>0</v>
      </c>
      <c r="AD439" s="2">
        <v>0</v>
      </c>
      <c r="AE439" s="2">
        <v>0</v>
      </c>
      <c r="AF439" s="2">
        <f>AF438*(1+((1+VLOOKUP($B439,'IGPM Hist'!$B:$C,2,0))^12 - 1)+$AF$2)^(1/252)</f>
        <v>1693282.2964408582</v>
      </c>
      <c r="AG439" s="2">
        <v>0</v>
      </c>
      <c r="AH439" s="2">
        <v>0</v>
      </c>
      <c r="AI439" s="2">
        <v>0</v>
      </c>
      <c r="AJ439" s="2">
        <f t="shared" ref="AJ439:AW439" si="142">AJ438*(1+AJ$2)^(1/252)</f>
        <v>54389610.506783813</v>
      </c>
      <c r="AK439" s="2">
        <f t="shared" si="142"/>
        <v>178377884.33305857</v>
      </c>
      <c r="AL439" s="2">
        <f t="shared" si="142"/>
        <v>36583331.843216084</v>
      </c>
      <c r="AM439" s="2">
        <f t="shared" si="142"/>
        <v>128078431.77407533</v>
      </c>
      <c r="AN439" s="2">
        <f t="shared" si="142"/>
        <v>54869746.323448718</v>
      </c>
      <c r="AO439" s="2">
        <f t="shared" si="142"/>
        <v>23488691.686192103</v>
      </c>
      <c r="AP439" s="2">
        <v>0</v>
      </c>
      <c r="AQ439" s="2">
        <v>0</v>
      </c>
      <c r="AR439" s="2">
        <v>0</v>
      </c>
      <c r="AS439" s="2">
        <f t="shared" si="142"/>
        <v>106869017.18184708</v>
      </c>
      <c r="AT439" s="2">
        <f t="shared" si="142"/>
        <v>5419401.2641549548</v>
      </c>
      <c r="AU439" s="2">
        <v>0</v>
      </c>
      <c r="AV439" s="2">
        <f t="shared" si="142"/>
        <v>54248300.411793828</v>
      </c>
      <c r="AW439" s="2">
        <f t="shared" si="142"/>
        <v>2800805.2582792412</v>
      </c>
      <c r="AX439" s="2">
        <v>0</v>
      </c>
      <c r="AY439" s="2">
        <v>0</v>
      </c>
      <c r="AZ439" s="2">
        <v>0</v>
      </c>
      <c r="BA439" s="2">
        <f>BA438*(1+VLOOKUP(A439,'SELIC Hist'!$A:$C,3,0))^(1/252)</f>
        <v>4189701.961509489</v>
      </c>
      <c r="BB439" s="2">
        <f t="shared" si="127"/>
        <v>1747448995.6136491</v>
      </c>
      <c r="BC439" s="2">
        <v>0</v>
      </c>
      <c r="BD439" s="2">
        <v>0</v>
      </c>
      <c r="BE439" s="2">
        <f t="shared" si="87"/>
        <v>841531.86273789406</v>
      </c>
      <c r="BF439" s="2">
        <f t="shared" si="80"/>
        <v>10069905.011919498</v>
      </c>
      <c r="BG439" s="2">
        <f t="shared" si="81"/>
        <v>49257519.522843122</v>
      </c>
      <c r="BH439" s="11">
        <f t="shared" si="128"/>
        <v>1.1850559063655852</v>
      </c>
      <c r="BI439" s="12">
        <f t="shared" si="129"/>
        <v>4.8180938201802803E-4</v>
      </c>
      <c r="BJ439" s="12">
        <f t="shared" si="130"/>
        <v>5.7960321189498565E-3</v>
      </c>
      <c r="BK439" s="12">
        <f t="shared" si="131"/>
        <v>2.9024553358650396E-2</v>
      </c>
      <c r="BL439" s="5">
        <f t="shared" si="132"/>
        <v>0.18505590636558522</v>
      </c>
      <c r="BM439" s="19">
        <f t="shared" si="133"/>
        <v>6.1037495139254494E-2</v>
      </c>
      <c r="BN439" s="19">
        <f t="shared" si="134"/>
        <v>0.10741354450757568</v>
      </c>
      <c r="BO439" s="19" t="s">
        <v>53</v>
      </c>
    </row>
    <row r="440" spans="1:67" x14ac:dyDescent="0.25">
      <c r="A440" s="1">
        <v>45737</v>
      </c>
      <c r="B440" s="1" t="str">
        <f t="shared" si="125"/>
        <v>202503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f>I439*(1+((1+VLOOKUP($B440,'IPCA Hist'!$B:$C,2,0))^12 - 1)+$I$2)^(1/252)</f>
        <v>214021232.56903613</v>
      </c>
      <c r="J440" s="2">
        <f>J439*(1+((1+VLOOKUP($B440,'IPCA Hist'!$B:$C,2,0))^12 - 1)+$J$2)^(1/252)</f>
        <v>135827528.29622394</v>
      </c>
      <c r="K440" s="2">
        <f>K439*(1+((1+VLOOKUP($B440,'IPCA Hist'!$B:$C,2,0))^12 - 1)+$K$2)^(1/252)</f>
        <v>20652343.978797246</v>
      </c>
      <c r="L440" s="2">
        <f>L439*(1+((1+VLOOKUP($B440,'IPCA Hist'!$B:$C,2,0))^12 - 1)+$L$2)^(1/252)</f>
        <v>12577307.949273609</v>
      </c>
      <c r="M440" s="2">
        <f>M439*(1+((1+VLOOKUP($B440,'IPCA Hist'!$B:$C,2,0))^12 - 1)+$M$2)^(1/252)</f>
        <v>10723068.704355134</v>
      </c>
      <c r="N440" s="2">
        <v>0</v>
      </c>
      <c r="O440" s="2">
        <v>0</v>
      </c>
      <c r="P440" s="2">
        <v>0</v>
      </c>
      <c r="Q440" s="2">
        <f>Q439*(1+((1+VLOOKUP($B440,'IPCA Hist'!$B:$C,2,0))^12 - 1)+$Q$2)^(1/252)</f>
        <v>46040265.405773267</v>
      </c>
      <c r="R440" s="2">
        <f>R439*(1+((1+VLOOKUP($B440,'IPCA Hist'!$B:$C,2,0))^12 - 1)+$R$2)^(1/252)</f>
        <v>46026722.368719377</v>
      </c>
      <c r="S440" s="2">
        <f>S439*(1+((1+VLOOKUP($B440,'IPCA Hist'!$B:$C,2,0))^12 - 1)+$S$2)^(1/252)</f>
        <v>47042565.380954817</v>
      </c>
      <c r="T440" s="2">
        <f>T439*(1+((1+VLOOKUP($B440,'IPCA Hist'!$B:$C,2,0))^12 - 1)+$T$2)^(1/252)</f>
        <v>237588966.08231419</v>
      </c>
      <c r="U440" s="2">
        <f>U439*(1+((1+VLOOKUP($B440,'IPCA Hist'!$B:$C,2,0))^12 - 1)+$U$2)^(1/252)</f>
        <v>20863889.105751749</v>
      </c>
      <c r="V440" s="2">
        <f>V439*(1+((1+VLOOKUP($B440,'IPCA Hist'!$B:$C,2,0))^12 - 1)+$V$2)^(1/252)</f>
        <v>80840522.756150395</v>
      </c>
      <c r="W440" s="2">
        <f>W439*(1+((1+VLOOKUP($B440,'IPCA Hist'!$B:$C,2,0))^12 - 1)+$W$2)^(1/252)</f>
        <v>42563229.686274186</v>
      </c>
      <c r="X440" s="2">
        <f>X439*(1+((1+VLOOKUP($B440,'IPCA Hist'!$B:$C,2,0))^12 - 1)+$X$2)^(1/252)</f>
        <v>14587772.796714244</v>
      </c>
      <c r="Y440" s="2">
        <v>0</v>
      </c>
      <c r="Z440" s="2">
        <f>Z439*(1+((1+VLOOKUP($B440,'IPCA Hist'!$B:$C,2,0))^12 - 1)+$Z$2)^(1/252)</f>
        <v>83560840.813105017</v>
      </c>
      <c r="AA440" s="2">
        <f>AA439*(1+((1+VLOOKUP($B440,'IPCA Hist'!$B:$C,2,0))^12 - 1)+$AA$2)^(1/252)</f>
        <v>42021196.092794925</v>
      </c>
      <c r="AB440" s="2">
        <f>AB439*(1+((1+VLOOKUP($B440,'IPCA Hist'!$B:$C,2,0))^12 - 1)+$AB$2)^(1/252)</f>
        <v>42035227.738411658</v>
      </c>
      <c r="AC440" s="2">
        <v>0</v>
      </c>
      <c r="AD440" s="2">
        <v>0</v>
      </c>
      <c r="AE440" s="2">
        <v>0</v>
      </c>
      <c r="AF440" s="2">
        <f>AF439*(1+((1+VLOOKUP($B440,'IGPM Hist'!$B:$C,2,0))^12 - 1)+$AF$2)^(1/252)</f>
        <v>1693431.4476520603</v>
      </c>
      <c r="AG440" s="2">
        <v>0</v>
      </c>
      <c r="AH440" s="2">
        <v>0</v>
      </c>
      <c r="AI440" s="2">
        <v>0</v>
      </c>
      <c r="AJ440" s="2">
        <f t="shared" ref="AJ440:AW440" si="143">AJ439*(1+AJ$2)^(1/252)</f>
        <v>54414651.628305726</v>
      </c>
      <c r="AK440" s="2">
        <f t="shared" si="143"/>
        <v>178464065.86421561</v>
      </c>
      <c r="AL440" s="2">
        <f t="shared" si="143"/>
        <v>36601013.15207693</v>
      </c>
      <c r="AM440" s="2">
        <f t="shared" si="143"/>
        <v>128140300.36085603</v>
      </c>
      <c r="AN440" s="2">
        <f t="shared" si="143"/>
        <v>54896270.570277914</v>
      </c>
      <c r="AO440" s="2">
        <f t="shared" si="143"/>
        <v>23502164.238770239</v>
      </c>
      <c r="AP440" s="2">
        <v>0</v>
      </c>
      <c r="AQ440" s="2">
        <v>0</v>
      </c>
      <c r="AR440" s="2">
        <v>0</v>
      </c>
      <c r="AS440" s="2">
        <f t="shared" si="143"/>
        <v>106916630.19028768</v>
      </c>
      <c r="AT440" s="2">
        <f t="shared" si="143"/>
        <v>5422467.3620574698</v>
      </c>
      <c r="AU440" s="2">
        <v>0</v>
      </c>
      <c r="AV440" s="2">
        <f t="shared" si="143"/>
        <v>54272988.608066969</v>
      </c>
      <c r="AW440" s="2">
        <f t="shared" si="143"/>
        <v>2802369.5814907243</v>
      </c>
      <c r="AX440" s="2">
        <v>0</v>
      </c>
      <c r="AY440" s="2">
        <v>0</v>
      </c>
      <c r="AZ440" s="2">
        <v>0</v>
      </c>
      <c r="BA440" s="2">
        <f>BA439*(1+VLOOKUP(A440,'SELIC Hist'!$A:$C,3,0))^(1/252)</f>
        <v>4191902.8509290423</v>
      </c>
      <c r="BB440" s="2">
        <f t="shared" si="127"/>
        <v>1748290935.5796361</v>
      </c>
      <c r="BC440" s="2">
        <v>0</v>
      </c>
      <c r="BD440" s="2">
        <v>0</v>
      </c>
      <c r="BE440" s="2">
        <f t="shared" si="87"/>
        <v>841939.96598696709</v>
      </c>
      <c r="BF440" s="2">
        <f t="shared" si="80"/>
        <v>10911844.977906466</v>
      </c>
      <c r="BG440" s="2">
        <f t="shared" si="81"/>
        <v>50099459.48883009</v>
      </c>
      <c r="BH440" s="11">
        <f t="shared" si="128"/>
        <v>1.185626879213435</v>
      </c>
      <c r="BI440" s="12">
        <f t="shared" si="129"/>
        <v>4.818108958259959E-4</v>
      </c>
      <c r="BJ440" s="12">
        <f t="shared" si="130"/>
        <v>6.2806356062032886E-3</v>
      </c>
      <c r="BK440" s="12">
        <f t="shared" si="131"/>
        <v>2.9520348600531099E-2</v>
      </c>
      <c r="BL440" s="5">
        <f t="shared" si="132"/>
        <v>0.18562687921343501</v>
      </c>
      <c r="BM440" s="19">
        <f t="shared" si="133"/>
        <v>6.1113184234353524E-2</v>
      </c>
      <c r="BN440" s="19">
        <f t="shared" si="134"/>
        <v>0.10761924243292698</v>
      </c>
      <c r="BO440" s="19" t="s">
        <v>53</v>
      </c>
    </row>
    <row r="441" spans="1:67" x14ac:dyDescent="0.25">
      <c r="A441" s="1">
        <v>45740</v>
      </c>
      <c r="B441" s="1" t="str">
        <f t="shared" si="125"/>
        <v>202503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f>I440*(1+((1+VLOOKUP($B441,'IPCA Hist'!$B:$C,2,0))^12 - 1)+$I$2)^(1/252)</f>
        <v>214122117.53686157</v>
      </c>
      <c r="J441" s="2">
        <f>J440*(1+((1+VLOOKUP($B441,'IPCA Hist'!$B:$C,2,0))^12 - 1)+$J$2)^(1/252)</f>
        <v>135889202.89703909</v>
      </c>
      <c r="K441" s="2">
        <f>K440*(1+((1+VLOOKUP($B441,'IPCA Hist'!$B:$C,2,0))^12 - 1)+$K$2)^(1/252)</f>
        <v>20662789.518857926</v>
      </c>
      <c r="L441" s="2">
        <f>L440*(1+((1+VLOOKUP($B441,'IPCA Hist'!$B:$C,2,0))^12 - 1)+$L$2)^(1/252)</f>
        <v>12583718.07150368</v>
      </c>
      <c r="M441" s="2">
        <f>M440*(1+((1+VLOOKUP($B441,'IPCA Hist'!$B:$C,2,0))^12 - 1)+$M$2)^(1/252)</f>
        <v>10728854.234432945</v>
      </c>
      <c r="N441" s="2">
        <v>0</v>
      </c>
      <c r="O441" s="2">
        <v>0</v>
      </c>
      <c r="P441" s="2">
        <v>0</v>
      </c>
      <c r="Q441" s="2">
        <f>Q440*(1+((1+VLOOKUP($B441,'IPCA Hist'!$B:$C,2,0))^12 - 1)+$Q$2)^(1/252)</f>
        <v>46061138.096314669</v>
      </c>
      <c r="R441" s="2">
        <f>R440*(1+((1+VLOOKUP($B441,'IPCA Hist'!$B:$C,2,0))^12 - 1)+$R$2)^(1/252)</f>
        <v>46047605.219211183</v>
      </c>
      <c r="S441" s="2">
        <f>S440*(1+((1+VLOOKUP($B441,'IPCA Hist'!$B:$C,2,0))^12 - 1)+$S$2)^(1/252)</f>
        <v>47063709.118886605</v>
      </c>
      <c r="T441" s="2">
        <f>T440*(1+((1+VLOOKUP($B441,'IPCA Hist'!$B:$C,2,0))^12 - 1)+$T$2)^(1/252)</f>
        <v>237695668.52185678</v>
      </c>
      <c r="U441" s="2">
        <f>U440*(1+((1+VLOOKUP($B441,'IPCA Hist'!$B:$C,2,0))^12 - 1)+$U$2)^(1/252)</f>
        <v>20874251.820395999</v>
      </c>
      <c r="V441" s="2">
        <f>V440*(1+((1+VLOOKUP($B441,'IPCA Hist'!$B:$C,2,0))^12 - 1)+$V$2)^(1/252)</f>
        <v>80884811.214692175</v>
      </c>
      <c r="W441" s="2">
        <f>W440*(1+((1+VLOOKUP($B441,'IPCA Hist'!$B:$C,2,0))^12 - 1)+$W$2)^(1/252)</f>
        <v>42586681.846275523</v>
      </c>
      <c r="X441" s="2">
        <f>X440*(1+((1+VLOOKUP($B441,'IPCA Hist'!$B:$C,2,0))^12 - 1)+$X$2)^(1/252)</f>
        <v>14595542.287180288</v>
      </c>
      <c r="Y441" s="2">
        <v>0</v>
      </c>
      <c r="Z441" s="2">
        <f>Z440*(1+((1+VLOOKUP($B441,'IPCA Hist'!$B:$C,2,0))^12 - 1)+$Z$2)^(1/252)</f>
        <v>83604680.550524831</v>
      </c>
      <c r="AA441" s="2">
        <f>AA440*(1+((1+VLOOKUP($B441,'IPCA Hist'!$B:$C,2,0))^12 - 1)+$AA$2)^(1/252)</f>
        <v>42045016.27056668</v>
      </c>
      <c r="AB441" s="2">
        <f>AB440*(1+((1+VLOOKUP($B441,'IPCA Hist'!$B:$C,2,0))^12 - 1)+$AB$2)^(1/252)</f>
        <v>42059041.400567614</v>
      </c>
      <c r="AC441" s="2">
        <v>0</v>
      </c>
      <c r="AD441" s="2">
        <v>0</v>
      </c>
      <c r="AE441" s="2">
        <v>0</v>
      </c>
      <c r="AF441" s="2">
        <f>AF440*(1+((1+VLOOKUP($B441,'IGPM Hist'!$B:$C,2,0))^12 - 1)+$AF$2)^(1/252)</f>
        <v>1693580.6120011094</v>
      </c>
      <c r="AG441" s="2">
        <v>0</v>
      </c>
      <c r="AH441" s="2">
        <v>0</v>
      </c>
      <c r="AI441" s="2">
        <v>0</v>
      </c>
      <c r="AJ441" s="2">
        <f t="shared" ref="AJ441:AW441" si="144">AJ440*(1+AJ$2)^(1/252)</f>
        <v>54439704.278826676</v>
      </c>
      <c r="AK441" s="2">
        <f t="shared" si="144"/>
        <v>178550289.03313702</v>
      </c>
      <c r="AL441" s="2">
        <f t="shared" si="144"/>
        <v>36618703.006596886</v>
      </c>
      <c r="AM441" s="2">
        <f t="shared" si="144"/>
        <v>128202198.83340263</v>
      </c>
      <c r="AN441" s="2">
        <f t="shared" si="144"/>
        <v>54922807.639030248</v>
      </c>
      <c r="AO441" s="2">
        <f t="shared" si="144"/>
        <v>23515644.518882774</v>
      </c>
      <c r="AP441" s="2">
        <v>0</v>
      </c>
      <c r="AQ441" s="2">
        <v>0</v>
      </c>
      <c r="AR441" s="2">
        <v>0</v>
      </c>
      <c r="AS441" s="2">
        <f t="shared" si="144"/>
        <v>106964264.41159831</v>
      </c>
      <c r="AT441" s="2">
        <f t="shared" si="144"/>
        <v>5425535.194645402</v>
      </c>
      <c r="AU441" s="2">
        <v>0</v>
      </c>
      <c r="AV441" s="2">
        <f t="shared" si="144"/>
        <v>54297688.039844826</v>
      </c>
      <c r="AW441" s="2">
        <f t="shared" si="144"/>
        <v>2803934.7784177586</v>
      </c>
      <c r="AX441" s="2">
        <v>0</v>
      </c>
      <c r="AY441" s="2">
        <v>0</v>
      </c>
      <c r="AZ441" s="2">
        <v>0</v>
      </c>
      <c r="BA441" s="2">
        <f>BA440*(1+VLOOKUP(A441,'SELIC Hist'!$A:$C,3,0))^(1/252)</f>
        <v>4194104.8964962838</v>
      </c>
      <c r="BB441" s="2">
        <f t="shared" ref="BB441:BB446" si="145">SUM(C441:BA441)</f>
        <v>1749133283.8480473</v>
      </c>
      <c r="BC441" s="2">
        <v>0</v>
      </c>
      <c r="BD441" s="2">
        <v>0</v>
      </c>
      <c r="BE441" s="2">
        <f t="shared" si="87"/>
        <v>842348.26841115952</v>
      </c>
      <c r="BF441" s="2">
        <f t="shared" si="80"/>
        <v>11754193.246317625</v>
      </c>
      <c r="BG441" s="2">
        <f t="shared" si="81"/>
        <v>50941807.757241249</v>
      </c>
      <c r="BH441" s="11">
        <f t="shared" ref="BH441:BH446" si="146">(1+(BB441-BB440-BC441+BD441)/BB440)*BH440</f>
        <v>1.1861981289570347</v>
      </c>
      <c r="BI441" s="12">
        <f t="shared" ref="BI441:BI446" si="147">BH441/BH440 - 1</f>
        <v>4.8181240963307559E-4</v>
      </c>
      <c r="BJ441" s="12">
        <f t="shared" ref="BJ441:BJ446" si="148">IF(MONTH(A441)=MONTH(A440),(1+BI441)*(1+BJ440) - 1,BI441)</f>
        <v>6.7654741040117372E-3</v>
      </c>
      <c r="BK441" s="12">
        <f t="shared" ref="BK441:BK446" si="149">IF(YEAR(A441)=YEAR(A440),(1+BI441)*(1+BK440) - 1,BI441)</f>
        <v>3.0016384280456609E-2</v>
      </c>
      <c r="BL441" s="5">
        <f t="shared" ref="BL441:BL446" si="150">(1+BI441)*(1+BL440) - 1</f>
        <v>0.18619812895703469</v>
      </c>
      <c r="BM441" s="19">
        <f t="shared" ref="BM441:BM446" si="151">BH441/BH315 - 1</f>
        <v>6.1188879954706676E-2</v>
      </c>
      <c r="BN441" s="19">
        <f t="shared" ref="BN441:BN446" si="152">BH441/BH189 - 1</f>
        <v>0.10776598924130143</v>
      </c>
      <c r="BO441" s="19" t="s">
        <v>53</v>
      </c>
    </row>
    <row r="442" spans="1:67" x14ac:dyDescent="0.25">
      <c r="A442" s="1">
        <v>45741</v>
      </c>
      <c r="B442" s="1" t="str">
        <f t="shared" si="125"/>
        <v>202503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f>I441*(1+((1+VLOOKUP($B442,'IPCA Hist'!$B:$C,2,0))^12 - 1)+$I$2)^(1/252)</f>
        <v>214223050.05967307</v>
      </c>
      <c r="J442" s="2">
        <f>J441*(1+((1+VLOOKUP($B442,'IPCA Hist'!$B:$C,2,0))^12 - 1)+$J$2)^(1/252)</f>
        <v>135950905.50216553</v>
      </c>
      <c r="K442" s="2">
        <f>K441*(1+((1+VLOOKUP($B442,'IPCA Hist'!$B:$C,2,0))^12 - 1)+$K$2)^(1/252)</f>
        <v>20673240.342062604</v>
      </c>
      <c r="L442" s="2">
        <f>L441*(1+((1+VLOOKUP($B442,'IPCA Hist'!$B:$C,2,0))^12 - 1)+$L$2)^(1/252)</f>
        <v>12590131.460702101</v>
      </c>
      <c r="M442" s="2">
        <f>M441*(1+((1+VLOOKUP($B442,'IPCA Hist'!$B:$C,2,0))^12 - 1)+$M$2)^(1/252)</f>
        <v>10734642.88603867</v>
      </c>
      <c r="N442" s="2">
        <v>0</v>
      </c>
      <c r="O442" s="2">
        <v>0</v>
      </c>
      <c r="P442" s="2">
        <v>0</v>
      </c>
      <c r="Q442" s="2">
        <f>Q441*(1+((1+VLOOKUP($B442,'IPCA Hist'!$B:$C,2,0))^12 - 1)+$Q$2)^(1/252)</f>
        <v>46082020.249642752</v>
      </c>
      <c r="R442" s="2">
        <f>R441*(1+((1+VLOOKUP($B442,'IPCA Hist'!$B:$C,2,0))^12 - 1)+$R$2)^(1/252)</f>
        <v>46068497.544491157</v>
      </c>
      <c r="S442" s="2">
        <f>S441*(1+((1+VLOOKUP($B442,'IPCA Hist'!$B:$C,2,0))^12 - 1)+$S$2)^(1/252)</f>
        <v>47084862.36007677</v>
      </c>
      <c r="T442" s="2">
        <f>T441*(1+((1+VLOOKUP($B442,'IPCA Hist'!$B:$C,2,0))^12 - 1)+$T$2)^(1/252)</f>
        <v>237802418.88201958</v>
      </c>
      <c r="U442" s="2">
        <f>U441*(1+((1+VLOOKUP($B442,'IPCA Hist'!$B:$C,2,0))^12 - 1)+$U$2)^(1/252)</f>
        <v>20884619.682012334</v>
      </c>
      <c r="V442" s="2">
        <f>V441*(1+((1+VLOOKUP($B442,'IPCA Hist'!$B:$C,2,0))^12 - 1)+$V$2)^(1/252)</f>
        <v>80929123.936654001</v>
      </c>
      <c r="W442" s="2">
        <f>W441*(1+((1+VLOOKUP($B442,'IPCA Hist'!$B:$C,2,0))^12 - 1)+$W$2)^(1/252)</f>
        <v>42610146.928318083</v>
      </c>
      <c r="X442" s="2">
        <f>X441*(1+((1+VLOOKUP($B442,'IPCA Hist'!$B:$C,2,0))^12 - 1)+$X$2)^(1/252)</f>
        <v>14603315.915699683</v>
      </c>
      <c r="Y442" s="2">
        <v>0</v>
      </c>
      <c r="Z442" s="2">
        <f>Z441*(1+((1+VLOOKUP($B442,'IPCA Hist'!$B:$C,2,0))^12 - 1)+$Z$2)^(1/252)</f>
        <v>83648543.288222745</v>
      </c>
      <c r="AA442" s="2">
        <f>AA441*(1+((1+VLOOKUP($B442,'IPCA Hist'!$B:$C,2,0))^12 - 1)+$AA$2)^(1/252)</f>
        <v>42068849.951068528</v>
      </c>
      <c r="AB442" s="2">
        <f>AB441*(1+((1+VLOOKUP($B442,'IPCA Hist'!$B:$C,2,0))^12 - 1)+$AB$2)^(1/252)</f>
        <v>42082868.553562939</v>
      </c>
      <c r="AC442" s="2">
        <v>0</v>
      </c>
      <c r="AD442" s="2">
        <v>0</v>
      </c>
      <c r="AE442" s="2">
        <v>0</v>
      </c>
      <c r="AF442" s="2">
        <f>AF441*(1+((1+VLOOKUP($B442,'IGPM Hist'!$B:$C,2,0))^12 - 1)+$AF$2)^(1/252)</f>
        <v>1693729.7894891629</v>
      </c>
      <c r="AG442" s="2">
        <v>0</v>
      </c>
      <c r="AH442" s="2">
        <v>0</v>
      </c>
      <c r="AI442" s="2">
        <v>0</v>
      </c>
      <c r="AJ442" s="2">
        <f t="shared" ref="AJ442:AW443" si="153">AJ441*(1+AJ$2)^(1/252)</f>
        <v>54464768.463654645</v>
      </c>
      <c r="AK442" s="2">
        <f t="shared" si="153"/>
        <v>178636553.85993966</v>
      </c>
      <c r="AL442" s="2">
        <f t="shared" si="153"/>
        <v>36636401.410906203</v>
      </c>
      <c r="AM442" s="2">
        <f t="shared" si="153"/>
        <v>128264127.20615155</v>
      </c>
      <c r="AN442" s="2">
        <f t="shared" si="153"/>
        <v>54949357.535903886</v>
      </c>
      <c r="AO442" s="2">
        <f t="shared" si="153"/>
        <v>23529132.530962035</v>
      </c>
      <c r="AP442" s="2">
        <v>0</v>
      </c>
      <c r="AQ442" s="2">
        <v>0</v>
      </c>
      <c r="AR442" s="2">
        <v>0</v>
      </c>
      <c r="AS442" s="2">
        <f t="shared" si="153"/>
        <v>107011919.85522988</v>
      </c>
      <c r="AT442" s="2">
        <f t="shared" si="153"/>
        <v>5428604.7629001737</v>
      </c>
      <c r="AU442" s="2">
        <v>0</v>
      </c>
      <c r="AV442" s="2">
        <f t="shared" si="153"/>
        <v>54322398.712240636</v>
      </c>
      <c r="AW442" s="2">
        <f t="shared" si="153"/>
        <v>2805500.8495483375</v>
      </c>
      <c r="AX442" s="2">
        <v>0</v>
      </c>
      <c r="AY442" s="2">
        <v>0</v>
      </c>
      <c r="AZ442" s="2">
        <v>0</v>
      </c>
      <c r="BA442" s="2">
        <f>BA441*(1+VLOOKUP(A442,'SELIC Hist'!$A:$C,3,0))^(1/252)</f>
        <v>4196308.098818549</v>
      </c>
      <c r="BB442" s="2">
        <f t="shared" si="145"/>
        <v>1749976040.6181555</v>
      </c>
      <c r="BC442" s="2">
        <v>0</v>
      </c>
      <c r="BD442" s="2">
        <v>0</v>
      </c>
      <c r="BE442" s="2">
        <f t="shared" si="87"/>
        <v>842756.77010822296</v>
      </c>
      <c r="BF442" s="2">
        <f t="shared" si="80"/>
        <v>12596950.016425848</v>
      </c>
      <c r="BG442" s="2">
        <f t="shared" si="81"/>
        <v>51784564.527349472</v>
      </c>
      <c r="BH442" s="11">
        <f t="shared" si="146"/>
        <v>1.1867696557315233</v>
      </c>
      <c r="BI442" s="12">
        <f t="shared" si="147"/>
        <v>4.8181392343882301E-4</v>
      </c>
      <c r="BJ442" s="12">
        <f t="shared" si="148"/>
        <v>7.2505477270725649E-3</v>
      </c>
      <c r="BK442" s="12">
        <f t="shared" si="149"/>
        <v>3.051266051577306E-2</v>
      </c>
      <c r="BL442" s="5">
        <f t="shared" si="150"/>
        <v>0.18676965573152327</v>
      </c>
      <c r="BM442" s="19">
        <f t="shared" si="151"/>
        <v>6.1264582300950332E-2</v>
      </c>
      <c r="BN442" s="19">
        <f t="shared" si="152"/>
        <v>0.10790259465754959</v>
      </c>
      <c r="BO442" s="19" t="s">
        <v>53</v>
      </c>
    </row>
    <row r="443" spans="1:67" x14ac:dyDescent="0.25">
      <c r="A443" s="1">
        <v>45742</v>
      </c>
      <c r="B443" s="1" t="str">
        <f t="shared" si="125"/>
        <v>202503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f>I442*(1+((1+VLOOKUP($B443,'IPCA Hist'!$B:$C,2,0))^12 - 1)+$I$2)^(1/252)</f>
        <v>214324030.15988702</v>
      </c>
      <c r="J443" s="2">
        <f>J442*(1+((1+VLOOKUP($B443,'IPCA Hist'!$B:$C,2,0))^12 - 1)+$J$2)^(1/252)</f>
        <v>136012636.12431905</v>
      </c>
      <c r="K443" s="2">
        <f>K442*(1+((1+VLOOKUP($B443,'IPCA Hist'!$B:$C,2,0))^12 - 1)+$K$2)^(1/252)</f>
        <v>20683696.451083388</v>
      </c>
      <c r="L443" s="2">
        <f>L442*(1+((1+VLOOKUP($B443,'IPCA Hist'!$B:$C,2,0))^12 - 1)+$L$2)^(1/252)</f>
        <v>12596548.118533907</v>
      </c>
      <c r="M443" s="2">
        <f>M442*(1+((1+VLOOKUP($B443,'IPCA Hist'!$B:$C,2,0))^12 - 1)+$M$2)^(1/252)</f>
        <v>10740434.6608565</v>
      </c>
      <c r="N443" s="2">
        <v>0</v>
      </c>
      <c r="O443" s="2">
        <v>0</v>
      </c>
      <c r="P443" s="2">
        <v>0</v>
      </c>
      <c r="Q443" s="2">
        <f>Q442*(1+((1+VLOOKUP($B443,'IPCA Hist'!$B:$C,2,0))^12 - 1)+$Q$2)^(1/252)</f>
        <v>46102911.870047547</v>
      </c>
      <c r="R443" s="2">
        <f>R442*(1+((1+VLOOKUP($B443,'IPCA Hist'!$B:$C,2,0))^12 - 1)+$R$2)^(1/252)</f>
        <v>46089399.348858126</v>
      </c>
      <c r="S443" s="2">
        <f>S442*(1+((1+VLOOKUP($B443,'IPCA Hist'!$B:$C,2,0))^12 - 1)+$S$2)^(1/252)</f>
        <v>47106025.108796649</v>
      </c>
      <c r="T443" s="2">
        <f>T442*(1+((1+VLOOKUP($B443,'IPCA Hist'!$B:$C,2,0))^12 - 1)+$T$2)^(1/252)</f>
        <v>237909217.18432394</v>
      </c>
      <c r="U443" s="2">
        <f>U442*(1+((1+VLOOKUP($B443,'IPCA Hist'!$B:$C,2,0))^12 - 1)+$U$2)^(1/252)</f>
        <v>20894992.693157163</v>
      </c>
      <c r="V443" s="2">
        <f>V442*(1+((1+VLOOKUP($B443,'IPCA Hist'!$B:$C,2,0))^12 - 1)+$V$2)^(1/252)</f>
        <v>80973460.935328573</v>
      </c>
      <c r="W443" s="2">
        <f>W442*(1+((1+VLOOKUP($B443,'IPCA Hist'!$B:$C,2,0))^12 - 1)+$W$2)^(1/252)</f>
        <v>42633624.939521864</v>
      </c>
      <c r="X443" s="2">
        <f>X442*(1+((1+VLOOKUP($B443,'IPCA Hist'!$B:$C,2,0))^12 - 1)+$X$2)^(1/252)</f>
        <v>14611093.684476368</v>
      </c>
      <c r="Y443" s="2">
        <v>118978629.72799999</v>
      </c>
      <c r="Z443" s="2">
        <f>Z442*(1+((1+VLOOKUP($B443,'IPCA Hist'!$B:$C,2,0))^12 - 1)+$Z$2)^(1/252)</f>
        <v>83692429.038265735</v>
      </c>
      <c r="AA443" s="2">
        <f>AA442*(1+((1+VLOOKUP($B443,'IPCA Hist'!$B:$C,2,0))^12 - 1)+$AA$2)^(1/252)</f>
        <v>42092697.141954638</v>
      </c>
      <c r="AB443" s="2">
        <f>AB442*(1+((1+VLOOKUP($B443,'IPCA Hist'!$B:$C,2,0))^12 - 1)+$AB$2)^(1/252)</f>
        <v>42106709.205040418</v>
      </c>
      <c r="AC443" s="2">
        <v>0</v>
      </c>
      <c r="AD443" s="2">
        <v>0</v>
      </c>
      <c r="AE443" s="2">
        <v>0</v>
      </c>
      <c r="AF443" s="2">
        <f>AF442*(1+((1+VLOOKUP($B443,'IGPM Hist'!$B:$C,2,0))^12 - 1)+$AF$2)^(1/252)</f>
        <v>1693878.9801173778</v>
      </c>
      <c r="AG443" s="2">
        <v>0</v>
      </c>
      <c r="AH443" s="2">
        <v>0</v>
      </c>
      <c r="AI443" s="2">
        <v>0</v>
      </c>
      <c r="AJ443" s="2">
        <f t="shared" si="153"/>
        <v>54489844.188100055</v>
      </c>
      <c r="AK443" s="2">
        <f t="shared" si="153"/>
        <v>178722860.36475012</v>
      </c>
      <c r="AL443" s="2">
        <f t="shared" si="153"/>
        <v>36654108.369137131</v>
      </c>
      <c r="AM443" s="2">
        <f t="shared" si="153"/>
        <v>128326085.49354611</v>
      </c>
      <c r="AN443" s="2">
        <f t="shared" si="153"/>
        <v>54975920.267099991</v>
      </c>
      <c r="AO443" s="2">
        <f t="shared" si="153"/>
        <v>23542628.279442895</v>
      </c>
      <c r="AP443" s="2">
        <v>0</v>
      </c>
      <c r="AQ443" s="2">
        <v>0</v>
      </c>
      <c r="AR443" s="2">
        <v>0</v>
      </c>
      <c r="AS443" s="2">
        <f t="shared" si="153"/>
        <v>107059596.53063752</v>
      </c>
      <c r="AT443" s="2">
        <f t="shared" si="153"/>
        <v>5431676.067803761</v>
      </c>
      <c r="AU443" s="2">
        <v>0</v>
      </c>
      <c r="AV443" s="2">
        <f t="shared" si="153"/>
        <v>54347120.630369969</v>
      </c>
      <c r="AW443" s="2">
        <f t="shared" si="153"/>
        <v>2807067.7953707259</v>
      </c>
      <c r="AX443" s="2">
        <v>0</v>
      </c>
      <c r="AY443" s="2">
        <v>0</v>
      </c>
      <c r="AZ443" s="2">
        <v>0</v>
      </c>
      <c r="BA443" s="2">
        <v>4933775.0599999996</v>
      </c>
      <c r="BB443" s="2">
        <f t="shared" si="145"/>
        <v>1870533098.4188266</v>
      </c>
      <c r="BC443" s="2">
        <v>120000000</v>
      </c>
      <c r="BD443" s="2">
        <v>0</v>
      </c>
      <c r="BE443" s="2">
        <f t="shared" si="87"/>
        <v>557057.80067110062</v>
      </c>
      <c r="BF443" s="2">
        <f t="shared" si="80"/>
        <v>13154007.817096949</v>
      </c>
      <c r="BG443" s="2">
        <f t="shared" si="81"/>
        <v>52341622.328020573</v>
      </c>
      <c r="BH443" s="11">
        <f t="shared" si="146"/>
        <v>1.1871474319290141</v>
      </c>
      <c r="BI443" s="12">
        <f t="shared" si="147"/>
        <v>3.1832310142609899E-4</v>
      </c>
      <c r="BJ443" s="12">
        <f t="shared" si="148"/>
        <v>7.571178845338089E-3</v>
      </c>
      <c r="BK443" s="12">
        <f t="shared" si="149"/>
        <v>3.0840696501927223E-2</v>
      </c>
      <c r="BL443" s="5">
        <f t="shared" si="150"/>
        <v>0.18714743192901406</v>
      </c>
      <c r="BM443" s="19">
        <f t="shared" si="151"/>
        <v>6.1166045708831218E-2</v>
      </c>
      <c r="BN443" s="19">
        <f t="shared" si="152"/>
        <v>0.10806127794249432</v>
      </c>
      <c r="BO443" s="19" t="s">
        <v>53</v>
      </c>
    </row>
    <row r="444" spans="1:67" x14ac:dyDescent="0.25">
      <c r="A444" s="1">
        <v>45743</v>
      </c>
      <c r="B444" s="1" t="str">
        <f t="shared" si="125"/>
        <v>202503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f>I443*(1+((1+VLOOKUP($B444,'IPCA Hist'!$B:$C,2,0))^12 - 1)+$I$2)^(1/252)</f>
        <v>214425057.8599304</v>
      </c>
      <c r="J444" s="2">
        <f>J443*(1+((1+VLOOKUP($B444,'IPCA Hist'!$B:$C,2,0))^12 - 1)+$J$2)^(1/252)</f>
        <v>136074394.77622125</v>
      </c>
      <c r="K444" s="2">
        <f>K443*(1+((1+VLOOKUP($B444,'IPCA Hist'!$B:$C,2,0))^12 - 1)+$K$2)^(1/252)</f>
        <v>20694157.848593742</v>
      </c>
      <c r="L444" s="2">
        <f>L443*(1+((1+VLOOKUP($B444,'IPCA Hist'!$B:$C,2,0))^12 - 1)+$L$2)^(1/252)</f>
        <v>12602968.046664985</v>
      </c>
      <c r="M444" s="2">
        <f>M443*(1+((1+VLOOKUP($B444,'IPCA Hist'!$B:$C,2,0))^12 - 1)+$M$2)^(1/252)</f>
        <v>10746229.560571535</v>
      </c>
      <c r="N444" s="2">
        <v>0</v>
      </c>
      <c r="O444" s="2">
        <v>0</v>
      </c>
      <c r="P444" s="2">
        <v>0</v>
      </c>
      <c r="Q444" s="2">
        <f>Q443*(1+((1+VLOOKUP($B444,'IPCA Hist'!$B:$C,2,0))^12 - 1)+$Q$2)^(1/252)</f>
        <v>46123812.96182102</v>
      </c>
      <c r="R444" s="2">
        <f>R443*(1+((1+VLOOKUP($B444,'IPCA Hist'!$B:$C,2,0))^12 - 1)+$R$2)^(1/252)</f>
        <v>46110310.636612855</v>
      </c>
      <c r="S444" s="2">
        <f>S443*(1+((1+VLOOKUP($B444,'IPCA Hist'!$B:$C,2,0))^12 - 1)+$S$2)^(1/252)</f>
        <v>47127197.369319491</v>
      </c>
      <c r="T444" s="2">
        <f>T443*(1+((1+VLOOKUP($B444,'IPCA Hist'!$B:$C,2,0))^12 - 1)+$T$2)^(1/252)</f>
        <v>238016063.45030096</v>
      </c>
      <c r="U444" s="2">
        <f>U443*(1+((1+VLOOKUP($B444,'IPCA Hist'!$B:$C,2,0))^12 - 1)+$U$2)^(1/252)</f>
        <v>20905370.856388159</v>
      </c>
      <c r="V444" s="2">
        <f>V443*(1+((1+VLOOKUP($B444,'IPCA Hist'!$B:$C,2,0))^12 - 1)+$V$2)^(1/252)</f>
        <v>81017822.224015892</v>
      </c>
      <c r="W444" s="2">
        <f>W443*(1+((1+VLOOKUP($B444,'IPCA Hist'!$B:$C,2,0))^12 - 1)+$W$2)^(1/252)</f>
        <v>42657115.887010768</v>
      </c>
      <c r="X444" s="2">
        <f>X443*(1+((1+VLOOKUP($B444,'IPCA Hist'!$B:$C,2,0))^12 - 1)+$X$2)^(1/252)</f>
        <v>14618875.595715456</v>
      </c>
      <c r="Y444" s="2">
        <f>Y443*(1+((1+VLOOKUP($B444,'IPCA Hist'!$B:$C,2,0))^12 - 1)+$Y$2)^(1/252)</f>
        <v>119044433.08928524</v>
      </c>
      <c r="Z444" s="2">
        <f>Z443*(1+((1+VLOOKUP($B444,'IPCA Hist'!$B:$C,2,0))^12 - 1)+$Z$2)^(1/252)</f>
        <v>83736337.812727094</v>
      </c>
      <c r="AA444" s="2">
        <f>AA443*(1+((1+VLOOKUP($B444,'IPCA Hist'!$B:$C,2,0))^12 - 1)+$AA$2)^(1/252)</f>
        <v>42116557.850883521</v>
      </c>
      <c r="AB444" s="2">
        <f>AB443*(1+((1+VLOOKUP($B444,'IPCA Hist'!$B:$C,2,0))^12 - 1)+$AB$2)^(1/252)</f>
        <v>42130563.362647168</v>
      </c>
      <c r="AC444" s="2">
        <v>0</v>
      </c>
      <c r="AD444" s="2">
        <v>0</v>
      </c>
      <c r="AE444" s="2">
        <v>0</v>
      </c>
      <c r="AF444" s="2">
        <f>AF443*(1+((1+VLOOKUP($B444,'IGPM Hist'!$B:$C,2,0))^12 - 1)+$AF$2)^(1/252)</f>
        <v>1694028.183886912</v>
      </c>
      <c r="AG444" s="2">
        <v>0</v>
      </c>
      <c r="AH444" s="2">
        <v>0</v>
      </c>
      <c r="AI444" s="2">
        <v>0</v>
      </c>
      <c r="AJ444" s="2">
        <f t="shared" ref="AJ444:AW444" si="154">AJ443*(1+AJ$2)^(1/252)</f>
        <v>54514931.457475781</v>
      </c>
      <c r="AK444" s="2">
        <f t="shared" si="154"/>
        <v>178809208.56770471</v>
      </c>
      <c r="AL444" s="2">
        <f t="shared" si="154"/>
        <v>36671823.885423921</v>
      </c>
      <c r="AM444" s="2">
        <f t="shared" si="154"/>
        <v>128388073.71003668</v>
      </c>
      <c r="AN444" s="2">
        <f t="shared" si="154"/>
        <v>55002495.838822722</v>
      </c>
      <c r="AO444" s="2">
        <f t="shared" si="154"/>
        <v>23556131.768762771</v>
      </c>
      <c r="AP444" s="2">
        <v>0</v>
      </c>
      <c r="AQ444" s="2">
        <v>0</v>
      </c>
      <c r="AR444" s="2">
        <v>0</v>
      </c>
      <c r="AS444" s="2">
        <f t="shared" si="154"/>
        <v>107107294.44728053</v>
      </c>
      <c r="AT444" s="2">
        <f t="shared" si="154"/>
        <v>5434749.1103386963</v>
      </c>
      <c r="AU444" s="2">
        <v>0</v>
      </c>
      <c r="AV444" s="2">
        <f t="shared" si="154"/>
        <v>54371853.799350709</v>
      </c>
      <c r="AW444" s="2">
        <f t="shared" si="154"/>
        <v>2808635.6163734626</v>
      </c>
      <c r="AX444" s="2">
        <v>0</v>
      </c>
      <c r="AY444" s="2">
        <v>0</v>
      </c>
      <c r="AZ444" s="2">
        <v>0</v>
      </c>
      <c r="BA444" s="2">
        <f>BA443*(1+VLOOKUP(A444,'SELIC Hist'!$A:$C,3,0)-0.01%)^(1/252)</f>
        <v>4936365.1018117806</v>
      </c>
      <c r="BB444" s="2">
        <f t="shared" si="145"/>
        <v>1871442860.6759782</v>
      </c>
      <c r="BC444" s="2">
        <v>0</v>
      </c>
      <c r="BD444" s="2">
        <v>0</v>
      </c>
      <c r="BE444" s="2">
        <f t="shared" si="87"/>
        <v>909762.2571516037</v>
      </c>
      <c r="BF444" s="2">
        <f t="shared" si="80"/>
        <v>14063770.074248552</v>
      </c>
      <c r="BG444" s="2">
        <f t="shared" si="81"/>
        <v>53251384.585172176</v>
      </c>
      <c r="BH444" s="11">
        <f t="shared" si="146"/>
        <v>1.1877248191605774</v>
      </c>
      <c r="BI444" s="12">
        <f t="shared" si="147"/>
        <v>4.8636522813771954E-4</v>
      </c>
      <c r="BJ444" s="12">
        <f t="shared" si="148"/>
        <v>8.0612264316022308E-3</v>
      </c>
      <c r="BK444" s="12">
        <f t="shared" si="149"/>
        <v>3.1342061572455115E-2</v>
      </c>
      <c r="BL444" s="5">
        <f t="shared" si="150"/>
        <v>0.18772481916057737</v>
      </c>
      <c r="BM444" s="19">
        <f t="shared" si="151"/>
        <v>6.1245765158804755E-2</v>
      </c>
      <c r="BN444" s="19">
        <f t="shared" si="152"/>
        <v>0.10854298599276224</v>
      </c>
      <c r="BO444" s="19" t="s">
        <v>53</v>
      </c>
    </row>
    <row r="445" spans="1:67" x14ac:dyDescent="0.25">
      <c r="A445" s="1">
        <v>45744</v>
      </c>
      <c r="B445" s="1" t="str">
        <f t="shared" si="125"/>
        <v>202503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f>I444*(1+((1+VLOOKUP($B445,'IPCA Hist'!$B:$C,2,0))^12 - 1)+$I$2)^(1/252)</f>
        <v>214526133.18224069</v>
      </c>
      <c r="J445" s="2">
        <f>J444*(1+((1+VLOOKUP($B445,'IPCA Hist'!$B:$C,2,0))^12 - 1)+$J$2)^(1/252)</f>
        <v>136136181.47059944</v>
      </c>
      <c r="K445" s="2">
        <f>K444*(1+((1+VLOOKUP($B445,'IPCA Hist'!$B:$C,2,0))^12 - 1)+$K$2)^(1/252)</f>
        <v>20704624.537268471</v>
      </c>
      <c r="L445" s="2">
        <f>L444*(1+((1+VLOOKUP($B445,'IPCA Hist'!$B:$C,2,0))^12 - 1)+$L$2)^(1/252)</f>
        <v>12609391.246762067</v>
      </c>
      <c r="M445" s="2">
        <f>M444*(1+((1+VLOOKUP($B445,'IPCA Hist'!$B:$C,2,0))^12 - 1)+$M$2)^(1/252)</f>
        <v>10752027.586869782</v>
      </c>
      <c r="N445" s="2">
        <v>0</v>
      </c>
      <c r="O445" s="2">
        <v>0</v>
      </c>
      <c r="P445" s="2">
        <v>0</v>
      </c>
      <c r="Q445" s="2">
        <f>Q444*(1+((1+VLOOKUP($B445,'IPCA Hist'!$B:$C,2,0))^12 - 1)+$Q$2)^(1/252)</f>
        <v>46144723.529257081</v>
      </c>
      <c r="R445" s="2">
        <f>R444*(1+((1+VLOOKUP($B445,'IPCA Hist'!$B:$C,2,0))^12 - 1)+$R$2)^(1/252)</f>
        <v>46131231.412058063</v>
      </c>
      <c r="S445" s="2">
        <f>S444*(1+((1+VLOOKUP($B445,'IPCA Hist'!$B:$C,2,0))^12 - 1)+$S$2)^(1/252)</f>
        <v>47148379.14592047</v>
      </c>
      <c r="T445" s="2">
        <f>T444*(1+((1+VLOOKUP($B445,'IPCA Hist'!$B:$C,2,0))^12 - 1)+$T$2)^(1/252)</f>
        <v>238122957.70149136</v>
      </c>
      <c r="U445" s="2">
        <f>U444*(1+((1+VLOOKUP($B445,'IPCA Hist'!$B:$C,2,0))^12 - 1)+$U$2)^(1/252)</f>
        <v>20915754.174264271</v>
      </c>
      <c r="V445" s="2">
        <f>V444*(1+((1+VLOOKUP($B445,'IPCA Hist'!$B:$C,2,0))^12 - 1)+$V$2)^(1/252)</f>
        <v>81062207.816023231</v>
      </c>
      <c r="W445" s="2">
        <f>W444*(1+((1+VLOOKUP($B445,'IPCA Hist'!$B:$C,2,0))^12 - 1)+$W$2)^(1/252)</f>
        <v>42680619.777912647</v>
      </c>
      <c r="X445" s="2">
        <f>X444*(1+((1+VLOOKUP($B445,'IPCA Hist'!$B:$C,2,0))^12 - 1)+$X$2)^(1/252)</f>
        <v>14626661.651623234</v>
      </c>
      <c r="Y445" s="2">
        <f>Y444*(1+((1+VLOOKUP($B445,'IPCA Hist'!$B:$C,2,0))^12 - 1)+$Y$2)^(1/252)</f>
        <v>119110272.84435286</v>
      </c>
      <c r="Z445" s="2">
        <f>Z444*(1+((1+VLOOKUP($B445,'IPCA Hist'!$B:$C,2,0))^12 - 1)+$Z$2)^(1/252)</f>
        <v>83780269.623686463</v>
      </c>
      <c r="AA445" s="2">
        <f>AA444*(1+((1+VLOOKUP($B445,'IPCA Hist'!$B:$C,2,0))^12 - 1)+$AA$2)^(1/252)</f>
        <v>42140432.085518032</v>
      </c>
      <c r="AB445" s="2">
        <f>AB444*(1+((1+VLOOKUP($B445,'IPCA Hist'!$B:$C,2,0))^12 - 1)+$AB$2)^(1/252)</f>
        <v>42154431.034034647</v>
      </c>
      <c r="AC445" s="2">
        <v>0</v>
      </c>
      <c r="AD445" s="2">
        <v>0</v>
      </c>
      <c r="AE445" s="2">
        <v>0</v>
      </c>
      <c r="AF445" s="2">
        <f>AF444*(1+((1+VLOOKUP($B445,'IGPM Hist'!$B:$C,2,0))^12 - 1)+$AF$2)^(1/252)</f>
        <v>1694177.4007989226</v>
      </c>
      <c r="AG445" s="2">
        <v>0</v>
      </c>
      <c r="AH445" s="2">
        <v>0</v>
      </c>
      <c r="AI445" s="2">
        <v>0</v>
      </c>
      <c r="AJ445" s="2">
        <f t="shared" ref="AJ445:AW445" si="155">AJ444*(1+AJ$2)^(1/252)</f>
        <v>54540030.277097136</v>
      </c>
      <c r="AK445" s="2">
        <f t="shared" si="155"/>
        <v>178895598.48894951</v>
      </c>
      <c r="AL445" s="2">
        <f t="shared" si="155"/>
        <v>36689547.963902816</v>
      </c>
      <c r="AM445" s="2">
        <f t="shared" si="155"/>
        <v>128450091.87008058</v>
      </c>
      <c r="AN445" s="2">
        <f t="shared" si="155"/>
        <v>55029084.25727924</v>
      </c>
      <c r="AO445" s="2">
        <f t="shared" si="155"/>
        <v>23569643.00336162</v>
      </c>
      <c r="AP445" s="2">
        <v>0</v>
      </c>
      <c r="AQ445" s="2">
        <v>0</v>
      </c>
      <c r="AR445" s="2">
        <v>0</v>
      </c>
      <c r="AS445" s="2">
        <f t="shared" si="155"/>
        <v>107155013.61462244</v>
      </c>
      <c r="AT445" s="2">
        <f t="shared" si="155"/>
        <v>5437823.8914880678</v>
      </c>
      <c r="AU445" s="2">
        <v>0</v>
      </c>
      <c r="AV445" s="2">
        <f t="shared" si="155"/>
        <v>54396598.224303074</v>
      </c>
      <c r="AW445" s="2">
        <f t="shared" si="155"/>
        <v>2810204.3130453588</v>
      </c>
      <c r="AX445" s="2">
        <v>0</v>
      </c>
      <c r="AY445" s="2">
        <v>0</v>
      </c>
      <c r="AZ445" s="2">
        <v>0</v>
      </c>
      <c r="BA445" s="2">
        <f>BA444*(1+VLOOKUP(A445,'SELIC Hist'!$A:$C,3,0)-0.01%)^(1/252)</f>
        <v>4938956.5032957206</v>
      </c>
      <c r="BB445" s="2">
        <f t="shared" si="145"/>
        <v>1872353068.6281071</v>
      </c>
      <c r="BC445" s="2">
        <v>0</v>
      </c>
      <c r="BD445" s="2">
        <v>0</v>
      </c>
      <c r="BE445" s="2">
        <f t="shared" si="87"/>
        <v>910207.95212888718</v>
      </c>
      <c r="BF445" s="2">
        <f t="shared" si="80"/>
        <v>14973978.026377439</v>
      </c>
      <c r="BG445" s="2">
        <f t="shared" si="81"/>
        <v>54161592.537301064</v>
      </c>
      <c r="BH445" s="11">
        <f t="shared" si="146"/>
        <v>1.1883024892556988</v>
      </c>
      <c r="BI445" s="12">
        <f t="shared" si="147"/>
        <v>4.8636694779990997E-4</v>
      </c>
      <c r="BJ445" s="12">
        <f t="shared" si="148"/>
        <v>8.5515140934973033E-3</v>
      </c>
      <c r="BK445" s="12">
        <f t="shared" si="149"/>
        <v>3.1843672263079714E-2</v>
      </c>
      <c r="BL445" s="5">
        <f t="shared" si="150"/>
        <v>0.18830248925569881</v>
      </c>
      <c r="BM445" s="19">
        <f t="shared" si="151"/>
        <v>6.1325492012866745E-2</v>
      </c>
      <c r="BN445" s="19">
        <f t="shared" si="152"/>
        <v>0.10863277135232541</v>
      </c>
      <c r="BO445" s="19" t="s">
        <v>53</v>
      </c>
    </row>
    <row r="446" spans="1:67" x14ac:dyDescent="0.25">
      <c r="A446" s="1">
        <v>45747</v>
      </c>
      <c r="B446" s="1" t="str">
        <f t="shared" si="125"/>
        <v>202503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f>I445*(1+((1+VLOOKUP($B446,'IPCA Hist'!$B:$C,2,0))^12 - 1)+$I$2)^(1/252)</f>
        <v>214627256.14926606</v>
      </c>
      <c r="J446" s="2">
        <f>J445*(1+((1+VLOOKUP($B446,'IPCA Hist'!$B:$C,2,0))^12 - 1)+$J$2)^(1/252)</f>
        <v>136197996.22018677</v>
      </c>
      <c r="K446" s="2">
        <f>K445*(1+((1+VLOOKUP($B446,'IPCA Hist'!$B:$C,2,0))^12 - 1)+$K$2)^(1/252)</f>
        <v>20715096.519783743</v>
      </c>
      <c r="L446" s="2">
        <f>L445*(1+((1+VLOOKUP($B446,'IPCA Hist'!$B:$C,2,0))^12 - 1)+$L$2)^(1/252)</f>
        <v>12615817.720492736</v>
      </c>
      <c r="M446" s="2">
        <f>M445*(1+((1+VLOOKUP($B446,'IPCA Hist'!$B:$C,2,0))^12 - 1)+$M$2)^(1/252)</f>
        <v>10757828.74143816</v>
      </c>
      <c r="N446" s="2">
        <v>0</v>
      </c>
      <c r="O446" s="2">
        <v>0</v>
      </c>
      <c r="P446" s="2">
        <v>0</v>
      </c>
      <c r="Q446" s="2">
        <f>Q445*(1+((1+VLOOKUP($B446,'IPCA Hist'!$B:$C,2,0))^12 - 1)+$Q$2)^(1/252)</f>
        <v>46165643.576651596</v>
      </c>
      <c r="R446" s="2">
        <f>R445*(1+((1+VLOOKUP($B446,'IPCA Hist'!$B:$C,2,0))^12 - 1)+$R$2)^(1/252)</f>
        <v>46152161.679498427</v>
      </c>
      <c r="S446" s="2">
        <f>S445*(1+((1+VLOOKUP($B446,'IPCA Hist'!$B:$C,2,0))^12 - 1)+$S$2)^(1/252)</f>
        <v>47169570.442876682</v>
      </c>
      <c r="T446" s="2">
        <f>T445*(1+((1+VLOOKUP($B446,'IPCA Hist'!$B:$C,2,0))^12 - 1)+$T$2)^(1/252)</f>
        <v>238229899.95944557</v>
      </c>
      <c r="U446" s="2">
        <f>U445*(1+((1+VLOOKUP($B446,'IPCA Hist'!$B:$C,2,0))^12 - 1)+$U$2)^(1/252)</f>
        <v>20926142.649345718</v>
      </c>
      <c r="V446" s="2">
        <f>V445*(1+((1+VLOOKUP($B446,'IPCA Hist'!$B:$C,2,0))^12 - 1)+$V$2)^(1/252)</f>
        <v>81106617.72466515</v>
      </c>
      <c r="W446" s="2">
        <f>W445*(1+((1+VLOOKUP($B446,'IPCA Hist'!$B:$C,2,0))^12 - 1)+$W$2)^(1/252)</f>
        <v>42704136.619359255</v>
      </c>
      <c r="X446" s="2">
        <f>X445*(1+((1+VLOOKUP($B446,'IPCA Hist'!$B:$C,2,0))^12 - 1)+$X$2)^(1/252)</f>
        <v>14634451.854407167</v>
      </c>
      <c r="Y446" s="2">
        <f>Y445*(1+((1+VLOOKUP($B446,'IPCA Hist'!$B:$C,2,0))^12 - 1)+$Y$2)^(1/252)</f>
        <v>119176149.0133311</v>
      </c>
      <c r="Z446" s="2">
        <f>Z445*(1+((1+VLOOKUP($B446,'IPCA Hist'!$B:$C,2,0))^12 - 1)+$Z$2)^(1/252)</f>
        <v>83824224.483229801</v>
      </c>
      <c r="AA446" s="2">
        <f>AA445*(1+((1+VLOOKUP($B446,'IPCA Hist'!$B:$C,2,0))^12 - 1)+$AA$2)^(1/252)</f>
        <v>42164319.85352537</v>
      </c>
      <c r="AB446" s="2">
        <f>AB445*(1+((1+VLOOKUP($B446,'IPCA Hist'!$B:$C,2,0))^12 - 1)+$AB$2)^(1/252)</f>
        <v>42178312.226858631</v>
      </c>
      <c r="AC446" s="2">
        <v>0</v>
      </c>
      <c r="AD446" s="2">
        <v>0</v>
      </c>
      <c r="AE446" s="2">
        <v>0</v>
      </c>
      <c r="AF446" s="2">
        <f>AF445*(1+((1+VLOOKUP($B446,'IGPM Hist'!$B:$C,2,0))^12 - 1)+$AF$2)^(1/252)</f>
        <v>1694326.6308545675</v>
      </c>
      <c r="AG446" s="2">
        <v>0</v>
      </c>
      <c r="AH446" s="2">
        <v>0</v>
      </c>
      <c r="AI446" s="2">
        <v>0</v>
      </c>
      <c r="AJ446" s="2">
        <f t="shared" ref="AJ446:AW446" si="156">AJ445*(1+AJ$2)^(1/252)</f>
        <v>54565140.65228188</v>
      </c>
      <c r="AK446" s="2">
        <f t="shared" si="156"/>
        <v>178982030.14864028</v>
      </c>
      <c r="AL446" s="2">
        <f t="shared" si="156"/>
        <v>36707280.608712062</v>
      </c>
      <c r="AM446" s="2">
        <f t="shared" si="156"/>
        <v>128512139.9881421</v>
      </c>
      <c r="AN446" s="2">
        <f t="shared" si="156"/>
        <v>55055685.528679706</v>
      </c>
      <c r="AO446" s="2">
        <f t="shared" si="156"/>
        <v>23583161.987681951</v>
      </c>
      <c r="AP446" s="2">
        <v>0</v>
      </c>
      <c r="AQ446" s="2">
        <v>0</v>
      </c>
      <c r="AR446" s="2">
        <v>0</v>
      </c>
      <c r="AS446" s="2">
        <f t="shared" si="156"/>
        <v>107202754.04213104</v>
      </c>
      <c r="AT446" s="2">
        <f t="shared" si="156"/>
        <v>5440900.4122355189</v>
      </c>
      <c r="AU446" s="2">
        <v>0</v>
      </c>
      <c r="AV446" s="2">
        <f t="shared" si="156"/>
        <v>54421353.910349615</v>
      </c>
      <c r="AW446" s="2">
        <f t="shared" si="156"/>
        <v>2811773.8858754984</v>
      </c>
      <c r="AX446" s="2">
        <v>0</v>
      </c>
      <c r="AY446" s="2">
        <v>0</v>
      </c>
      <c r="AZ446" s="2">
        <v>0</v>
      </c>
      <c r="BA446" s="2">
        <f>BA445*(1+VLOOKUP(A446,'SELIC Hist'!$A:$C,3,0)-0.01%)^(1/252)</f>
        <v>4941549.2651655944</v>
      </c>
      <c r="BB446" s="2">
        <f t="shared" si="145"/>
        <v>1873263722.495111</v>
      </c>
      <c r="BC446" s="2">
        <v>0</v>
      </c>
      <c r="BD446" s="2">
        <v>0</v>
      </c>
      <c r="BE446" s="2">
        <f t="shared" si="87"/>
        <v>910653.86700391769</v>
      </c>
      <c r="BF446" s="2">
        <f t="shared" si="80"/>
        <v>15884631.893381357</v>
      </c>
      <c r="BG446" s="2">
        <f t="shared" si="81"/>
        <v>55072246.404304981</v>
      </c>
      <c r="BH446" s="11">
        <f t="shared" si="146"/>
        <v>1.1888804423539379</v>
      </c>
      <c r="BI446" s="12">
        <f t="shared" si="147"/>
        <v>4.8636866746032403E-4</v>
      </c>
      <c r="BJ446" s="12">
        <f t="shared" si="148"/>
        <v>9.0420419494721127E-3</v>
      </c>
      <c r="BK446" s="12">
        <f t="shared" si="149"/>
        <v>3.2345528694985637E-2</v>
      </c>
      <c r="BL446" s="5">
        <f t="shared" si="150"/>
        <v>0.18888044235393786</v>
      </c>
      <c r="BM446" s="19">
        <f t="shared" si="151"/>
        <v>6.1405226271773028E-2</v>
      </c>
      <c r="BN446" s="19">
        <f t="shared" si="152"/>
        <v>0.110220559701939</v>
      </c>
      <c r="BO446" s="19" t="s">
        <v>53</v>
      </c>
    </row>
    <row r="447" spans="1:67" x14ac:dyDescent="0.25">
      <c r="A447" s="1">
        <v>45748</v>
      </c>
      <c r="B447" s="1" t="str">
        <f t="shared" ref="B447:B453" si="157">_xlfn.CONCAT(TEXT(YEAR(A447),"0000"),TEXT(MONTH(A447),"00"))</f>
        <v>202504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f>I446*(1+((1+VLOOKUP($B447,'IPCA Hist'!$B:$C,2,0))^12 - 1)+$I$2)^(1/252)</f>
        <v>214715871.91009301</v>
      </c>
      <c r="J447" s="2">
        <f>J446*(1+((1+VLOOKUP($B447,'IPCA Hist'!$B:$C,2,0))^12 - 1)+$J$2)^(1/252)</f>
        <v>136251837.03796399</v>
      </c>
      <c r="K447" s="2">
        <f>K446*(1+((1+VLOOKUP($B447,'IPCA Hist'!$B:$C,2,0))^12 - 1)+$K$2)^(1/252)</f>
        <v>20724372.534479205</v>
      </c>
      <c r="L447" s="2">
        <f>L446*(1+((1+VLOOKUP($B447,'IPCA Hist'!$B:$C,2,0))^12 - 1)+$L$2)^(1/252)</f>
        <v>12621516.597351579</v>
      </c>
      <c r="M447" s="2">
        <f>M446*(1+((1+VLOOKUP($B447,'IPCA Hist'!$B:$C,2,0))^12 - 1)+$M$2)^(1/252)</f>
        <v>10763014.481226839</v>
      </c>
      <c r="N447" s="2">
        <v>0</v>
      </c>
      <c r="O447" s="2">
        <v>0</v>
      </c>
      <c r="P447" s="2">
        <v>0</v>
      </c>
      <c r="Q447" s="2">
        <f>Q446*(1+((1+VLOOKUP($B447,'IPCA Hist'!$B:$C,2,0))^12 - 1)+$Q$2)^(1/252)</f>
        <v>46183860.266599081</v>
      </c>
      <c r="R447" s="2">
        <f>R446*(1+((1+VLOOKUP($B447,'IPCA Hist'!$B:$C,2,0))^12 - 1)+$R$2)^(1/252)</f>
        <v>46170389.636518866</v>
      </c>
      <c r="S447" s="2">
        <f>S446*(1+((1+VLOOKUP($B447,'IPCA Hist'!$B:$C,2,0))^12 - 1)+$S$2)^(1/252)</f>
        <v>47187996.696827874</v>
      </c>
      <c r="T447" s="2">
        <f>T446*(1+((1+VLOOKUP($B447,'IPCA Hist'!$B:$C,2,0))^12 - 1)+$T$2)^(1/252)</f>
        <v>238322876.03708133</v>
      </c>
      <c r="U447" s="2">
        <f>U446*(1+((1+VLOOKUP($B447,'IPCA Hist'!$B:$C,2,0))^12 - 1)+$U$2)^(1/252)</f>
        <v>20935319.987992968</v>
      </c>
      <c r="V447" s="2">
        <f>V446*(1+((1+VLOOKUP($B447,'IPCA Hist'!$B:$C,2,0))^12 - 1)+$V$2)^(1/252)</f>
        <v>81146398.343190581</v>
      </c>
      <c r="W447" s="2">
        <f>W446*(1+((1+VLOOKUP($B447,'IPCA Hist'!$B:$C,2,0))^12 - 1)+$W$2)^(1/252)</f>
        <v>42725218.148350224</v>
      </c>
      <c r="X447" s="2">
        <f>X446*(1+((1+VLOOKUP($B447,'IPCA Hist'!$B:$C,2,0))^12 - 1)+$X$2)^(1/252)</f>
        <v>14641403.290266473</v>
      </c>
      <c r="Y447" s="2">
        <f>Y446*(1+((1+VLOOKUP($B447,'IPCA Hist'!$B:$C,2,0))^12 - 1)+$Y$2)^(1/252)</f>
        <v>119235232.70847718</v>
      </c>
      <c r="Z447" s="2">
        <f>Z446*(1+((1+VLOOKUP($B447,'IPCA Hist'!$B:$C,2,0))^12 - 1)+$Z$2)^(1/252)</f>
        <v>83863364.571444631</v>
      </c>
      <c r="AA447" s="2">
        <f>AA446*(1+((1+VLOOKUP($B447,'IPCA Hist'!$B:$C,2,0))^12 - 1)+$AA$2)^(1/252)</f>
        <v>42185813.511741824</v>
      </c>
      <c r="AB447" s="2">
        <f>AB446*(1+((1+VLOOKUP($B447,'IPCA Hist'!$B:$C,2,0))^12 - 1)+$AB$2)^(1/252)</f>
        <v>42199798.289471142</v>
      </c>
      <c r="AC447" s="2">
        <v>0</v>
      </c>
      <c r="AD447" s="2">
        <v>0</v>
      </c>
      <c r="AE447" s="2">
        <v>0</v>
      </c>
      <c r="AF447" s="2">
        <f>AF446*(1+((1+VLOOKUP($B447,'IGPM Hist'!$B:$C,2,0))^12 - 1)+$AF$2)^(1/252)</f>
        <v>1694916.4639272247</v>
      </c>
      <c r="AG447" s="2">
        <v>0</v>
      </c>
      <c r="AH447" s="2">
        <v>0</v>
      </c>
      <c r="AI447" s="2">
        <v>0</v>
      </c>
      <c r="AJ447" s="2">
        <f t="shared" ref="AJ447:AW447" si="158">AJ446*(1+AJ$2)^(1/252)</f>
        <v>54590262.588350236</v>
      </c>
      <c r="AK447" s="2">
        <f t="shared" si="158"/>
        <v>179068503.56694254</v>
      </c>
      <c r="AL447" s="2">
        <f t="shared" si="158"/>
        <v>36725021.823991902</v>
      </c>
      <c r="AM447" s="2">
        <f t="shared" si="158"/>
        <v>128574218.07869254</v>
      </c>
      <c r="AN447" s="2">
        <f t="shared" si="158"/>
        <v>55082299.65923728</v>
      </c>
      <c r="AO447" s="2">
        <f t="shared" si="158"/>
        <v>23596688.726168819</v>
      </c>
      <c r="AP447" s="2">
        <v>0</v>
      </c>
      <c r="AQ447" s="2">
        <v>0</v>
      </c>
      <c r="AR447" s="2">
        <v>0</v>
      </c>
      <c r="AS447" s="2">
        <f t="shared" si="158"/>
        <v>107250515.73927827</v>
      </c>
      <c r="AT447" s="2">
        <f t="shared" si="158"/>
        <v>5443978.6735652499</v>
      </c>
      <c r="AU447" s="2">
        <v>0</v>
      </c>
      <c r="AV447" s="2">
        <f t="shared" si="158"/>
        <v>54446120.862615213</v>
      </c>
      <c r="AW447" s="2">
        <f t="shared" si="158"/>
        <v>2813344.335353239</v>
      </c>
      <c r="AX447" s="2">
        <v>0</v>
      </c>
      <c r="AY447" s="2">
        <v>0</v>
      </c>
      <c r="AZ447" s="2">
        <v>0</v>
      </c>
      <c r="BA447" s="2">
        <f>BA446*(1+VLOOKUP(A447,'SELIC Hist'!$A:$C,3,0)-0.01%)^(1/252)</f>
        <v>4944143.3881355524</v>
      </c>
      <c r="BB447" s="2">
        <f t="shared" ref="BB447:BB453" si="159">SUM(C447:BA447)</f>
        <v>1874104297.9553347</v>
      </c>
      <c r="BC447" s="2">
        <v>0</v>
      </c>
      <c r="BD447" s="2">
        <v>0</v>
      </c>
      <c r="BE447" s="2">
        <f t="shared" ref="BE447:BE453" si="160">BB447-BB446-BC447+BD447</f>
        <v>840575.46022367477</v>
      </c>
      <c r="BF447" s="2">
        <f t="shared" ref="BF447:BF453" si="161">IF(MONTH(A447)=MONTH(A446),BE447+BF446,BE447)</f>
        <v>840575.46022367477</v>
      </c>
      <c r="BG447" s="2">
        <f t="shared" ref="BG447:BG453" si="162">IF(YEAR(A447)=YEAR(A446),BE447+BG446,BE447)</f>
        <v>55912821.864528656</v>
      </c>
      <c r="BH447" s="11">
        <f t="shared" ref="BH447:BH453" si="163">(1+(BB447-BB446-BC447+BD447)/BB446)*BH446</f>
        <v>1.1894139196817597</v>
      </c>
      <c r="BI447" s="12">
        <f t="shared" ref="BI447:BI453" si="164">BH447/BH446 - 1</f>
        <v>4.4872243567706249E-4</v>
      </c>
      <c r="BJ447" s="12">
        <f t="shared" ref="BJ447:BJ453" si="165">IF(MONTH(A447)=MONTH(A446),(1+BI447)*(1+BJ446) - 1,BI447)</f>
        <v>4.4872243567706249E-4</v>
      </c>
      <c r="BK447" s="12">
        <f t="shared" ref="BK447:BK453" si="166">IF(YEAR(A447)=YEAR(A446),(1+BI447)*(1+BK446) - 1,BI447)</f>
        <v>3.2808765295081921E-2</v>
      </c>
      <c r="BL447" s="5">
        <f t="shared" ref="BL447:BL453" si="167">(1+BI447)*(1+BL446) - 1</f>
        <v>0.18941391968175969</v>
      </c>
      <c r="BM447" s="19">
        <f t="shared" ref="BM447:BM453" si="168">BH447/BH321 - 1</f>
        <v>6.1445024628994815E-2</v>
      </c>
      <c r="BN447" s="19">
        <f t="shared" ref="BN447:BN453" si="169">BH447/BH195 - 1</f>
        <v>0.10887019712243284</v>
      </c>
      <c r="BO447" s="19" t="s">
        <v>53</v>
      </c>
    </row>
    <row r="448" spans="1:67" x14ac:dyDescent="0.25">
      <c r="A448" s="1">
        <v>45749</v>
      </c>
      <c r="B448" s="1" t="str">
        <f t="shared" si="157"/>
        <v>202504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f>I447*(1+((1+VLOOKUP($B448,'IPCA Hist'!$B:$C,2,0))^12 - 1)+$I$2)^(1/252)</f>
        <v>214804524.25878495</v>
      </c>
      <c r="J448" s="2">
        <f>J447*(1+((1+VLOOKUP($B448,'IPCA Hist'!$B:$C,2,0))^12 - 1)+$J$2)^(1/252)</f>
        <v>136305699.13970822</v>
      </c>
      <c r="K448" s="2">
        <f>K447*(1+((1+VLOOKUP($B448,'IPCA Hist'!$B:$C,2,0))^12 - 1)+$K$2)^(1/252)</f>
        <v>20733652.702882014</v>
      </c>
      <c r="L448" s="2">
        <f>L447*(1+((1+VLOOKUP($B448,'IPCA Hist'!$B:$C,2,0))^12 - 1)+$L$2)^(1/252)</f>
        <v>12627218.048534036</v>
      </c>
      <c r="M448" s="2">
        <f>M447*(1+((1+VLOOKUP($B448,'IPCA Hist'!$B:$C,2,0))^12 - 1)+$M$2)^(1/252)</f>
        <v>10768202.720766891</v>
      </c>
      <c r="N448" s="2">
        <v>0</v>
      </c>
      <c r="O448" s="2">
        <v>0</v>
      </c>
      <c r="P448" s="2">
        <v>0</v>
      </c>
      <c r="Q448" s="2">
        <f>Q447*(1+((1+VLOOKUP($B448,'IPCA Hist'!$B:$C,2,0))^12 - 1)+$Q$2)^(1/252)</f>
        <v>46202084.144744694</v>
      </c>
      <c r="R448" s="2">
        <f>R447*(1+((1+VLOOKUP($B448,'IPCA Hist'!$B:$C,2,0))^12 - 1)+$R$2)^(1/252)</f>
        <v>46188624.792734422</v>
      </c>
      <c r="S448" s="2">
        <f>S447*(1+((1+VLOOKUP($B448,'IPCA Hist'!$B:$C,2,0))^12 - 1)+$S$2)^(1/252)</f>
        <v>47206430.148784719</v>
      </c>
      <c r="T448" s="2">
        <f>T447*(1+((1+VLOOKUP($B448,'IPCA Hist'!$B:$C,2,0))^12 - 1)+$T$2)^(1/252)</f>
        <v>238415888.40130839</v>
      </c>
      <c r="U448" s="2">
        <f>U447*(1+((1+VLOOKUP($B448,'IPCA Hist'!$B:$C,2,0))^12 - 1)+$U$2)^(1/252)</f>
        <v>20944501.351440489</v>
      </c>
      <c r="V448" s="2">
        <f>V447*(1+((1+VLOOKUP($B448,'IPCA Hist'!$B:$C,2,0))^12 - 1)+$V$2)^(1/252)</f>
        <v>81186198.4730414</v>
      </c>
      <c r="W448" s="2">
        <f>W447*(1+((1+VLOOKUP($B448,'IPCA Hist'!$B:$C,2,0))^12 - 1)+$W$2)^(1/252)</f>
        <v>42746310.084549956</v>
      </c>
      <c r="X448" s="2">
        <f>X447*(1+((1+VLOOKUP($B448,'IPCA Hist'!$B:$C,2,0))^12 - 1)+$X$2)^(1/252)</f>
        <v>14648358.028091647</v>
      </c>
      <c r="Y448" s="2">
        <f>Y447*(1+((1+VLOOKUP($B448,'IPCA Hist'!$B:$C,2,0))^12 - 1)+$Y$2)^(1/252)</f>
        <v>119294345.69541581</v>
      </c>
      <c r="Z448" s="2">
        <f>Z447*(1+((1+VLOOKUP($B448,'IPCA Hist'!$B:$C,2,0))^12 - 1)+$Z$2)^(1/252)</f>
        <v>83902522.935360968</v>
      </c>
      <c r="AA448" s="2">
        <f>AA447*(1+((1+VLOOKUP($B448,'IPCA Hist'!$B:$C,2,0))^12 - 1)+$AA$2)^(1/252)</f>
        <v>42207318.1265525</v>
      </c>
      <c r="AB448" s="2">
        <f>AB447*(1+((1+VLOOKUP($B448,'IPCA Hist'!$B:$C,2,0))^12 - 1)+$AB$2)^(1/252)</f>
        <v>42221295.297303177</v>
      </c>
      <c r="AC448" s="2">
        <v>0</v>
      </c>
      <c r="AD448" s="2">
        <v>0</v>
      </c>
      <c r="AE448" s="2">
        <v>0</v>
      </c>
      <c r="AF448" s="2">
        <f>AF447*(1+((1+VLOOKUP($B448,'IGPM Hist'!$B:$C,2,0))^12 - 1)+$AF$2)^(1/252)</f>
        <v>1695506.5023339936</v>
      </c>
      <c r="AG448" s="2">
        <v>0</v>
      </c>
      <c r="AH448" s="2">
        <v>0</v>
      </c>
      <c r="AI448" s="2">
        <v>0</v>
      </c>
      <c r="AJ448" s="2">
        <f t="shared" ref="AJ448:AW448" si="170">AJ447*(1+AJ$2)^(1/252)</f>
        <v>54615396.090624861</v>
      </c>
      <c r="AK448" s="2">
        <f t="shared" si="170"/>
        <v>179155018.76403159</v>
      </c>
      <c r="AL448" s="2">
        <f t="shared" si="170"/>
        <v>36742771.613884583</v>
      </c>
      <c r="AM448" s="2">
        <f t="shared" si="170"/>
        <v>128636326.15621018</v>
      </c>
      <c r="AN448" s="2">
        <f t="shared" si="170"/>
        <v>55108926.655168131</v>
      </c>
      <c r="AO448" s="2">
        <f t="shared" si="170"/>
        <v>23610223.223269828</v>
      </c>
      <c r="AP448" s="2">
        <v>0</v>
      </c>
      <c r="AQ448" s="2">
        <v>0</v>
      </c>
      <c r="AR448" s="2">
        <v>0</v>
      </c>
      <c r="AS448" s="2">
        <f t="shared" si="170"/>
        <v>107298298.71554035</v>
      </c>
      <c r="AT448" s="2">
        <f t="shared" si="170"/>
        <v>5447058.6764620189</v>
      </c>
      <c r="AU448" s="2">
        <v>0</v>
      </c>
      <c r="AV448" s="2">
        <f t="shared" si="170"/>
        <v>54470899.086227082</v>
      </c>
      <c r="AW448" s="2">
        <f t="shared" si="170"/>
        <v>2814915.6619682112</v>
      </c>
      <c r="AX448" s="2">
        <v>0</v>
      </c>
      <c r="AY448" s="2">
        <v>0</v>
      </c>
      <c r="AZ448" s="2">
        <v>0</v>
      </c>
      <c r="BA448" s="2">
        <f>BA447*(1+VLOOKUP(A448,'SELIC Hist'!$A:$C,3,0)-0.01%)^(1/252)</f>
        <v>4946738.8729201201</v>
      </c>
      <c r="BB448" s="2">
        <f t="shared" si="159"/>
        <v>1874945254.3686454</v>
      </c>
      <c r="BC448" s="2">
        <v>0</v>
      </c>
      <c r="BD448" s="2">
        <v>0</v>
      </c>
      <c r="BE448" s="2">
        <f t="shared" si="160"/>
        <v>840956.41331076622</v>
      </c>
      <c r="BF448" s="2">
        <f t="shared" si="161"/>
        <v>1681531.873534441</v>
      </c>
      <c r="BG448" s="2">
        <f t="shared" si="162"/>
        <v>56753778.277839422</v>
      </c>
      <c r="BH448" s="11">
        <f t="shared" si="163"/>
        <v>1.1899476387842285</v>
      </c>
      <c r="BI448" s="12">
        <f t="shared" si="164"/>
        <v>4.4872444624788344E-4</v>
      </c>
      <c r="BJ448" s="12">
        <f t="shared" si="165"/>
        <v>8.9764823465143806E-4</v>
      </c>
      <c r="BK448" s="12">
        <f t="shared" si="166"/>
        <v>3.3272211836368859E-2</v>
      </c>
      <c r="BL448" s="5">
        <f t="shared" si="167"/>
        <v>0.18994763878422849</v>
      </c>
      <c r="BM448" s="19">
        <f t="shared" si="168"/>
        <v>6.1484826202613752E-2</v>
      </c>
      <c r="BN448" s="19">
        <f t="shared" si="169"/>
        <v>0.10891486978202392</v>
      </c>
      <c r="BO448" s="19" t="s">
        <v>53</v>
      </c>
    </row>
    <row r="449" spans="1:67" x14ac:dyDescent="0.25">
      <c r="A449" s="1">
        <v>45750</v>
      </c>
      <c r="B449" s="1" t="str">
        <f t="shared" si="157"/>
        <v>202504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f>I448*(1+((1+VLOOKUP($B449,'IPCA Hist'!$B:$C,2,0))^12 - 1)+$I$2)^(1/252)</f>
        <v>214893213.21044832</v>
      </c>
      <c r="J449" s="2">
        <f>J448*(1+((1+VLOOKUP($B449,'IPCA Hist'!$B:$C,2,0))^12 - 1)+$J$2)^(1/252)</f>
        <v>136359582.5338333</v>
      </c>
      <c r="K449" s="2">
        <f>K448*(1+((1+VLOOKUP($B449,'IPCA Hist'!$B:$C,2,0))^12 - 1)+$K$2)^(1/252)</f>
        <v>20742937.026852161</v>
      </c>
      <c r="L449" s="2">
        <f>L448*(1+((1+VLOOKUP($B449,'IPCA Hist'!$B:$C,2,0))^12 - 1)+$L$2)^(1/252)</f>
        <v>12632922.07520299</v>
      </c>
      <c r="M449" s="2">
        <f>M448*(1+((1+VLOOKUP($B449,'IPCA Hist'!$B:$C,2,0))^12 - 1)+$M$2)^(1/252)</f>
        <v>10773393.461263303</v>
      </c>
      <c r="N449" s="2">
        <v>0</v>
      </c>
      <c r="O449" s="2">
        <v>0</v>
      </c>
      <c r="P449" s="2">
        <v>0</v>
      </c>
      <c r="Q449" s="2">
        <f>Q448*(1+((1+VLOOKUP($B449,'IPCA Hist'!$B:$C,2,0))^12 - 1)+$Q$2)^(1/252)</f>
        <v>46220315.213924848</v>
      </c>
      <c r="R449" s="2">
        <f>R448*(1+((1+VLOOKUP($B449,'IPCA Hist'!$B:$C,2,0))^12 - 1)+$R$2)^(1/252)</f>
        <v>46206867.150988445</v>
      </c>
      <c r="S449" s="2">
        <f>S448*(1+((1+VLOOKUP($B449,'IPCA Hist'!$B:$C,2,0))^12 - 1)+$S$2)^(1/252)</f>
        <v>47224870.801559038</v>
      </c>
      <c r="T449" s="2">
        <f>T448*(1+((1+VLOOKUP($B449,'IPCA Hist'!$B:$C,2,0))^12 - 1)+$T$2)^(1/252)</f>
        <v>238508937.06628862</v>
      </c>
      <c r="U449" s="2">
        <f>U448*(1+((1+VLOOKUP($B449,'IPCA Hist'!$B:$C,2,0))^12 - 1)+$U$2)^(1/252)</f>
        <v>20953686.741453394</v>
      </c>
      <c r="V449" s="2">
        <f>V448*(1+((1+VLOOKUP($B449,'IPCA Hist'!$B:$C,2,0))^12 - 1)+$V$2)^(1/252)</f>
        <v>81226018.123787403</v>
      </c>
      <c r="W449" s="2">
        <f>W448*(1+((1+VLOOKUP($B449,'IPCA Hist'!$B:$C,2,0))^12 - 1)+$W$2)^(1/252)</f>
        <v>42767412.433096118</v>
      </c>
      <c r="X449" s="2">
        <f>X448*(1+((1+VLOOKUP($B449,'IPCA Hist'!$B:$C,2,0))^12 - 1)+$X$2)^(1/252)</f>
        <v>14655316.069451137</v>
      </c>
      <c r="Y449" s="2">
        <f>Y448*(1+((1+VLOOKUP($B449,'IPCA Hist'!$B:$C,2,0))^12 - 1)+$Y$2)^(1/252)</f>
        <v>119353487.98866889</v>
      </c>
      <c r="Z449" s="2">
        <f>Z448*(1+((1+VLOOKUP($B449,'IPCA Hist'!$B:$C,2,0))^12 - 1)+$Z$2)^(1/252)</f>
        <v>83941699.583512291</v>
      </c>
      <c r="AA449" s="2">
        <f>AA448*(1+((1+VLOOKUP($B449,'IPCA Hist'!$B:$C,2,0))^12 - 1)+$AA$2)^(1/252)</f>
        <v>42228833.703542635</v>
      </c>
      <c r="AB449" s="2">
        <f>AB448*(1+((1+VLOOKUP($B449,'IPCA Hist'!$B:$C,2,0))^12 - 1)+$AB$2)^(1/252)</f>
        <v>42242803.255930349</v>
      </c>
      <c r="AC449" s="2">
        <v>0</v>
      </c>
      <c r="AD449" s="2">
        <v>0</v>
      </c>
      <c r="AE449" s="2">
        <v>0</v>
      </c>
      <c r="AF449" s="2">
        <f>AF448*(1+((1+VLOOKUP($B449,'IGPM Hist'!$B:$C,2,0))^12 - 1)+$AF$2)^(1/252)</f>
        <v>1696096.7461463555</v>
      </c>
      <c r="AG449" s="2">
        <v>0</v>
      </c>
      <c r="AH449" s="2">
        <v>0</v>
      </c>
      <c r="AI449" s="2">
        <v>0</v>
      </c>
      <c r="AJ449" s="2">
        <f t="shared" ref="AJ449:AW449" si="171">AJ448*(1+AJ$2)^(1/252)</f>
        <v>54640541.164430864</v>
      </c>
      <c r="AK449" s="2">
        <f t="shared" si="171"/>
        <v>179241575.76009241</v>
      </c>
      <c r="AL449" s="2">
        <f t="shared" si="171"/>
        <v>36760529.982534349</v>
      </c>
      <c r="AM449" s="2">
        <f t="shared" si="171"/>
        <v>128698464.23518029</v>
      </c>
      <c r="AN449" s="2">
        <f t="shared" si="171"/>
        <v>55135566.522691429</v>
      </c>
      <c r="AO449" s="2">
        <f t="shared" si="171"/>
        <v>23623765.483435132</v>
      </c>
      <c r="AP449" s="2">
        <v>0</v>
      </c>
      <c r="AQ449" s="2">
        <v>0</v>
      </c>
      <c r="AR449" s="2">
        <v>0</v>
      </c>
      <c r="AS449" s="2">
        <f t="shared" si="171"/>
        <v>107346102.98039769</v>
      </c>
      <c r="AT449" s="2">
        <f t="shared" si="171"/>
        <v>5450140.4219111409</v>
      </c>
      <c r="AU449" s="2">
        <v>0</v>
      </c>
      <c r="AV449" s="2">
        <f t="shared" si="171"/>
        <v>54495688.586314775</v>
      </c>
      <c r="AW449" s="2">
        <f t="shared" si="171"/>
        <v>2816487.8662103191</v>
      </c>
      <c r="AX449" s="2">
        <v>0</v>
      </c>
      <c r="AY449" s="2">
        <v>0</v>
      </c>
      <c r="AZ449" s="2">
        <v>0</v>
      </c>
      <c r="BA449" s="2">
        <f>BA448*(1+VLOOKUP(A449,'SELIC Hist'!$A:$C,3,0)-0.01%)^(1/252)</f>
        <v>4949335.7202341976</v>
      </c>
      <c r="BB449" s="2">
        <f t="shared" si="159"/>
        <v>1875786591.9093826</v>
      </c>
      <c r="BC449" s="2">
        <v>0</v>
      </c>
      <c r="BD449" s="2">
        <v>0</v>
      </c>
      <c r="BE449" s="2">
        <f t="shared" si="160"/>
        <v>841337.5407371521</v>
      </c>
      <c r="BF449" s="2">
        <f t="shared" si="161"/>
        <v>2522869.4142715931</v>
      </c>
      <c r="BG449" s="2">
        <f t="shared" si="162"/>
        <v>57595115.818576574</v>
      </c>
      <c r="BH449" s="11">
        <f t="shared" si="163"/>
        <v>1.1904815997719898</v>
      </c>
      <c r="BI449" s="12">
        <f t="shared" si="164"/>
        <v>4.4872645682692003E-4</v>
      </c>
      <c r="BJ449" s="12">
        <f t="shared" si="165"/>
        <v>1.3467774899902363E-3</v>
      </c>
      <c r="BK449" s="12">
        <f t="shared" si="166"/>
        <v>3.373586841492382E-2</v>
      </c>
      <c r="BL449" s="5">
        <f t="shared" si="167"/>
        <v>0.19048159977198975</v>
      </c>
      <c r="BM449" s="19">
        <f t="shared" si="168"/>
        <v>6.1473679273624793E-2</v>
      </c>
      <c r="BN449" s="19">
        <f t="shared" si="169"/>
        <v>0.10895169875054611</v>
      </c>
      <c r="BO449" s="19" t="s">
        <v>53</v>
      </c>
    </row>
    <row r="450" spans="1:67" x14ac:dyDescent="0.25">
      <c r="A450" s="1">
        <v>45751</v>
      </c>
      <c r="B450" s="1" t="str">
        <f t="shared" si="157"/>
        <v>202504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f>I449*(1+((1+VLOOKUP($B450,'IPCA Hist'!$B:$C,2,0))^12 - 1)+$I$2)^(1/252)</f>
        <v>214981938.78019586</v>
      </c>
      <c r="J450" s="2">
        <f>J449*(1+((1+VLOOKUP($B450,'IPCA Hist'!$B:$C,2,0))^12 - 1)+$J$2)^(1/252)</f>
        <v>136413487.22875637</v>
      </c>
      <c r="K450" s="2">
        <f>K449*(1+((1+VLOOKUP($B450,'IPCA Hist'!$B:$C,2,0))^12 - 1)+$K$2)^(1/252)</f>
        <v>20752225.508250464</v>
      </c>
      <c r="L450" s="2">
        <f>L449*(1+((1+VLOOKUP($B450,'IPCA Hist'!$B:$C,2,0))^12 - 1)+$L$2)^(1/252)</f>
        <v>12638628.678521855</v>
      </c>
      <c r="M450" s="2">
        <f>M449*(1+((1+VLOOKUP($B450,'IPCA Hist'!$B:$C,2,0))^12 - 1)+$M$2)^(1/252)</f>
        <v>10778586.703921646</v>
      </c>
      <c r="N450" s="2">
        <v>0</v>
      </c>
      <c r="O450" s="2">
        <v>0</v>
      </c>
      <c r="P450" s="2">
        <v>0</v>
      </c>
      <c r="Q450" s="2">
        <f>Q449*(1+((1+VLOOKUP($B450,'IPCA Hist'!$B:$C,2,0))^12 - 1)+$Q$2)^(1/252)</f>
        <v>46238553.476977088</v>
      </c>
      <c r="R450" s="2">
        <f>R449*(1+((1+VLOOKUP($B450,'IPCA Hist'!$B:$C,2,0))^12 - 1)+$R$2)^(1/252)</f>
        <v>46225116.714125402</v>
      </c>
      <c r="S450" s="2">
        <f>S449*(1+((1+VLOOKUP($B450,'IPCA Hist'!$B:$C,2,0))^12 - 1)+$S$2)^(1/252)</f>
        <v>47243318.657963745</v>
      </c>
      <c r="T450" s="2">
        <f>T449*(1+((1+VLOOKUP($B450,'IPCA Hist'!$B:$C,2,0))^12 - 1)+$T$2)^(1/252)</f>
        <v>238602022.04618946</v>
      </c>
      <c r="U450" s="2">
        <f>U449*(1+((1+VLOOKUP($B450,'IPCA Hist'!$B:$C,2,0))^12 - 1)+$U$2)^(1/252)</f>
        <v>20962876.159797568</v>
      </c>
      <c r="V450" s="2">
        <f>V449*(1+((1+VLOOKUP($B450,'IPCA Hist'!$B:$C,2,0))^12 - 1)+$V$2)^(1/252)</f>
        <v>81265857.305003062</v>
      </c>
      <c r="W450" s="2">
        <f>W449*(1+((1+VLOOKUP($B450,'IPCA Hist'!$B:$C,2,0))^12 - 1)+$W$2)^(1/252)</f>
        <v>42788525.199128918</v>
      </c>
      <c r="X450" s="2">
        <f>X449*(1+((1+VLOOKUP($B450,'IPCA Hist'!$B:$C,2,0))^12 - 1)+$X$2)^(1/252)</f>
        <v>14662277.415914139</v>
      </c>
      <c r="Y450" s="2">
        <f>Y449*(1+((1+VLOOKUP($B450,'IPCA Hist'!$B:$C,2,0))^12 - 1)+$Y$2)^(1/252)</f>
        <v>119412659.60276556</v>
      </c>
      <c r="Z450" s="2">
        <f>Z449*(1+((1+VLOOKUP($B450,'IPCA Hist'!$B:$C,2,0))^12 - 1)+$Z$2)^(1/252)</f>
        <v>83980894.524436072</v>
      </c>
      <c r="AA450" s="2">
        <f>AA449*(1+((1+VLOOKUP($B450,'IPCA Hist'!$B:$C,2,0))^12 - 1)+$AA$2)^(1/252)</f>
        <v>42250360.248300299</v>
      </c>
      <c r="AB450" s="2">
        <f>AB449*(1+((1+VLOOKUP($B450,'IPCA Hist'!$B:$C,2,0))^12 - 1)+$AB$2)^(1/252)</f>
        <v>42264322.170931101</v>
      </c>
      <c r="AC450" s="2">
        <v>0</v>
      </c>
      <c r="AD450" s="2">
        <v>0</v>
      </c>
      <c r="AE450" s="2">
        <v>0</v>
      </c>
      <c r="AF450" s="2">
        <f>AF449*(1+((1+VLOOKUP($B450,'IGPM Hist'!$B:$C,2,0))^12 - 1)+$AF$2)^(1/252)</f>
        <v>1696687.1954358167</v>
      </c>
      <c r="AG450" s="2">
        <v>0</v>
      </c>
      <c r="AH450" s="2">
        <v>0</v>
      </c>
      <c r="AI450" s="2">
        <v>0</v>
      </c>
      <c r="AJ450" s="2">
        <f t="shared" ref="AJ450:AW450" si="172">AJ449*(1+AJ$2)^(1/252)</f>
        <v>54665697.815095812</v>
      </c>
      <c r="AK450" s="2">
        <f t="shared" si="172"/>
        <v>179328174.57531977</v>
      </c>
      <c r="AL450" s="2">
        <f t="shared" si="172"/>
        <v>36778296.934087448</v>
      </c>
      <c r="AM450" s="2">
        <f t="shared" si="172"/>
        <v>128760632.33009514</v>
      </c>
      <c r="AN450" s="2">
        <f t="shared" si="172"/>
        <v>55162219.268029355</v>
      </c>
      <c r="AO450" s="2">
        <f t="shared" si="172"/>
        <v>23637315.51111744</v>
      </c>
      <c r="AP450" s="2">
        <v>0</v>
      </c>
      <c r="AQ450" s="2">
        <v>0</v>
      </c>
      <c r="AR450" s="2">
        <v>0</v>
      </c>
      <c r="AS450" s="2">
        <f t="shared" si="172"/>
        <v>107393928.54333492</v>
      </c>
      <c r="AT450" s="2">
        <f t="shared" si="172"/>
        <v>5453223.9108984871</v>
      </c>
      <c r="AU450" s="2">
        <v>0</v>
      </c>
      <c r="AV450" s="2">
        <f t="shared" si="172"/>
        <v>54520489.368010163</v>
      </c>
      <c r="AW450" s="2">
        <f t="shared" si="172"/>
        <v>2818060.9485697406</v>
      </c>
      <c r="AX450" s="2">
        <v>0</v>
      </c>
      <c r="AY450" s="2">
        <v>0</v>
      </c>
      <c r="AZ450" s="2">
        <v>0</v>
      </c>
      <c r="BA450" s="2">
        <f>BA449*(1+VLOOKUP(A450,'SELIC Hist'!$A:$C,3,0)-0.01%)^(1/252)</f>
        <v>4951933.9307930609</v>
      </c>
      <c r="BB450" s="2">
        <f t="shared" si="159"/>
        <v>1876628310.7519658</v>
      </c>
      <c r="BC450" s="2">
        <v>0</v>
      </c>
      <c r="BD450" s="2">
        <v>0</v>
      </c>
      <c r="BE450" s="2">
        <f t="shared" si="160"/>
        <v>841718.84258317947</v>
      </c>
      <c r="BF450" s="2">
        <f t="shared" si="161"/>
        <v>3364588.2568547726</v>
      </c>
      <c r="BG450" s="2">
        <f t="shared" si="162"/>
        <v>58436834.661159754</v>
      </c>
      <c r="BH450" s="11">
        <f t="shared" si="163"/>
        <v>1.19101580275574</v>
      </c>
      <c r="BI450" s="12">
        <f t="shared" si="164"/>
        <v>4.4872846741395023E-4</v>
      </c>
      <c r="BJ450" s="12">
        <f t="shared" si="165"/>
        <v>1.7961102948031993E-3</v>
      </c>
      <c r="BK450" s="12">
        <f t="shared" si="166"/>
        <v>3.419973512686858E-2</v>
      </c>
      <c r="BL450" s="5">
        <f t="shared" si="167"/>
        <v>0.19101580275574004</v>
      </c>
      <c r="BM450" s="19">
        <f t="shared" si="168"/>
        <v>6.1462533928326124E-2</v>
      </c>
      <c r="BN450" s="19">
        <f t="shared" si="169"/>
        <v>0.1093056070424081</v>
      </c>
      <c r="BO450" s="19" t="s">
        <v>53</v>
      </c>
    </row>
    <row r="451" spans="1:67" x14ac:dyDescent="0.25">
      <c r="A451" s="1">
        <v>45754</v>
      </c>
      <c r="B451" s="1" t="str">
        <f t="shared" si="157"/>
        <v>202504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f>I450*(1+((1+VLOOKUP($B451,'IPCA Hist'!$B:$C,2,0))^12 - 1)+$I$2)^(1/252)</f>
        <v>215070700.98314652</v>
      </c>
      <c r="J451" s="2">
        <f>J450*(1+((1+VLOOKUP($B451,'IPCA Hist'!$B:$C,2,0))^12 - 1)+$J$2)^(1/252)</f>
        <v>136467413.23289791</v>
      </c>
      <c r="K451" s="2">
        <f>K450*(1+((1+VLOOKUP($B451,'IPCA Hist'!$B:$C,2,0))^12 - 1)+$K$2)^(1/252)</f>
        <v>20761518.148938581</v>
      </c>
      <c r="L451" s="2">
        <f>L450*(1+((1+VLOOKUP($B451,'IPCA Hist'!$B:$C,2,0))^12 - 1)+$L$2)^(1/252)</f>
        <v>12644337.859654564</v>
      </c>
      <c r="M451" s="2">
        <f>M450*(1+((1+VLOOKUP($B451,'IPCA Hist'!$B:$C,2,0))^12 - 1)+$M$2)^(1/252)</f>
        <v>10783782.449948069</v>
      </c>
      <c r="N451" s="2">
        <v>0</v>
      </c>
      <c r="O451" s="2">
        <v>0</v>
      </c>
      <c r="P451" s="2">
        <v>0</v>
      </c>
      <c r="Q451" s="2">
        <f>Q450*(1+((1+VLOOKUP($B451,'IPCA Hist'!$B:$C,2,0))^12 - 1)+$Q$2)^(1/252)</f>
        <v>46256798.936740078</v>
      </c>
      <c r="R451" s="2">
        <f>R450*(1+((1+VLOOKUP($B451,'IPCA Hist'!$B:$C,2,0))^12 - 1)+$R$2)^(1/252)</f>
        <v>46243373.484990895</v>
      </c>
      <c r="S451" s="2">
        <f>S450*(1+((1+VLOOKUP($B451,'IPCA Hist'!$B:$C,2,0))^12 - 1)+$S$2)^(1/252)</f>
        <v>47261773.720812857</v>
      </c>
      <c r="T451" s="2">
        <f>T450*(1+((1+VLOOKUP($B451,'IPCA Hist'!$B:$C,2,0))^12 - 1)+$T$2)^(1/252)</f>
        <v>238695143.35518381</v>
      </c>
      <c r="U451" s="2">
        <f>U450*(1+((1+VLOOKUP($B451,'IPCA Hist'!$B:$C,2,0))^12 - 1)+$U$2)^(1/252)</f>
        <v>20972069.608239669</v>
      </c>
      <c r="V451" s="2">
        <f>V450*(1+((1+VLOOKUP($B451,'IPCA Hist'!$B:$C,2,0))^12 - 1)+$V$2)^(1/252)</f>
        <v>81305716.026267543</v>
      </c>
      <c r="W451" s="2">
        <f>W450*(1+((1+VLOOKUP($B451,'IPCA Hist'!$B:$C,2,0))^12 - 1)+$W$2)^(1/252)</f>
        <v>42809648.387791105</v>
      </c>
      <c r="X451" s="2">
        <f>X450*(1+((1+VLOOKUP($B451,'IPCA Hist'!$B:$C,2,0))^12 - 1)+$X$2)^(1/252)</f>
        <v>14669242.069050593</v>
      </c>
      <c r="Y451" s="2">
        <f>Y450*(1+((1+VLOOKUP($B451,'IPCA Hist'!$B:$C,2,0))^12 - 1)+$Y$2)^(1/252)</f>
        <v>119471860.55224214</v>
      </c>
      <c r="Z451" s="2">
        <f>Z450*(1+((1+VLOOKUP($B451,'IPCA Hist'!$B:$C,2,0))^12 - 1)+$Z$2)^(1/252)</f>
        <v>84020107.766673759</v>
      </c>
      <c r="AA451" s="2">
        <f>AA450*(1+((1+VLOOKUP($B451,'IPCA Hist'!$B:$C,2,0))^12 - 1)+$AA$2)^(1/252)</f>
        <v>42271897.766416416</v>
      </c>
      <c r="AB451" s="2">
        <f>AB450*(1+((1+VLOOKUP($B451,'IPCA Hist'!$B:$C,2,0))^12 - 1)+$AB$2)^(1/252)</f>
        <v>42285852.047886722</v>
      </c>
      <c r="AC451" s="2">
        <v>0</v>
      </c>
      <c r="AD451" s="2">
        <v>0</v>
      </c>
      <c r="AE451" s="2">
        <v>0</v>
      </c>
      <c r="AF451" s="2">
        <f>AF450*(1+((1+VLOOKUP($B451,'IGPM Hist'!$B:$C,2,0))^12 - 1)+$AF$2)^(1/252)</f>
        <v>1697277.8502739083</v>
      </c>
      <c r="AG451" s="2">
        <v>0</v>
      </c>
      <c r="AH451" s="2">
        <v>0</v>
      </c>
      <c r="AI451" s="2">
        <v>0</v>
      </c>
      <c r="AJ451" s="2">
        <f t="shared" ref="AJ451:AW451" si="173">AJ450*(1+AJ$2)^(1/252)</f>
        <v>54690866.047949716</v>
      </c>
      <c r="AK451" s="2">
        <f t="shared" si="173"/>
        <v>179414815.22991821</v>
      </c>
      <c r="AL451" s="2">
        <f t="shared" si="173"/>
        <v>36796072.472692139</v>
      </c>
      <c r="AM451" s="2">
        <f t="shared" si="173"/>
        <v>128822830.45545402</v>
      </c>
      <c r="AN451" s="2">
        <f t="shared" si="173"/>
        <v>55188884.897407092</v>
      </c>
      <c r="AO451" s="2">
        <f t="shared" si="173"/>
        <v>23650873.310772017</v>
      </c>
      <c r="AP451" s="2">
        <v>0</v>
      </c>
      <c r="AQ451" s="2">
        <v>0</v>
      </c>
      <c r="AR451" s="2">
        <v>0</v>
      </c>
      <c r="AS451" s="2">
        <f t="shared" si="173"/>
        <v>107441775.4138409</v>
      </c>
      <c r="AT451" s="2">
        <f t="shared" si="173"/>
        <v>5456309.1444104873</v>
      </c>
      <c r="AU451" s="2">
        <v>0</v>
      </c>
      <c r="AV451" s="2">
        <f t="shared" si="173"/>
        <v>54545301.436447471</v>
      </c>
      <c r="AW451" s="2">
        <f t="shared" si="173"/>
        <v>2819634.909536927</v>
      </c>
      <c r="AX451" s="2">
        <v>0</v>
      </c>
      <c r="AY451" s="2">
        <v>0</v>
      </c>
      <c r="AZ451" s="2">
        <v>0</v>
      </c>
      <c r="BA451" s="2">
        <f>BA450*(1+VLOOKUP(A451,'SELIC Hist'!$A:$C,3,0)-0.01%)^(1/252)</f>
        <v>4954533.5053123599</v>
      </c>
      <c r="BB451" s="2">
        <f t="shared" si="159"/>
        <v>1877470411.0708964</v>
      </c>
      <c r="BC451" s="2">
        <v>0</v>
      </c>
      <c r="BD451" s="2">
        <v>0</v>
      </c>
      <c r="BE451" s="2">
        <f t="shared" si="160"/>
        <v>842100.31893062592</v>
      </c>
      <c r="BF451" s="2">
        <f t="shared" si="161"/>
        <v>4206688.5757853985</v>
      </c>
      <c r="BG451" s="2">
        <f t="shared" si="162"/>
        <v>59278934.98009038</v>
      </c>
      <c r="BH451" s="11">
        <f t="shared" si="163"/>
        <v>1.1915502478462279</v>
      </c>
      <c r="BI451" s="12">
        <f t="shared" si="164"/>
        <v>4.4873047800986221E-4</v>
      </c>
      <c r="BJ451" s="12">
        <f t="shared" si="165"/>
        <v>2.2456467422442561E-3</v>
      </c>
      <c r="BK451" s="12">
        <f t="shared" si="166"/>
        <v>3.466381206836977E-2</v>
      </c>
      <c r="BL451" s="5">
        <f t="shared" si="167"/>
        <v>0.19155024784622787</v>
      </c>
      <c r="BM451" s="19">
        <f t="shared" si="168"/>
        <v>6.1451390166477493E-2</v>
      </c>
      <c r="BN451" s="19">
        <f t="shared" si="169"/>
        <v>0.10940078020868382</v>
      </c>
      <c r="BO451" s="19" t="s">
        <v>53</v>
      </c>
    </row>
    <row r="452" spans="1:67" x14ac:dyDescent="0.25">
      <c r="A452" s="1">
        <v>45755</v>
      </c>
      <c r="B452" s="1" t="str">
        <f t="shared" si="157"/>
        <v>202504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f>I451*(1+((1+VLOOKUP($B452,'IPCA Hist'!$B:$C,2,0))^12 - 1)+$I$2)^(1/252)</f>
        <v>215159499.83442548</v>
      </c>
      <c r="J452" s="2">
        <f>J451*(1+((1+VLOOKUP($B452,'IPCA Hist'!$B:$C,2,0))^12 - 1)+$J$2)^(1/252)</f>
        <v>136521360.55468172</v>
      </c>
      <c r="K452" s="2">
        <f>K451*(1+((1+VLOOKUP($B452,'IPCA Hist'!$B:$C,2,0))^12 - 1)+$K$2)^(1/252)</f>
        <v>20770814.950779002</v>
      </c>
      <c r="L452" s="2">
        <f>L451*(1+((1+VLOOKUP($B452,'IPCA Hist'!$B:$C,2,0))^12 - 1)+$L$2)^(1/252)</f>
        <v>12650049.619765583</v>
      </c>
      <c r="M452" s="2">
        <f>M451*(1+((1+VLOOKUP($B452,'IPCA Hist'!$B:$C,2,0))^12 - 1)+$M$2)^(1/252)</f>
        <v>10788980.700549304</v>
      </c>
      <c r="N452" s="2">
        <v>0</v>
      </c>
      <c r="O452" s="2">
        <v>0</v>
      </c>
      <c r="P452" s="2">
        <v>0</v>
      </c>
      <c r="Q452" s="2">
        <f>Q451*(1+((1+VLOOKUP($B452,'IPCA Hist'!$B:$C,2,0))^12 - 1)+$Q$2)^(1/252)</f>
        <v>46275051.596053593</v>
      </c>
      <c r="R452" s="2">
        <f>R451*(1+((1+VLOOKUP($B452,'IPCA Hist'!$B:$C,2,0))^12 - 1)+$R$2)^(1/252)</f>
        <v>46261637.466431633</v>
      </c>
      <c r="S452" s="2">
        <f>S451*(1+((1+VLOOKUP($B452,'IPCA Hist'!$B:$C,2,0))^12 - 1)+$S$2)^(1/252)</f>
        <v>47280235.992921486</v>
      </c>
      <c r="T452" s="2">
        <f>T451*(1+((1+VLOOKUP($B452,'IPCA Hist'!$B:$C,2,0))^12 - 1)+$T$2)^(1/252)</f>
        <v>238788301.00745016</v>
      </c>
      <c r="U452" s="2">
        <f>U451*(1+((1+VLOOKUP($B452,'IPCA Hist'!$B:$C,2,0))^12 - 1)+$U$2)^(1/252)</f>
        <v>20981267.088547133</v>
      </c>
      <c r="V452" s="2">
        <f>V451*(1+((1+VLOOKUP($B452,'IPCA Hist'!$B:$C,2,0))^12 - 1)+$V$2)^(1/252)</f>
        <v>81345594.297164723</v>
      </c>
      <c r="W452" s="2">
        <f>W451*(1+((1+VLOOKUP($B452,'IPCA Hist'!$B:$C,2,0))^12 - 1)+$W$2)^(1/252)</f>
        <v>42830782.004227959</v>
      </c>
      <c r="X452" s="2">
        <f>X451*(1+((1+VLOOKUP($B452,'IPCA Hist'!$B:$C,2,0))^12 - 1)+$X$2)^(1/252)</f>
        <v>14676210.030431185</v>
      </c>
      <c r="Y452" s="2">
        <f>Y451*(1+((1+VLOOKUP($B452,'IPCA Hist'!$B:$C,2,0))^12 - 1)+$Y$2)^(1/252)</f>
        <v>119531090.85164219</v>
      </c>
      <c r="Z452" s="2">
        <f>Z451*(1+((1+VLOOKUP($B452,'IPCA Hist'!$B:$C,2,0))^12 - 1)+$Z$2)^(1/252)</f>
        <v>84059339.318770796</v>
      </c>
      <c r="AA452" s="2">
        <f>AA451*(1+((1+VLOOKUP($B452,'IPCA Hist'!$B:$C,2,0))^12 - 1)+$AA$2)^(1/252)</f>
        <v>42293446.263484754</v>
      </c>
      <c r="AB452" s="2">
        <f>AB451*(1+((1+VLOOKUP($B452,'IPCA Hist'!$B:$C,2,0))^12 - 1)+$AB$2)^(1/252)</f>
        <v>42307392.89238134</v>
      </c>
      <c r="AC452" s="2">
        <v>0</v>
      </c>
      <c r="AD452" s="2">
        <v>0</v>
      </c>
      <c r="AE452" s="2">
        <v>0</v>
      </c>
      <c r="AF452" s="2">
        <f>AF451*(1+((1+VLOOKUP($B452,'IGPM Hist'!$B:$C,2,0))^12 - 1)+$AF$2)^(1/252)</f>
        <v>1697868.7107321867</v>
      </c>
      <c r="AG452" s="2">
        <v>0</v>
      </c>
      <c r="AH452" s="2">
        <v>0</v>
      </c>
      <c r="AI452" s="2">
        <v>0</v>
      </c>
      <c r="AJ452" s="2">
        <f t="shared" ref="AJ452:AW452" si="174">AJ451*(1+AJ$2)^(1/252)</f>
        <v>54716045.868325055</v>
      </c>
      <c r="AK452" s="2">
        <f t="shared" si="174"/>
        <v>179501497.744102</v>
      </c>
      <c r="AL452" s="2">
        <f t="shared" si="174"/>
        <v>36813856.60249868</v>
      </c>
      <c r="AM452" s="2">
        <f t="shared" si="174"/>
        <v>128885058.62576319</v>
      </c>
      <c r="AN452" s="2">
        <f t="shared" si="174"/>
        <v>55215563.417052835</v>
      </c>
      <c r="AO452" s="2">
        <f t="shared" si="174"/>
        <v>23664438.886856679</v>
      </c>
      <c r="AP452" s="2">
        <v>0</v>
      </c>
      <c r="AQ452" s="2">
        <v>0</v>
      </c>
      <c r="AR452" s="2">
        <v>0</v>
      </c>
      <c r="AS452" s="2">
        <f t="shared" si="174"/>
        <v>107489643.60140875</v>
      </c>
      <c r="AT452" s="2">
        <f t="shared" si="174"/>
        <v>5459396.1234341301</v>
      </c>
      <c r="AU452" s="2">
        <v>0</v>
      </c>
      <c r="AV452" s="2">
        <f t="shared" si="174"/>
        <v>54570124.796763249</v>
      </c>
      <c r="AW452" s="2">
        <f t="shared" si="174"/>
        <v>2821209.7496026042</v>
      </c>
      <c r="AX452" s="2">
        <v>0</v>
      </c>
      <c r="AY452" s="2">
        <v>0</v>
      </c>
      <c r="AZ452" s="2">
        <v>0</v>
      </c>
      <c r="BA452" s="2">
        <f>BA451*(1+VLOOKUP(A452,'SELIC Hist'!$A:$C,3,0)-0.01%)^(1/252)</f>
        <v>4957134.4445081223</v>
      </c>
      <c r="BB452" s="2">
        <f t="shared" si="159"/>
        <v>1878312893.0407555</v>
      </c>
      <c r="BC452" s="2">
        <v>0</v>
      </c>
      <c r="BD452" s="2">
        <v>0</v>
      </c>
      <c r="BE452" s="2">
        <f t="shared" si="160"/>
        <v>842481.96985912323</v>
      </c>
      <c r="BF452" s="2">
        <f t="shared" si="161"/>
        <v>5049170.5456445217</v>
      </c>
      <c r="BG452" s="2">
        <f t="shared" si="162"/>
        <v>60121416.949949503</v>
      </c>
      <c r="BH452" s="11">
        <f t="shared" si="163"/>
        <v>1.1920849351542526</v>
      </c>
      <c r="BI452" s="12">
        <f t="shared" si="164"/>
        <v>4.4873248861398984E-4</v>
      </c>
      <c r="BJ452" s="12">
        <f t="shared" si="165"/>
        <v>2.6953869255095242E-3</v>
      </c>
      <c r="BK452" s="12">
        <f t="shared" si="166"/>
        <v>3.5128099335637986E-2</v>
      </c>
      <c r="BL452" s="5">
        <f t="shared" si="167"/>
        <v>0.19208493515425262</v>
      </c>
      <c r="BM452" s="19">
        <f t="shared" si="168"/>
        <v>6.1440247987837537E-2</v>
      </c>
      <c r="BN452" s="19">
        <f t="shared" si="169"/>
        <v>0.10908868380491366</v>
      </c>
      <c r="BO452" s="19" t="s">
        <v>53</v>
      </c>
    </row>
    <row r="453" spans="1:67" x14ac:dyDescent="0.25">
      <c r="A453" s="1">
        <v>45756</v>
      </c>
      <c r="B453" s="1" t="str">
        <f t="shared" si="157"/>
        <v>202504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f>I452*(1+((1+VLOOKUP($B453,'IPCA Hist'!$B:$C,2,0))^12 - 1)+$I$2)^(1/252)</f>
        <v>215248335.34916419</v>
      </c>
      <c r="J453" s="2">
        <f>J452*(1+((1+VLOOKUP($B453,'IPCA Hist'!$B:$C,2,0))^12 - 1)+$J$2)^(1/252)</f>
        <v>136575329.20253494</v>
      </c>
      <c r="K453" s="2">
        <f>K452*(1+((1+VLOOKUP($B453,'IPCA Hist'!$B:$C,2,0))^12 - 1)+$K$2)^(1/252)</f>
        <v>20780115.915635049</v>
      </c>
      <c r="L453" s="2">
        <f>L452*(1+((1+VLOOKUP($B453,'IPCA Hist'!$B:$C,2,0))^12 - 1)+$L$2)^(1/252)</f>
        <v>12655763.960019898</v>
      </c>
      <c r="M453" s="2">
        <f>M452*(1+((1+VLOOKUP($B453,'IPCA Hist'!$B:$C,2,0))^12 - 1)+$M$2)^(1/252)</f>
        <v>10794181.456932666</v>
      </c>
      <c r="N453" s="2">
        <v>0</v>
      </c>
      <c r="O453" s="2">
        <v>0</v>
      </c>
      <c r="P453" s="2">
        <v>0</v>
      </c>
      <c r="Q453" s="2">
        <f>Q452*(1+((1+VLOOKUP($B453,'IPCA Hist'!$B:$C,2,0))^12 - 1)+$Q$2)^(1/252)</f>
        <v>46293311.457758531</v>
      </c>
      <c r="R453" s="2">
        <f>R452*(1+((1+VLOOKUP($B453,'IPCA Hist'!$B:$C,2,0))^12 - 1)+$R$2)^(1/252)</f>
        <v>46279908.661295466</v>
      </c>
      <c r="S453" s="2">
        <f>S452*(1+((1+VLOOKUP($B453,'IPCA Hist'!$B:$C,2,0))^12 - 1)+$S$2)^(1/252)</f>
        <v>47298705.477105848</v>
      </c>
      <c r="T453" s="2">
        <f>T452*(1+((1+VLOOKUP($B453,'IPCA Hist'!$B:$C,2,0))^12 - 1)+$T$2)^(1/252)</f>
        <v>238881495.01717255</v>
      </c>
      <c r="U453" s="2">
        <f>U452*(1+((1+VLOOKUP($B453,'IPCA Hist'!$B:$C,2,0))^12 - 1)+$U$2)^(1/252)</f>
        <v>20990468.602488164</v>
      </c>
      <c r="V453" s="2">
        <f>V452*(1+((1+VLOOKUP($B453,'IPCA Hist'!$B:$C,2,0))^12 - 1)+$V$2)^(1/252)</f>
        <v>81385492.127283156</v>
      </c>
      <c r="W453" s="2">
        <f>W452*(1+((1+VLOOKUP($B453,'IPCA Hist'!$B:$C,2,0))^12 - 1)+$W$2)^(1/252)</f>
        <v>42851926.05358731</v>
      </c>
      <c r="X453" s="2">
        <f>X452*(1+((1+VLOOKUP($B453,'IPCA Hist'!$B:$C,2,0))^12 - 1)+$X$2)^(1/252)</f>
        <v>14683181.301627347</v>
      </c>
      <c r="Y453" s="2">
        <f>Y452*(1+((1+VLOOKUP($B453,'IPCA Hist'!$B:$C,2,0))^12 - 1)+$Y$2)^(1/252)</f>
        <v>119590350.51551645</v>
      </c>
      <c r="Z453" s="2">
        <f>Z452*(1+((1+VLOOKUP($B453,'IPCA Hist'!$B:$C,2,0))^12 - 1)+$Z$2)^(1/252)</f>
        <v>84098589.189276606</v>
      </c>
      <c r="AA453" s="2">
        <f>AA452*(1+((1+VLOOKUP($B453,'IPCA Hist'!$B:$C,2,0))^12 - 1)+$AA$2)^(1/252)</f>
        <v>42315005.745101936</v>
      </c>
      <c r="AB453" s="2">
        <f>AB452*(1+((1+VLOOKUP($B453,'IPCA Hist'!$B:$C,2,0))^12 - 1)+$AB$2)^(1/252)</f>
        <v>42328944.710001938</v>
      </c>
      <c r="AC453" s="2">
        <v>0</v>
      </c>
      <c r="AD453" s="2">
        <v>0</v>
      </c>
      <c r="AE453" s="2">
        <v>0</v>
      </c>
      <c r="AF453" s="2">
        <f>AF452*(1+((1+VLOOKUP($B453,'IGPM Hist'!$B:$C,2,0))^12 - 1)+$AF$2)^(1/252)</f>
        <v>1698459.7768822326</v>
      </c>
      <c r="AG453" s="2">
        <v>0</v>
      </c>
      <c r="AH453" s="2">
        <v>0</v>
      </c>
      <c r="AI453" s="2">
        <v>0</v>
      </c>
      <c r="AJ453" s="2">
        <f t="shared" ref="AJ453:AW453" si="175">AJ452*(1+AJ$2)^(1/252)</f>
        <v>54741237.281556748</v>
      </c>
      <c r="AK453" s="2">
        <f t="shared" si="175"/>
        <v>179588222.1380952</v>
      </c>
      <c r="AL453" s="2">
        <f t="shared" si="175"/>
        <v>36831649.327659339</v>
      </c>
      <c r="AM453" s="2">
        <f t="shared" si="175"/>
        <v>128947316.85553594</v>
      </c>
      <c r="AN453" s="2">
        <f t="shared" si="175"/>
        <v>55242254.833197787</v>
      </c>
      <c r="AO453" s="2">
        <f t="shared" si="175"/>
        <v>23678012.243831802</v>
      </c>
      <c r="AP453" s="2">
        <v>0</v>
      </c>
      <c r="AQ453" s="2">
        <v>0</v>
      </c>
      <c r="AR453" s="2">
        <v>0</v>
      </c>
      <c r="AS453" s="2">
        <f t="shared" si="175"/>
        <v>107537533.11553577</v>
      </c>
      <c r="AT453" s="2">
        <f t="shared" si="175"/>
        <v>5462484.8489569612</v>
      </c>
      <c r="AU453" s="2">
        <v>0</v>
      </c>
      <c r="AV453" s="2">
        <f t="shared" si="175"/>
        <v>54594959.454096392</v>
      </c>
      <c r="AW453" s="2">
        <f t="shared" si="175"/>
        <v>2822785.4692577715</v>
      </c>
      <c r="AX453" s="2">
        <v>0</v>
      </c>
      <c r="AY453" s="2">
        <v>0</v>
      </c>
      <c r="AZ453" s="2">
        <v>0</v>
      </c>
      <c r="BA453" s="2">
        <f>BA452*(1+VLOOKUP(A453,'SELIC Hist'!$A:$C,3,0)-0.01%)^(1/252)</f>
        <v>4959736.7490967503</v>
      </c>
      <c r="BB453" s="2">
        <f t="shared" si="159"/>
        <v>1879155756.836205</v>
      </c>
      <c r="BC453" s="2">
        <v>0</v>
      </c>
      <c r="BD453" s="2">
        <v>0</v>
      </c>
      <c r="BE453" s="2">
        <f t="shared" si="160"/>
        <v>842863.79544949532</v>
      </c>
      <c r="BF453" s="2">
        <f t="shared" si="161"/>
        <v>5892034.341094017</v>
      </c>
      <c r="BG453" s="2">
        <f t="shared" si="162"/>
        <v>60964280.745398998</v>
      </c>
      <c r="BH453" s="11">
        <f t="shared" si="163"/>
        <v>1.1926198647906645</v>
      </c>
      <c r="BI453" s="12">
        <f t="shared" si="164"/>
        <v>4.4873449922655517E-4</v>
      </c>
      <c r="BJ453" s="12">
        <f t="shared" si="165"/>
        <v>3.1453309378384198E-3</v>
      </c>
      <c r="BK453" s="12">
        <f t="shared" si="166"/>
        <v>3.5592597024928674E-2</v>
      </c>
      <c r="BL453" s="5">
        <f t="shared" si="167"/>
        <v>0.19261986479066451</v>
      </c>
      <c r="BM453" s="19">
        <f t="shared" si="168"/>
        <v>6.1429107392165339E-2</v>
      </c>
      <c r="BN453" s="19">
        <f t="shared" si="169"/>
        <v>0.10920494048646323</v>
      </c>
      <c r="BO453" s="19" t="s">
        <v>53</v>
      </c>
    </row>
    <row r="454" spans="1:67" x14ac:dyDescent="0.25">
      <c r="A454" s="1">
        <v>45757</v>
      </c>
      <c r="B454" s="1" t="str">
        <f>_xlfn.CONCAT(TEXT(YEAR(A454),"0000"),TEXT(MONTH(A454),"00"))</f>
        <v>202504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f>I453*(1+((1+VLOOKUP($B454,'IPCA Hist'!$B:$C,2,0))^12 - 1)+$I$2)^(1/252)</f>
        <v>215337207.54250032</v>
      </c>
      <c r="J454" s="2">
        <f>J453*(1+((1+VLOOKUP($B454,'IPCA Hist'!$B:$C,2,0))^12 - 1)+$J$2)^(1/252)</f>
        <v>136629319.18488806</v>
      </c>
      <c r="K454" s="2">
        <f>K453*(1+((1+VLOOKUP($B454,'IPCA Hist'!$B:$C,2,0))^12 - 1)+$K$2)^(1/252)</f>
        <v>20789421.045370877</v>
      </c>
      <c r="L454" s="2">
        <f>L453*(1+((1+VLOOKUP($B454,'IPCA Hist'!$B:$C,2,0))^12 - 1)+$L$2)^(1/252)</f>
        <v>12661480.881583024</v>
      </c>
      <c r="M454" s="2">
        <f>M453*(1+((1+VLOOKUP($B454,'IPCA Hist'!$B:$C,2,0))^12 - 1)+$M$2)^(1/252)</f>
        <v>10799384.720306048</v>
      </c>
      <c r="N454" s="2">
        <v>0</v>
      </c>
      <c r="O454" s="2">
        <v>0</v>
      </c>
      <c r="P454" s="2">
        <v>0</v>
      </c>
      <c r="Q454" s="2">
        <f>Q453*(1+((1+VLOOKUP($B454,'IPCA Hist'!$B:$C,2,0))^12 - 1)+$Q$2)^(1/252)</f>
        <v>46311578.524696916</v>
      </c>
      <c r="R454" s="2">
        <f>R453*(1+((1+VLOOKUP($B454,'IPCA Hist'!$B:$C,2,0))^12 - 1)+$R$2)^(1/252)</f>
        <v>46298187.072431356</v>
      </c>
      <c r="S454" s="2">
        <f>S453*(1+((1+VLOOKUP($B454,'IPCA Hist'!$B:$C,2,0))^12 - 1)+$S$2)^(1/252)</f>
        <v>47317182.176183261</v>
      </c>
      <c r="T454" s="2">
        <f>T453*(1+((1+VLOOKUP($B454,'IPCA Hist'!$B:$C,2,0))^12 - 1)+$T$2)^(1/252)</f>
        <v>238974725.3985405</v>
      </c>
      <c r="U454" s="2">
        <f>U453*(1+((1+VLOOKUP($B454,'IPCA Hist'!$B:$C,2,0))^12 - 1)+$U$2)^(1/252)</f>
        <v>20999674.15183175</v>
      </c>
      <c r="V454" s="2">
        <f>V453*(1+((1+VLOOKUP($B454,'IPCA Hist'!$B:$C,2,0))^12 - 1)+$V$2)^(1/252)</f>
        <v>81425409.526216134</v>
      </c>
      <c r="W454" s="2">
        <f>W453*(1+((1+VLOOKUP($B454,'IPCA Hist'!$B:$C,2,0))^12 - 1)+$W$2)^(1/252)</f>
        <v>42873080.541019522</v>
      </c>
      <c r="X454" s="2">
        <f>X453*(1+((1+VLOOKUP($B454,'IPCA Hist'!$B:$C,2,0))^12 - 1)+$X$2)^(1/252)</f>
        <v>14690155.884211257</v>
      </c>
      <c r="Y454" s="2">
        <f>Y453*(1+((1+VLOOKUP($B454,'IPCA Hist'!$B:$C,2,0))^12 - 1)+$Y$2)^(1/252)</f>
        <v>119649639.55842285</v>
      </c>
      <c r="Z454" s="2">
        <f>Z453*(1+((1+VLOOKUP($B454,'IPCA Hist'!$B:$C,2,0))^12 - 1)+$Z$2)^(1/252)</f>
        <v>84137857.386744633</v>
      </c>
      <c r="AA454" s="2">
        <f>AA453*(1+((1+VLOOKUP($B454,'IPCA Hist'!$B:$C,2,0))^12 - 1)+$AA$2)^(1/252)</f>
        <v>42336576.216867447</v>
      </c>
      <c r="AB454" s="2">
        <f>AB453*(1+((1+VLOOKUP($B454,'IPCA Hist'!$B:$C,2,0))^12 - 1)+$AB$2)^(1/252)</f>
        <v>42350507.506338336</v>
      </c>
      <c r="AC454" s="2">
        <v>0</v>
      </c>
      <c r="AD454" s="2">
        <v>0</v>
      </c>
      <c r="AE454" s="2">
        <v>0</v>
      </c>
      <c r="AF454" s="2">
        <f>AF453*(1+((1+VLOOKUP($B454,'IGPM Hist'!$B:$C,2,0))^12 - 1)+$AF$2)^(1/252)</f>
        <v>1699051.0487956521</v>
      </c>
      <c r="AG454" s="2">
        <v>0</v>
      </c>
      <c r="AH454" s="2">
        <v>0</v>
      </c>
      <c r="AI454" s="2">
        <v>0</v>
      </c>
      <c r="AJ454" s="2">
        <f t="shared" ref="AJ454:AW455" si="176">AJ453*(1+AJ$2)^(1/252)</f>
        <v>54766440.292982183</v>
      </c>
      <c r="AK454" s="2">
        <f t="shared" si="176"/>
        <v>179674988.43213162</v>
      </c>
      <c r="AL454" s="2">
        <f t="shared" si="176"/>
        <v>36849450.652328387</v>
      </c>
      <c r="AM454" s="2">
        <f t="shared" si="176"/>
        <v>129009605.15929255</v>
      </c>
      <c r="AN454" s="2">
        <f t="shared" si="176"/>
        <v>55268959.15207617</v>
      </c>
      <c r="AO454" s="2">
        <f t="shared" si="176"/>
        <v>23691593.386160318</v>
      </c>
      <c r="AP454" s="2">
        <v>0</v>
      </c>
      <c r="AQ454" s="2">
        <v>0</v>
      </c>
      <c r="AR454" s="2">
        <v>0</v>
      </c>
      <c r="AS454" s="2">
        <f t="shared" si="176"/>
        <v>107585443.9657235</v>
      </c>
      <c r="AT454" s="2">
        <f t="shared" si="176"/>
        <v>5465575.3219670858</v>
      </c>
      <c r="AU454" s="2">
        <v>0</v>
      </c>
      <c r="AV454" s="2">
        <f t="shared" si="176"/>
        <v>54619805.413588129</v>
      </c>
      <c r="AW454" s="2">
        <f t="shared" si="176"/>
        <v>2824362.0689937025</v>
      </c>
      <c r="AX454" s="2">
        <v>0</v>
      </c>
      <c r="AY454" s="2">
        <v>0</v>
      </c>
      <c r="AZ454" s="2">
        <v>0</v>
      </c>
      <c r="BA454" s="2">
        <f>BA453*(1+VLOOKUP(A454,'SELIC Hist'!$A:$C,3,0)-0.01%)^(1/252)</f>
        <v>4962340.4197950223</v>
      </c>
      <c r="BB454" s="2">
        <f t="shared" ref="BB454:BB459" si="177">SUM(C454:BA454)</f>
        <v>1879999002.6319869</v>
      </c>
      <c r="BC454" s="2">
        <v>0</v>
      </c>
      <c r="BD454" s="2">
        <v>0</v>
      </c>
      <c r="BE454" s="2">
        <f t="shared" ref="BE454:BE459" si="178">BB454-BB453-BC454+BD454</f>
        <v>843245.79578185081</v>
      </c>
      <c r="BF454" s="2">
        <f t="shared" ref="BF454:BF459" si="179">IF(MONTH(A454)=MONTH(A453),BE454+BF453,BE454)</f>
        <v>6735280.1368758678</v>
      </c>
      <c r="BG454" s="2">
        <f t="shared" ref="BG454:BG459" si="180">IF(YEAR(A454)=YEAR(A453),BE454+BG453,BE454)</f>
        <v>61807526.541180849</v>
      </c>
      <c r="BH454" s="11">
        <f t="shared" ref="BH454:BH459" si="181">(1+(BB454-BB453-BC454+BD454)/BB453)*BH453</f>
        <v>1.193155036866365</v>
      </c>
      <c r="BI454" s="12">
        <f t="shared" ref="BI454:BI459" si="182">BH454/BH453 - 1</f>
        <v>4.4873650984711411E-4</v>
      </c>
      <c r="BJ454" s="12">
        <f t="shared" ref="BJ454:BJ459" si="183">IF(MONTH(A454)=MONTH(A453),(1+BI454)*(1+BJ453) - 1,BI454)</f>
        <v>3.5954788725129916E-3</v>
      </c>
      <c r="BK454" s="12">
        <f t="shared" ref="BK454:BK459" si="184">IF(YEAR(A454)=YEAR(A453),(1+BI454)*(1+BK453) - 1,BI454)</f>
        <v>3.6057305232541248E-2</v>
      </c>
      <c r="BL454" s="5">
        <f t="shared" ref="BL454:BL459" si="185">(1+BI454)*(1+BL453) - 1</f>
        <v>0.19315503686636504</v>
      </c>
      <c r="BM454" s="19">
        <f t="shared" ref="BM454:BM459" si="186">BH454/BH328 - 1</f>
        <v>6.1424726338207503E-2</v>
      </c>
      <c r="BN454" s="19">
        <f t="shared" ref="BN454:BN459" si="187">BH454/BH202 - 1</f>
        <v>0.10948416481996115</v>
      </c>
      <c r="BO454" s="19" t="s">
        <v>53</v>
      </c>
    </row>
    <row r="455" spans="1:67" x14ac:dyDescent="0.25">
      <c r="A455" s="1">
        <v>45758</v>
      </c>
      <c r="B455" s="1" t="str">
        <f>_xlfn.CONCAT(TEXT(YEAR(A455),"0000"),TEXT(MONTH(A455),"00"))</f>
        <v>202504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f>I454*(1+((1+VLOOKUP($B455,'IPCA Hist'!$B:$C,2,0))^12 - 1)+$I$2)^(1/252)</f>
        <v>215426116.42957783</v>
      </c>
      <c r="J455" s="2">
        <f>J454*(1+((1+VLOOKUP($B455,'IPCA Hist'!$B:$C,2,0))^12 - 1)+$J$2)^(1/252)</f>
        <v>136683330.51017487</v>
      </c>
      <c r="K455" s="2">
        <f>K454*(1+((1+VLOOKUP($B455,'IPCA Hist'!$B:$C,2,0))^12 - 1)+$K$2)^(1/252)</f>
        <v>20798730.34185148</v>
      </c>
      <c r="L455" s="2">
        <f>L454*(1+((1+VLOOKUP($B455,'IPCA Hist'!$B:$C,2,0))^12 - 1)+$L$2)^(1/252)</f>
        <v>12667200.385621002</v>
      </c>
      <c r="M455" s="2">
        <f>M454*(1+((1+VLOOKUP($B455,'IPCA Hist'!$B:$C,2,0))^12 - 1)+$M$2)^(1/252)</f>
        <v>10804590.49187793</v>
      </c>
      <c r="N455" s="2">
        <v>0</v>
      </c>
      <c r="O455" s="2">
        <v>0</v>
      </c>
      <c r="P455" s="2">
        <v>0</v>
      </c>
      <c r="Q455" s="2">
        <f>Q454*(1+((1+VLOOKUP($B455,'IPCA Hist'!$B:$C,2,0))^12 - 1)+$Q$2)^(1/252)</f>
        <v>46329852.799711891</v>
      </c>
      <c r="R455" s="2">
        <f>R454*(1+((1+VLOOKUP($B455,'IPCA Hist'!$B:$C,2,0))^12 - 1)+$R$2)^(1/252)</f>
        <v>46316472.702689394</v>
      </c>
      <c r="S455" s="2">
        <f>S454*(1+((1+VLOOKUP($B455,'IPCA Hist'!$B:$C,2,0))^12 - 1)+$S$2)^(1/252)</f>
        <v>47335666.092972137</v>
      </c>
      <c r="T455" s="2">
        <f>T454*(1+((1+VLOOKUP($B455,'IPCA Hist'!$B:$C,2,0))^12 - 1)+$T$2)^(1/252)</f>
        <v>239067992.16574907</v>
      </c>
      <c r="U455" s="2">
        <f>U454*(1+((1+VLOOKUP($B455,'IPCA Hist'!$B:$C,2,0))^12 - 1)+$U$2)^(1/252)</f>
        <v>21008883.738347653</v>
      </c>
      <c r="V455" s="2">
        <f>V454*(1+((1+VLOOKUP($B455,'IPCA Hist'!$B:$C,2,0))^12 - 1)+$V$2)^(1/252)</f>
        <v>81465346.503561616</v>
      </c>
      <c r="W455" s="2">
        <f>W454*(1+((1+VLOOKUP($B455,'IPCA Hist'!$B:$C,2,0))^12 - 1)+$W$2)^(1/252)</f>
        <v>42894245.471677504</v>
      </c>
      <c r="X455" s="2">
        <f>X454*(1+((1+VLOOKUP($B455,'IPCA Hist'!$B:$C,2,0))^12 - 1)+$X$2)^(1/252)</f>
        <v>14697133.779755842</v>
      </c>
      <c r="Y455" s="2">
        <f>Y454*(1+((1+VLOOKUP($B455,'IPCA Hist'!$B:$C,2,0))^12 - 1)+$Y$2)^(1/252)</f>
        <v>119708957.9949266</v>
      </c>
      <c r="Z455" s="2">
        <f>Z454*(1+((1+VLOOKUP($B455,'IPCA Hist'!$B:$C,2,0))^12 - 1)+$Z$2)^(1/252)</f>
        <v>84177143.919732273</v>
      </c>
      <c r="AA455" s="2">
        <f>AA454*(1+((1+VLOOKUP($B455,'IPCA Hist'!$B:$C,2,0))^12 - 1)+$AA$2)^(1/252)</f>
        <v>42358157.684383616</v>
      </c>
      <c r="AB455" s="2">
        <f>AB454*(1+((1+VLOOKUP($B455,'IPCA Hist'!$B:$C,2,0))^12 - 1)+$AB$2)^(1/252)</f>
        <v>42372081.286983199</v>
      </c>
      <c r="AC455" s="2">
        <v>0</v>
      </c>
      <c r="AD455" s="2">
        <v>0</v>
      </c>
      <c r="AE455" s="2">
        <v>0</v>
      </c>
      <c r="AF455" s="2">
        <f>AF454*(1+((1+VLOOKUP($B455,'IGPM Hist'!$B:$C,2,0))^12 - 1)+$AF$2)^(1/252)</f>
        <v>1699642.5265440759</v>
      </c>
      <c r="AG455" s="2">
        <v>0</v>
      </c>
      <c r="AH455" s="2">
        <v>0</v>
      </c>
      <c r="AI455" s="2">
        <v>0</v>
      </c>
      <c r="AJ455" s="2">
        <f t="shared" si="176"/>
        <v>54791654.907941192</v>
      </c>
      <c r="AK455" s="2">
        <f t="shared" si="176"/>
        <v>179761796.64645484</v>
      </c>
      <c r="AL455" s="2">
        <f t="shared" si="176"/>
        <v>36867260.580662102</v>
      </c>
      <c r="AM455" s="2">
        <f t="shared" si="176"/>
        <v>129071923.55156034</v>
      </c>
      <c r="AN455" s="2">
        <f t="shared" si="176"/>
        <v>55295676.379925206</v>
      </c>
      <c r="AO455" s="2">
        <f t="shared" si="176"/>
        <v>23705182.318307716</v>
      </c>
      <c r="AP455" s="2">
        <v>0</v>
      </c>
      <c r="AQ455" s="2">
        <v>0</v>
      </c>
      <c r="AR455" s="2">
        <v>0</v>
      </c>
      <c r="AS455" s="2">
        <f t="shared" si="176"/>
        <v>107633376.16147774</v>
      </c>
      <c r="AT455" s="2">
        <f t="shared" si="176"/>
        <v>5468667.5434531672</v>
      </c>
      <c r="AU455" s="2">
        <v>0</v>
      </c>
      <c r="AV455" s="2">
        <f t="shared" si="176"/>
        <v>54644662.680382028</v>
      </c>
      <c r="AW455" s="2">
        <f t="shared" si="176"/>
        <v>2825939.5493019456</v>
      </c>
      <c r="AX455" s="2">
        <v>0</v>
      </c>
      <c r="AY455" s="2">
        <v>0</v>
      </c>
      <c r="AZ455" s="2">
        <v>0</v>
      </c>
      <c r="BA455" s="2">
        <f>BA454*(1+VLOOKUP(A455,'SELIC Hist'!$A:$C,3,0)-0.01%)^(1/252)</f>
        <v>4964945.4573200932</v>
      </c>
      <c r="BB455" s="2">
        <f t="shared" si="177"/>
        <v>1880842630.6029241</v>
      </c>
      <c r="BC455" s="2">
        <v>0</v>
      </c>
      <c r="BD455" s="2">
        <v>0</v>
      </c>
      <c r="BE455" s="2">
        <f t="shared" si="178"/>
        <v>843627.97093725204</v>
      </c>
      <c r="BF455" s="2">
        <f t="shared" si="179"/>
        <v>7578908.1078131199</v>
      </c>
      <c r="BG455" s="2">
        <f t="shared" si="180"/>
        <v>62651154.512118101</v>
      </c>
      <c r="BH455" s="11">
        <f t="shared" si="181"/>
        <v>1.1936904514923068</v>
      </c>
      <c r="BI455" s="12">
        <f t="shared" si="182"/>
        <v>4.4873852047588869E-4</v>
      </c>
      <c r="BJ455" s="12">
        <f t="shared" si="183"/>
        <v>4.0458308228585871E-3</v>
      </c>
      <c r="BK455" s="12">
        <f t="shared" si="184"/>
        <v>3.652222405481953E-2</v>
      </c>
      <c r="BL455" s="5">
        <f t="shared" si="185"/>
        <v>0.19369045149230679</v>
      </c>
      <c r="BM455" s="19">
        <f t="shared" si="186"/>
        <v>6.1413764915329239E-2</v>
      </c>
      <c r="BN455" s="19">
        <f t="shared" si="187"/>
        <v>0.1085449043179616</v>
      </c>
      <c r="BO455" s="19" t="s">
        <v>53</v>
      </c>
    </row>
    <row r="456" spans="1:67" x14ac:dyDescent="0.25">
      <c r="A456" s="1">
        <v>45761</v>
      </c>
      <c r="B456" s="1" t="str">
        <f t="shared" ref="B456:B466" si="188">_xlfn.CONCAT(TEXT(YEAR(A456),"0000"),TEXT(MONTH(A456),"00"))</f>
        <v>202504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f>I455*(1+((1+VLOOKUP($B456,'IPCA Hist'!$B:$C,2,0))^12 - 1)+$I$2)^(1/252)</f>
        <v>215515062.02554691</v>
      </c>
      <c r="J456" s="2">
        <f>J455*(1+((1+VLOOKUP($B456,'IPCA Hist'!$B:$C,2,0))^12 - 1)+$J$2)^(1/252)</f>
        <v>136737363.18683249</v>
      </c>
      <c r="K456" s="2">
        <f>K455*(1+((1+VLOOKUP($B456,'IPCA Hist'!$B:$C,2,0))^12 - 1)+$K$2)^(1/252)</f>
        <v>20808043.806942686</v>
      </c>
      <c r="L456" s="2">
        <f>L455*(1+((1+VLOOKUP($B456,'IPCA Hist'!$B:$C,2,0))^12 - 1)+$L$2)^(1/252)</f>
        <v>12672922.473300399</v>
      </c>
      <c r="M456" s="2">
        <f>M455*(1+((1+VLOOKUP($B456,'IPCA Hist'!$B:$C,2,0))^12 - 1)+$M$2)^(1/252)</f>
        <v>10809798.772857372</v>
      </c>
      <c r="N456" s="2">
        <v>0</v>
      </c>
      <c r="O456" s="2">
        <v>0</v>
      </c>
      <c r="P456" s="2">
        <v>0</v>
      </c>
      <c r="Q456" s="2">
        <f>Q455*(1+((1+VLOOKUP($B456,'IPCA Hist'!$B:$C,2,0))^12 - 1)+$Q$2)^(1/252)</f>
        <v>46348134.28564772</v>
      </c>
      <c r="R456" s="2">
        <f>R455*(1+((1+VLOOKUP($B456,'IPCA Hist'!$B:$C,2,0))^12 - 1)+$R$2)^(1/252)</f>
        <v>46334765.5549208</v>
      </c>
      <c r="S456" s="2">
        <f>S455*(1+((1+VLOOKUP($B456,'IPCA Hist'!$B:$C,2,0))^12 - 1)+$S$2)^(1/252)</f>
        <v>47354157.230291992</v>
      </c>
      <c r="T456" s="2">
        <f>T455*(1+((1+VLOOKUP($B456,'IPCA Hist'!$B:$C,2,0))^12 - 1)+$T$2)^(1/252)</f>
        <v>239161295.33299893</v>
      </c>
      <c r="U456" s="2">
        <f>U455*(1+((1+VLOOKUP($B456,'IPCA Hist'!$B:$C,2,0))^12 - 1)+$U$2)^(1/252)</f>
        <v>21018097.363806408</v>
      </c>
      <c r="V456" s="2">
        <f>V455*(1+((1+VLOOKUP($B456,'IPCA Hist'!$B:$C,2,0))^12 - 1)+$V$2)^(1/252)</f>
        <v>81505303.068922311</v>
      </c>
      <c r="W456" s="2">
        <f>W455*(1+((1+VLOOKUP($B456,'IPCA Hist'!$B:$C,2,0))^12 - 1)+$W$2)^(1/252)</f>
        <v>42915420.85071671</v>
      </c>
      <c r="X456" s="2">
        <f>X455*(1+((1+VLOOKUP($B456,'IPCA Hist'!$B:$C,2,0))^12 - 1)+$X$2)^(1/252)</f>
        <v>14704114.989834772</v>
      </c>
      <c r="Y456" s="2">
        <f>Y455*(1+((1+VLOOKUP($B456,'IPCA Hist'!$B:$C,2,0))^12 - 1)+$Y$2)^(1/252)</f>
        <v>119768305.83960009</v>
      </c>
      <c r="Z456" s="2">
        <f>Z455*(1+((1+VLOOKUP($B456,'IPCA Hist'!$B:$C,2,0))^12 - 1)+$Z$2)^(1/252)</f>
        <v>84216448.796800956</v>
      </c>
      <c r="AA456" s="2">
        <f>AA455*(1+((1+VLOOKUP($B456,'IPCA Hist'!$B:$C,2,0))^12 - 1)+$AA$2)^(1/252)</f>
        <v>42379750.153255627</v>
      </c>
      <c r="AB456" s="2">
        <f>AB455*(1+((1+VLOOKUP($B456,'IPCA Hist'!$B:$C,2,0))^12 - 1)+$AB$2)^(1/252)</f>
        <v>42393666.05753205</v>
      </c>
      <c r="AC456" s="2">
        <v>0</v>
      </c>
      <c r="AD456" s="2">
        <v>0</v>
      </c>
      <c r="AE456" s="2">
        <v>0</v>
      </c>
      <c r="AF456" s="2">
        <f>AF455*(1+((1+VLOOKUP($B456,'IGPM Hist'!$B:$C,2,0))^12 - 1)+$AF$2)^(1/252)</f>
        <v>1700234.21019916</v>
      </c>
      <c r="AG456" s="2">
        <v>0</v>
      </c>
      <c r="AH456" s="2">
        <v>0</v>
      </c>
      <c r="AI456" s="2">
        <v>0</v>
      </c>
      <c r="AJ456" s="2">
        <f t="shared" ref="AJ456:AW456" si="189">AJ455*(1+AJ$2)^(1/252)</f>
        <v>54816881.13177608</v>
      </c>
      <c r="AK456" s="2">
        <f t="shared" si="189"/>
        <v>179848646.80131826</v>
      </c>
      <c r="AL456" s="2">
        <f t="shared" si="189"/>
        <v>36885079.116818771</v>
      </c>
      <c r="AM456" s="2">
        <f t="shared" si="189"/>
        <v>129134272.04687364</v>
      </c>
      <c r="AN456" s="2">
        <f t="shared" si="189"/>
        <v>55322406.522985145</v>
      </c>
      <c r="AO456" s="2">
        <f t="shared" si="189"/>
        <v>23718779.044742055</v>
      </c>
      <c r="AP456" s="2">
        <v>0</v>
      </c>
      <c r="AQ456" s="2">
        <v>0</v>
      </c>
      <c r="AR456" s="2">
        <v>0</v>
      </c>
      <c r="AS456" s="2">
        <f t="shared" si="189"/>
        <v>107681329.71230853</v>
      </c>
      <c r="AT456" s="2">
        <f t="shared" si="189"/>
        <v>5471761.5144044301</v>
      </c>
      <c r="AU456" s="2">
        <v>0</v>
      </c>
      <c r="AV456" s="2">
        <f t="shared" si="189"/>
        <v>54669531.259623997</v>
      </c>
      <c r="AW456" s="2">
        <f t="shared" si="189"/>
        <v>2827517.9106743238</v>
      </c>
      <c r="AX456" s="2">
        <v>0</v>
      </c>
      <c r="AY456" s="2">
        <v>0</v>
      </c>
      <c r="AZ456" s="2">
        <v>0</v>
      </c>
      <c r="BA456" s="2">
        <f>BA455*(1+VLOOKUP(A456,'SELIC Hist'!$A:$C,3,0)-0.01%)^(1/252)</f>
        <v>4967551.8623894947</v>
      </c>
      <c r="BB456" s="2">
        <f t="shared" si="177"/>
        <v>1881686640.9239221</v>
      </c>
      <c r="BC456" s="2">
        <v>0</v>
      </c>
      <c r="BD456" s="2">
        <v>0</v>
      </c>
      <c r="BE456" s="2">
        <f t="shared" si="178"/>
        <v>844010.32099795341</v>
      </c>
      <c r="BF456" s="2">
        <f t="shared" si="179"/>
        <v>8422918.4288110733</v>
      </c>
      <c r="BG456" s="2">
        <f t="shared" si="180"/>
        <v>63495164.833116055</v>
      </c>
      <c r="BH456" s="11">
        <f t="shared" si="181"/>
        <v>1.1942261087794945</v>
      </c>
      <c r="BI456" s="12">
        <f t="shared" si="182"/>
        <v>4.4874053111354506E-4</v>
      </c>
      <c r="BJ456" s="12">
        <f t="shared" si="183"/>
        <v>4.4963868822442965E-3</v>
      </c>
      <c r="BK456" s="12">
        <f t="shared" si="184"/>
        <v>3.698735358815286E-2</v>
      </c>
      <c r="BL456" s="5">
        <f t="shared" si="185"/>
        <v>0.19422610877949453</v>
      </c>
      <c r="BM456" s="19">
        <f t="shared" si="186"/>
        <v>6.1402805143774719E-2</v>
      </c>
      <c r="BN456" s="19">
        <f t="shared" si="187"/>
        <v>0.10879371191309128</v>
      </c>
      <c r="BO456" s="19" t="s">
        <v>53</v>
      </c>
    </row>
    <row r="457" spans="1:67" x14ac:dyDescent="0.25">
      <c r="A457" s="1">
        <v>45762</v>
      </c>
      <c r="B457" s="1" t="str">
        <f t="shared" si="188"/>
        <v>202504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f>I456*(1+((1+VLOOKUP($B457,'IPCA Hist'!$B:$C,2,0))^12 - 1)+$I$2)^(1/252)</f>
        <v>215604044.34556401</v>
      </c>
      <c r="J457" s="2">
        <f>J456*(1+((1+VLOOKUP($B457,'IPCA Hist'!$B:$C,2,0))^12 - 1)+$J$2)^(1/252)</f>
        <v>136791417.22330141</v>
      </c>
      <c r="K457" s="2">
        <f>K456*(1+((1+VLOOKUP($B457,'IPCA Hist'!$B:$C,2,0))^12 - 1)+$K$2)^(1/252)</f>
        <v>20817361.442511156</v>
      </c>
      <c r="L457" s="2">
        <f>L456*(1+((1+VLOOKUP($B457,'IPCA Hist'!$B:$C,2,0))^12 - 1)+$L$2)^(1/252)</f>
        <v>12678647.145788312</v>
      </c>
      <c r="M457" s="2">
        <f>M456*(1+((1+VLOOKUP($B457,'IPCA Hist'!$B:$C,2,0))^12 - 1)+$M$2)^(1/252)</f>
        <v>10815009.564454017</v>
      </c>
      <c r="N457" s="2">
        <v>0</v>
      </c>
      <c r="O457" s="2">
        <v>0</v>
      </c>
      <c r="P457" s="2">
        <v>0</v>
      </c>
      <c r="Q457" s="2">
        <f>Q456*(1+((1+VLOOKUP($B457,'IPCA Hist'!$B:$C,2,0))^12 - 1)+$Q$2)^(1/252)</f>
        <v>46366422.985349789</v>
      </c>
      <c r="R457" s="2">
        <f>R456*(1+((1+VLOOKUP($B457,'IPCA Hist'!$B:$C,2,0))^12 - 1)+$R$2)^(1/252)</f>
        <v>46353065.631977908</v>
      </c>
      <c r="S457" s="2">
        <f>S456*(1+((1+VLOOKUP($B457,'IPCA Hist'!$B:$C,2,0))^12 - 1)+$S$2)^(1/252)</f>
        <v>47372655.590963453</v>
      </c>
      <c r="T457" s="2">
        <f>T456*(1+((1+VLOOKUP($B457,'IPCA Hist'!$B:$C,2,0))^12 - 1)+$T$2)^(1/252)</f>
        <v>239254634.91449621</v>
      </c>
      <c r="U457" s="2">
        <f>U456*(1+((1+VLOOKUP($B457,'IPCA Hist'!$B:$C,2,0))^12 - 1)+$U$2)^(1/252)</f>
        <v>21027315.029979326</v>
      </c>
      <c r="V457" s="2">
        <f>V456*(1+((1+VLOOKUP($B457,'IPCA Hist'!$B:$C,2,0))^12 - 1)+$V$2)^(1/252)</f>
        <v>81545279.231905594</v>
      </c>
      <c r="W457" s="2">
        <f>W456*(1+((1+VLOOKUP($B457,'IPCA Hist'!$B:$C,2,0))^12 - 1)+$W$2)^(1/252)</f>
        <v>42936606.683295138</v>
      </c>
      <c r="X457" s="2">
        <f>X456*(1+((1+VLOOKUP($B457,'IPCA Hist'!$B:$C,2,0))^12 - 1)+$X$2)^(1/252)</f>
        <v>14711099.51602247</v>
      </c>
      <c r="Y457" s="2">
        <f>Y456*(1+((1+VLOOKUP($B457,'IPCA Hist'!$B:$C,2,0))^12 - 1)+$Y$2)^(1/252)</f>
        <v>119827683.10702294</v>
      </c>
      <c r="Z457" s="2">
        <f>Z456*(1+((1+VLOOKUP($B457,'IPCA Hist'!$B:$C,2,0))^12 - 1)+$Z$2)^(1/252)</f>
        <v>84255772.026516095</v>
      </c>
      <c r="AA457" s="2">
        <f>AA456*(1+((1+VLOOKUP($B457,'IPCA Hist'!$B:$C,2,0))^12 - 1)+$AA$2)^(1/252)</f>
        <v>42401353.629091524</v>
      </c>
      <c r="AB457" s="2">
        <f>AB456*(1+((1+VLOOKUP($B457,'IPCA Hist'!$B:$C,2,0))^12 - 1)+$AB$2)^(1/252)</f>
        <v>42415261.82358326</v>
      </c>
      <c r="AC457" s="2">
        <v>0</v>
      </c>
      <c r="AD457" s="2">
        <v>0</v>
      </c>
      <c r="AE457" s="2">
        <v>0</v>
      </c>
      <c r="AF457" s="2">
        <f>AF456*(1+((1+VLOOKUP($B457,'IGPM Hist'!$B:$C,2,0))^12 - 1)+$AF$2)^(1/252)</f>
        <v>1700826.0998325851</v>
      </c>
      <c r="AG457" s="2">
        <v>0</v>
      </c>
      <c r="AH457" s="2">
        <v>0</v>
      </c>
      <c r="AI457" s="2">
        <v>0</v>
      </c>
      <c r="AJ457" s="2">
        <f t="shared" ref="AJ457:AW457" si="190">AJ456*(1+AJ$2)^(1/252)</f>
        <v>54842118.969831601</v>
      </c>
      <c r="AK457" s="2">
        <f t="shared" si="190"/>
        <v>179935538.91698503</v>
      </c>
      <c r="AL457" s="2">
        <f t="shared" si="190"/>
        <v>36902906.264958695</v>
      </c>
      <c r="AM457" s="2">
        <f t="shared" si="190"/>
        <v>129196650.6597738</v>
      </c>
      <c r="AN457" s="2">
        <f t="shared" si="190"/>
        <v>55349149.587499253</v>
      </c>
      <c r="AO457" s="2">
        <f t="shared" si="190"/>
        <v>23732383.569933951</v>
      </c>
      <c r="AP457" s="2">
        <v>0</v>
      </c>
      <c r="AQ457" s="2">
        <v>0</v>
      </c>
      <c r="AR457" s="2">
        <v>0</v>
      </c>
      <c r="AS457" s="2">
        <f t="shared" si="190"/>
        <v>107729304.6277301</v>
      </c>
      <c r="AT457" s="2">
        <f t="shared" si="190"/>
        <v>5474857.2358106561</v>
      </c>
      <c r="AU457" s="2">
        <v>0</v>
      </c>
      <c r="AV457" s="2">
        <f t="shared" si="190"/>
        <v>54694411.156462289</v>
      </c>
      <c r="AW457" s="2">
        <f t="shared" si="190"/>
        <v>2829097.1536029344</v>
      </c>
      <c r="AX457" s="2">
        <v>0</v>
      </c>
      <c r="AY457" s="2">
        <v>0</v>
      </c>
      <c r="AZ457" s="2">
        <v>0</v>
      </c>
      <c r="BA457" s="2">
        <f>BA456*(1+VLOOKUP(A457,'SELIC Hist'!$A:$C,3,0)-0.01%)^(1/252)</f>
        <v>4970159.635721135</v>
      </c>
      <c r="BB457" s="2">
        <f t="shared" si="177"/>
        <v>1882531033.7699647</v>
      </c>
      <c r="BC457" s="2">
        <v>0</v>
      </c>
      <c r="BD457" s="2">
        <v>0</v>
      </c>
      <c r="BE457" s="2">
        <f t="shared" si="178"/>
        <v>844392.84604263306</v>
      </c>
      <c r="BF457" s="2">
        <f t="shared" si="179"/>
        <v>9267311.2748537064</v>
      </c>
      <c r="BG457" s="2">
        <f t="shared" si="180"/>
        <v>64339557.679158688</v>
      </c>
      <c r="BH457" s="11">
        <f t="shared" si="181"/>
        <v>1.1947620088389834</v>
      </c>
      <c r="BI457" s="12">
        <f t="shared" si="182"/>
        <v>4.4874254175919503E-4</v>
      </c>
      <c r="BJ457" s="12">
        <f t="shared" si="183"/>
        <v>4.9471471440818426E-3</v>
      </c>
      <c r="BK457" s="12">
        <f t="shared" si="184"/>
        <v>3.7452693928974101E-2</v>
      </c>
      <c r="BL457" s="5">
        <f t="shared" si="185"/>
        <v>0.19476200883898342</v>
      </c>
      <c r="BM457" s="19">
        <f t="shared" si="186"/>
        <v>6.139184702332301E-2</v>
      </c>
      <c r="BN457" s="19">
        <f t="shared" si="187"/>
        <v>0.10862682001783508</v>
      </c>
      <c r="BO457" s="19" t="s">
        <v>53</v>
      </c>
    </row>
    <row r="458" spans="1:67" x14ac:dyDescent="0.25">
      <c r="A458" s="1">
        <v>45763</v>
      </c>
      <c r="B458" s="1" t="str">
        <f t="shared" si="188"/>
        <v>202504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f>I457*(1+((1+VLOOKUP($B458,'IPCA Hist'!$B:$C,2,0))^12 - 1)+$I$2)^(1/252)</f>
        <v>215693063.4047918</v>
      </c>
      <c r="J458" s="2">
        <f>J457*(1+((1+VLOOKUP($B458,'IPCA Hist'!$B:$C,2,0))^12 - 1)+$J$2)^(1/252)</f>
        <v>136845492.62802544</v>
      </c>
      <c r="K458" s="2">
        <f>K457*(1+((1+VLOOKUP($B458,'IPCA Hist'!$B:$C,2,0))^12 - 1)+$K$2)^(1/252)</f>
        <v>20826683.250424385</v>
      </c>
      <c r="L458" s="2">
        <f>L457*(1+((1+VLOOKUP($B458,'IPCA Hist'!$B:$C,2,0))^12 - 1)+$L$2)^(1/252)</f>
        <v>12684374.40425236</v>
      </c>
      <c r="M458" s="2">
        <f>M457*(1+((1+VLOOKUP($B458,'IPCA Hist'!$B:$C,2,0))^12 - 1)+$M$2)^(1/252)</f>
        <v>10820222.867878091</v>
      </c>
      <c r="N458" s="2">
        <v>0</v>
      </c>
      <c r="O458" s="2">
        <v>0</v>
      </c>
      <c r="P458" s="2">
        <v>0</v>
      </c>
      <c r="Q458" s="2">
        <f>Q457*(1+((1+VLOOKUP($B458,'IPCA Hist'!$B:$C,2,0))^12 - 1)+$Q$2)^(1/252)</f>
        <v>46384718.901664607</v>
      </c>
      <c r="R458" s="2">
        <f>R457*(1+((1+VLOOKUP($B458,'IPCA Hist'!$B:$C,2,0))^12 - 1)+$R$2)^(1/252)</f>
        <v>46371372.936714202</v>
      </c>
      <c r="S458" s="2">
        <f>S457*(1+((1+VLOOKUP($B458,'IPCA Hist'!$B:$C,2,0))^12 - 1)+$S$2)^(1/252)</f>
        <v>47391161.177808233</v>
      </c>
      <c r="T458" s="2">
        <f>T457*(1+((1+VLOOKUP($B458,'IPCA Hist'!$B:$C,2,0))^12 - 1)+$T$2)^(1/252)</f>
        <v>239348010.92445263</v>
      </c>
      <c r="U458" s="2">
        <f>U457*(1+((1+VLOOKUP($B458,'IPCA Hist'!$B:$C,2,0))^12 - 1)+$U$2)^(1/252)</f>
        <v>21036536.738638498</v>
      </c>
      <c r="V458" s="2">
        <f>V457*(1+((1+VLOOKUP($B458,'IPCA Hist'!$B:$C,2,0))^12 - 1)+$V$2)^(1/252)</f>
        <v>81585275.002123579</v>
      </c>
      <c r="W458" s="2">
        <f>W457*(1+((1+VLOOKUP($B458,'IPCA Hist'!$B:$C,2,0))^12 - 1)+$W$2)^(1/252)</f>
        <v>42957802.974573337</v>
      </c>
      <c r="X458" s="2">
        <f>X457*(1+((1+VLOOKUP($B458,'IPCA Hist'!$B:$C,2,0))^12 - 1)+$X$2)^(1/252)</f>
        <v>14718087.359894101</v>
      </c>
      <c r="Y458" s="2">
        <f>Y457*(1+((1+VLOOKUP($B458,'IPCA Hist'!$B:$C,2,0))^12 - 1)+$Y$2)^(1/252)</f>
        <v>119887089.811782</v>
      </c>
      <c r="Z458" s="2">
        <f>Z457*(1+((1+VLOOKUP($B458,'IPCA Hist'!$B:$C,2,0))^12 - 1)+$Z$2)^(1/252)</f>
        <v>84295113.617447078</v>
      </c>
      <c r="AA458" s="2">
        <f>AA457*(1+((1+VLOOKUP($B458,'IPCA Hist'!$B:$C,2,0))^12 - 1)+$AA$2)^(1/252)</f>
        <v>42422968.117502213</v>
      </c>
      <c r="AB458" s="2">
        <f>AB457*(1+((1+VLOOKUP($B458,'IPCA Hist'!$B:$C,2,0))^12 - 1)+$AB$2)^(1/252)</f>
        <v>42436868.590738043</v>
      </c>
      <c r="AC458" s="2">
        <v>0</v>
      </c>
      <c r="AD458" s="2">
        <v>0</v>
      </c>
      <c r="AE458" s="2">
        <v>0</v>
      </c>
      <c r="AF458" s="2">
        <f>AF457*(1+((1+VLOOKUP($B458,'IGPM Hist'!$B:$C,2,0))^12 - 1)+$AF$2)^(1/252)</f>
        <v>1701418.1955160566</v>
      </c>
      <c r="AG458" s="2">
        <v>0</v>
      </c>
      <c r="AH458" s="2">
        <v>0</v>
      </c>
      <c r="AI458" s="2">
        <v>0</v>
      </c>
      <c r="AJ458" s="2">
        <f t="shared" ref="AJ458:AW459" si="191">AJ457*(1+AJ$2)^(1/252)</f>
        <v>54867368.427454971</v>
      </c>
      <c r="AK458" s="2">
        <f t="shared" si="191"/>
        <v>180022473.01372811</v>
      </c>
      <c r="AL458" s="2">
        <f t="shared" si="191"/>
        <v>36920742.029244184</v>
      </c>
      <c r="AM458" s="2">
        <f t="shared" si="191"/>
        <v>129259059.40480918</v>
      </c>
      <c r="AN458" s="2">
        <f t="shared" si="191"/>
        <v>55375905.579713814</v>
      </c>
      <c r="AO458" s="2">
        <f t="shared" si="191"/>
        <v>23745995.898356583</v>
      </c>
      <c r="AP458" s="2">
        <v>0</v>
      </c>
      <c r="AQ458" s="2">
        <v>0</v>
      </c>
      <c r="AR458" s="2">
        <v>0</v>
      </c>
      <c r="AS458" s="2">
        <f t="shared" si="191"/>
        <v>107777300.91726097</v>
      </c>
      <c r="AT458" s="2">
        <f t="shared" si="191"/>
        <v>5477954.7086621895</v>
      </c>
      <c r="AU458" s="2">
        <v>0</v>
      </c>
      <c r="AV458" s="2">
        <f t="shared" si="191"/>
        <v>54719302.376047507</v>
      </c>
      <c r="AW458" s="2">
        <f t="shared" si="191"/>
        <v>2830677.2785801496</v>
      </c>
      <c r="AX458" s="2">
        <v>0</v>
      </c>
      <c r="AY458" s="2">
        <v>0</v>
      </c>
      <c r="AZ458" s="2">
        <v>0</v>
      </c>
      <c r="BA458" s="2">
        <f>BA457*(1+VLOOKUP(A458,'SELIC Hist'!$A:$C,3,0)-0.01%)^(1/252)</f>
        <v>4972768.7780332984</v>
      </c>
      <c r="BB458" s="2">
        <f t="shared" si="177"/>
        <v>1883375809.3161182</v>
      </c>
      <c r="BC458" s="2">
        <v>0</v>
      </c>
      <c r="BD458" s="2">
        <v>0</v>
      </c>
      <c r="BE458" s="2">
        <f t="shared" si="178"/>
        <v>844775.54615354538</v>
      </c>
      <c r="BF458" s="2">
        <f t="shared" si="179"/>
        <v>10112086.821007252</v>
      </c>
      <c r="BG458" s="2">
        <f t="shared" si="180"/>
        <v>65184333.225312233</v>
      </c>
      <c r="BH458" s="11">
        <f t="shared" si="181"/>
        <v>1.1952981517818806</v>
      </c>
      <c r="BI458" s="12">
        <f t="shared" si="182"/>
        <v>4.4874455241350475E-4</v>
      </c>
      <c r="BJ458" s="12">
        <f t="shared" si="183"/>
        <v>5.398111701826247E-3</v>
      </c>
      <c r="BK458" s="12">
        <f t="shared" si="184"/>
        <v>3.7918245173761411E-2</v>
      </c>
      <c r="BL458" s="5">
        <f t="shared" si="185"/>
        <v>0.19529815178188059</v>
      </c>
      <c r="BM458" s="19">
        <f t="shared" si="186"/>
        <v>6.1380890553753842E-2</v>
      </c>
      <c r="BN458" s="19">
        <f t="shared" si="187"/>
        <v>0.10868583023408229</v>
      </c>
      <c r="BO458" s="19" t="s">
        <v>53</v>
      </c>
    </row>
    <row r="459" spans="1:67" x14ac:dyDescent="0.25">
      <c r="A459" s="1">
        <v>45764</v>
      </c>
      <c r="B459" s="1" t="str">
        <f t="shared" si="188"/>
        <v>202504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f>I458*(1+((1+VLOOKUP($B459,'IPCA Hist'!$B:$C,2,0))^12 - 1)+$I$2)^(1/252)</f>
        <v>215782119.21839929</v>
      </c>
      <c r="J459" s="2">
        <f>J458*(1+((1+VLOOKUP($B459,'IPCA Hist'!$B:$C,2,0))^12 - 1)+$J$2)^(1/252)</f>
        <v>136899589.40945172</v>
      </c>
      <c r="K459" s="2">
        <f>K458*(1+((1+VLOOKUP($B459,'IPCA Hist'!$B:$C,2,0))^12 - 1)+$K$2)^(1/252)</f>
        <v>20836009.23255071</v>
      </c>
      <c r="L459" s="2">
        <f>L458*(1+((1+VLOOKUP($B459,'IPCA Hist'!$B:$C,2,0))^12 - 1)+$L$2)^(1/252)</f>
        <v>12690104.249860693</v>
      </c>
      <c r="M459" s="2">
        <f>M458*(1+((1+VLOOKUP($B459,'IPCA Hist'!$B:$C,2,0))^12 - 1)+$M$2)^(1/252)</f>
        <v>10825438.684340404</v>
      </c>
      <c r="N459" s="2">
        <v>0</v>
      </c>
      <c r="O459" s="2">
        <v>0</v>
      </c>
      <c r="P459" s="2">
        <v>0</v>
      </c>
      <c r="Q459" s="2">
        <f>Q458*(1+((1+VLOOKUP($B459,'IPCA Hist'!$B:$C,2,0))^12 - 1)+$Q$2)^(1/252)</f>
        <v>46403022.037439808</v>
      </c>
      <c r="R459" s="2">
        <f>R458*(1+((1+VLOOKUP($B459,'IPCA Hist'!$B:$C,2,0))^12 - 1)+$R$2)^(1/252)</f>
        <v>46389687.471984267</v>
      </c>
      <c r="S459" s="2">
        <f>S458*(1+((1+VLOOKUP($B459,'IPCA Hist'!$B:$C,2,0))^12 - 1)+$S$2)^(1/252)</f>
        <v>47409673.993649147</v>
      </c>
      <c r="T459" s="2">
        <f>T458*(1+((1+VLOOKUP($B459,'IPCA Hist'!$B:$C,2,0))^12 - 1)+$T$2)^(1/252)</f>
        <v>239441423.37708545</v>
      </c>
      <c r="U459" s="2">
        <f>U458*(1+((1+VLOOKUP($B459,'IPCA Hist'!$B:$C,2,0))^12 - 1)+$U$2)^(1/252)</f>
        <v>21045762.49155679</v>
      </c>
      <c r="V459" s="2">
        <f>V458*(1+((1+VLOOKUP($B459,'IPCA Hist'!$B:$C,2,0))^12 - 1)+$V$2)^(1/252)</f>
        <v>81625290.389193088</v>
      </c>
      <c r="W459" s="2">
        <f>W458*(1+((1+VLOOKUP($B459,'IPCA Hist'!$B:$C,2,0))^12 - 1)+$W$2)^(1/252)</f>
        <v>42979009.729714394</v>
      </c>
      <c r="X459" s="2">
        <f>X458*(1+((1+VLOOKUP($B459,'IPCA Hist'!$B:$C,2,0))^12 - 1)+$X$2)^(1/252)</f>
        <v>14725078.523025582</v>
      </c>
      <c r="Y459" s="2">
        <f>Y458*(1+((1+VLOOKUP($B459,'IPCA Hist'!$B:$C,2,0))^12 - 1)+$Y$2)^(1/252)</f>
        <v>119946525.96847136</v>
      </c>
      <c r="Z459" s="2">
        <f>Z458*(1+((1+VLOOKUP($B459,'IPCA Hist'!$B:$C,2,0))^12 - 1)+$Z$2)^(1/252)</f>
        <v>84334473.578167334</v>
      </c>
      <c r="AA459" s="2">
        <f>AA458*(1+((1+VLOOKUP($B459,'IPCA Hist'!$B:$C,2,0))^12 - 1)+$AA$2)^(1/252)</f>
        <v>42444593.624101453</v>
      </c>
      <c r="AB459" s="2">
        <f>AB458*(1+((1+VLOOKUP($B459,'IPCA Hist'!$B:$C,2,0))^12 - 1)+$AB$2)^(1/252)</f>
        <v>42458486.36460048</v>
      </c>
      <c r="AC459" s="2">
        <v>0</v>
      </c>
      <c r="AD459" s="2">
        <v>0</v>
      </c>
      <c r="AE459" s="2">
        <v>0</v>
      </c>
      <c r="AF459" s="2">
        <f>AF458*(1+((1+VLOOKUP($B459,'IGPM Hist'!$B:$C,2,0))^12 - 1)+$AF$2)^(1/252)</f>
        <v>1702010.4973213053</v>
      </c>
      <c r="AG459" s="2">
        <v>0</v>
      </c>
      <c r="AH459" s="2">
        <v>0</v>
      </c>
      <c r="AI459" s="2">
        <v>0</v>
      </c>
      <c r="AJ459" s="2">
        <f t="shared" si="191"/>
        <v>54892629.509995878</v>
      </c>
      <c r="AK459" s="2">
        <f t="shared" si="191"/>
        <v>180109449.11183023</v>
      </c>
      <c r="AL459" s="2">
        <f t="shared" si="191"/>
        <v>36938586.413839556</v>
      </c>
      <c r="AM459" s="2">
        <f t="shared" si="191"/>
        <v>129321498.29653518</v>
      </c>
      <c r="AN459" s="2">
        <f t="shared" si="191"/>
        <v>55402674.505878121</v>
      </c>
      <c r="AO459" s="2">
        <f t="shared" si="191"/>
        <v>23759616.034485701</v>
      </c>
      <c r="AP459" s="2">
        <v>0</v>
      </c>
      <c r="AQ459" s="2">
        <v>0</v>
      </c>
      <c r="AR459" s="2">
        <v>0</v>
      </c>
      <c r="AS459" s="2">
        <f t="shared" si="191"/>
        <v>107825318.59042387</v>
      </c>
      <c r="AT459" s="2">
        <f t="shared" si="191"/>
        <v>5481053.9339499334</v>
      </c>
      <c r="AU459" s="2">
        <v>0</v>
      </c>
      <c r="AV459" s="2">
        <f t="shared" si="191"/>
        <v>54744204.923532583</v>
      </c>
      <c r="AW459" s="2">
        <f t="shared" si="191"/>
        <v>2832258.2860986167</v>
      </c>
      <c r="AX459" s="2">
        <v>0</v>
      </c>
      <c r="AY459" s="2">
        <v>0</v>
      </c>
      <c r="AZ459" s="2">
        <v>0</v>
      </c>
      <c r="BA459" s="2">
        <f>BA458*(1+VLOOKUP(A459,'SELIC Hist'!$A:$C,3,0)-0.01%)^(1/252)</f>
        <v>4975379.2900446476</v>
      </c>
      <c r="BB459" s="2">
        <f t="shared" si="177"/>
        <v>1884220967.7375278</v>
      </c>
      <c r="BC459" s="2">
        <v>0</v>
      </c>
      <c r="BD459" s="2">
        <v>0</v>
      </c>
      <c r="BE459" s="2">
        <f t="shared" si="178"/>
        <v>845158.42140960693</v>
      </c>
      <c r="BF459" s="2">
        <f t="shared" si="179"/>
        <v>10957245.242416859</v>
      </c>
      <c r="BG459" s="2">
        <f t="shared" si="180"/>
        <v>66029491.64672184</v>
      </c>
      <c r="BH459" s="11">
        <f t="shared" si="181"/>
        <v>1.1958345377193427</v>
      </c>
      <c r="BI459" s="12">
        <f t="shared" si="182"/>
        <v>4.4874656307514194E-4</v>
      </c>
      <c r="BJ459" s="12">
        <f t="shared" si="183"/>
        <v>5.8492806489747196E-3</v>
      </c>
      <c r="BK459" s="12">
        <f t="shared" si="184"/>
        <v>3.8384007419036026E-2</v>
      </c>
      <c r="BL459" s="5">
        <f t="shared" si="185"/>
        <v>0.19583453771934267</v>
      </c>
      <c r="BM459" s="19">
        <f t="shared" si="186"/>
        <v>6.1369935734844727E-2</v>
      </c>
      <c r="BN459" s="19">
        <f t="shared" si="187"/>
        <v>0.10884200260538623</v>
      </c>
      <c r="BO459" s="19" t="s">
        <v>53</v>
      </c>
    </row>
    <row r="460" spans="1:67" x14ac:dyDescent="0.25">
      <c r="A460" s="1">
        <v>45769</v>
      </c>
      <c r="B460" s="1" t="str">
        <f t="shared" si="188"/>
        <v>202504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f>I459*(1+((1+VLOOKUP($B460,'IPCA Hist'!$B:$C,2,0))^12 - 1)+$I$2)^(1/252)</f>
        <v>215871211.80156165</v>
      </c>
      <c r="J460" s="2">
        <f>J459*(1+((1+VLOOKUP($B460,'IPCA Hist'!$B:$C,2,0))^12 - 1)+$J$2)^(1/252)</f>
        <v>136953707.57603073</v>
      </c>
      <c r="K460" s="2">
        <f>K459*(1+((1+VLOOKUP($B460,'IPCA Hist'!$B:$C,2,0))^12 - 1)+$K$2)^(1/252)</f>
        <v>20845339.390759304</v>
      </c>
      <c r="L460" s="2">
        <f>L459*(1+((1+VLOOKUP($B460,'IPCA Hist'!$B:$C,2,0))^12 - 1)+$L$2)^(1/252)</f>
        <v>12695836.683781989</v>
      </c>
      <c r="M460" s="2">
        <f>M459*(1+((1+VLOOKUP($B460,'IPCA Hist'!$B:$C,2,0))^12 - 1)+$M$2)^(1/252)</f>
        <v>10830657.01505235</v>
      </c>
      <c r="N460" s="2">
        <v>0</v>
      </c>
      <c r="O460" s="2">
        <v>0</v>
      </c>
      <c r="P460" s="2">
        <v>0</v>
      </c>
      <c r="Q460" s="2">
        <f>Q459*(1+((1+VLOOKUP($B460,'IPCA Hist'!$B:$C,2,0))^12 - 1)+$Q$2)^(1/252)</f>
        <v>46421332.395524144</v>
      </c>
      <c r="R460" s="2">
        <f>R459*(1+((1+VLOOKUP($B460,'IPCA Hist'!$B:$C,2,0))^12 - 1)+$R$2)^(1/252)</f>
        <v>46408009.240643837</v>
      </c>
      <c r="S460" s="2">
        <f>S459*(1+((1+VLOOKUP($B460,'IPCA Hist'!$B:$C,2,0))^12 - 1)+$S$2)^(1/252)</f>
        <v>47428194.041310132</v>
      </c>
      <c r="T460" s="2">
        <f>T459*(1+((1+VLOOKUP($B460,'IPCA Hist'!$B:$C,2,0))^12 - 1)+$T$2)^(1/252)</f>
        <v>239534872.28661746</v>
      </c>
      <c r="U460" s="2">
        <f>U459*(1+((1+VLOOKUP($B460,'IPCA Hist'!$B:$C,2,0))^12 - 1)+$U$2)^(1/252)</f>
        <v>21054992.290507846</v>
      </c>
      <c r="V460" s="2">
        <f>V459*(1+((1+VLOOKUP($B460,'IPCA Hist'!$B:$C,2,0))^12 - 1)+$V$2)^(1/252)</f>
        <v>81665325.402735665</v>
      </c>
      <c r="W460" s="2">
        <f>W459*(1+((1+VLOOKUP($B460,'IPCA Hist'!$B:$C,2,0))^12 - 1)+$W$2)^(1/252)</f>
        <v>43000226.953883946</v>
      </c>
      <c r="X460" s="2">
        <f>X459*(1+((1+VLOOKUP($B460,'IPCA Hist'!$B:$C,2,0))^12 - 1)+$X$2)^(1/252)</f>
        <v>14732073.006993577</v>
      </c>
      <c r="Y460" s="2">
        <f>Y459*(1+((1+VLOOKUP($B460,'IPCA Hist'!$B:$C,2,0))^12 - 1)+$Y$2)^(1/252)</f>
        <v>120005991.59169233</v>
      </c>
      <c r="Z460" s="2">
        <f>Z459*(1+((1+VLOOKUP($B460,'IPCA Hist'!$B:$C,2,0))^12 - 1)+$Z$2)^(1/252)</f>
        <v>84373851.917254284</v>
      </c>
      <c r="AA460" s="2">
        <f>AA459*(1+((1+VLOOKUP($B460,'IPCA Hist'!$B:$C,2,0))^12 - 1)+$AA$2)^(1/252)</f>
        <v>42466230.154505871</v>
      </c>
      <c r="AB460" s="2">
        <f>AB459*(1+((1+VLOOKUP($B460,'IPCA Hist'!$B:$C,2,0))^12 - 1)+$AB$2)^(1/252)</f>
        <v>42480115.150777496</v>
      </c>
      <c r="AC460" s="2">
        <v>0</v>
      </c>
      <c r="AD460" s="2">
        <v>0</v>
      </c>
      <c r="AE460" s="2">
        <v>0</v>
      </c>
      <c r="AF460" s="2">
        <f>AF459*(1+((1+VLOOKUP($B460,'IGPM Hist'!$B:$C,2,0))^12 - 1)+$AF$2)^(1/252)</f>
        <v>1702603.0053200868</v>
      </c>
      <c r="AG460" s="2">
        <v>0</v>
      </c>
      <c r="AH460" s="2">
        <v>0</v>
      </c>
      <c r="AI460" s="2">
        <v>0</v>
      </c>
      <c r="AJ460" s="2">
        <f t="shared" ref="AJ460:AW460" si="192">AJ459*(1+AJ$2)^(1/252)</f>
        <v>54917902.222806454</v>
      </c>
      <c r="AK460" s="2">
        <f t="shared" si="192"/>
        <v>180196467.23158395</v>
      </c>
      <c r="AL460" s="2">
        <f t="shared" si="192"/>
        <v>36956439.422911152</v>
      </c>
      <c r="AM460" s="2">
        <f t="shared" si="192"/>
        <v>129383967.34951423</v>
      </c>
      <c r="AN460" s="2">
        <f t="shared" si="192"/>
        <v>55429456.3722445</v>
      </c>
      <c r="AO460" s="2">
        <f t="shared" si="192"/>
        <v>23773243.982799619</v>
      </c>
      <c r="AP460" s="2">
        <v>0</v>
      </c>
      <c r="AQ460" s="2">
        <v>0</v>
      </c>
      <c r="AR460" s="2">
        <v>0</v>
      </c>
      <c r="AS460" s="2">
        <f t="shared" si="192"/>
        <v>107873357.65674578</v>
      </c>
      <c r="AT460" s="2">
        <f t="shared" si="192"/>
        <v>5484154.9126653513</v>
      </c>
      <c r="AU460" s="2">
        <v>0</v>
      </c>
      <c r="AV460" s="2">
        <f t="shared" si="192"/>
        <v>54769118.804072797</v>
      </c>
      <c r="AW460" s="2">
        <f t="shared" si="192"/>
        <v>2833840.176651258</v>
      </c>
      <c r="AX460" s="2">
        <v>0</v>
      </c>
      <c r="AY460" s="2">
        <v>0</v>
      </c>
      <c r="AZ460" s="2">
        <v>0</v>
      </c>
      <c r="BA460" s="2">
        <f>BA459*(1+VLOOKUP(A460,'SELIC Hist'!$A:$C,3,0)-0.01%)^(1/252)</f>
        <v>4977991.1724742213</v>
      </c>
      <c r="BB460" s="2">
        <f t="shared" ref="BB460:BB466" si="193">SUM(C460:BA460)</f>
        <v>1885066509.2094219</v>
      </c>
      <c r="BC460" s="2">
        <v>0</v>
      </c>
      <c r="BD460" s="2">
        <v>0</v>
      </c>
      <c r="BE460" s="2">
        <f t="shared" ref="BE460:BE466" si="194">BB460-BB459-BC460+BD460</f>
        <v>845541.4718940258</v>
      </c>
      <c r="BF460" s="2">
        <f t="shared" ref="BF460:BF466" si="195">IF(MONTH(A460)=MONTH(A459),BE460+BF459,BE460)</f>
        <v>11802786.714310884</v>
      </c>
      <c r="BG460" s="2">
        <f t="shared" ref="BG460:BG466" si="196">IF(YEAR(A460)=YEAR(A459),BE460+BG459,BE460)</f>
        <v>66875033.118615866</v>
      </c>
      <c r="BH460" s="11">
        <f t="shared" ref="BH460:BH466" si="197">(1+(BB460-BB459-BC460+BD460)/BB459)*BH459</f>
        <v>1.19637116676258</v>
      </c>
      <c r="BI460" s="12">
        <f t="shared" ref="BI460:BI466" si="198">BH460/BH459 - 1</f>
        <v>4.4874857374566091E-4</v>
      </c>
      <c r="BJ460" s="12">
        <f t="shared" ref="BJ460:BJ466" si="199">IF(MONTH(A460)=MONTH(A459),(1+BI460)*(1+BJ459) - 1,BI460)</f>
        <v>6.3006540790691012E-3</v>
      </c>
      <c r="BK460" s="12">
        <f t="shared" ref="BK460:BK466" si="200">IF(YEAR(A460)=YEAR(A459),(1+BI460)*(1+BK459) - 1,BI460)</f>
        <v>3.8849980761365588E-2</v>
      </c>
      <c r="BL460" s="5">
        <f t="shared" ref="BL460:BL466" si="201">(1+BI460)*(1+BL459) - 1</f>
        <v>0.19637116676258004</v>
      </c>
      <c r="BM460" s="19">
        <f t="shared" ref="BM460:BM466" si="202">BH460/BH334 - 1</f>
        <v>6.1358982566375619E-2</v>
      </c>
      <c r="BN460" s="19">
        <f t="shared" ref="BN460:BN466" si="203">BH460/BH208 - 1</f>
        <v>0.1089513082235134</v>
      </c>
      <c r="BO460" s="19" t="s">
        <v>53</v>
      </c>
    </row>
    <row r="461" spans="1:67" x14ac:dyDescent="0.25">
      <c r="A461" s="1">
        <v>45770</v>
      </c>
      <c r="B461" s="1" t="str">
        <f t="shared" si="188"/>
        <v>202504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f>I460*(1+((1+VLOOKUP($B461,'IPCA Hist'!$B:$C,2,0))^12 - 1)+$I$2)^(1/252)</f>
        <v>215960341.16946045</v>
      </c>
      <c r="J461" s="2">
        <f>J460*(1+((1+VLOOKUP($B461,'IPCA Hist'!$B:$C,2,0))^12 - 1)+$J$2)^(1/252)</f>
        <v>137007847.13621628</v>
      </c>
      <c r="K461" s="2">
        <f>K460*(1+((1+VLOOKUP($B461,'IPCA Hist'!$B:$C,2,0))^12 - 1)+$K$2)^(1/252)</f>
        <v>20854673.726920176</v>
      </c>
      <c r="L461" s="2">
        <f>L460*(1+((1+VLOOKUP($B461,'IPCA Hist'!$B:$C,2,0))^12 - 1)+$L$2)^(1/252)</f>
        <v>12701571.707185453</v>
      </c>
      <c r="M461" s="2">
        <f>M460*(1+((1+VLOOKUP($B461,'IPCA Hist'!$B:$C,2,0))^12 - 1)+$M$2)^(1/252)</f>
        <v>10835877.861225905</v>
      </c>
      <c r="N461" s="2">
        <v>0</v>
      </c>
      <c r="O461" s="2">
        <v>0</v>
      </c>
      <c r="P461" s="2">
        <v>0</v>
      </c>
      <c r="Q461" s="2">
        <f>Q460*(1+((1+VLOOKUP($B461,'IPCA Hist'!$B:$C,2,0))^12 - 1)+$Q$2)^(1/252)</f>
        <v>46439649.978767499</v>
      </c>
      <c r="R461" s="2">
        <f>R460*(1+((1+VLOOKUP($B461,'IPCA Hist'!$B:$C,2,0))^12 - 1)+$R$2)^(1/252)</f>
        <v>46426338.245549761</v>
      </c>
      <c r="S461" s="2">
        <f>S460*(1+((1+VLOOKUP($B461,'IPCA Hist'!$B:$C,2,0))^12 - 1)+$S$2)^(1/252)</f>
        <v>47446721.323616207</v>
      </c>
      <c r="T461" s="2">
        <f>T460*(1+((1+VLOOKUP($B461,'IPCA Hist'!$B:$C,2,0))^12 - 1)+$T$2)^(1/252)</f>
        <v>239628357.66727701</v>
      </c>
      <c r="U461" s="2">
        <f>U460*(1+((1+VLOOKUP($B461,'IPCA Hist'!$B:$C,2,0))^12 - 1)+$U$2)^(1/252)</f>
        <v>21064226.137266088</v>
      </c>
      <c r="V461" s="2">
        <f>V460*(1+((1+VLOOKUP($B461,'IPCA Hist'!$B:$C,2,0))^12 - 1)+$V$2)^(1/252)</f>
        <v>81705380.052377567</v>
      </c>
      <c r="W461" s="2">
        <f>W460*(1+((1+VLOOKUP($B461,'IPCA Hist'!$B:$C,2,0))^12 - 1)+$W$2)^(1/252)</f>
        <v>43021454.652250193</v>
      </c>
      <c r="X461" s="2">
        <f>X460*(1+((1+VLOOKUP($B461,'IPCA Hist'!$B:$C,2,0))^12 - 1)+$X$2)^(1/252)</f>
        <v>14739070.813375501</v>
      </c>
      <c r="Y461" s="2">
        <f>Y460*(1+((1+VLOOKUP($B461,'IPCA Hist'!$B:$C,2,0))^12 - 1)+$Y$2)^(1/252)</f>
        <v>120065486.69605348</v>
      </c>
      <c r="Z461" s="2">
        <f>Z460*(1+((1+VLOOKUP($B461,'IPCA Hist'!$B:$C,2,0))^12 - 1)+$Z$2)^(1/252)</f>
        <v>84413248.643289343</v>
      </c>
      <c r="AA461" s="2">
        <f>AA460*(1+((1+VLOOKUP($B461,'IPCA Hist'!$B:$C,2,0))^12 - 1)+$AA$2)^(1/252)</f>
        <v>42487877.714334965</v>
      </c>
      <c r="AB461" s="2">
        <f>AB460*(1+((1+VLOOKUP($B461,'IPCA Hist'!$B:$C,2,0))^12 - 1)+$AB$2)^(1/252)</f>
        <v>42501754.954878882</v>
      </c>
      <c r="AC461" s="2">
        <v>0</v>
      </c>
      <c r="AD461" s="2">
        <v>0</v>
      </c>
      <c r="AE461" s="2">
        <v>0</v>
      </c>
      <c r="AF461" s="2">
        <f>AF460*(1+((1+VLOOKUP($B461,'IGPM Hist'!$B:$C,2,0))^12 - 1)+$AF$2)^(1/252)</f>
        <v>1703195.7195841817</v>
      </c>
      <c r="AG461" s="2">
        <v>0</v>
      </c>
      <c r="AH461" s="2">
        <v>0</v>
      </c>
      <c r="AI461" s="2">
        <v>0</v>
      </c>
      <c r="AJ461" s="2">
        <f t="shared" ref="AJ461:AW461" si="204">AJ460*(1+AJ$2)^(1/252)</f>
        <v>54943186.571241312</v>
      </c>
      <c r="AK461" s="2">
        <f t="shared" si="204"/>
        <v>180283527.39329162</v>
      </c>
      <c r="AL461" s="2">
        <f t="shared" si="204"/>
        <v>36974301.060627311</v>
      </c>
      <c r="AM461" s="2">
        <f t="shared" si="204"/>
        <v>129446466.57831579</v>
      </c>
      <c r="AN461" s="2">
        <f t="shared" si="204"/>
        <v>55456251.185068287</v>
      </c>
      <c r="AO461" s="2">
        <f t="shared" si="204"/>
        <v>23786879.747779217</v>
      </c>
      <c r="AP461" s="2">
        <v>0</v>
      </c>
      <c r="AQ461" s="2">
        <v>0</v>
      </c>
      <c r="AR461" s="2">
        <v>0</v>
      </c>
      <c r="AS461" s="2">
        <f t="shared" si="204"/>
        <v>107921418.12575792</v>
      </c>
      <c r="AT461" s="2">
        <f t="shared" si="204"/>
        <v>5487257.6458004685</v>
      </c>
      <c r="AU461" s="2">
        <v>0</v>
      </c>
      <c r="AV461" s="2">
        <f t="shared" si="204"/>
        <v>54794044.022825785</v>
      </c>
      <c r="AW461" s="2">
        <f t="shared" si="204"/>
        <v>2835422.9507312714</v>
      </c>
      <c r="AX461" s="2">
        <v>0</v>
      </c>
      <c r="AY461" s="2">
        <v>0</v>
      </c>
      <c r="AZ461" s="2">
        <v>0</v>
      </c>
      <c r="BA461" s="2">
        <f>BA460*(1+VLOOKUP(A461,'SELIC Hist'!$A:$C,3,0)-0.01%)^(1/252)</f>
        <v>4980604.4260414373</v>
      </c>
      <c r="BB461" s="2">
        <f t="shared" si="193"/>
        <v>1885912433.907109</v>
      </c>
      <c r="BC461" s="2">
        <v>0</v>
      </c>
      <c r="BD461" s="2">
        <v>0</v>
      </c>
      <c r="BE461" s="2">
        <f t="shared" si="194"/>
        <v>845924.69768714905</v>
      </c>
      <c r="BF461" s="2">
        <f t="shared" si="195"/>
        <v>12648711.411998034</v>
      </c>
      <c r="BG461" s="2">
        <f t="shared" si="196"/>
        <v>67720957.816303015</v>
      </c>
      <c r="BH461" s="11">
        <f t="shared" si="197"/>
        <v>1.1969080390228535</v>
      </c>
      <c r="BI461" s="12">
        <f t="shared" si="198"/>
        <v>4.4875058442461757E-4</v>
      </c>
      <c r="BJ461" s="12">
        <f t="shared" si="199"/>
        <v>6.7522320856938656E-3</v>
      </c>
      <c r="BK461" s="12">
        <f t="shared" si="200"/>
        <v>3.9316165297361705E-2</v>
      </c>
      <c r="BL461" s="5">
        <f t="shared" si="201"/>
        <v>0.19690803902285348</v>
      </c>
      <c r="BM461" s="19">
        <f t="shared" si="202"/>
        <v>6.1348031048126028E-2</v>
      </c>
      <c r="BN461" s="19">
        <f t="shared" si="203"/>
        <v>0.10859831725393687</v>
      </c>
      <c r="BO461" s="19" t="s">
        <v>53</v>
      </c>
    </row>
    <row r="462" spans="1:67" x14ac:dyDescent="0.25">
      <c r="A462" s="1">
        <v>45771</v>
      </c>
      <c r="B462" s="1" t="str">
        <f t="shared" si="188"/>
        <v>202504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f>I461*(1+((1+VLOOKUP($B462,'IPCA Hist'!$B:$C,2,0))^12 - 1)+$I$2)^(1/252)</f>
        <v>216049507.33728337</v>
      </c>
      <c r="J462" s="2">
        <f>J461*(1+((1+VLOOKUP($B462,'IPCA Hist'!$B:$C,2,0))^12 - 1)+$J$2)^(1/252)</f>
        <v>137062008.09846556</v>
      </c>
      <c r="K462" s="2">
        <f>K461*(1+((1+VLOOKUP($B462,'IPCA Hist'!$B:$C,2,0))^12 - 1)+$K$2)^(1/252)</f>
        <v>20864012.242904168</v>
      </c>
      <c r="L462" s="2">
        <f>L461*(1+((1+VLOOKUP($B462,'IPCA Hist'!$B:$C,2,0))^12 - 1)+$L$2)^(1/252)</f>
        <v>12707309.321240818</v>
      </c>
      <c r="M462" s="2">
        <f>M461*(1+((1+VLOOKUP($B462,'IPCA Hist'!$B:$C,2,0))^12 - 1)+$M$2)^(1/252)</f>
        <v>10841101.224073632</v>
      </c>
      <c r="N462" s="2">
        <v>0</v>
      </c>
      <c r="O462" s="2">
        <v>0</v>
      </c>
      <c r="P462" s="2">
        <v>0</v>
      </c>
      <c r="Q462" s="2">
        <f>Q461*(1+((1+VLOOKUP($B462,'IPCA Hist'!$B:$C,2,0))^12 - 1)+$Q$2)^(1/252)</f>
        <v>46457974.790020876</v>
      </c>
      <c r="R462" s="2">
        <f>R461*(1+((1+VLOOKUP($B462,'IPCA Hist'!$B:$C,2,0))^12 - 1)+$R$2)^(1/252)</f>
        <v>46444674.489560015</v>
      </c>
      <c r="S462" s="2">
        <f>S461*(1+((1+VLOOKUP($B462,'IPCA Hist'!$B:$C,2,0))^12 - 1)+$S$2)^(1/252)</f>
        <v>47465255.843393512</v>
      </c>
      <c r="T462" s="2">
        <f>T461*(1+((1+VLOOKUP($B462,'IPCA Hist'!$B:$C,2,0))^12 - 1)+$T$2)^(1/252)</f>
        <v>239721879.53329802</v>
      </c>
      <c r="U462" s="2">
        <f>U461*(1+((1+VLOOKUP($B462,'IPCA Hist'!$B:$C,2,0))^12 - 1)+$U$2)^(1/252)</f>
        <v>21073464.033606719</v>
      </c>
      <c r="V462" s="2">
        <f>V461*(1+((1+VLOOKUP($B462,'IPCA Hist'!$B:$C,2,0))^12 - 1)+$V$2)^(1/252)</f>
        <v>81745454.34774977</v>
      </c>
      <c r="W462" s="2">
        <f>W461*(1+((1+VLOOKUP($B462,'IPCA Hist'!$B:$C,2,0))^12 - 1)+$W$2)^(1/252)</f>
        <v>43042692.829983868</v>
      </c>
      <c r="X462" s="2">
        <f>X461*(1+((1+VLOOKUP($B462,'IPCA Hist'!$B:$C,2,0))^12 - 1)+$X$2)^(1/252)</f>
        <v>14746071.943749515</v>
      </c>
      <c r="Y462" s="2">
        <f>Y461*(1+((1+VLOOKUP($B462,'IPCA Hist'!$B:$C,2,0))^12 - 1)+$Y$2)^(1/252)</f>
        <v>120125011.29617059</v>
      </c>
      <c r="Z462" s="2">
        <f>Z461*(1+((1+VLOOKUP($B462,'IPCA Hist'!$B:$C,2,0))^12 - 1)+$Z$2)^(1/252)</f>
        <v>84452663.764857933</v>
      </c>
      <c r="AA462" s="2">
        <f>AA461*(1+((1+VLOOKUP($B462,'IPCA Hist'!$B:$C,2,0))^12 - 1)+$AA$2)^(1/252)</f>
        <v>42509536.309211075</v>
      </c>
      <c r="AB462" s="2">
        <f>AB461*(1+((1+VLOOKUP($B462,'IPCA Hist'!$B:$C,2,0))^12 - 1)+$AB$2)^(1/252)</f>
        <v>42523405.782517277</v>
      </c>
      <c r="AC462" s="2">
        <v>0</v>
      </c>
      <c r="AD462" s="2">
        <v>0</v>
      </c>
      <c r="AE462" s="2">
        <v>0</v>
      </c>
      <c r="AF462" s="2">
        <f>AF461*(1+((1+VLOOKUP($B462,'IGPM Hist'!$B:$C,2,0))^12 - 1)+$AF$2)^(1/252)</f>
        <v>1703788.6401853955</v>
      </c>
      <c r="AG462" s="2">
        <v>0</v>
      </c>
      <c r="AH462" s="2">
        <v>0</v>
      </c>
      <c r="AI462" s="2">
        <v>0</v>
      </c>
      <c r="AJ462" s="2">
        <f t="shared" ref="AJ462:AW462" si="205">AJ461*(1+AJ$2)^(1/252)</f>
        <v>54968482.560657524</v>
      </c>
      <c r="AK462" s="2">
        <f t="shared" si="205"/>
        <v>180370629.6172654</v>
      </c>
      <c r="AL462" s="2">
        <f t="shared" si="205"/>
        <v>36992171.3311584</v>
      </c>
      <c r="AM462" s="2">
        <f t="shared" si="205"/>
        <v>129508995.99751638</v>
      </c>
      <c r="AN462" s="2">
        <f t="shared" si="205"/>
        <v>55483058.950607859</v>
      </c>
      <c r="AO462" s="2">
        <f t="shared" si="205"/>
        <v>23800523.333907947</v>
      </c>
      <c r="AP462" s="2">
        <v>0</v>
      </c>
      <c r="AQ462" s="2">
        <v>0</v>
      </c>
      <c r="AR462" s="2">
        <v>0</v>
      </c>
      <c r="AS462" s="2">
        <f t="shared" si="205"/>
        <v>107969500.00699575</v>
      </c>
      <c r="AT462" s="2">
        <f t="shared" si="205"/>
        <v>5490362.1343478709</v>
      </c>
      <c r="AU462" s="2">
        <v>0</v>
      </c>
      <c r="AV462" s="2">
        <f t="shared" si="205"/>
        <v>54818980.584951527</v>
      </c>
      <c r="AW462" s="2">
        <f t="shared" si="205"/>
        <v>2837006.6088321302</v>
      </c>
      <c r="AX462" s="2">
        <v>0</v>
      </c>
      <c r="AY462" s="2">
        <v>0</v>
      </c>
      <c r="AZ462" s="2">
        <v>0</v>
      </c>
      <c r="BA462" s="2">
        <f>BA461*(1+VLOOKUP(A462,'SELIC Hist'!$A:$C,3,0)-0.01%)^(1/252)</f>
        <v>4983219.0514660887</v>
      </c>
      <c r="BB462" s="2">
        <f t="shared" si="193"/>
        <v>1886758742.0059788</v>
      </c>
      <c r="BC462" s="2">
        <v>0</v>
      </c>
      <c r="BD462" s="2">
        <v>0</v>
      </c>
      <c r="BE462" s="2">
        <f t="shared" si="194"/>
        <v>846308.09886980057</v>
      </c>
      <c r="BF462" s="2">
        <f t="shared" si="195"/>
        <v>13495019.510867834</v>
      </c>
      <c r="BG462" s="2">
        <f t="shared" si="196"/>
        <v>68567265.915172815</v>
      </c>
      <c r="BH462" s="11">
        <f t="shared" si="197"/>
        <v>1.1974451546114755</v>
      </c>
      <c r="BI462" s="12">
        <f t="shared" si="198"/>
        <v>4.4875259511201193E-4</v>
      </c>
      <c r="BJ462" s="12">
        <f t="shared" si="199"/>
        <v>7.2040147624772288E-3</v>
      </c>
      <c r="BK462" s="12">
        <f t="shared" si="200"/>
        <v>3.9782561123680837E-2</v>
      </c>
      <c r="BL462" s="5">
        <f t="shared" si="201"/>
        <v>0.19744515461147549</v>
      </c>
      <c r="BM462" s="19">
        <f t="shared" si="202"/>
        <v>6.1337081179874797E-2</v>
      </c>
      <c r="BN462" s="19">
        <f t="shared" si="203"/>
        <v>0.10954626479444518</v>
      </c>
      <c r="BO462" s="19" t="s">
        <v>53</v>
      </c>
    </row>
    <row r="463" spans="1:67" x14ac:dyDescent="0.25">
      <c r="A463" s="1">
        <v>45772</v>
      </c>
      <c r="B463" s="1" t="str">
        <f t="shared" si="188"/>
        <v>202504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f>I462*(1+((1+VLOOKUP($B463,'IPCA Hist'!$B:$C,2,0))^12 - 1)+$I$2)^(1/252)</f>
        <v>216138710.32022449</v>
      </c>
      <c r="J463" s="2">
        <f>J462*(1+((1+VLOOKUP($B463,'IPCA Hist'!$B:$C,2,0))^12 - 1)+$J$2)^(1/252)</f>
        <v>137116190.47123909</v>
      </c>
      <c r="K463" s="2">
        <f>K462*(1+((1+VLOOKUP($B463,'IPCA Hist'!$B:$C,2,0))^12 - 1)+$K$2)^(1/252)</f>
        <v>20873354.940582965</v>
      </c>
      <c r="L463" s="2">
        <f>L462*(1+((1+VLOOKUP($B463,'IPCA Hist'!$B:$C,2,0))^12 - 1)+$L$2)^(1/252)</f>
        <v>12713049.527118346</v>
      </c>
      <c r="M463" s="2">
        <f>M462*(1+((1+VLOOKUP($B463,'IPCA Hist'!$B:$C,2,0))^12 - 1)+$M$2)^(1/252)</f>
        <v>10846327.104808675</v>
      </c>
      <c r="N463" s="2">
        <v>0</v>
      </c>
      <c r="O463" s="2">
        <v>0</v>
      </c>
      <c r="P463" s="2">
        <v>0</v>
      </c>
      <c r="Q463" s="2">
        <f>Q462*(1+((1+VLOOKUP($B463,'IPCA Hist'!$B:$C,2,0))^12 - 1)+$Q$2)^(1/252)</f>
        <v>46476306.832136407</v>
      </c>
      <c r="R463" s="2">
        <f>R462*(1+((1+VLOOKUP($B463,'IPCA Hist'!$B:$C,2,0))^12 - 1)+$R$2)^(1/252)</f>
        <v>46463017.975533716</v>
      </c>
      <c r="S463" s="2">
        <f>S462*(1+((1+VLOOKUP($B463,'IPCA Hist'!$B:$C,2,0))^12 - 1)+$S$2)^(1/252)</f>
        <v>47483797.603469275</v>
      </c>
      <c r="T463" s="2">
        <f>T462*(1+((1+VLOOKUP($B463,'IPCA Hist'!$B:$C,2,0))^12 - 1)+$T$2)^(1/252)</f>
        <v>239815437.89891994</v>
      </c>
      <c r="U463" s="2">
        <f>U462*(1+((1+VLOOKUP($B463,'IPCA Hist'!$B:$C,2,0))^12 - 1)+$U$2)^(1/252)</f>
        <v>21082705.981305718</v>
      </c>
      <c r="V463" s="2">
        <f>V462*(1+((1+VLOOKUP($B463,'IPCA Hist'!$B:$C,2,0))^12 - 1)+$V$2)^(1/252)</f>
        <v>81785548.298487976</v>
      </c>
      <c r="W463" s="2">
        <f>W462*(1+((1+VLOOKUP($B463,'IPCA Hist'!$B:$C,2,0))^12 - 1)+$W$2)^(1/252)</f>
        <v>43063941.492258273</v>
      </c>
      <c r="X463" s="2">
        <f>X462*(1+((1+VLOOKUP($B463,'IPCA Hist'!$B:$C,2,0))^12 - 1)+$X$2)^(1/252)</f>
        <v>14753076.399694534</v>
      </c>
      <c r="Y463" s="2">
        <f>Y462*(1+((1+VLOOKUP($B463,'IPCA Hist'!$B:$C,2,0))^12 - 1)+$Y$2)^(1/252)</f>
        <v>120184565.40666673</v>
      </c>
      <c r="Z463" s="2">
        <f>Z462*(1+((1+VLOOKUP($B463,'IPCA Hist'!$B:$C,2,0))^12 - 1)+$Z$2)^(1/252)</f>
        <v>84492097.290549487</v>
      </c>
      <c r="AA463" s="2">
        <f>AA462*(1+((1+VLOOKUP($B463,'IPCA Hist'!$B:$C,2,0))^12 - 1)+$AA$2)^(1/252)</f>
        <v>42531205.944759429</v>
      </c>
      <c r="AB463" s="2">
        <f>AB462*(1+((1+VLOOKUP($B463,'IPCA Hist'!$B:$C,2,0))^12 - 1)+$AB$2)^(1/252)</f>
        <v>42545067.639308184</v>
      </c>
      <c r="AC463" s="2">
        <v>0</v>
      </c>
      <c r="AD463" s="2">
        <v>0</v>
      </c>
      <c r="AE463" s="2">
        <v>0</v>
      </c>
      <c r="AF463" s="2">
        <f>AF462*(1+((1+VLOOKUP($B463,'IGPM Hist'!$B:$C,2,0))^12 - 1)+$AF$2)^(1/252)</f>
        <v>1704381.7671955589</v>
      </c>
      <c r="AG463" s="2">
        <v>0</v>
      </c>
      <c r="AH463" s="2">
        <v>0</v>
      </c>
      <c r="AI463" s="2">
        <v>0</v>
      </c>
      <c r="AJ463" s="2">
        <f t="shared" ref="AJ463:AW463" si="206">AJ462*(1+AJ$2)^(1/252)</f>
        <v>54993790.196414635</v>
      </c>
      <c r="AK463" s="2">
        <f t="shared" si="206"/>
        <v>180457773.92382726</v>
      </c>
      <c r="AL463" s="2">
        <f t="shared" si="206"/>
        <v>37010050.238676786</v>
      </c>
      <c r="AM463" s="2">
        <f t="shared" si="206"/>
        <v>129571555.62169953</v>
      </c>
      <c r="AN463" s="2">
        <f t="shared" si="206"/>
        <v>55509879.675124601</v>
      </c>
      <c r="AO463" s="2">
        <f t="shared" si="206"/>
        <v>23814174.745671835</v>
      </c>
      <c r="AP463" s="2">
        <v>0</v>
      </c>
      <c r="AQ463" s="2">
        <v>0</v>
      </c>
      <c r="AR463" s="2">
        <v>0</v>
      </c>
      <c r="AS463" s="2">
        <f t="shared" si="206"/>
        <v>108017603.30999902</v>
      </c>
      <c r="AT463" s="2">
        <f t="shared" si="206"/>
        <v>5493468.3793007061</v>
      </c>
      <c r="AU463" s="2">
        <v>0</v>
      </c>
      <c r="AV463" s="2">
        <f t="shared" si="206"/>
        <v>54843928.495612346</v>
      </c>
      <c r="AW463" s="2">
        <f t="shared" si="206"/>
        <v>2838591.151447583</v>
      </c>
      <c r="AX463" s="2">
        <v>0</v>
      </c>
      <c r="AY463" s="2">
        <v>0</v>
      </c>
      <c r="AZ463" s="2">
        <v>0</v>
      </c>
      <c r="BA463" s="2">
        <f>BA462*(1+VLOOKUP(A463,'SELIC Hist'!$A:$C,3,0)-0.01%)^(1/252)</f>
        <v>4985835.0494683487</v>
      </c>
      <c r="BB463" s="2">
        <f t="shared" si="193"/>
        <v>1887605433.6815012</v>
      </c>
      <c r="BC463" s="2">
        <v>0</v>
      </c>
      <c r="BD463" s="2">
        <v>0</v>
      </c>
      <c r="BE463" s="2">
        <f t="shared" si="194"/>
        <v>846691.67552232742</v>
      </c>
      <c r="BF463" s="2">
        <f t="shared" si="195"/>
        <v>14341711.186390162</v>
      </c>
      <c r="BG463" s="2">
        <f t="shared" si="196"/>
        <v>69413957.590695143</v>
      </c>
      <c r="BH463" s="11">
        <f t="shared" si="197"/>
        <v>1.1979825136398088</v>
      </c>
      <c r="BI463" s="12">
        <f t="shared" si="198"/>
        <v>4.4875460580717785E-4</v>
      </c>
      <c r="BJ463" s="12">
        <f t="shared" si="199"/>
        <v>7.6560022030893737E-3</v>
      </c>
      <c r="BK463" s="12">
        <f t="shared" si="200"/>
        <v>4.0249168337022967E-2</v>
      </c>
      <c r="BL463" s="5">
        <f t="shared" si="201"/>
        <v>0.19798251363980879</v>
      </c>
      <c r="BM463" s="19">
        <f t="shared" si="202"/>
        <v>6.1326132961399438E-2</v>
      </c>
      <c r="BN463" s="19">
        <f t="shared" si="203"/>
        <v>0.10914948805365077</v>
      </c>
      <c r="BO463" s="19" t="s">
        <v>53</v>
      </c>
    </row>
    <row r="464" spans="1:67" x14ac:dyDescent="0.25">
      <c r="A464" s="1">
        <v>45775</v>
      </c>
      <c r="B464" s="1" t="str">
        <f t="shared" si="188"/>
        <v>202504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f>I463*(1+((1+VLOOKUP($B464,'IPCA Hist'!$B:$C,2,0))^12 - 1)+$I$2)^(1/252)</f>
        <v>216227950.13348413</v>
      </c>
      <c r="J464" s="2">
        <f>J463*(1+((1+VLOOKUP($B464,'IPCA Hist'!$B:$C,2,0))^12 - 1)+$J$2)^(1/252)</f>
        <v>137170394.26300073</v>
      </c>
      <c r="K464" s="2">
        <f>K463*(1+((1+VLOOKUP($B464,'IPCA Hist'!$B:$C,2,0))^12 - 1)+$K$2)^(1/252)</f>
        <v>20882701.821829088</v>
      </c>
      <c r="L464" s="2">
        <f>L463*(1+((1+VLOOKUP($B464,'IPCA Hist'!$B:$C,2,0))^12 - 1)+$L$2)^(1/252)</f>
        <v>12718792.325988825</v>
      </c>
      <c r="M464" s="2">
        <f>M463*(1+((1+VLOOKUP($B464,'IPCA Hist'!$B:$C,2,0))^12 - 1)+$M$2)^(1/252)</f>
        <v>10851555.504644768</v>
      </c>
      <c r="N464" s="2">
        <v>0</v>
      </c>
      <c r="O464" s="2">
        <v>0</v>
      </c>
      <c r="P464" s="2">
        <v>0</v>
      </c>
      <c r="Q464" s="2">
        <f>Q463*(1+((1+VLOOKUP($B464,'IPCA Hist'!$B:$C,2,0))^12 - 1)+$Q$2)^(1/252)</f>
        <v>46494646.107967347</v>
      </c>
      <c r="R464" s="2">
        <f>R463*(1+((1+VLOOKUP($B464,'IPCA Hist'!$B:$C,2,0))^12 - 1)+$R$2)^(1/252)</f>
        <v>46481368.706331097</v>
      </c>
      <c r="S464" s="2">
        <f>S463*(1+((1+VLOOKUP($B464,'IPCA Hist'!$B:$C,2,0))^12 - 1)+$S$2)^(1/252)</f>
        <v>47502346.60667184</v>
      </c>
      <c r="T464" s="2">
        <f>T463*(1+((1+VLOOKUP($B464,'IPCA Hist'!$B:$C,2,0))^12 - 1)+$T$2)^(1/252)</f>
        <v>239909032.77838781</v>
      </c>
      <c r="U464" s="2">
        <f>U463*(1+((1+VLOOKUP($B464,'IPCA Hist'!$B:$C,2,0))^12 - 1)+$U$2)^(1/252)</f>
        <v>21091951.982139841</v>
      </c>
      <c r="V464" s="2">
        <f>V463*(1+((1+VLOOKUP($B464,'IPCA Hist'!$B:$C,2,0))^12 - 1)+$V$2)^(1/252)</f>
        <v>81825661.914232627</v>
      </c>
      <c r="W464" s="2">
        <f>W463*(1+((1+VLOOKUP($B464,'IPCA Hist'!$B:$C,2,0))^12 - 1)+$W$2)^(1/252)</f>
        <v>43085200.644249253</v>
      </c>
      <c r="X464" s="2">
        <f>X463*(1+((1+VLOOKUP($B464,'IPCA Hist'!$B:$C,2,0))^12 - 1)+$X$2)^(1/252)</f>
        <v>14760084.182790218</v>
      </c>
      <c r="Y464" s="2">
        <f>Y463*(1+((1+VLOOKUP($B464,'IPCA Hist'!$B:$C,2,0))^12 - 1)+$Y$2)^(1/252)</f>
        <v>120244149.04217216</v>
      </c>
      <c r="Z464" s="2">
        <f>Z463*(1+((1+VLOOKUP($B464,'IPCA Hist'!$B:$C,2,0))^12 - 1)+$Z$2)^(1/252)</f>
        <v>84531549.228957459</v>
      </c>
      <c r="AA464" s="2">
        <f>AA463*(1+((1+VLOOKUP($B464,'IPCA Hist'!$B:$C,2,0))^12 - 1)+$AA$2)^(1/252)</f>
        <v>42552886.626608104</v>
      </c>
      <c r="AB464" s="2">
        <f>AB463*(1+((1+VLOOKUP($B464,'IPCA Hist'!$B:$C,2,0))^12 - 1)+$AB$2)^(1/252)</f>
        <v>42566740.530869968</v>
      </c>
      <c r="AC464" s="2">
        <v>0</v>
      </c>
      <c r="AD464" s="2">
        <v>0</v>
      </c>
      <c r="AE464" s="2">
        <v>0</v>
      </c>
      <c r="AF464" s="2">
        <f>AF463*(1+((1+VLOOKUP($B464,'IGPM Hist'!$B:$C,2,0))^12 - 1)+$AF$2)^(1/252)</f>
        <v>1704975.1006865273</v>
      </c>
      <c r="AG464" s="2">
        <v>0</v>
      </c>
      <c r="AH464" s="2">
        <v>0</v>
      </c>
      <c r="AI464" s="2">
        <v>0</v>
      </c>
      <c r="AJ464" s="2">
        <f t="shared" ref="AJ464:AW464" si="207">AJ463*(1+AJ$2)^(1/252)</f>
        <v>55019109.483874641</v>
      </c>
      <c r="AK464" s="2">
        <f t="shared" si="207"/>
        <v>180544960.33330899</v>
      </c>
      <c r="AL464" s="2">
        <f t="shared" si="207"/>
        <v>37027937.787356876</v>
      </c>
      <c r="AM464" s="2">
        <f t="shared" si="207"/>
        <v>129634145.46545583</v>
      </c>
      <c r="AN464" s="2">
        <f t="shared" si="207"/>
        <v>55536713.364882939</v>
      </c>
      <c r="AO464" s="2">
        <f t="shared" si="207"/>
        <v>23827833.987559479</v>
      </c>
      <c r="AP464" s="2">
        <v>0</v>
      </c>
      <c r="AQ464" s="2">
        <v>0</v>
      </c>
      <c r="AR464" s="2">
        <v>0</v>
      </c>
      <c r="AS464" s="2">
        <f t="shared" si="207"/>
        <v>108065728.04431167</v>
      </c>
      <c r="AT464" s="2">
        <f t="shared" si="207"/>
        <v>5496576.381652684</v>
      </c>
      <c r="AU464" s="2">
        <v>0</v>
      </c>
      <c r="AV464" s="2">
        <f t="shared" si="207"/>
        <v>54868887.759972923</v>
      </c>
      <c r="AW464" s="2">
        <f t="shared" si="207"/>
        <v>2840176.5790716545</v>
      </c>
      <c r="AX464" s="2">
        <v>0</v>
      </c>
      <c r="AY464" s="2">
        <v>0</v>
      </c>
      <c r="AZ464" s="2">
        <v>0</v>
      </c>
      <c r="BA464" s="2">
        <f>BA463*(1+VLOOKUP(A464,'SELIC Hist'!$A:$C,3,0)-0.01%)^(1/252)</f>
        <v>4988452.4207687676</v>
      </c>
      <c r="BB464" s="2">
        <f t="shared" si="193"/>
        <v>1888452509.1092279</v>
      </c>
      <c r="BC464" s="2">
        <v>0</v>
      </c>
      <c r="BD464" s="2">
        <v>0</v>
      </c>
      <c r="BE464" s="2">
        <f t="shared" si="194"/>
        <v>847075.42772674561</v>
      </c>
      <c r="BF464" s="2">
        <f t="shared" si="195"/>
        <v>15188786.614116907</v>
      </c>
      <c r="BG464" s="2">
        <f t="shared" si="196"/>
        <v>70261033.018421888</v>
      </c>
      <c r="BH464" s="11">
        <f t="shared" si="197"/>
        <v>1.1985201162192691</v>
      </c>
      <c r="BI464" s="12">
        <f t="shared" si="198"/>
        <v>4.4875661651100351E-4</v>
      </c>
      <c r="BJ464" s="12">
        <f t="shared" si="199"/>
        <v>8.108194501245114E-3</v>
      </c>
      <c r="BK464" s="12">
        <f t="shared" si="200"/>
        <v>4.071598703413426E-2</v>
      </c>
      <c r="BL464" s="5">
        <f t="shared" si="201"/>
        <v>0.19852011621926913</v>
      </c>
      <c r="BM464" s="19">
        <f t="shared" si="202"/>
        <v>6.1315186392480348E-2</v>
      </c>
      <c r="BN464" s="19">
        <f t="shared" si="203"/>
        <v>0.10949644490220178</v>
      </c>
      <c r="BO464" s="19" t="s">
        <v>53</v>
      </c>
    </row>
    <row r="465" spans="1:67" x14ac:dyDescent="0.25">
      <c r="A465" s="1">
        <v>45776</v>
      </c>
      <c r="B465" s="1" t="str">
        <f t="shared" si="188"/>
        <v>202504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f>I464*(1+((1+VLOOKUP($B465,'IPCA Hist'!$B:$C,2,0))^12 - 1)+$I$2)^(1/252)</f>
        <v>216317226.79226881</v>
      </c>
      <c r="J465" s="2">
        <f>J464*(1+((1+VLOOKUP($B465,'IPCA Hist'!$B:$C,2,0))^12 - 1)+$J$2)^(1/252)</f>
        <v>137224619.48221764</v>
      </c>
      <c r="K465" s="2">
        <f>K464*(1+((1+VLOOKUP($B465,'IPCA Hist'!$B:$C,2,0))^12 - 1)+$K$2)^(1/252)</f>
        <v>20892052.888515897</v>
      </c>
      <c r="L465" s="2">
        <f>L464*(1+((1+VLOOKUP($B465,'IPCA Hist'!$B:$C,2,0))^12 - 1)+$L$2)^(1/252)</f>
        <v>12724537.719023578</v>
      </c>
      <c r="M465" s="2">
        <f>M464*(1+((1+VLOOKUP($B465,'IPCA Hist'!$B:$C,2,0))^12 - 1)+$M$2)^(1/252)</f>
        <v>10856786.424796226</v>
      </c>
      <c r="N465" s="2">
        <v>0</v>
      </c>
      <c r="O465" s="2">
        <v>0</v>
      </c>
      <c r="P465" s="2">
        <v>0</v>
      </c>
      <c r="Q465" s="2">
        <f>Q464*(1+((1+VLOOKUP($B465,'IPCA Hist'!$B:$C,2,0))^12 - 1)+$Q$2)^(1/252)</f>
        <v>46512992.620368078</v>
      </c>
      <c r="R465" s="2">
        <f>R464*(1+((1+VLOOKUP($B465,'IPCA Hist'!$B:$C,2,0))^12 - 1)+$R$2)^(1/252)</f>
        <v>46499726.684813529</v>
      </c>
      <c r="S465" s="2">
        <f>S464*(1+((1+VLOOKUP($B465,'IPCA Hist'!$B:$C,2,0))^12 - 1)+$S$2)^(1/252)</f>
        <v>47520902.855830655</v>
      </c>
      <c r="T465" s="2">
        <f>T464*(1+((1+VLOOKUP($B465,'IPCA Hist'!$B:$C,2,0))^12 - 1)+$T$2)^(1/252)</f>
        <v>240002664.18595222</v>
      </c>
      <c r="U465" s="2">
        <f>U464*(1+((1+VLOOKUP($B465,'IPCA Hist'!$B:$C,2,0))^12 - 1)+$U$2)^(1/252)</f>
        <v>21101202.037886627</v>
      </c>
      <c r="V465" s="2">
        <f>V464*(1+((1+VLOOKUP($B465,'IPCA Hist'!$B:$C,2,0))^12 - 1)+$V$2)^(1/252)</f>
        <v>81865795.20462887</v>
      </c>
      <c r="W465" s="2">
        <f>W464*(1+((1+VLOOKUP($B465,'IPCA Hist'!$B:$C,2,0))^12 - 1)+$W$2)^(1/252)</f>
        <v>43106470.291135214</v>
      </c>
      <c r="X465" s="2">
        <f>X464*(1+((1+VLOOKUP($B465,'IPCA Hist'!$B:$C,2,0))^12 - 1)+$X$2)^(1/252)</f>
        <v>14767095.29461698</v>
      </c>
      <c r="Y465" s="2">
        <f>Y464*(1+((1+VLOOKUP($B465,'IPCA Hist'!$B:$C,2,0))^12 - 1)+$Y$2)^(1/252)</f>
        <v>120303762.21732447</v>
      </c>
      <c r="Z465" s="2">
        <f>Z464*(1+((1+VLOOKUP($B465,'IPCA Hist'!$B:$C,2,0))^12 - 1)+$Z$2)^(1/252)</f>
        <v>84571019.588679314</v>
      </c>
      <c r="AA465" s="2">
        <f>AA464*(1+((1+VLOOKUP($B465,'IPCA Hist'!$B:$C,2,0))^12 - 1)+$AA$2)^(1/252)</f>
        <v>42574578.360388063</v>
      </c>
      <c r="AB465" s="2">
        <f>AB464*(1+((1+VLOOKUP($B465,'IPCA Hist'!$B:$C,2,0))^12 - 1)+$AB$2)^(1/252)</f>
        <v>42588424.462823853</v>
      </c>
      <c r="AC465" s="2">
        <v>0</v>
      </c>
      <c r="AD465" s="2">
        <v>0</v>
      </c>
      <c r="AE465" s="2">
        <v>0</v>
      </c>
      <c r="AF465" s="2">
        <f>AF464*(1+((1+VLOOKUP($B465,'IGPM Hist'!$B:$C,2,0))^12 - 1)+$AF$2)^(1/252)</f>
        <v>1705568.6407301815</v>
      </c>
      <c r="AG465" s="2">
        <v>0</v>
      </c>
      <c r="AH465" s="2">
        <v>0</v>
      </c>
      <c r="AI465" s="2">
        <v>0</v>
      </c>
      <c r="AJ465" s="2">
        <f t="shared" ref="AJ465:AW465" si="208">AJ464*(1+AJ$2)^(1/252)</f>
        <v>55044440.428402022</v>
      </c>
      <c r="AK465" s="2">
        <f t="shared" si="208"/>
        <v>180632188.86605221</v>
      </c>
      <c r="AL465" s="2">
        <f t="shared" si="208"/>
        <v>37045833.981375076</v>
      </c>
      <c r="AM465" s="2">
        <f t="shared" si="208"/>
        <v>129696765.54338291</v>
      </c>
      <c r="AN465" s="2">
        <f t="shared" si="208"/>
        <v>55563560.026150316</v>
      </c>
      <c r="AO465" s="2">
        <f t="shared" si="208"/>
        <v>23841501.064062051</v>
      </c>
      <c r="AP465" s="2">
        <v>0</v>
      </c>
      <c r="AQ465" s="2">
        <v>0</v>
      </c>
      <c r="AR465" s="2">
        <v>0</v>
      </c>
      <c r="AS465" s="2">
        <f t="shared" si="208"/>
        <v>108113874.21948195</v>
      </c>
      <c r="AT465" s="2">
        <f t="shared" si="208"/>
        <v>5499686.1423980761</v>
      </c>
      <c r="AU465" s="2">
        <v>0</v>
      </c>
      <c r="AV465" s="2">
        <f t="shared" si="208"/>
        <v>54893858.383200273</v>
      </c>
      <c r="AW465" s="2">
        <f t="shared" si="208"/>
        <v>2841762.892198645</v>
      </c>
      <c r="AX465" s="2">
        <v>0</v>
      </c>
      <c r="AY465" s="2">
        <v>0</v>
      </c>
      <c r="AZ465" s="2">
        <v>0</v>
      </c>
      <c r="BA465" s="2">
        <f>BA464*(1+VLOOKUP(A465,'SELIC Hist'!$A:$C,3,0)-0.01%)^(1/252)</f>
        <v>4991071.1660882737</v>
      </c>
      <c r="BB465" s="2">
        <f t="shared" si="193"/>
        <v>1889299968.4647913</v>
      </c>
      <c r="BC465" s="2">
        <v>0</v>
      </c>
      <c r="BD465" s="2">
        <v>0</v>
      </c>
      <c r="BE465" s="2">
        <f t="shared" si="194"/>
        <v>847459.35556340218</v>
      </c>
      <c r="BF465" s="2">
        <f t="shared" si="195"/>
        <v>16036245.969680309</v>
      </c>
      <c r="BG465" s="2">
        <f t="shared" si="196"/>
        <v>71108492.373985291</v>
      </c>
      <c r="BH465" s="11">
        <f t="shared" si="197"/>
        <v>1.1990579624613227</v>
      </c>
      <c r="BI465" s="12">
        <f t="shared" si="198"/>
        <v>4.4875862722282278E-4</v>
      </c>
      <c r="BJ465" s="12">
        <f t="shared" si="199"/>
        <v>8.5605917507016738E-3</v>
      </c>
      <c r="BK465" s="12">
        <f t="shared" si="200"/>
        <v>4.1183017311804626E-2</v>
      </c>
      <c r="BL465" s="5">
        <f t="shared" si="201"/>
        <v>0.19905796246132268</v>
      </c>
      <c r="BM465" s="19">
        <f t="shared" si="202"/>
        <v>6.130424147289526E-2</v>
      </c>
      <c r="BN465" s="19">
        <f t="shared" si="203"/>
        <v>0.10915442068131243</v>
      </c>
      <c r="BO465" s="19" t="s">
        <v>53</v>
      </c>
    </row>
    <row r="466" spans="1:67" x14ac:dyDescent="0.25">
      <c r="A466" s="1">
        <v>45777</v>
      </c>
      <c r="B466" s="1" t="str">
        <f t="shared" si="188"/>
        <v>202504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f>I465*(1+((1+VLOOKUP($B466,'IPCA Hist'!$B:$C,2,0))^12 - 1)+$I$2)^(1/252)</f>
        <v>216406540.31179145</v>
      </c>
      <c r="J466" s="2">
        <f>J465*(1+((1+VLOOKUP($B466,'IPCA Hist'!$B:$C,2,0))^12 - 1)+$J$2)^(1/252)</f>
        <v>137278866.13736039</v>
      </c>
      <c r="K466" s="2">
        <f>K465*(1+((1+VLOOKUP($B466,'IPCA Hist'!$B:$C,2,0))^12 - 1)+$K$2)^(1/252)</f>
        <v>20901408.142517593</v>
      </c>
      <c r="L466" s="2">
        <f>L465*(1+((1+VLOOKUP($B466,'IPCA Hist'!$B:$C,2,0))^12 - 1)+$L$2)^(1/252)</f>
        <v>12730285.707394449</v>
      </c>
      <c r="M466" s="2">
        <f>M465*(1+((1+VLOOKUP($B466,'IPCA Hist'!$B:$C,2,0))^12 - 1)+$M$2)^(1/252)</f>
        <v>10862019.866477948</v>
      </c>
      <c r="N466" s="2">
        <v>0</v>
      </c>
      <c r="O466" s="2">
        <v>0</v>
      </c>
      <c r="P466" s="2">
        <v>0</v>
      </c>
      <c r="Q466" s="2">
        <f>Q465*(1+((1+VLOOKUP($B466,'IPCA Hist'!$B:$C,2,0))^12 - 1)+$Q$2)^(1/252)</f>
        <v>46531346.372194111</v>
      </c>
      <c r="R466" s="2">
        <f>R465*(1+((1+VLOOKUP($B466,'IPCA Hist'!$B:$C,2,0))^12 - 1)+$R$2)^(1/252)</f>
        <v>46518091.913843513</v>
      </c>
      <c r="S466" s="2">
        <f>S465*(1+((1+VLOOKUP($B466,'IPCA Hist'!$B:$C,2,0))^12 - 1)+$S$2)^(1/252)</f>
        <v>47539466.353776261</v>
      </c>
      <c r="T466" s="2">
        <f>T465*(1+((1+VLOOKUP($B466,'IPCA Hist'!$B:$C,2,0))^12 - 1)+$T$2)^(1/252)</f>
        <v>240096332.13586926</v>
      </c>
      <c r="U466" s="2">
        <f>U465*(1+((1+VLOOKUP($B466,'IPCA Hist'!$B:$C,2,0))^12 - 1)+$U$2)^(1/252)</f>
        <v>21110456.150324389</v>
      </c>
      <c r="V466" s="2">
        <f>V465*(1+((1+VLOOKUP($B466,'IPCA Hist'!$B:$C,2,0))^12 - 1)+$V$2)^(1/252)</f>
        <v>81905948.179326594</v>
      </c>
      <c r="W466" s="2">
        <f>W465*(1+((1+VLOOKUP($B466,'IPCA Hist'!$B:$C,2,0))^12 - 1)+$W$2)^(1/252)</f>
        <v>43127750.438097112</v>
      </c>
      <c r="X466" s="2">
        <f>X465*(1+((1+VLOOKUP($B466,'IPCA Hist'!$B:$C,2,0))^12 - 1)+$X$2)^(1/252)</f>
        <v>14774109.736755986</v>
      </c>
      <c r="Y466" s="2">
        <f>Y465*(1+((1+VLOOKUP($B466,'IPCA Hist'!$B:$C,2,0))^12 - 1)+$Y$2)^(1/252)</f>
        <v>120363404.94676843</v>
      </c>
      <c r="Z466" s="2">
        <f>Z465*(1+((1+VLOOKUP($B466,'IPCA Hist'!$B:$C,2,0))^12 - 1)+$Z$2)^(1/252)</f>
        <v>84610508.378316507</v>
      </c>
      <c r="AA466" s="2">
        <f>AA465*(1+((1+VLOOKUP($B466,'IPCA Hist'!$B:$C,2,0))^12 - 1)+$AA$2)^(1/252)</f>
        <v>42596281.15173313</v>
      </c>
      <c r="AB466" s="2">
        <f>AB465*(1+((1+VLOOKUP($B466,'IPCA Hist'!$B:$C,2,0))^12 - 1)+$AB$2)^(1/252)</f>
        <v>42610119.440793924</v>
      </c>
      <c r="AC466" s="2">
        <v>0</v>
      </c>
      <c r="AD466" s="2">
        <v>0</v>
      </c>
      <c r="AE466" s="2">
        <v>0</v>
      </c>
      <c r="AF466" s="2">
        <f>AF465*(1+((1+VLOOKUP($B466,'IGPM Hist'!$B:$C,2,0))^12 - 1)+$AF$2)^(1/252)</f>
        <v>1706162.3873984271</v>
      </c>
      <c r="AG466" s="2">
        <v>0</v>
      </c>
      <c r="AH466" s="2">
        <v>0</v>
      </c>
      <c r="AI466" s="2">
        <v>0</v>
      </c>
      <c r="AJ466" s="2">
        <f t="shared" ref="AJ466:AW467" si="209">AJ465*(1+AJ$2)^(1/252)</f>
        <v>55069783.035363719</v>
      </c>
      <c r="AK466" s="2">
        <f t="shared" si="209"/>
        <v>180719459.54240838</v>
      </c>
      <c r="AL466" s="2">
        <f t="shared" si="209"/>
        <v>37063738.824909814</v>
      </c>
      <c r="AM466" s="2">
        <f t="shared" si="209"/>
        <v>129759415.87008546</v>
      </c>
      <c r="AN466" s="2">
        <f t="shared" si="209"/>
        <v>55590419.665197209</v>
      </c>
      <c r="AO466" s="2">
        <f t="shared" si="209"/>
        <v>23855175.9796733</v>
      </c>
      <c r="AP466" s="2">
        <v>0</v>
      </c>
      <c r="AQ466" s="2">
        <v>0</v>
      </c>
      <c r="AR466" s="2">
        <v>0</v>
      </c>
      <c r="AS466" s="2">
        <f t="shared" si="209"/>
        <v>108162041.84506232</v>
      </c>
      <c r="AT466" s="2">
        <f t="shared" si="209"/>
        <v>5502797.6625317167</v>
      </c>
      <c r="AU466" s="2">
        <v>0</v>
      </c>
      <c r="AV466" s="2">
        <f t="shared" si="209"/>
        <v>54918840.370463781</v>
      </c>
      <c r="AW466" s="2">
        <f t="shared" si="209"/>
        <v>2843350.0913231317</v>
      </c>
      <c r="AX466" s="2">
        <v>0</v>
      </c>
      <c r="AY466" s="2">
        <v>0</v>
      </c>
      <c r="AZ466" s="2">
        <v>0</v>
      </c>
      <c r="BA466" s="2">
        <v>4712545.82</v>
      </c>
      <c r="BB466" s="2">
        <f t="shared" si="193"/>
        <v>1889866666.4577584</v>
      </c>
      <c r="BC466" s="2">
        <v>0</v>
      </c>
      <c r="BD466" s="2">
        <v>0</v>
      </c>
      <c r="BE466" s="2">
        <f t="shared" si="194"/>
        <v>566697.99296712875</v>
      </c>
      <c r="BF466" s="2">
        <f t="shared" si="195"/>
        <v>16602943.962647438</v>
      </c>
      <c r="BG466" s="2">
        <f t="shared" si="196"/>
        <v>71675190.366952419</v>
      </c>
      <c r="BH466" s="11">
        <f t="shared" si="197"/>
        <v>1.1994176214631329</v>
      </c>
      <c r="BI466" s="12">
        <f t="shared" si="198"/>
        <v>2.9995130600024567E-4</v>
      </c>
      <c r="BJ466" s="12">
        <f t="shared" si="199"/>
        <v>8.8631108173777839E-3</v>
      </c>
      <c r="BK466" s="12">
        <f t="shared" si="200"/>
        <v>4.1495321517632577E-2</v>
      </c>
      <c r="BL466" s="5">
        <f t="shared" si="201"/>
        <v>0.19941762146313291</v>
      </c>
      <c r="BM466" s="19">
        <f t="shared" si="202"/>
        <v>6.1135438696854782E-2</v>
      </c>
      <c r="BN466" s="19">
        <f t="shared" si="203"/>
        <v>0.10895516372421854</v>
      </c>
      <c r="BO466" s="19" t="s">
        <v>53</v>
      </c>
    </row>
    <row r="467" spans="1:67" x14ac:dyDescent="0.25">
      <c r="A467" s="1">
        <v>45779</v>
      </c>
      <c r="B467" s="1" t="str">
        <f t="shared" ref="B467:B468" si="210">_xlfn.CONCAT(TEXT(YEAR(A467),"0000"),TEXT(MONTH(A467),"00"))</f>
        <v>202505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f>I466*(1+((1+VLOOKUP($B467,'IPCA Hist'!$B:$C,2,0))^12 - 1)+$I$2)^(1/252)</f>
        <v>216479328.28671598</v>
      </c>
      <c r="J467" s="2">
        <f>J466*(1+((1+VLOOKUP($B467,'IPCA Hist'!$B:$C,2,0))^12 - 1)+$J$2)^(1/252)</f>
        <v>137322580.89173356</v>
      </c>
      <c r="K467" s="2">
        <f>K466*(1+((1+VLOOKUP($B467,'IPCA Hist'!$B:$C,2,0))^12 - 1)+$K$2)^(1/252)</f>
        <v>20909182.00399081</v>
      </c>
      <c r="L467" s="2">
        <f>L466*(1+((1+VLOOKUP($B467,'IPCA Hist'!$B:$C,2,0))^12 - 1)+$L$2)^(1/252)</f>
        <v>12735071.534250455</v>
      </c>
      <c r="M467" s="2">
        <f>M466*(1+((1+VLOOKUP($B467,'IPCA Hist'!$B:$C,2,0))^12 - 1)+$M$2)^(1/252)</f>
        <v>10866438.955529394</v>
      </c>
      <c r="N467" s="2">
        <v>0</v>
      </c>
      <c r="O467" s="2">
        <v>0</v>
      </c>
      <c r="P467" s="2">
        <v>0</v>
      </c>
      <c r="Q467" s="2">
        <f>Q466*(1+((1+VLOOKUP($B467,'IPCA Hist'!$B:$C,2,0))^12 - 1)+$Q$2)^(1/252)</f>
        <v>46546129.606654637</v>
      </c>
      <c r="R467" s="2">
        <f>R466*(1+((1+VLOOKUP($B467,'IPCA Hist'!$B:$C,2,0))^12 - 1)+$R$2)^(1/252)</f>
        <v>46532887.981416814</v>
      </c>
      <c r="S467" s="2">
        <f>S466*(1+((1+VLOOKUP($B467,'IPCA Hist'!$B:$C,2,0))^12 - 1)+$S$2)^(1/252)</f>
        <v>47554378.16525498</v>
      </c>
      <c r="T467" s="2">
        <f>T466*(1+((1+VLOOKUP($B467,'IPCA Hist'!$B:$C,2,0))^12 - 1)+$T$2)^(1/252)</f>
        <v>240171555.62522444</v>
      </c>
      <c r="U467" s="2">
        <f>U466*(1+((1+VLOOKUP($B467,'IPCA Hist'!$B:$C,2,0))^12 - 1)+$U$2)^(1/252)</f>
        <v>21118109.131957028</v>
      </c>
      <c r="V467" s="2">
        <f>V466*(1+((1+VLOOKUP($B467,'IPCA Hist'!$B:$C,2,0))^12 - 1)+$V$2)^(1/252)</f>
        <v>81939974.269367009</v>
      </c>
      <c r="W467" s="2">
        <f>W466*(1+((1+VLOOKUP($B467,'IPCA Hist'!$B:$C,2,0))^12 - 1)+$W$2)^(1/252)</f>
        <v>43145807.211405426</v>
      </c>
      <c r="X467" s="2">
        <f>X466*(1+((1+VLOOKUP($B467,'IPCA Hist'!$B:$C,2,0))^12 - 1)+$X$2)^(1/252)</f>
        <v>14780014.44526319</v>
      </c>
      <c r="Y467" s="2">
        <f>Y466*(1+((1+VLOOKUP($B467,'IPCA Hist'!$B:$C,2,0))^12 - 1)+$Y$2)^(1/252)</f>
        <v>120414056.75559629</v>
      </c>
      <c r="Z467" s="2">
        <f>Z466*(1+((1+VLOOKUP($B467,'IPCA Hist'!$B:$C,2,0))^12 - 1)+$Z$2)^(1/252)</f>
        <v>84643628.092265278</v>
      </c>
      <c r="AA467" s="2">
        <f>AA466*(1+((1+VLOOKUP($B467,'IPCA Hist'!$B:$C,2,0))^12 - 1)+$AA$2)^(1/252)</f>
        <v>42614813.971301526</v>
      </c>
      <c r="AB467" s="2">
        <f>AB466*(1+((1+VLOOKUP($B467,'IPCA Hist'!$B:$C,2,0))^12 - 1)+$AB$2)^(1/252)</f>
        <v>42628643.120594762</v>
      </c>
      <c r="AC467" s="2">
        <v>0</v>
      </c>
      <c r="AD467" s="2">
        <v>0</v>
      </c>
      <c r="AE467" s="2">
        <v>0</v>
      </c>
      <c r="AF467" s="2">
        <f>AF466*(1+((1+VLOOKUP($B467,'IGPM Hist'!$B:$C,2,0))^12 - 1)+$AF$2)^(1/252)</f>
        <v>1706197.8335072533</v>
      </c>
      <c r="AG467" s="2">
        <v>0</v>
      </c>
      <c r="AH467" s="2">
        <v>0</v>
      </c>
      <c r="AI467" s="2">
        <v>0</v>
      </c>
      <c r="AJ467" s="2">
        <f t="shared" si="209"/>
        <v>55095137.310129151</v>
      </c>
      <c r="AK467" s="2">
        <f t="shared" si="209"/>
        <v>180806772.38273874</v>
      </c>
      <c r="AL467" s="2">
        <f t="shared" si="209"/>
        <v>37081652.322141543</v>
      </c>
      <c r="AM467" s="2">
        <f t="shared" si="209"/>
        <v>129822096.46017523</v>
      </c>
      <c r="AN467" s="2">
        <f t="shared" si="209"/>
        <v>55617292.288297132</v>
      </c>
      <c r="AO467" s="2">
        <f t="shared" si="209"/>
        <v>23868858.738889549</v>
      </c>
      <c r="AP467" s="2">
        <v>0</v>
      </c>
      <c r="AQ467" s="2">
        <v>0</v>
      </c>
      <c r="AR467" s="2">
        <v>0</v>
      </c>
      <c r="AS467" s="2">
        <f t="shared" si="209"/>
        <v>108210230.93060951</v>
      </c>
      <c r="AT467" s="2">
        <f t="shared" si="209"/>
        <v>5505910.9430490034</v>
      </c>
      <c r="AU467" s="2">
        <v>0</v>
      </c>
      <c r="AV467" s="2">
        <f t="shared" si="209"/>
        <v>54943833.726935178</v>
      </c>
      <c r="AW467" s="2">
        <f t="shared" si="209"/>
        <v>2844938.1769399671</v>
      </c>
      <c r="AX467" s="2">
        <v>0</v>
      </c>
      <c r="AY467" s="2">
        <v>0</v>
      </c>
      <c r="AZ467" s="2">
        <v>0</v>
      </c>
      <c r="BA467" s="2">
        <f>BA466*(1+VLOOKUP(A467,'SELIC Hist'!$A:$C,3,0)-0.01%)^(1/252)</f>
        <v>4715019.7249845807</v>
      </c>
      <c r="BB467" s="2">
        <f t="shared" ref="BB467:BB468" si="211">SUM(C467:BA467)</f>
        <v>1890620540.8869185</v>
      </c>
      <c r="BC467" s="2">
        <v>0</v>
      </c>
      <c r="BD467" s="2">
        <v>0</v>
      </c>
      <c r="BE467" s="2">
        <f t="shared" ref="BE467:BE468" si="212">BB467-BB466-BC467+BD467</f>
        <v>753874.4291601181</v>
      </c>
      <c r="BF467" s="2">
        <f t="shared" ref="BF467:BF468" si="213">IF(MONTH(A467)=MONTH(A466),BE467+BF466,BE467)</f>
        <v>753874.4291601181</v>
      </c>
      <c r="BG467" s="2">
        <f t="shared" ref="BG467:BG468" si="214">IF(YEAR(A467)=YEAR(A466),BE467+BG466,BE467)</f>
        <v>72429064.796112537</v>
      </c>
      <c r="BH467" s="11">
        <f t="shared" ref="BH467:BH468" si="215">(1+(BB467-BB466-BC467+BD467)/BB466)*BH466</f>
        <v>1.1998960733511701</v>
      </c>
      <c r="BI467" s="12">
        <f t="shared" ref="BI467:BI468" si="216">BH467/BH466 - 1</f>
        <v>3.9890350072857572E-4</v>
      </c>
      <c r="BJ467" s="12">
        <f t="shared" ref="BJ467:BJ468" si="217">IF(MONTH(A467)=MONTH(A466),(1+BI467)*(1+BJ466) - 1,BI467)</f>
        <v>3.9890350072857572E-4</v>
      </c>
      <c r="BK467" s="12">
        <f t="shared" ref="BK467:BK468" si="218">IF(YEAR(A467)=YEAR(A466),(1+BI467)*(1+BK466) - 1,BI467)</f>
        <v>4.1910777647378383E-2</v>
      </c>
      <c r="BL467" s="5">
        <f t="shared" ref="BL467:BL468" si="219">(1+BI467)*(1+BL466) - 1</f>
        <v>0.1998960733511701</v>
      </c>
      <c r="BM467" s="19">
        <f t="shared" ref="BM467:BM468" si="220">BH467/BH341 - 1</f>
        <v>6.1071615671321799E-2</v>
      </c>
      <c r="BN467" s="19">
        <f t="shared" ref="BN467:BN468" si="221">BH467/BH215 - 1</f>
        <v>0.10888115130994724</v>
      </c>
      <c r="BO467" s="19" t="s">
        <v>53</v>
      </c>
    </row>
    <row r="468" spans="1:67" x14ac:dyDescent="0.25">
      <c r="A468" s="1">
        <v>45782</v>
      </c>
      <c r="B468" s="1" t="str">
        <f t="shared" si="210"/>
        <v>202505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f>I467*(1+((1+VLOOKUP($B468,'IPCA Hist'!$B:$C,2,0))^12 - 1)+$I$2)^(1/252)</f>
        <v>216552140.74375314</v>
      </c>
      <c r="J468" s="2">
        <f>J467*(1+((1+VLOOKUP($B468,'IPCA Hist'!$B:$C,2,0))^12 - 1)+$J$2)^(1/252)</f>
        <v>137366309.56652874</v>
      </c>
      <c r="K468" s="2">
        <f>K467*(1+((1+VLOOKUP($B468,'IPCA Hist'!$B:$C,2,0))^12 - 1)+$K$2)^(1/252)</f>
        <v>20916958.756796602</v>
      </c>
      <c r="L468" s="2">
        <f>L467*(1+((1+VLOOKUP($B468,'IPCA Hist'!$B:$C,2,0))^12 - 1)+$L$2)^(1/252)</f>
        <v>12739859.16029143</v>
      </c>
      <c r="M468" s="2">
        <f>M467*(1+((1+VLOOKUP($B468,'IPCA Hist'!$B:$C,2,0))^12 - 1)+$M$2)^(1/252)</f>
        <v>10870859.842436882</v>
      </c>
      <c r="N468" s="2">
        <v>0</v>
      </c>
      <c r="O468" s="2">
        <v>0</v>
      </c>
      <c r="P468" s="2">
        <v>0</v>
      </c>
      <c r="Q468" s="2">
        <f>Q467*(1+((1+VLOOKUP($B468,'IPCA Hist'!$B:$C,2,0))^12 - 1)+$Q$2)^(1/252)</f>
        <v>46560917.537820466</v>
      </c>
      <c r="R468" s="2">
        <f>R467*(1+((1+VLOOKUP($B468,'IPCA Hist'!$B:$C,2,0))^12 - 1)+$R$2)^(1/252)</f>
        <v>46547688.7551938</v>
      </c>
      <c r="S468" s="2">
        <f>S467*(1+((1+VLOOKUP($B468,'IPCA Hist'!$B:$C,2,0))^12 - 1)+$S$2)^(1/252)</f>
        <v>47569294.654155187</v>
      </c>
      <c r="T468" s="2">
        <f>T467*(1+((1+VLOOKUP($B468,'IPCA Hist'!$B:$C,2,0))^12 - 1)+$T$2)^(1/252)</f>
        <v>240246802.6825088</v>
      </c>
      <c r="U468" s="2">
        <f>U467*(1+((1+VLOOKUP($B468,'IPCA Hist'!$B:$C,2,0))^12 - 1)+$U$2)^(1/252)</f>
        <v>21125764.887955483</v>
      </c>
      <c r="V468" s="2">
        <f>V467*(1+((1+VLOOKUP($B468,'IPCA Hist'!$B:$C,2,0))^12 - 1)+$V$2)^(1/252)</f>
        <v>81974014.494825304</v>
      </c>
      <c r="W468" s="2">
        <f>W467*(1+((1+VLOOKUP($B468,'IPCA Hist'!$B:$C,2,0))^12 - 1)+$W$2)^(1/252)</f>
        <v>43163871.544743165</v>
      </c>
      <c r="X468" s="2">
        <f>X467*(1+((1+VLOOKUP($B468,'IPCA Hist'!$B:$C,2,0))^12 - 1)+$X$2)^(1/252)</f>
        <v>14785921.513681291</v>
      </c>
      <c r="Y468" s="2">
        <f>Y467*(1+((1+VLOOKUP($B468,'IPCA Hist'!$B:$C,2,0))^12 - 1)+$Y$2)^(1/252)</f>
        <v>120464729.87992066</v>
      </c>
      <c r="Z468" s="2">
        <f>Z467*(1+((1+VLOOKUP($B468,'IPCA Hist'!$B:$C,2,0))^12 - 1)+$Z$2)^(1/252)</f>
        <v>84676760.77050741</v>
      </c>
      <c r="AA468" s="2">
        <f>AA467*(1+((1+VLOOKUP($B468,'IPCA Hist'!$B:$C,2,0))^12 - 1)+$AA$2)^(1/252)</f>
        <v>42633354.854141921</v>
      </c>
      <c r="AB468" s="2">
        <f>AB467*(1+((1+VLOOKUP($B468,'IPCA Hist'!$B:$C,2,0))^12 - 1)+$AB$2)^(1/252)</f>
        <v>42647174.853100404</v>
      </c>
      <c r="AC468" s="2">
        <v>0</v>
      </c>
      <c r="AD468" s="2">
        <v>0</v>
      </c>
      <c r="AE468" s="2">
        <v>0</v>
      </c>
      <c r="AF468" s="2">
        <f>AF467*(1+((1+VLOOKUP($B468,'IGPM Hist'!$B:$C,2,0))^12 - 1)+$AF$2)^(1/252)</f>
        <v>1706233.2803524847</v>
      </c>
      <c r="AG468" s="2">
        <v>0</v>
      </c>
      <c r="AH468" s="2">
        <v>0</v>
      </c>
      <c r="AI468" s="2">
        <v>0</v>
      </c>
      <c r="AJ468" s="2">
        <f t="shared" ref="AJ468:AW468" si="222">AJ467*(1+AJ$2)^(1/252)</f>
        <v>55120503.258070208</v>
      </c>
      <c r="AK468" s="2">
        <f t="shared" si="222"/>
        <v>180894127.40741441</v>
      </c>
      <c r="AL468" s="2">
        <f t="shared" si="222"/>
        <v>37099574.477252729</v>
      </c>
      <c r="AM468" s="2">
        <f t="shared" si="222"/>
        <v>129884807.32827102</v>
      </c>
      <c r="AN468" s="2">
        <f t="shared" si="222"/>
        <v>55644177.901726618</v>
      </c>
      <c r="AO468" s="2">
        <f t="shared" si="222"/>
        <v>23882549.346209701</v>
      </c>
      <c r="AP468" s="2">
        <v>0</v>
      </c>
      <c r="AQ468" s="2">
        <v>0</v>
      </c>
      <c r="AR468" s="2">
        <v>0</v>
      </c>
      <c r="AS468" s="2">
        <f t="shared" si="222"/>
        <v>108258441.48568451</v>
      </c>
      <c r="AT468" s="2">
        <f t="shared" si="222"/>
        <v>5509025.9849458961</v>
      </c>
      <c r="AU468" s="2">
        <v>0</v>
      </c>
      <c r="AV468" s="2">
        <f t="shared" si="222"/>
        <v>54968838.457788542</v>
      </c>
      <c r="AW468" s="2">
        <f t="shared" si="222"/>
        <v>2846527.1495442805</v>
      </c>
      <c r="AX468" s="2">
        <v>0</v>
      </c>
      <c r="AY468" s="2">
        <v>0</v>
      </c>
      <c r="AZ468" s="2">
        <v>0</v>
      </c>
      <c r="BA468" s="2">
        <f>BA467*(1+VLOOKUP(A468,'SELIC Hist'!$A:$C,3,0)-0.01%)^(1/252)</f>
        <v>4717494.9286739603</v>
      </c>
      <c r="BB468" s="2">
        <f t="shared" si="211"/>
        <v>1891374725.5042953</v>
      </c>
      <c r="BC468" s="2">
        <v>0</v>
      </c>
      <c r="BD468" s="2">
        <v>0</v>
      </c>
      <c r="BE468" s="2">
        <f t="shared" si="212"/>
        <v>754184.61737680435</v>
      </c>
      <c r="BF468" s="2">
        <f t="shared" si="213"/>
        <v>1508059.0465369225</v>
      </c>
      <c r="BG468" s="2">
        <f t="shared" si="214"/>
        <v>73183249.413489342</v>
      </c>
      <c r="BH468" s="11">
        <f t="shared" si="215"/>
        <v>1.2003747221024146</v>
      </c>
      <c r="BI468" s="12">
        <f t="shared" si="216"/>
        <v>3.9890850705726066E-4</v>
      </c>
      <c r="BJ468" s="12">
        <f t="shared" si="217"/>
        <v>7.9797113378576867E-4</v>
      </c>
      <c r="BK468" s="12">
        <f t="shared" si="218"/>
        <v>4.2326404720176569E-2</v>
      </c>
      <c r="BL468" s="5">
        <f t="shared" si="219"/>
        <v>0.20037472210241458</v>
      </c>
      <c r="BM468" s="19">
        <f t="shared" si="220"/>
        <v>6.1007801197155764E-2</v>
      </c>
      <c r="BN468" s="19">
        <f t="shared" si="221"/>
        <v>0.10929530857569314</v>
      </c>
      <c r="BO468" s="19" t="s">
        <v>53</v>
      </c>
    </row>
    <row r="469" spans="1:67" x14ac:dyDescent="0.25">
      <c r="A469" s="1">
        <v>45783</v>
      </c>
      <c r="B469" s="1" t="str">
        <f t="shared" ref="B469:B534" si="223">_xlfn.CONCAT(TEXT(YEAR(A469),"0000"),TEXT(MONTH(A469),"00"))</f>
        <v>202505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f>I468*(1+((1+VLOOKUP($B469,'IPCA Hist'!$B:$C,2,0))^12 - 1)+$I$2)^(1/252)</f>
        <v>216624977.69113743</v>
      </c>
      <c r="J469" s="2">
        <f>J468*(1+((1+VLOOKUP($B469,'IPCA Hist'!$B:$C,2,0))^12 - 1)+$J$2)^(1/252)</f>
        <v>137410052.1661787</v>
      </c>
      <c r="K469" s="2">
        <f>K468*(1+((1+VLOOKUP($B469,'IPCA Hist'!$B:$C,2,0))^12 - 1)+$K$2)^(1/252)</f>
        <v>20924738.40201034</v>
      </c>
      <c r="L469" s="2">
        <f>L468*(1+((1+VLOOKUP($B469,'IPCA Hist'!$B:$C,2,0))^12 - 1)+$L$2)^(1/252)</f>
        <v>12744648.586193759</v>
      </c>
      <c r="M469" s="2">
        <f>M468*(1+((1+VLOOKUP($B469,'IPCA Hist'!$B:$C,2,0))^12 - 1)+$M$2)^(1/252)</f>
        <v>10875282.52793185</v>
      </c>
      <c r="N469" s="2">
        <v>0</v>
      </c>
      <c r="O469" s="2">
        <v>0</v>
      </c>
      <c r="P469" s="2">
        <v>0</v>
      </c>
      <c r="Q469" s="2">
        <f>Q468*(1+((1+VLOOKUP($B469,'IPCA Hist'!$B:$C,2,0))^12 - 1)+$Q$2)^(1/252)</f>
        <v>46575710.167183757</v>
      </c>
      <c r="R469" s="2">
        <f>R468*(1+((1+VLOOKUP($B469,'IPCA Hist'!$B:$C,2,0))^12 - 1)+$R$2)^(1/252)</f>
        <v>46562494.236671381</v>
      </c>
      <c r="S469" s="2">
        <f>S468*(1+((1+VLOOKUP($B469,'IPCA Hist'!$B:$C,2,0))^12 - 1)+$S$2)^(1/252)</f>
        <v>47584215.821944065</v>
      </c>
      <c r="T469" s="2">
        <f>T468*(1+((1+VLOOKUP($B469,'IPCA Hist'!$B:$C,2,0))^12 - 1)+$T$2)^(1/252)</f>
        <v>240322073.31510627</v>
      </c>
      <c r="U469" s="2">
        <f>U468*(1+((1+VLOOKUP($B469,'IPCA Hist'!$B:$C,2,0))^12 - 1)+$U$2)^(1/252)</f>
        <v>21133423.419325516</v>
      </c>
      <c r="V469" s="2">
        <f>V468*(1+((1+VLOOKUP($B469,'IPCA Hist'!$B:$C,2,0))^12 - 1)+$V$2)^(1/252)</f>
        <v>82008068.861573726</v>
      </c>
      <c r="W469" s="2">
        <f>W468*(1+((1+VLOOKUP($B469,'IPCA Hist'!$B:$C,2,0))^12 - 1)+$W$2)^(1/252)</f>
        <v>43181943.441275567</v>
      </c>
      <c r="X469" s="2">
        <f>X468*(1+((1+VLOOKUP($B469,'IPCA Hist'!$B:$C,2,0))^12 - 1)+$X$2)^(1/252)</f>
        <v>14791830.942953464</v>
      </c>
      <c r="Y469" s="2">
        <f>Y468*(1+((1+VLOOKUP($B469,'IPCA Hist'!$B:$C,2,0))^12 - 1)+$Y$2)^(1/252)</f>
        <v>120515424.32871161</v>
      </c>
      <c r="Z469" s="2">
        <f>Z468*(1+((1+VLOOKUP($B469,'IPCA Hist'!$B:$C,2,0))^12 - 1)+$Z$2)^(1/252)</f>
        <v>84709906.418117613</v>
      </c>
      <c r="AA469" s="2">
        <f>AA468*(1+((1+VLOOKUP($B469,'IPCA Hist'!$B:$C,2,0))^12 - 1)+$AA$2)^(1/252)</f>
        <v>42651903.803762488</v>
      </c>
      <c r="AB469" s="2">
        <f>AB468*(1+((1+VLOOKUP($B469,'IPCA Hist'!$B:$C,2,0))^12 - 1)+$AB$2)^(1/252)</f>
        <v>42665714.641811557</v>
      </c>
      <c r="AC469" s="2">
        <v>0</v>
      </c>
      <c r="AD469" s="2">
        <v>0</v>
      </c>
      <c r="AE469" s="2">
        <v>0</v>
      </c>
      <c r="AF469" s="2">
        <f>AF468*(1+((1+VLOOKUP($B469,'IGPM Hist'!$B:$C,2,0))^12 - 1)+$AF$2)^(1/252)</f>
        <v>1706268.7279341363</v>
      </c>
      <c r="AG469" s="2">
        <v>0</v>
      </c>
      <c r="AH469" s="2">
        <v>0</v>
      </c>
      <c r="AI469" s="2">
        <v>0</v>
      </c>
      <c r="AJ469" s="2">
        <f t="shared" ref="AJ469:AW469" si="224">AJ468*(1+AJ$2)^(1/252)</f>
        <v>55145880.884561248</v>
      </c>
      <c r="AK469" s="2">
        <f t="shared" si="224"/>
        <v>180981524.63681635</v>
      </c>
      <c r="AL469" s="2">
        <f t="shared" si="224"/>
        <v>37117505.294427872</v>
      </c>
      <c r="AM469" s="2">
        <f t="shared" si="224"/>
        <v>129947548.48899867</v>
      </c>
      <c r="AN469" s="2">
        <f t="shared" si="224"/>
        <v>55671076.511765249</v>
      </c>
      <c r="AO469" s="2">
        <f t="shared" si="224"/>
        <v>23896247.806135245</v>
      </c>
      <c r="AP469" s="2">
        <v>0</v>
      </c>
      <c r="AQ469" s="2">
        <v>0</v>
      </c>
      <c r="AR469" s="2">
        <v>0</v>
      </c>
      <c r="AS469" s="2">
        <f t="shared" si="224"/>
        <v>108306673.51985259</v>
      </c>
      <c r="AT469" s="2">
        <f t="shared" si="224"/>
        <v>5512142.7892189184</v>
      </c>
      <c r="AU469" s="2">
        <v>0</v>
      </c>
      <c r="AV469" s="2">
        <f t="shared" si="224"/>
        <v>54993854.568200313</v>
      </c>
      <c r="AW469" s="2">
        <f t="shared" si="224"/>
        <v>2848117.0096314773</v>
      </c>
      <c r="AX469" s="2">
        <v>0</v>
      </c>
      <c r="AY469" s="2">
        <v>0</v>
      </c>
      <c r="AZ469" s="2">
        <v>0</v>
      </c>
      <c r="BA469" s="2">
        <f>BA468*(1+VLOOKUP(A469,'SELIC Hist'!$A:$C,3,0)-0.01%)^(1/252)</f>
        <v>4719971.4317499092</v>
      </c>
      <c r="BB469" s="2">
        <f t="shared" ref="BB469:BB475" si="225">SUM(C469:BA469)</f>
        <v>1892129220.4411807</v>
      </c>
      <c r="BC469" s="2">
        <v>0</v>
      </c>
      <c r="BD469" s="2">
        <v>0</v>
      </c>
      <c r="BE469" s="2">
        <f t="shared" ref="BE469:BE475" si="226">BB469-BB468-BC469+BD469</f>
        <v>754494.9368853569</v>
      </c>
      <c r="BF469" s="2">
        <f t="shared" ref="BF469:BF475" si="227">IF(MONTH(A469)=MONTH(A468),BE469+BF468,BE469)</f>
        <v>2262553.9834222794</v>
      </c>
      <c r="BG469" s="2">
        <f t="shared" ref="BG469:BG475" si="228">IF(YEAR(A469)=YEAR(A468),BE469+BG468,BE469)</f>
        <v>73937744.350374699</v>
      </c>
      <c r="BH469" s="11">
        <f t="shared" ref="BH469:BH475" si="229">(1+(BB469-BB468-BC469+BD469)/BB468)*BH468</f>
        <v>1.2008535678001913</v>
      </c>
      <c r="BI469" s="12">
        <f t="shared" ref="BI469:BI475" si="230">BH469/BH468 - 1</f>
        <v>3.9891351338861014E-4</v>
      </c>
      <c r="BJ469" s="12">
        <f t="shared" ref="BJ469:BJ475" si="231">IF(MONTH(A469)=MONTH(A468),(1+BI469)*(1+BJ468) - 1,BI469)</f>
        <v>1.1972029686428964E-3</v>
      </c>
      <c r="BK469" s="12">
        <f t="shared" ref="BK469:BK475" si="232">IF(YEAR(A469)=YEAR(A468),(1+BI469)*(1+BK468) - 1,BI469)</f>
        <v>4.2742202808381258E-2</v>
      </c>
      <c r="BL469" s="5">
        <f t="shared" ref="BL469:BL475" si="233">(1+BI469)*(1+BL468) - 1</f>
        <v>0.20085356780019126</v>
      </c>
      <c r="BM469" s="19">
        <f t="shared" ref="BM469:BM475" si="234">BH469/BH343 - 1</f>
        <v>6.0943995273096796E-2</v>
      </c>
      <c r="BN469" s="19">
        <f t="shared" ref="BN469:BN475" si="235">BH469/BH217 - 1</f>
        <v>0.10875286421774355</v>
      </c>
      <c r="BO469" s="19" t="s">
        <v>53</v>
      </c>
    </row>
    <row r="470" spans="1:67" x14ac:dyDescent="0.25">
      <c r="A470" s="1">
        <v>45784</v>
      </c>
      <c r="B470" s="1" t="str">
        <f t="shared" si="223"/>
        <v>202505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f>I469*(1+((1+VLOOKUP($B470,'IPCA Hist'!$B:$C,2,0))^12 - 1)+$I$2)^(1/252)</f>
        <v>216697839.13710618</v>
      </c>
      <c r="J470" s="2">
        <f>J469*(1+((1+VLOOKUP($B470,'IPCA Hist'!$B:$C,2,0))^12 - 1)+$J$2)^(1/252)</f>
        <v>137453808.69511765</v>
      </c>
      <c r="K470" s="2">
        <f>K469*(1+((1+VLOOKUP($B470,'IPCA Hist'!$B:$C,2,0))^12 - 1)+$K$2)^(1/252)</f>
        <v>20932520.940707799</v>
      </c>
      <c r="L470" s="2">
        <f>L469*(1+((1+VLOOKUP($B470,'IPCA Hist'!$B:$C,2,0))^12 - 1)+$L$2)^(1/252)</f>
        <v>12749439.812634084</v>
      </c>
      <c r="M470" s="2">
        <f>M469*(1+((1+VLOOKUP($B470,'IPCA Hist'!$B:$C,2,0))^12 - 1)+$M$2)^(1/252)</f>
        <v>10879707.012746032</v>
      </c>
      <c r="N470" s="2">
        <v>0</v>
      </c>
      <c r="O470" s="2">
        <v>0</v>
      </c>
      <c r="P470" s="2">
        <v>0</v>
      </c>
      <c r="Q470" s="2">
        <f>Q469*(1+((1+VLOOKUP($B470,'IPCA Hist'!$B:$C,2,0))^12 - 1)+$Q$2)^(1/252)</f>
        <v>46590507.496237159</v>
      </c>
      <c r="R470" s="2">
        <f>R469*(1+((1+VLOOKUP($B470,'IPCA Hist'!$B:$C,2,0))^12 - 1)+$R$2)^(1/252)</f>
        <v>46577304.427346937</v>
      </c>
      <c r="S470" s="2">
        <f>S469*(1+((1+VLOOKUP($B470,'IPCA Hist'!$B:$C,2,0))^12 - 1)+$S$2)^(1/252)</f>
        <v>47599141.670089245</v>
      </c>
      <c r="T470" s="2">
        <f>T469*(1+((1+VLOOKUP($B470,'IPCA Hist'!$B:$C,2,0))^12 - 1)+$T$2)^(1/252)</f>
        <v>240397367.53040317</v>
      </c>
      <c r="U470" s="2">
        <f>U469*(1+((1+VLOOKUP($B470,'IPCA Hist'!$B:$C,2,0))^12 - 1)+$U$2)^(1/252)</f>
        <v>21141084.72707326</v>
      </c>
      <c r="V470" s="2">
        <f>V469*(1+((1+VLOOKUP($B470,'IPCA Hist'!$B:$C,2,0))^12 - 1)+$V$2)^(1/252)</f>
        <v>82042137.37548697</v>
      </c>
      <c r="W470" s="2">
        <f>W469*(1+((1+VLOOKUP($B470,'IPCA Hist'!$B:$C,2,0))^12 - 1)+$W$2)^(1/252)</f>
        <v>43200022.904169202</v>
      </c>
      <c r="X470" s="2">
        <f>X469*(1+((1+VLOOKUP($B470,'IPCA Hist'!$B:$C,2,0))^12 - 1)+$X$2)^(1/252)</f>
        <v>14797742.734023262</v>
      </c>
      <c r="Y470" s="2">
        <f>Y469*(1+((1+VLOOKUP($B470,'IPCA Hist'!$B:$C,2,0))^12 - 1)+$Y$2)^(1/252)</f>
        <v>120566140.11094299</v>
      </c>
      <c r="Z470" s="2">
        <f>Z469*(1+((1+VLOOKUP($B470,'IPCA Hist'!$B:$C,2,0))^12 - 1)+$Z$2)^(1/252)</f>
        <v>84743065.040172577</v>
      </c>
      <c r="AA470" s="2">
        <f>AA469*(1+((1+VLOOKUP($B470,'IPCA Hist'!$B:$C,2,0))^12 - 1)+$AA$2)^(1/252)</f>
        <v>42670460.823672935</v>
      </c>
      <c r="AB470" s="2">
        <f>AB469*(1+((1+VLOOKUP($B470,'IPCA Hist'!$B:$C,2,0))^12 - 1)+$AB$2)^(1/252)</f>
        <v>42684262.490230456</v>
      </c>
      <c r="AC470" s="2">
        <v>0</v>
      </c>
      <c r="AD470" s="2">
        <v>0</v>
      </c>
      <c r="AE470" s="2">
        <v>0</v>
      </c>
      <c r="AF470" s="2">
        <f>AF469*(1+((1+VLOOKUP($B470,'IGPM Hist'!$B:$C,2,0))^12 - 1)+$AF$2)^(1/252)</f>
        <v>1706304.1762522236</v>
      </c>
      <c r="AG470" s="2">
        <v>0</v>
      </c>
      <c r="AH470" s="2">
        <v>0</v>
      </c>
      <c r="AI470" s="2">
        <v>0</v>
      </c>
      <c r="AJ470" s="2">
        <f t="shared" ref="AJ470:AW470" si="236">AJ469*(1+AJ$2)^(1/252)</f>
        <v>55171270.194979109</v>
      </c>
      <c r="AK470" s="2">
        <f t="shared" si="236"/>
        <v>181068964.09133536</v>
      </c>
      <c r="AL470" s="2">
        <f t="shared" si="236"/>
        <v>37135444.777853474</v>
      </c>
      <c r="AM470" s="2">
        <f t="shared" si="236"/>
        <v>130010319.95699112</v>
      </c>
      <c r="AN470" s="2">
        <f t="shared" si="236"/>
        <v>55697988.124695636</v>
      </c>
      <c r="AO470" s="2">
        <f t="shared" si="236"/>
        <v>23909954.123170245</v>
      </c>
      <c r="AP470" s="2">
        <v>0</v>
      </c>
      <c r="AQ470" s="2">
        <v>0</v>
      </c>
      <c r="AR470" s="2">
        <v>0</v>
      </c>
      <c r="AS470" s="2">
        <f t="shared" si="236"/>
        <v>108354927.04268324</v>
      </c>
      <c r="AT470" s="2">
        <f t="shared" si="236"/>
        <v>5515261.3568651583</v>
      </c>
      <c r="AU470" s="2">
        <v>0</v>
      </c>
      <c r="AV470" s="2">
        <f t="shared" si="236"/>
        <v>55018882.063349284</v>
      </c>
      <c r="AW470" s="2">
        <f t="shared" si="236"/>
        <v>2849707.7576972404</v>
      </c>
      <c r="AX470" s="2">
        <v>0</v>
      </c>
      <c r="AY470" s="2">
        <v>0</v>
      </c>
      <c r="AZ470" s="2">
        <v>0</v>
      </c>
      <c r="BA470" s="2">
        <f>BA469*(1+VLOOKUP(A470,'SELIC Hist'!$A:$C,3,0)-0.01%)^(1/252)</f>
        <v>4722449.2348945551</v>
      </c>
      <c r="BB470" s="2">
        <f t="shared" si="225"/>
        <v>1892884025.8289263</v>
      </c>
      <c r="BC470" s="2">
        <v>0</v>
      </c>
      <c r="BD470" s="2">
        <v>0</v>
      </c>
      <c r="BE470" s="2">
        <f t="shared" si="226"/>
        <v>754805.38774561882</v>
      </c>
      <c r="BF470" s="2">
        <f t="shared" si="227"/>
        <v>3017359.3711678982</v>
      </c>
      <c r="BG470" s="2">
        <f t="shared" si="228"/>
        <v>74692549.738120317</v>
      </c>
      <c r="BH470" s="11">
        <f t="shared" si="229"/>
        <v>1.2013326105278639</v>
      </c>
      <c r="BI470" s="12">
        <f t="shared" si="230"/>
        <v>3.9891851972440051E-4</v>
      </c>
      <c r="BJ470" s="12">
        <f t="shared" si="231"/>
        <v>1.596599074803251E-3</v>
      </c>
      <c r="BK470" s="12">
        <f t="shared" si="232"/>
        <v>4.3158171984379656E-2</v>
      </c>
      <c r="BL470" s="5">
        <f t="shared" si="233"/>
        <v>0.20133261052786389</v>
      </c>
      <c r="BM470" s="19">
        <f t="shared" si="234"/>
        <v>6.0880197897887012E-2</v>
      </c>
      <c r="BN470" s="19">
        <f t="shared" si="235"/>
        <v>0.10897558550413433</v>
      </c>
      <c r="BO470" s="19" t="s">
        <v>53</v>
      </c>
    </row>
    <row r="471" spans="1:67" x14ac:dyDescent="0.25">
      <c r="A471" s="1">
        <v>45785</v>
      </c>
      <c r="B471" s="1" t="str">
        <f t="shared" si="223"/>
        <v>202505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f>I470*(1+((1+VLOOKUP($B471,'IPCA Hist'!$B:$C,2,0))^12 - 1)+$I$2)^(1/252)</f>
        <v>216770725.08989942</v>
      </c>
      <c r="J471" s="2">
        <f>J470*(1+((1+VLOOKUP($B471,'IPCA Hist'!$B:$C,2,0))^12 - 1)+$J$2)^(1/252)</f>
        <v>137497579.15778121</v>
      </c>
      <c r="K471" s="2">
        <f>K470*(1+((1+VLOOKUP($B471,'IPCA Hist'!$B:$C,2,0))^12 - 1)+$K$2)^(1/252)</f>
        <v>20940306.373965155</v>
      </c>
      <c r="L471" s="2">
        <f>L470*(1+((1+VLOOKUP($B471,'IPCA Hist'!$B:$C,2,0))^12 - 1)+$L$2)^(1/252)</f>
        <v>12754232.8402893</v>
      </c>
      <c r="M471" s="2">
        <f>M470*(1+((1+VLOOKUP($B471,'IPCA Hist'!$B:$C,2,0))^12 - 1)+$M$2)^(1/252)</f>
        <v>10884133.29761146</v>
      </c>
      <c r="N471" s="2">
        <v>0</v>
      </c>
      <c r="O471" s="2">
        <v>0</v>
      </c>
      <c r="P471" s="2">
        <v>0</v>
      </c>
      <c r="Q471" s="2">
        <f>Q470*(1+((1+VLOOKUP($B471,'IPCA Hist'!$B:$C,2,0))^12 - 1)+$Q$2)^(1/252)</f>
        <v>46605309.526473776</v>
      </c>
      <c r="R471" s="2">
        <f>R470*(1+((1+VLOOKUP($B471,'IPCA Hist'!$B:$C,2,0))^12 - 1)+$R$2)^(1/252)</f>
        <v>46592119.328718334</v>
      </c>
      <c r="S471" s="2">
        <f>S470*(1+((1+VLOOKUP($B471,'IPCA Hist'!$B:$C,2,0))^12 - 1)+$S$2)^(1/252)</f>
        <v>47614072.200058825</v>
      </c>
      <c r="T471" s="2">
        <f>T470*(1+((1+VLOOKUP($B471,'IPCA Hist'!$B:$C,2,0))^12 - 1)+$T$2)^(1/252)</f>
        <v>240472685.33578807</v>
      </c>
      <c r="U471" s="2">
        <f>U470*(1+((1+VLOOKUP($B471,'IPCA Hist'!$B:$C,2,0))^12 - 1)+$U$2)^(1/252)</f>
        <v>21148748.81220521</v>
      </c>
      <c r="V471" s="2">
        <f>V470*(1+((1+VLOOKUP($B471,'IPCA Hist'!$B:$C,2,0))^12 - 1)+$V$2)^(1/252)</f>
        <v>82076220.042442188</v>
      </c>
      <c r="W471" s="2">
        <f>W470*(1+((1+VLOOKUP($B471,'IPCA Hist'!$B:$C,2,0))^12 - 1)+$W$2)^(1/252)</f>
        <v>43218109.93659196</v>
      </c>
      <c r="X471" s="2">
        <f>X470*(1+((1+VLOOKUP($B471,'IPCA Hist'!$B:$C,2,0))^12 - 1)+$X$2)^(1/252)</f>
        <v>14803656.887834616</v>
      </c>
      <c r="Y471" s="2">
        <f>Y470*(1+((1+VLOOKUP($B471,'IPCA Hist'!$B:$C,2,0))^12 - 1)+$Y$2)^(1/252)</f>
        <v>120616877.23559241</v>
      </c>
      <c r="Z471" s="2">
        <f>Z470*(1+((1+VLOOKUP($B471,'IPCA Hist'!$B:$C,2,0))^12 - 1)+$Z$2)^(1/252)</f>
        <v>84776236.641750991</v>
      </c>
      <c r="AA471" s="2">
        <f>AA470*(1+((1+VLOOKUP($B471,'IPCA Hist'!$B:$C,2,0))^12 - 1)+$AA$2)^(1/252)</f>
        <v>42689025.917384483</v>
      </c>
      <c r="AB471" s="2">
        <f>AB470*(1+((1+VLOOKUP($B471,'IPCA Hist'!$B:$C,2,0))^12 - 1)+$AB$2)^(1/252)</f>
        <v>42702818.401860856</v>
      </c>
      <c r="AC471" s="2">
        <v>0</v>
      </c>
      <c r="AD471" s="2">
        <v>0</v>
      </c>
      <c r="AE471" s="2">
        <v>0</v>
      </c>
      <c r="AF471" s="2">
        <f>AF470*(1+((1+VLOOKUP($B471,'IGPM Hist'!$B:$C,2,0))^12 - 1)+$AF$2)^(1/252)</f>
        <v>1706339.6253067618</v>
      </c>
      <c r="AG471" s="2">
        <v>0</v>
      </c>
      <c r="AH471" s="2">
        <v>0</v>
      </c>
      <c r="AI471" s="2">
        <v>0</v>
      </c>
      <c r="AJ471" s="2">
        <f t="shared" ref="AJ471:AW471" si="237">AJ470*(1+AJ$2)^(1/252)</f>
        <v>55196671.194703102</v>
      </c>
      <c r="AK471" s="2">
        <f t="shared" si="237"/>
        <v>181156445.79137209</v>
      </c>
      <c r="AL471" s="2">
        <f t="shared" si="237"/>
        <v>37153392.931718081</v>
      </c>
      <c r="AM471" s="2">
        <f t="shared" si="237"/>
        <v>130073121.74688837</v>
      </c>
      <c r="AN471" s="2">
        <f t="shared" si="237"/>
        <v>55724912.746803425</v>
      </c>
      <c r="AO471" s="2">
        <f t="shared" si="237"/>
        <v>23923668.301821355</v>
      </c>
      <c r="AP471" s="2">
        <v>0</v>
      </c>
      <c r="AQ471" s="2">
        <v>0</v>
      </c>
      <c r="AR471" s="2">
        <v>0</v>
      </c>
      <c r="AS471" s="2">
        <f t="shared" si="237"/>
        <v>108403202.06375024</v>
      </c>
      <c r="AT471" s="2">
        <f t="shared" si="237"/>
        <v>5518381.6888822671</v>
      </c>
      <c r="AU471" s="2">
        <v>0</v>
      </c>
      <c r="AV471" s="2">
        <f t="shared" si="237"/>
        <v>55043920.948416613</v>
      </c>
      <c r="AW471" s="2">
        <f t="shared" si="237"/>
        <v>2851299.394237529</v>
      </c>
      <c r="AX471" s="2">
        <v>0</v>
      </c>
      <c r="AY471" s="2">
        <v>0</v>
      </c>
      <c r="AZ471" s="2">
        <v>0</v>
      </c>
      <c r="BA471" s="2">
        <f>BA470*(1+VLOOKUP(A471,'SELIC Hist'!$A:$C,3,0)-0.01%)^(1/252)</f>
        <v>4725010.2948533865</v>
      </c>
      <c r="BB471" s="2">
        <f t="shared" si="225"/>
        <v>1893639223.7550023</v>
      </c>
      <c r="BC471" s="2">
        <v>0</v>
      </c>
      <c r="BD471" s="2">
        <v>0</v>
      </c>
      <c r="BE471" s="2">
        <f t="shared" si="226"/>
        <v>755197.92607593536</v>
      </c>
      <c r="BF471" s="2">
        <f t="shared" si="227"/>
        <v>3772557.2972438335</v>
      </c>
      <c r="BG471" s="2">
        <f t="shared" si="228"/>
        <v>75447747.664196253</v>
      </c>
      <c r="BH471" s="11">
        <f t="shared" si="229"/>
        <v>1.2018119023828422</v>
      </c>
      <c r="BI471" s="12">
        <f t="shared" si="230"/>
        <v>3.9896682299134234E-4</v>
      </c>
      <c r="BJ471" s="12">
        <f t="shared" si="231"/>
        <v>1.9962028878550697E-3</v>
      </c>
      <c r="BK471" s="12">
        <f t="shared" si="232"/>
        <v>4.3574357486133808E-2</v>
      </c>
      <c r="BL471" s="5">
        <f t="shared" si="233"/>
        <v>0.20181190238284219</v>
      </c>
      <c r="BM471" s="19">
        <f t="shared" si="234"/>
        <v>6.0816454982043577E-2</v>
      </c>
      <c r="BN471" s="19">
        <f t="shared" si="235"/>
        <v>0.10886721755729711</v>
      </c>
      <c r="BO471" s="19" t="s">
        <v>53</v>
      </c>
    </row>
    <row r="472" spans="1:67" x14ac:dyDescent="0.25">
      <c r="A472" s="1">
        <v>45786</v>
      </c>
      <c r="B472" s="1" t="str">
        <f t="shared" si="223"/>
        <v>202505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f>I471*(1+((1+VLOOKUP($B472,'IPCA Hist'!$B:$C,2,0))^12 - 1)+$I$2)^(1/252)</f>
        <v>216843635.55775997</v>
      </c>
      <c r="J472" s="2">
        <f>J471*(1+((1+VLOOKUP($B472,'IPCA Hist'!$B:$C,2,0))^12 - 1)+$J$2)^(1/252)</f>
        <v>137541363.55860642</v>
      </c>
      <c r="K472" s="2">
        <f>K471*(1+((1+VLOOKUP($B472,'IPCA Hist'!$B:$C,2,0))^12 - 1)+$K$2)^(1/252)</f>
        <v>20948094.702858977</v>
      </c>
      <c r="L472" s="2">
        <f>L471*(1+((1+VLOOKUP($B472,'IPCA Hist'!$B:$C,2,0))^12 - 1)+$L$2)^(1/252)</f>
        <v>12759027.669836555</v>
      </c>
      <c r="M472" s="2">
        <f>M471*(1+((1+VLOOKUP($B472,'IPCA Hist'!$B:$C,2,0))^12 - 1)+$M$2)^(1/252)</f>
        <v>10888561.383260466</v>
      </c>
      <c r="N472" s="2">
        <v>0</v>
      </c>
      <c r="O472" s="2">
        <v>0</v>
      </c>
      <c r="P472" s="2">
        <v>0</v>
      </c>
      <c r="Q472" s="2">
        <f>Q471*(1+((1+VLOOKUP($B472,'IPCA Hist'!$B:$C,2,0))^12 - 1)+$Q$2)^(1/252)</f>
        <v>46620116.259387203</v>
      </c>
      <c r="R472" s="2">
        <f>R471*(1+((1+VLOOKUP($B472,'IPCA Hist'!$B:$C,2,0))^12 - 1)+$R$2)^(1/252)</f>
        <v>46606938.942283906</v>
      </c>
      <c r="S472" s="2">
        <f>S471*(1+((1+VLOOKUP($B472,'IPCA Hist'!$B:$C,2,0))^12 - 1)+$S$2)^(1/252)</f>
        <v>47629007.413321368</v>
      </c>
      <c r="T472" s="2">
        <f>T471*(1+((1+VLOOKUP($B472,'IPCA Hist'!$B:$C,2,0))^12 - 1)+$T$2)^(1/252)</f>
        <v>240548026.73865187</v>
      </c>
      <c r="U472" s="2">
        <f>U471*(1+((1+VLOOKUP($B472,'IPCA Hist'!$B:$C,2,0))^12 - 1)+$U$2)^(1/252)</f>
        <v>21156415.675728224</v>
      </c>
      <c r="V472" s="2">
        <f>V471*(1+((1+VLOOKUP($B472,'IPCA Hist'!$B:$C,2,0))^12 - 1)+$V$2)^(1/252)</f>
        <v>82110316.868318945</v>
      </c>
      <c r="W472" s="2">
        <f>W471*(1+((1+VLOOKUP($B472,'IPCA Hist'!$B:$C,2,0))^12 - 1)+$W$2)^(1/252)</f>
        <v>43236204.541713066</v>
      </c>
      <c r="X472" s="2">
        <f>X471*(1+((1+VLOOKUP($B472,'IPCA Hist'!$B:$C,2,0))^12 - 1)+$X$2)^(1/252)</f>
        <v>14809573.405331833</v>
      </c>
      <c r="Y472" s="2">
        <f>Y471*(1+((1+VLOOKUP($B472,'IPCA Hist'!$B:$C,2,0))^12 - 1)+$Y$2)^(1/252)</f>
        <v>120667635.71164128</v>
      </c>
      <c r="Z472" s="2">
        <f>Z471*(1+((1+VLOOKUP($B472,'IPCA Hist'!$B:$C,2,0))^12 - 1)+$Z$2)^(1/252)</f>
        <v>84809421.227933526</v>
      </c>
      <c r="AA472" s="2">
        <f>AA471*(1+((1+VLOOKUP($B472,'IPCA Hist'!$B:$C,2,0))^12 - 1)+$AA$2)^(1/252)</f>
        <v>42707599.088409886</v>
      </c>
      <c r="AB472" s="2">
        <f>AB471*(1+((1+VLOOKUP($B472,'IPCA Hist'!$B:$C,2,0))^12 - 1)+$AB$2)^(1/252)</f>
        <v>42721382.38020803</v>
      </c>
      <c r="AC472" s="2">
        <v>0</v>
      </c>
      <c r="AD472" s="2">
        <v>0</v>
      </c>
      <c r="AE472" s="2">
        <v>0</v>
      </c>
      <c r="AF472" s="2">
        <f>AF471*(1+((1+VLOOKUP($B472,'IGPM Hist'!$B:$C,2,0))^12 - 1)+$AF$2)^(1/252)</f>
        <v>1706375.0750977662</v>
      </c>
      <c r="AG472" s="2">
        <v>0</v>
      </c>
      <c r="AH472" s="2">
        <v>0</v>
      </c>
      <c r="AI472" s="2">
        <v>0</v>
      </c>
      <c r="AJ472" s="2">
        <f t="shared" ref="AJ472:AW472" si="238">AJ471*(1+AJ$2)^(1/252)</f>
        <v>55222083.889115013</v>
      </c>
      <c r="AK472" s="2">
        <f t="shared" si="238"/>
        <v>181243969.75733706</v>
      </c>
      <c r="AL472" s="2">
        <f t="shared" si="238"/>
        <v>37171349.76021225</v>
      </c>
      <c r="AM472" s="2">
        <f t="shared" si="238"/>
        <v>130135953.87333749</v>
      </c>
      <c r="AN472" s="2">
        <f t="shared" si="238"/>
        <v>55751850.384377301</v>
      </c>
      <c r="AO472" s="2">
        <f t="shared" si="238"/>
        <v>23937390.346597806</v>
      </c>
      <c r="AP472" s="2">
        <v>0</v>
      </c>
      <c r="AQ472" s="2">
        <v>0</v>
      </c>
      <c r="AR472" s="2">
        <v>0</v>
      </c>
      <c r="AS472" s="2">
        <f t="shared" si="238"/>
        <v>108451498.59263162</v>
      </c>
      <c r="AT472" s="2">
        <f t="shared" si="238"/>
        <v>5521503.7862684615</v>
      </c>
      <c r="AU472" s="2">
        <v>0</v>
      </c>
      <c r="AV472" s="2">
        <f t="shared" si="238"/>
        <v>55068971.228585802</v>
      </c>
      <c r="AW472" s="2">
        <f t="shared" si="238"/>
        <v>2852891.9197485796</v>
      </c>
      <c r="AX472" s="2">
        <v>0</v>
      </c>
      <c r="AY472" s="2">
        <v>0</v>
      </c>
      <c r="AZ472" s="2">
        <v>0</v>
      </c>
      <c r="BA472" s="2">
        <f>BA471*(1+VLOOKUP(A472,'SELIC Hist'!$A:$C,3,0)-0.01%)^(1/252)</f>
        <v>4727572.7437161077</v>
      </c>
      <c r="BB472" s="2">
        <f t="shared" si="225"/>
        <v>1894394732.4822769</v>
      </c>
      <c r="BC472" s="2">
        <v>0</v>
      </c>
      <c r="BD472" s="2">
        <v>0</v>
      </c>
      <c r="BE472" s="2">
        <f t="shared" si="226"/>
        <v>755508.7272746563</v>
      </c>
      <c r="BF472" s="2">
        <f t="shared" si="227"/>
        <v>4528066.0245184898</v>
      </c>
      <c r="BG472" s="2">
        <f t="shared" si="228"/>
        <v>76203256.391470909</v>
      </c>
      <c r="BH472" s="11">
        <f t="shared" si="229"/>
        <v>1.202291391490061</v>
      </c>
      <c r="BI472" s="12">
        <f t="shared" si="230"/>
        <v>3.9897184099113581E-4</v>
      </c>
      <c r="BJ472" s="12">
        <f t="shared" si="231"/>
        <v>2.3959711575873843E-3</v>
      </c>
      <c r="BK472" s="12">
        <f t="shared" si="232"/>
        <v>4.399071426875123E-2</v>
      </c>
      <c r="BL472" s="5">
        <f t="shared" si="233"/>
        <v>0.20229139149006103</v>
      </c>
      <c r="BM472" s="19">
        <f t="shared" si="234"/>
        <v>6.0816045978744793E-2</v>
      </c>
      <c r="BN472" s="19">
        <f t="shared" si="235"/>
        <v>0.10892811748225606</v>
      </c>
      <c r="BO472" s="19" t="s">
        <v>53</v>
      </c>
    </row>
    <row r="473" spans="1:67" x14ac:dyDescent="0.25">
      <c r="A473" s="1">
        <v>45789</v>
      </c>
      <c r="B473" s="1" t="str">
        <f t="shared" si="223"/>
        <v>202505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f>I472*(1+((1+VLOOKUP($B473,'IPCA Hist'!$B:$C,2,0))^12 - 1)+$I$2)^(1/252)</f>
        <v>216916570.54893345</v>
      </c>
      <c r="J473" s="2">
        <f>J472*(1+((1+VLOOKUP($B473,'IPCA Hist'!$B:$C,2,0))^12 - 1)+$J$2)^(1/252)</f>
        <v>137585161.90203166</v>
      </c>
      <c r="K473" s="2">
        <f>K472*(1+((1+VLOOKUP($B473,'IPCA Hist'!$B:$C,2,0))^12 - 1)+$K$2)^(1/252)</f>
        <v>20955885.928466242</v>
      </c>
      <c r="L473" s="2">
        <f>L472*(1+((1+VLOOKUP($B473,'IPCA Hist'!$B:$C,2,0))^12 - 1)+$L$2)^(1/252)</f>
        <v>12763824.301953252</v>
      </c>
      <c r="M473" s="2">
        <f>M472*(1+((1+VLOOKUP($B473,'IPCA Hist'!$B:$C,2,0))^12 - 1)+$M$2)^(1/252)</f>
        <v>10892991.270425677</v>
      </c>
      <c r="N473" s="2">
        <v>0</v>
      </c>
      <c r="O473" s="2">
        <v>0</v>
      </c>
      <c r="P473" s="2">
        <v>0</v>
      </c>
      <c r="Q473" s="2">
        <f>Q472*(1+((1+VLOOKUP($B473,'IPCA Hist'!$B:$C,2,0))^12 - 1)+$Q$2)^(1/252)</f>
        <v>46634927.696471505</v>
      </c>
      <c r="R473" s="2">
        <f>R472*(1+((1+VLOOKUP($B473,'IPCA Hist'!$B:$C,2,0))^12 - 1)+$R$2)^(1/252)</f>
        <v>46621763.269542471</v>
      </c>
      <c r="S473" s="2">
        <f>S472*(1+((1+VLOOKUP($B473,'IPCA Hist'!$B:$C,2,0))^12 - 1)+$S$2)^(1/252)</f>
        <v>47643947.311345898</v>
      </c>
      <c r="T473" s="2">
        <f>T472*(1+((1+VLOOKUP($B473,'IPCA Hist'!$B:$C,2,0))^12 - 1)+$T$2)^(1/252)</f>
        <v>240623391.74638778</v>
      </c>
      <c r="U473" s="2">
        <f>U472*(1+((1+VLOOKUP($B473,'IPCA Hist'!$B:$C,2,0))^12 - 1)+$U$2)^(1/252)</f>
        <v>21164085.318649527</v>
      </c>
      <c r="V473" s="2">
        <f>V472*(1+((1+VLOOKUP($B473,'IPCA Hist'!$B:$C,2,0))^12 - 1)+$V$2)^(1/252)</f>
        <v>82144427.858999282</v>
      </c>
      <c r="W473" s="2">
        <f>W472*(1+((1+VLOOKUP($B473,'IPCA Hist'!$B:$C,2,0))^12 - 1)+$W$2)^(1/252)</f>
        <v>43254306.722703055</v>
      </c>
      <c r="X473" s="2">
        <f>X472*(1+((1+VLOOKUP($B473,'IPCA Hist'!$B:$C,2,0))^12 - 1)+$X$2)^(1/252)</f>
        <v>14815492.287459599</v>
      </c>
      <c r="Y473" s="2">
        <f>Y472*(1+((1+VLOOKUP($B473,'IPCA Hist'!$B:$C,2,0))^12 - 1)+$Y$2)^(1/252)</f>
        <v>120718415.54807478</v>
      </c>
      <c r="Z473" s="2">
        <f>Z472*(1+((1+VLOOKUP($B473,'IPCA Hist'!$B:$C,2,0))^12 - 1)+$Z$2)^(1/252)</f>
        <v>84842618.803802833</v>
      </c>
      <c r="AA473" s="2">
        <f>AA472*(1+((1+VLOOKUP($B473,'IPCA Hist'!$B:$C,2,0))^12 - 1)+$AA$2)^(1/252)</f>
        <v>42726180.340263434</v>
      </c>
      <c r="AB473" s="2">
        <f>AB472*(1+((1+VLOOKUP($B473,'IPCA Hist'!$B:$C,2,0))^12 - 1)+$AB$2)^(1/252)</f>
        <v>42739954.42877879</v>
      </c>
      <c r="AC473" s="2">
        <v>0</v>
      </c>
      <c r="AD473" s="2">
        <v>0</v>
      </c>
      <c r="AE473" s="2">
        <v>0</v>
      </c>
      <c r="AF473" s="2">
        <f>AF472*(1+((1+VLOOKUP($B473,'IGPM Hist'!$B:$C,2,0))^12 - 1)+$AF$2)^(1/252)</f>
        <v>1706410.5256252524</v>
      </c>
      <c r="AG473" s="2">
        <v>0</v>
      </c>
      <c r="AH473" s="2">
        <v>0</v>
      </c>
      <c r="AI473" s="2">
        <v>0</v>
      </c>
      <c r="AJ473" s="2">
        <f t="shared" ref="AJ473:AW473" si="239">AJ472*(1+AJ$2)^(1/252)</f>
        <v>55247508.283599108</v>
      </c>
      <c r="AK473" s="2">
        <f t="shared" si="239"/>
        <v>181331536.00965065</v>
      </c>
      <c r="AL473" s="2">
        <f t="shared" si="239"/>
        <v>37189315.267528571</v>
      </c>
      <c r="AM473" s="2">
        <f t="shared" si="239"/>
        <v>130198816.35099262</v>
      </c>
      <c r="AN473" s="2">
        <f t="shared" si="239"/>
        <v>55778801.043708995</v>
      </c>
      <c r="AO473" s="2">
        <f t="shared" si="239"/>
        <v>23951120.26201142</v>
      </c>
      <c r="AP473" s="2">
        <v>0</v>
      </c>
      <c r="AQ473" s="2">
        <v>0</v>
      </c>
      <c r="AR473" s="2">
        <v>0</v>
      </c>
      <c r="AS473" s="2">
        <f t="shared" si="239"/>
        <v>108499816.63890971</v>
      </c>
      <c r="AT473" s="2">
        <f t="shared" si="239"/>
        <v>5524627.6500225216</v>
      </c>
      <c r="AU473" s="2">
        <v>0</v>
      </c>
      <c r="AV473" s="2">
        <f t="shared" si="239"/>
        <v>55094032.909042723</v>
      </c>
      <c r="AW473" s="2">
        <f t="shared" si="239"/>
        <v>2854485.3347269055</v>
      </c>
      <c r="AX473" s="2">
        <v>0</v>
      </c>
      <c r="AY473" s="2">
        <v>0</v>
      </c>
      <c r="AZ473" s="2">
        <v>0</v>
      </c>
      <c r="BA473" s="2">
        <f>BA472*(1+VLOOKUP(A473,'SELIC Hist'!$A:$C,3,0)-0.01%)^(1/252)</f>
        <v>4730136.5822359435</v>
      </c>
      <c r="BB473" s="2">
        <f t="shared" si="225"/>
        <v>1895150552.1423442</v>
      </c>
      <c r="BC473" s="2">
        <v>0</v>
      </c>
      <c r="BD473" s="2">
        <v>0</v>
      </c>
      <c r="BE473" s="2">
        <f t="shared" si="226"/>
        <v>755819.66006731987</v>
      </c>
      <c r="BF473" s="2">
        <f t="shared" si="227"/>
        <v>5283885.6845858097</v>
      </c>
      <c r="BG473" s="2">
        <f t="shared" si="228"/>
        <v>76959076.051538229</v>
      </c>
      <c r="BH473" s="11">
        <f t="shared" si="229"/>
        <v>1.2027710779330376</v>
      </c>
      <c r="BI473" s="12">
        <f t="shared" si="230"/>
        <v>3.9897685899759061E-4</v>
      </c>
      <c r="BJ473" s="12">
        <f t="shared" si="231"/>
        <v>2.7959039536316066E-3</v>
      </c>
      <c r="BK473" s="12">
        <f t="shared" si="232"/>
        <v>4.44072424047528E-2</v>
      </c>
      <c r="BL473" s="5">
        <f t="shared" si="233"/>
        <v>0.20277107793303761</v>
      </c>
      <c r="BM473" s="19">
        <f t="shared" si="234"/>
        <v>6.0815640938321591E-2</v>
      </c>
      <c r="BN473" s="19">
        <f t="shared" si="235"/>
        <v>0.10899298098518018</v>
      </c>
      <c r="BO473" s="19" t="s">
        <v>53</v>
      </c>
    </row>
    <row r="474" spans="1:67" x14ac:dyDescent="0.25">
      <c r="A474" s="1">
        <v>45790</v>
      </c>
      <c r="B474" s="1" t="str">
        <f t="shared" si="223"/>
        <v>202505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f>I473*(1+((1+VLOOKUP($B474,'IPCA Hist'!$B:$C,2,0))^12 - 1)+$I$2)^(1/252)</f>
        <v>216989530.07166821</v>
      </c>
      <c r="J474" s="2">
        <f>J473*(1+((1+VLOOKUP($B474,'IPCA Hist'!$B:$C,2,0))^12 - 1)+$J$2)^(1/252)</f>
        <v>137628974.19249684</v>
      </c>
      <c r="K474" s="2">
        <f>K473*(1+((1+VLOOKUP($B474,'IPCA Hist'!$B:$C,2,0))^12 - 1)+$K$2)^(1/252)</f>
        <v>20963680.051864322</v>
      </c>
      <c r="L474" s="2">
        <f>L473*(1+((1+VLOOKUP($B474,'IPCA Hist'!$B:$C,2,0))^12 - 1)+$L$2)^(1/252)</f>
        <v>12768622.737317052</v>
      </c>
      <c r="M474" s="2">
        <f>M473*(1+((1+VLOOKUP($B474,'IPCA Hist'!$B:$C,2,0))^12 - 1)+$M$2)^(1/252)</f>
        <v>10897422.959840018</v>
      </c>
      <c r="N474" s="2">
        <v>0</v>
      </c>
      <c r="O474" s="2">
        <v>0</v>
      </c>
      <c r="P474" s="2">
        <v>0</v>
      </c>
      <c r="Q474" s="2">
        <f>Q473*(1+((1+VLOOKUP($B474,'IPCA Hist'!$B:$C,2,0))^12 - 1)+$Q$2)^(1/252)</f>
        <v>46649743.839221217</v>
      </c>
      <c r="R474" s="2">
        <f>R473*(1+((1+VLOOKUP($B474,'IPCA Hist'!$B:$C,2,0))^12 - 1)+$R$2)^(1/252)</f>
        <v>46636592.311993308</v>
      </c>
      <c r="S474" s="2">
        <f>S473*(1+((1+VLOOKUP($B474,'IPCA Hist'!$B:$C,2,0))^12 - 1)+$S$2)^(1/252)</f>
        <v>47658891.895601884</v>
      </c>
      <c r="T474" s="2">
        <f>T473*(1+((1+VLOOKUP($B474,'IPCA Hist'!$B:$C,2,0))^12 - 1)+$T$2)^(1/252)</f>
        <v>240698780.36639136</v>
      </c>
      <c r="U474" s="2">
        <f>U473*(1+((1+VLOOKUP($B474,'IPCA Hist'!$B:$C,2,0))^12 - 1)+$U$2)^(1/252)</f>
        <v>21171757.741976712</v>
      </c>
      <c r="V474" s="2">
        <f>V473*(1+((1+VLOOKUP($B474,'IPCA Hist'!$B:$C,2,0))^12 - 1)+$V$2)^(1/252)</f>
        <v>82178553.020367652</v>
      </c>
      <c r="W474" s="2">
        <f>W473*(1+((1+VLOOKUP($B474,'IPCA Hist'!$B:$C,2,0))^12 - 1)+$W$2)^(1/252)</f>
        <v>43272416.482733808</v>
      </c>
      <c r="X474" s="2">
        <f>X473*(1+((1+VLOOKUP($B474,'IPCA Hist'!$B:$C,2,0))^12 - 1)+$X$2)^(1/252)</f>
        <v>14821413.535162974</v>
      </c>
      <c r="Y474" s="2">
        <f>Y473*(1+((1+VLOOKUP($B474,'IPCA Hist'!$B:$C,2,0))^12 - 1)+$Y$2)^(1/252)</f>
        <v>120769216.75388189</v>
      </c>
      <c r="Z474" s="2">
        <f>Z473*(1+((1+VLOOKUP($B474,'IPCA Hist'!$B:$C,2,0))^12 - 1)+$Z$2)^(1/252)</f>
        <v>84875829.374443576</v>
      </c>
      <c r="AA474" s="2">
        <f>AA473*(1+((1+VLOOKUP($B474,'IPCA Hist'!$B:$C,2,0))^12 - 1)+$AA$2)^(1/252)</f>
        <v>42744769.676460929</v>
      </c>
      <c r="AB474" s="2">
        <f>AB473*(1+((1+VLOOKUP($B474,'IPCA Hist'!$B:$C,2,0))^12 - 1)+$AB$2)^(1/252)</f>
        <v>42758534.551081456</v>
      </c>
      <c r="AC474" s="2">
        <v>0</v>
      </c>
      <c r="AD474" s="2">
        <v>0</v>
      </c>
      <c r="AE474" s="2">
        <v>0</v>
      </c>
      <c r="AF474" s="2">
        <f>AF473*(1+((1+VLOOKUP($B474,'IGPM Hist'!$B:$C,2,0))^12 - 1)+$AF$2)^(1/252)</f>
        <v>1706445.9768892354</v>
      </c>
      <c r="AG474" s="2">
        <v>0</v>
      </c>
      <c r="AH474" s="2">
        <v>0</v>
      </c>
      <c r="AI474" s="2">
        <v>0</v>
      </c>
      <c r="AJ474" s="2">
        <f t="shared" ref="AJ474:AW474" si="240">AJ473*(1+AJ$2)^(1/252)</f>
        <v>55272944.383542128</v>
      </c>
      <c r="AK474" s="2">
        <f t="shared" si="240"/>
        <v>181419144.56874305</v>
      </c>
      <c r="AL474" s="2">
        <f t="shared" si="240"/>
        <v>37207289.457861654</v>
      </c>
      <c r="AM474" s="2">
        <f t="shared" si="240"/>
        <v>130261709.19451497</v>
      </c>
      <c r="AN474" s="2">
        <f t="shared" si="240"/>
        <v>55805764.731093273</v>
      </c>
      <c r="AO474" s="2">
        <f t="shared" si="240"/>
        <v>23964858.052576609</v>
      </c>
      <c r="AP474" s="2">
        <v>0</v>
      </c>
      <c r="AQ474" s="2">
        <v>0</v>
      </c>
      <c r="AR474" s="2">
        <v>0</v>
      </c>
      <c r="AS474" s="2">
        <f t="shared" si="240"/>
        <v>108548156.21217106</v>
      </c>
      <c r="AT474" s="2">
        <f t="shared" si="240"/>
        <v>5527753.2811437948</v>
      </c>
      <c r="AU474" s="2">
        <v>0</v>
      </c>
      <c r="AV474" s="2">
        <f t="shared" si="240"/>
        <v>55119105.994975597</v>
      </c>
      <c r="AW474" s="2">
        <f t="shared" si="240"/>
        <v>2856079.6396692973</v>
      </c>
      <c r="AX474" s="2">
        <v>0</v>
      </c>
      <c r="AY474" s="2">
        <v>0</v>
      </c>
      <c r="AZ474" s="2">
        <v>0</v>
      </c>
      <c r="BA474" s="2">
        <f>BA473*(1+VLOOKUP(A474,'SELIC Hist'!$A:$C,3,0)-0.01%)^(1/252)</f>
        <v>4732701.8111665277</v>
      </c>
      <c r="BB474" s="2">
        <f t="shared" si="225"/>
        <v>1895906682.8668501</v>
      </c>
      <c r="BC474" s="2">
        <v>0</v>
      </c>
      <c r="BD474" s="2">
        <v>0</v>
      </c>
      <c r="BE474" s="2">
        <f t="shared" si="226"/>
        <v>756130.72450590134</v>
      </c>
      <c r="BF474" s="2">
        <f t="shared" si="227"/>
        <v>6040016.409091711</v>
      </c>
      <c r="BG474" s="2">
        <f t="shared" si="228"/>
        <v>77715206.77604413</v>
      </c>
      <c r="BH474" s="11">
        <f t="shared" si="229"/>
        <v>1.2032509617953218</v>
      </c>
      <c r="BI474" s="12">
        <f t="shared" si="230"/>
        <v>3.9898187700759813E-4</v>
      </c>
      <c r="BJ474" s="12">
        <f t="shared" si="231"/>
        <v>3.1960013456464598E-3</v>
      </c>
      <c r="BK474" s="12">
        <f t="shared" si="232"/>
        <v>4.4823941966687819E-2</v>
      </c>
      <c r="BL474" s="5">
        <f t="shared" si="233"/>
        <v>0.20325096179532176</v>
      </c>
      <c r="BM474" s="19">
        <f t="shared" si="234"/>
        <v>6.0815239860610326E-2</v>
      </c>
      <c r="BN474" s="19">
        <f t="shared" si="235"/>
        <v>0.10939088157375343</v>
      </c>
      <c r="BO474" s="19" t="s">
        <v>53</v>
      </c>
    </row>
    <row r="475" spans="1:67" x14ac:dyDescent="0.25">
      <c r="A475" s="1">
        <v>45791</v>
      </c>
      <c r="B475" s="1" t="str">
        <f t="shared" si="223"/>
        <v>202505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f>I474*(1+((1+VLOOKUP($B475,'IPCA Hist'!$B:$C,2,0))^12 - 1)+$I$2)^(1/252)</f>
        <v>217062514.13421541</v>
      </c>
      <c r="J475" s="2">
        <f>J474*(1+((1+VLOOKUP($B475,'IPCA Hist'!$B:$C,2,0))^12 - 1)+$J$2)^(1/252)</f>
        <v>137672800.43444318</v>
      </c>
      <c r="K475" s="2">
        <f>K474*(1+((1+VLOOKUP($B475,'IPCA Hist'!$B:$C,2,0))^12 - 1)+$K$2)^(1/252)</f>
        <v>20971477.074130997</v>
      </c>
      <c r="L475" s="2">
        <f>L474*(1+((1+VLOOKUP($B475,'IPCA Hist'!$B:$C,2,0))^12 - 1)+$L$2)^(1/252)</f>
        <v>12773422.976605866</v>
      </c>
      <c r="M475" s="2">
        <f>M474*(1+((1+VLOOKUP($B475,'IPCA Hist'!$B:$C,2,0))^12 - 1)+$M$2)^(1/252)</f>
        <v>10901856.452236716</v>
      </c>
      <c r="N475" s="2">
        <v>0</v>
      </c>
      <c r="O475" s="2">
        <v>0</v>
      </c>
      <c r="P475" s="2">
        <v>0</v>
      </c>
      <c r="Q475" s="2">
        <f>Q474*(1+((1+VLOOKUP($B475,'IPCA Hist'!$B:$C,2,0))^12 - 1)+$Q$2)^(1/252)</f>
        <v>46664564.689131349</v>
      </c>
      <c r="R475" s="2">
        <f>R474*(1+((1+VLOOKUP($B475,'IPCA Hist'!$B:$C,2,0))^12 - 1)+$R$2)^(1/252)</f>
        <v>46651426.071136199</v>
      </c>
      <c r="S475" s="2">
        <f>S474*(1+((1+VLOOKUP($B475,'IPCA Hist'!$B:$C,2,0))^12 - 1)+$S$2)^(1/252)</f>
        <v>47673841.167559274</v>
      </c>
      <c r="T475" s="2">
        <f>T474*(1+((1+VLOOKUP($B475,'IPCA Hist'!$B:$C,2,0))^12 - 1)+$T$2)^(1/252)</f>
        <v>240774192.60606045</v>
      </c>
      <c r="U475" s="2">
        <f>U474*(1+((1+VLOOKUP($B475,'IPCA Hist'!$B:$C,2,0))^12 - 1)+$U$2)^(1/252)</f>
        <v>21179432.946717732</v>
      </c>
      <c r="V475" s="2">
        <f>V474*(1+((1+VLOOKUP($B475,'IPCA Hist'!$B:$C,2,0))^12 - 1)+$V$2)^(1/252)</f>
        <v>82212692.358310983</v>
      </c>
      <c r="W475" s="2">
        <f>W474*(1+((1+VLOOKUP($B475,'IPCA Hist'!$B:$C,2,0))^12 - 1)+$W$2)^(1/252)</f>
        <v>43290533.824978523</v>
      </c>
      <c r="X475" s="2">
        <f>X474*(1+((1+VLOOKUP($B475,'IPCA Hist'!$B:$C,2,0))^12 - 1)+$X$2)^(1/252)</f>
        <v>14827337.149387399</v>
      </c>
      <c r="Y475" s="2">
        <f>Y474*(1+((1+VLOOKUP($B475,'IPCA Hist'!$B:$C,2,0))^12 - 1)+$Y$2)^(1/252)</f>
        <v>120820039.33805533</v>
      </c>
      <c r="Z475" s="2">
        <f>Z474*(1+((1+VLOOKUP($B475,'IPCA Hist'!$B:$C,2,0))^12 - 1)+$Z$2)^(1/252)</f>
        <v>84909052.944942385</v>
      </c>
      <c r="AA475" s="2">
        <f>AA474*(1+((1+VLOOKUP($B475,'IPCA Hist'!$B:$C,2,0))^12 - 1)+$AA$2)^(1/252)</f>
        <v>42763367.100519724</v>
      </c>
      <c r="AB475" s="2">
        <f>AB474*(1+((1+VLOOKUP($B475,'IPCA Hist'!$B:$C,2,0))^12 - 1)+$AB$2)^(1/252)</f>
        <v>42777122.750625886</v>
      </c>
      <c r="AC475" s="2">
        <v>0</v>
      </c>
      <c r="AD475" s="2">
        <v>0</v>
      </c>
      <c r="AE475" s="2">
        <v>0</v>
      </c>
      <c r="AF475" s="2">
        <f>AF474*(1+((1+VLOOKUP($B475,'IGPM Hist'!$B:$C,2,0))^12 - 1)+$AF$2)^(1/252)</f>
        <v>1706481.4288897305</v>
      </c>
      <c r="AG475" s="2">
        <v>0</v>
      </c>
      <c r="AH475" s="2">
        <v>0</v>
      </c>
      <c r="AI475" s="2">
        <v>0</v>
      </c>
      <c r="AJ475" s="2">
        <f t="shared" ref="AJ475:AW475" si="241">AJ474*(1+AJ$2)^(1/252)</f>
        <v>55298392.1943333</v>
      </c>
      <c r="AK475" s="2">
        <f t="shared" si="241"/>
        <v>181506795.4550544</v>
      </c>
      <c r="AL475" s="2">
        <f t="shared" si="241"/>
        <v>37225272.335408144</v>
      </c>
      <c r="AM475" s="2">
        <f t="shared" si="241"/>
        <v>130324632.41857286</v>
      </c>
      <c r="AN475" s="2">
        <f t="shared" si="241"/>
        <v>55832741.452827945</v>
      </c>
      <c r="AO475" s="2">
        <f t="shared" si="241"/>
        <v>23978603.722810373</v>
      </c>
      <c r="AP475" s="2">
        <v>0</v>
      </c>
      <c r="AQ475" s="2">
        <v>0</v>
      </c>
      <c r="AR475" s="2">
        <v>0</v>
      </c>
      <c r="AS475" s="2">
        <f t="shared" si="241"/>
        <v>108596517.32200654</v>
      </c>
      <c r="AT475" s="2">
        <f t="shared" si="241"/>
        <v>5530880.6806321908</v>
      </c>
      <c r="AU475" s="2">
        <v>0</v>
      </c>
      <c r="AV475" s="2">
        <f t="shared" si="241"/>
        <v>55144190.491575018</v>
      </c>
      <c r="AW475" s="2">
        <f t="shared" si="241"/>
        <v>2857674.8350728238</v>
      </c>
      <c r="AX475" s="2">
        <v>0</v>
      </c>
      <c r="AY475" s="2">
        <v>0</v>
      </c>
      <c r="AZ475" s="2">
        <v>0</v>
      </c>
      <c r="BA475" s="2">
        <v>4394128.32</v>
      </c>
      <c r="BB475" s="2">
        <f t="shared" si="225"/>
        <v>1896321984.6762404</v>
      </c>
      <c r="BC475" s="2">
        <v>0</v>
      </c>
      <c r="BD475" s="2">
        <v>0</v>
      </c>
      <c r="BE475" s="2">
        <f t="shared" si="226"/>
        <v>415301.80939030647</v>
      </c>
      <c r="BF475" s="2">
        <f t="shared" si="227"/>
        <v>6455318.2184820175</v>
      </c>
      <c r="BG475" s="2">
        <f t="shared" si="228"/>
        <v>78130508.585434437</v>
      </c>
      <c r="BH475" s="11">
        <f t="shared" si="229"/>
        <v>1.2035145361083932</v>
      </c>
      <c r="BI475" s="12">
        <f t="shared" si="230"/>
        <v>2.1905181997783352E-4</v>
      </c>
      <c r="BJ475" s="12">
        <f t="shared" si="231"/>
        <v>3.4157532555356696E-3</v>
      </c>
      <c r="BK475" s="12">
        <f t="shared" si="232"/>
        <v>4.505281255273208E-2</v>
      </c>
      <c r="BL475" s="5">
        <f t="shared" si="233"/>
        <v>0.20351453610839321</v>
      </c>
      <c r="BM475" s="19">
        <f t="shared" si="234"/>
        <v>6.0623993562515022E-2</v>
      </c>
      <c r="BN475" s="19">
        <f t="shared" si="235"/>
        <v>0.10837193247597998</v>
      </c>
      <c r="BO475" s="19" t="s">
        <v>53</v>
      </c>
    </row>
    <row r="476" spans="1:67" x14ac:dyDescent="0.25">
      <c r="A476" s="1">
        <v>45792</v>
      </c>
      <c r="B476" s="1" t="str">
        <f t="shared" si="223"/>
        <v>202505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f>I475*(1+((1+VLOOKUP($B476,'IPCA Hist'!$B:$C,2,0))^12 - 1)+$I$2)^(1/252)</f>
        <v>217135522.744829</v>
      </c>
      <c r="J476" s="2">
        <f>J475*(1+((1+VLOOKUP($B476,'IPCA Hist'!$B:$C,2,0))^12 - 1)+$J$2)^(1/252)</f>
        <v>137716640.63231337</v>
      </c>
      <c r="K476" s="2">
        <f>K475*(1+((1+VLOOKUP($B476,'IPCA Hist'!$B:$C,2,0))^12 - 1)+$K$2)^(1/252)</f>
        <v>20979276.99634444</v>
      </c>
      <c r="L476" s="2">
        <f>L475*(1+((1+VLOOKUP($B476,'IPCA Hist'!$B:$C,2,0))^12 - 1)+$L$2)^(1/252)</f>
        <v>12778225.020497862</v>
      </c>
      <c r="M476" s="2">
        <f>M475*(1+((1+VLOOKUP($B476,'IPCA Hist'!$B:$C,2,0))^12 - 1)+$M$2)^(1/252)</f>
        <v>10906291.748349292</v>
      </c>
      <c r="N476" s="2">
        <v>0</v>
      </c>
      <c r="O476" s="2">
        <v>0</v>
      </c>
      <c r="P476" s="2">
        <v>0</v>
      </c>
      <c r="Q476" s="2">
        <f>Q475*(1+((1+VLOOKUP($B476,'IPCA Hist'!$B:$C,2,0))^12 - 1)+$Q$2)^(1/252)</f>
        <v>46679390.247697391</v>
      </c>
      <c r="R476" s="2">
        <f>R475*(1+((1+VLOOKUP($B476,'IPCA Hist'!$B:$C,2,0))^12 - 1)+$R$2)^(1/252)</f>
        <v>46666264.548471376</v>
      </c>
      <c r="S476" s="2">
        <f>S475*(1+((1+VLOOKUP($B476,'IPCA Hist'!$B:$C,2,0))^12 - 1)+$S$2)^(1/252)</f>
        <v>47688795.128688462</v>
      </c>
      <c r="T476" s="2">
        <f>T475*(1+((1+VLOOKUP($B476,'IPCA Hist'!$B:$C,2,0))^12 - 1)+$T$2)^(1/252)</f>
        <v>240849628.47279519</v>
      </c>
      <c r="U476" s="2">
        <f>U475*(1+((1+VLOOKUP($B476,'IPCA Hist'!$B:$C,2,0))^12 - 1)+$U$2)^(1/252)</f>
        <v>21187110.933880907</v>
      </c>
      <c r="V476" s="2">
        <f>V475*(1+((1+VLOOKUP($B476,'IPCA Hist'!$B:$C,2,0))^12 - 1)+$V$2)^(1/252)</f>
        <v>82246845.878718615</v>
      </c>
      <c r="W476" s="2">
        <f>W475*(1+((1+VLOOKUP($B476,'IPCA Hist'!$B:$C,2,0))^12 - 1)+$W$2)^(1/252)</f>
        <v>43308658.752611734</v>
      </c>
      <c r="X476" s="2">
        <f>X475*(1+((1+VLOOKUP($B476,'IPCA Hist'!$B:$C,2,0))^12 - 1)+$X$2)^(1/252)</f>
        <v>14833263.131078692</v>
      </c>
      <c r="Y476" s="2">
        <f>Y475*(1+((1+VLOOKUP($B476,'IPCA Hist'!$B:$C,2,0))^12 - 1)+$Y$2)^(1/252)</f>
        <v>120870883.30959164</v>
      </c>
      <c r="Z476" s="2">
        <f>Z475*(1+((1+VLOOKUP($B476,'IPCA Hist'!$B:$C,2,0))^12 - 1)+$Z$2)^(1/252)</f>
        <v>84942289.520387888</v>
      </c>
      <c r="AA476" s="2">
        <f>AA475*(1+((1+VLOOKUP($B476,'IPCA Hist'!$B:$C,2,0))^12 - 1)+$AA$2)^(1/252)</f>
        <v>42781972.615958683</v>
      </c>
      <c r="AB476" s="2">
        <f>AB475*(1+((1+VLOOKUP($B476,'IPCA Hist'!$B:$C,2,0))^12 - 1)+$AB$2)^(1/252)</f>
        <v>42795719.030923456</v>
      </c>
      <c r="AC476" s="2">
        <v>0</v>
      </c>
      <c r="AD476" s="2">
        <v>0</v>
      </c>
      <c r="AE476" s="2">
        <v>0</v>
      </c>
      <c r="AF476" s="2">
        <f>AF475*(1+((1+VLOOKUP($B476,'IGPM Hist'!$B:$C,2,0))^12 - 1)+$AF$2)^(1/252)</f>
        <v>1706516.8816267531</v>
      </c>
      <c r="AG476" s="2">
        <v>0</v>
      </c>
      <c r="AH476" s="2">
        <v>0</v>
      </c>
      <c r="AI476" s="2">
        <v>0</v>
      </c>
      <c r="AJ476" s="2">
        <f t="shared" ref="AJ476:AW476" si="242">AJ475*(1+AJ$2)^(1/252)</f>
        <v>55323851.721364334</v>
      </c>
      <c r="AK476" s="2">
        <f t="shared" si="242"/>
        <v>181594488.6890347</v>
      </c>
      <c r="AL476" s="2">
        <f t="shared" si="242"/>
        <v>37243263.904366709</v>
      </c>
      <c r="AM476" s="2">
        <f t="shared" si="242"/>
        <v>130387586.03784166</v>
      </c>
      <c r="AN476" s="2">
        <f t="shared" si="242"/>
        <v>55859731.215213865</v>
      </c>
      <c r="AO476" s="2">
        <f t="shared" si="242"/>
        <v>23992357.277232297</v>
      </c>
      <c r="AP476" s="2">
        <v>0</v>
      </c>
      <c r="AQ476" s="2">
        <v>0</v>
      </c>
      <c r="AR476" s="2">
        <v>0</v>
      </c>
      <c r="AS476" s="2">
        <f t="shared" si="242"/>
        <v>108644899.97801125</v>
      </c>
      <c r="AT476" s="2">
        <f t="shared" si="242"/>
        <v>5534009.8494881876</v>
      </c>
      <c r="AU476" s="2">
        <v>0</v>
      </c>
      <c r="AV476" s="2">
        <f t="shared" si="242"/>
        <v>55169286.404033937</v>
      </c>
      <c r="AW476" s="2">
        <f t="shared" si="242"/>
        <v>2859270.9214348304</v>
      </c>
      <c r="AX476" s="2">
        <v>0</v>
      </c>
      <c r="AY476" s="2">
        <v>0</v>
      </c>
      <c r="AZ476" s="2">
        <v>0</v>
      </c>
      <c r="BA476" s="2">
        <f>BA475*(1+VLOOKUP(A476,'SELIC Hist'!$A:$C,3,0)-0.01%)^(1/252)</f>
        <v>4396511.3262610659</v>
      </c>
      <c r="BB476" s="2">
        <f t="shared" ref="BB476:BB478" si="243">SUM(C476:BA476)</f>
        <v>1897078552.9190476</v>
      </c>
      <c r="BC476" s="2">
        <v>0</v>
      </c>
      <c r="BD476" s="2">
        <v>0</v>
      </c>
      <c r="BE476" s="2">
        <f t="shared" ref="BE476:BE478" si="244">BB476-BB475-BC476+BD476</f>
        <v>756568.24280714989</v>
      </c>
      <c r="BF476" s="2">
        <f t="shared" ref="BF476:BF478" si="245">IF(MONTH(A476)=MONTH(A475),BE476+BF475,BE476)</f>
        <v>7211886.4612891674</v>
      </c>
      <c r="BG476" s="2">
        <f t="shared" ref="BG476:BG478" si="246">IF(YEAR(A476)=YEAR(A475),BE476+BG475,BE476)</f>
        <v>78887076.828241587</v>
      </c>
      <c r="BH476" s="11">
        <f t="shared" ref="BH476:BH478" si="247">(1+(BB476-BB475-BC476+BD476)/BB475)*BH475</f>
        <v>1.2039946976448488</v>
      </c>
      <c r="BI476" s="12">
        <f t="shared" ref="BI476:BI478" si="248">BH476/BH475 - 1</f>
        <v>3.9896612965573119E-4</v>
      </c>
      <c r="BJ476" s="12">
        <f t="shared" ref="BJ476:BJ478" si="249">IF(MONTH(A476)=MONTH(A475),(1+BI476)*(1+BJ475) - 1,BI476)</f>
        <v>3.8160821550476953E-3</v>
      </c>
      <c r="BK476" s="12">
        <f t="shared" ref="BK476:BK478" si="250">IF(YEAR(A476)=YEAR(A475),(1+BI476)*(1+BK475) - 1,BI476)</f>
        <v>4.5469753228642107E-2</v>
      </c>
      <c r="BL476" s="5">
        <f t="shared" ref="BL476:BL478" si="251">(1+BI476)*(1+BL475) - 1</f>
        <v>0.20399469764484879</v>
      </c>
      <c r="BM476" s="19">
        <f t="shared" ref="BM476:BM478" si="252">BH476/BH350 - 1</f>
        <v>6.0623525631902986E-2</v>
      </c>
      <c r="BN476" s="19">
        <f t="shared" ref="BN476:BN478" si="253">BH476/BH224 - 1</f>
        <v>0.10858193692892959</v>
      </c>
      <c r="BO476" s="19" t="s">
        <v>53</v>
      </c>
    </row>
    <row r="477" spans="1:67" x14ac:dyDescent="0.25">
      <c r="A477" s="1">
        <v>45793</v>
      </c>
      <c r="B477" s="1" t="str">
        <f t="shared" si="223"/>
        <v>202505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4">
        <v>217135522.744829</v>
      </c>
      <c r="J477" s="24">
        <v>137716640.63231337</v>
      </c>
      <c r="K477" s="24">
        <v>20979276.99634444</v>
      </c>
      <c r="L477" s="24">
        <v>12778225.020497862</v>
      </c>
      <c r="M477" s="24">
        <v>10906291.748349292</v>
      </c>
      <c r="N477" s="2">
        <v>0</v>
      </c>
      <c r="O477" s="2">
        <v>0</v>
      </c>
      <c r="P477" s="2">
        <v>0</v>
      </c>
      <c r="Q477" s="2">
        <f>Q476*(1+((1+VLOOKUP($B477,'IPCA Hist'!$B:$C,2,0))^12 - 1)+$Q$2)^(1/252)</f>
        <v>46694220.516415305</v>
      </c>
      <c r="R477" s="2">
        <f>R476*(1+((1+VLOOKUP($B477,'IPCA Hist'!$B:$C,2,0))^12 - 1)+$R$2)^(1/252)</f>
        <v>46681107.745499566</v>
      </c>
      <c r="S477" s="2">
        <f>S476*(1+((1+VLOOKUP($B477,'IPCA Hist'!$B:$C,2,0))^12 - 1)+$S$2)^(1/252)</f>
        <v>47703753.78046032</v>
      </c>
      <c r="T477" s="2">
        <f>T476*(1+((1+VLOOKUP($B477,'IPCA Hist'!$B:$C,2,0))^12 - 1)+$T$2)^(1/252)</f>
        <v>240925087.9739981</v>
      </c>
      <c r="U477" s="2">
        <f>U476*(1+((1+VLOOKUP($B477,'IPCA Hist'!$B:$C,2,0))^12 - 1)+$U$2)^(1/252)</f>
        <v>21194791.704474922</v>
      </c>
      <c r="V477" s="2">
        <f>V476*(1+((1+VLOOKUP($B477,'IPCA Hist'!$B:$C,2,0))^12 - 1)+$V$2)^(1/252)</f>
        <v>82281013.587482363</v>
      </c>
      <c r="W477" s="2">
        <f>W476*(1+((1+VLOOKUP($B477,'IPCA Hist'!$B:$C,2,0))^12 - 1)+$W$2)^(1/252)</f>
        <v>43326791.268809289</v>
      </c>
      <c r="X477" s="2">
        <f>X476*(1+((1+VLOOKUP($B477,'IPCA Hist'!$B:$C,2,0))^12 - 1)+$X$2)^(1/252)</f>
        <v>14839191.481183048</v>
      </c>
      <c r="Y477" s="2">
        <f>Y476*(1+((1+VLOOKUP($B477,'IPCA Hist'!$B:$C,2,0))^12 - 1)+$Y$2)^(1/252)</f>
        <v>120921748.67749113</v>
      </c>
      <c r="Z477" s="2">
        <f>Z476*(1+((1+VLOOKUP($B477,'IPCA Hist'!$B:$C,2,0))^12 - 1)+$Z$2)^(1/252) - 2512062.96526154</f>
        <v>82463476.140609175</v>
      </c>
      <c r="AA477" s="2">
        <f>AA476*(1+((1+VLOOKUP($B477,'IPCA Hist'!$B:$C,2,0))^12 - 1)+$AA$2)^(1/252) - 1322138.40276923</f>
        <v>41478447.823528983</v>
      </c>
      <c r="AB477" s="2">
        <f>AB476*(1+((1+VLOOKUP($B477,'IPCA Hist'!$B:$C,2,0))^12 - 1)+$AB$2)^(1/252) - 1322138.40276923</f>
        <v>41492184.99271784</v>
      </c>
      <c r="AC477" s="2">
        <v>5156339.7708000001</v>
      </c>
      <c r="AD477" s="2">
        <v>0</v>
      </c>
      <c r="AE477" s="2">
        <v>0</v>
      </c>
      <c r="AF477" s="2">
        <f>AF476*(1+((1+VLOOKUP($B477,'IGPM Hist'!$B:$C,2,0))^12 - 1)+$AF$2)^(1/252)</f>
        <v>1706552.3351003185</v>
      </c>
      <c r="AG477" s="2">
        <v>0</v>
      </c>
      <c r="AH477" s="2">
        <v>0</v>
      </c>
      <c r="AI477" s="2">
        <v>0</v>
      </c>
      <c r="AJ477" s="2">
        <f t="shared" ref="AJ477:AW477" si="254">AJ476*(1+AJ$2)^(1/252)</f>
        <v>55349322.970029414</v>
      </c>
      <c r="AK477" s="2">
        <f t="shared" si="254"/>
        <v>181682224.29114377</v>
      </c>
      <c r="AL477" s="2">
        <f t="shared" si="254"/>
        <v>37261264.168938048</v>
      </c>
      <c r="AM477" s="2">
        <f t="shared" si="254"/>
        <v>130450570.06700386</v>
      </c>
      <c r="AN477" s="2">
        <f t="shared" si="254"/>
        <v>55886734.024554938</v>
      </c>
      <c r="AO477" s="2">
        <f t="shared" si="254"/>
        <v>24006118.720364567</v>
      </c>
      <c r="AP477" s="2">
        <v>0</v>
      </c>
      <c r="AQ477" s="2">
        <v>0</v>
      </c>
      <c r="AR477" s="2">
        <v>0</v>
      </c>
      <c r="AS477" s="2">
        <f t="shared" si="254"/>
        <v>108693304.1897846</v>
      </c>
      <c r="AT477" s="2">
        <f t="shared" si="254"/>
        <v>5537140.7887128284</v>
      </c>
      <c r="AU477" s="2">
        <v>0</v>
      </c>
      <c r="AV477" s="2">
        <f t="shared" si="254"/>
        <v>55194393.737547666</v>
      </c>
      <c r="AW477" s="2">
        <f t="shared" si="254"/>
        <v>2860867.8992529409</v>
      </c>
      <c r="AX477" s="2">
        <v>0</v>
      </c>
      <c r="AY477" s="2">
        <v>0</v>
      </c>
      <c r="AZ477" s="2">
        <v>0</v>
      </c>
      <c r="BA477" s="2">
        <v>4413341.87</v>
      </c>
      <c r="BB477" s="2">
        <f t="shared" si="243"/>
        <v>1897715947.6682372</v>
      </c>
      <c r="BC477" s="2">
        <v>0</v>
      </c>
      <c r="BD477" s="2">
        <v>0</v>
      </c>
      <c r="BE477" s="2">
        <f t="shared" si="244"/>
        <v>637394.74918961525</v>
      </c>
      <c r="BF477" s="2">
        <f t="shared" si="245"/>
        <v>7849281.2104787827</v>
      </c>
      <c r="BG477" s="2">
        <f t="shared" si="246"/>
        <v>79524471.577431202</v>
      </c>
      <c r="BH477" s="11">
        <f t="shared" si="247"/>
        <v>1.2043992248570456</v>
      </c>
      <c r="BI477" s="12">
        <f t="shared" si="248"/>
        <v>3.3598753631403078E-4</v>
      </c>
      <c r="BJ477" s="12">
        <f t="shared" si="249"/>
        <v>4.153351847403286E-3</v>
      </c>
      <c r="BK477" s="12">
        <f t="shared" si="250"/>
        <v>4.5821018035320238E-2</v>
      </c>
      <c r="BL477" s="5">
        <f t="shared" si="251"/>
        <v>0.20439922485704565</v>
      </c>
      <c r="BM477" s="19">
        <f t="shared" si="252"/>
        <v>6.0659447115777532E-2</v>
      </c>
      <c r="BN477" s="19">
        <f t="shared" si="253"/>
        <v>0.10857378426451114</v>
      </c>
      <c r="BO477" s="19" t="s">
        <v>53</v>
      </c>
    </row>
    <row r="478" spans="1:67" x14ac:dyDescent="0.25">
      <c r="A478" s="1">
        <v>45796</v>
      </c>
      <c r="B478" s="1" t="str">
        <f t="shared" si="223"/>
        <v>202505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">
        <v>0</v>
      </c>
      <c r="O478" s="2">
        <v>0</v>
      </c>
      <c r="P478" s="2">
        <v>0</v>
      </c>
      <c r="Q478" s="2">
        <f>Q477*(1+((1+VLOOKUP($B478,'IPCA Hist'!$B:$C,2,0))^12 - 1)+$Q$2)^(1/252)</f>
        <v>46709055.496781535</v>
      </c>
      <c r="R478" s="2">
        <f>R477*(1+((1+VLOOKUP($B478,'IPCA Hist'!$B:$C,2,0))^12 - 1)+$R$2)^(1/252)</f>
        <v>46695955.663721964</v>
      </c>
      <c r="S478" s="2">
        <f>S477*(1+((1+VLOOKUP($B478,'IPCA Hist'!$B:$C,2,0))^12 - 1)+$S$2)^(1/252)</f>
        <v>47718717.124346167</v>
      </c>
      <c r="T478" s="2">
        <f>T477*(1+((1+VLOOKUP($B478,'IPCA Hist'!$B:$C,2,0))^12 - 1)+$T$2)^(1/252)</f>
        <v>241000571.11707398</v>
      </c>
      <c r="U478" s="2">
        <f>U477*(1+((1+VLOOKUP($B478,'IPCA Hist'!$B:$C,2,0))^12 - 1)+$U$2)^(1/252)</f>
        <v>21202475.259508833</v>
      </c>
      <c r="V478" s="2">
        <f>V477*(1+((1+VLOOKUP($B478,'IPCA Hist'!$B:$C,2,0))^12 - 1)+$V$2)^(1/252)</f>
        <v>82315195.490496472</v>
      </c>
      <c r="W478" s="2">
        <f>W477*(1+((1+VLOOKUP($B478,'IPCA Hist'!$B:$C,2,0))^12 - 1)+$W$2)^(1/252)</f>
        <v>43344931.376748383</v>
      </c>
      <c r="X478" s="2">
        <f>X477*(1+((1+VLOOKUP($B478,'IPCA Hist'!$B:$C,2,0))^12 - 1)+$X$2)^(1/252)</f>
        <v>14845122.200647043</v>
      </c>
      <c r="Y478" s="2">
        <f>Y477*(1+((1+VLOOKUP($B478,'IPCA Hist'!$B:$C,2,0))^12 - 1)+$Y$2)^(1/252)</f>
        <v>120972635.45075791</v>
      </c>
      <c r="Z478" s="2">
        <f>Z477*(1+((1+VLOOKUP($B478,'IPCA Hist'!$B:$C,2,0))^12 - 1)+$Z$2)^(1/252)</f>
        <v>82495755.425928995</v>
      </c>
      <c r="AA478" s="2">
        <f>AA477*(1+((1+VLOOKUP($B478,'IPCA Hist'!$B:$C,2,0))^12 - 1)+$AA$2)^(1/252)</f>
        <v>41496494.295397088</v>
      </c>
      <c r="AB478" s="2">
        <f>AB477*(1+((1+VLOOKUP($B478,'IPCA Hist'!$B:$C,2,0))^12 - 1)+$AB$2)^(1/252)</f>
        <v>41510222.67858047</v>
      </c>
      <c r="AC478" s="2">
        <f>AC477*(1+((1+VLOOKUP($B478,'IPCA Hist'!$B:$C,2,0))^12 - 1)+$AC$2)^(1/252)</f>
        <v>5158407.9864659365</v>
      </c>
      <c r="AD478" s="2">
        <v>383688394.39499998</v>
      </c>
      <c r="AE478" s="2">
        <v>0</v>
      </c>
      <c r="AF478" s="2">
        <f>AF477*(1+((1+VLOOKUP($B478,'IGPM Hist'!$B:$C,2,0))^12 - 1)+$AF$2)^(1/252)</f>
        <v>1706587.7893104421</v>
      </c>
      <c r="AG478" s="2">
        <v>0</v>
      </c>
      <c r="AH478" s="2">
        <v>0</v>
      </c>
      <c r="AI478" s="2">
        <v>0</v>
      </c>
      <c r="AJ478" s="2">
        <f t="shared" ref="AJ478:AW478" si="255">AJ477*(1+AJ$2)^(1/252)</f>
        <v>55374805.94572521</v>
      </c>
      <c r="AK478" s="2">
        <f t="shared" si="255"/>
        <v>181770002.28185138</v>
      </c>
      <c r="AL478" s="2">
        <f t="shared" si="255"/>
        <v>37279273.133324891</v>
      </c>
      <c r="AM478" s="2">
        <f t="shared" si="255"/>
        <v>130513584.52074903</v>
      </c>
      <c r="AN478" s="2">
        <f t="shared" si="255"/>
        <v>55913749.887158103</v>
      </c>
      <c r="AO478" s="2">
        <f t="shared" si="255"/>
        <v>24019888.056731958</v>
      </c>
      <c r="AP478" s="2">
        <v>0</v>
      </c>
      <c r="AQ478" s="2">
        <v>0</v>
      </c>
      <c r="AR478" s="2">
        <v>0</v>
      </c>
      <c r="AS478" s="2">
        <f t="shared" si="255"/>
        <v>108741729.96693027</v>
      </c>
      <c r="AT478" s="2">
        <f t="shared" si="255"/>
        <v>5540273.4993077228</v>
      </c>
      <c r="AU478" s="2">
        <v>0</v>
      </c>
      <c r="AV478" s="2">
        <f t="shared" si="255"/>
        <v>55219512.497313887</v>
      </c>
      <c r="AW478" s="2">
        <f t="shared" si="255"/>
        <v>2862465.7690250571</v>
      </c>
      <c r="AX478" s="2">
        <v>0</v>
      </c>
      <c r="AY478" s="2">
        <v>0</v>
      </c>
      <c r="AZ478" s="2">
        <v>0</v>
      </c>
      <c r="BA478" s="2">
        <f>BA477*(1+VLOOKUP(A478,'SELIC Hist'!$A:$C,3,0)-0.01%)^(1/252) + 385814468.568623 - AD478</f>
        <v>6541809.4697003961</v>
      </c>
      <c r="BB478" s="2">
        <f t="shared" si="243"/>
        <v>1884637616.7785828</v>
      </c>
      <c r="BC478" s="2">
        <v>0</v>
      </c>
      <c r="BD478" s="2">
        <v>0</v>
      </c>
      <c r="BE478" s="2">
        <f t="shared" si="244"/>
        <v>-13078330.889654398</v>
      </c>
      <c r="BF478" s="2">
        <f t="shared" si="245"/>
        <v>-5229049.6791756153</v>
      </c>
      <c r="BG478" s="2">
        <f t="shared" si="246"/>
        <v>66446140.687776804</v>
      </c>
      <c r="BH478" s="11">
        <f t="shared" si="247"/>
        <v>1.1960989670627862</v>
      </c>
      <c r="BI478" s="12">
        <f t="shared" si="248"/>
        <v>-6.891616685692159E-3</v>
      </c>
      <c r="BJ478" s="12">
        <f t="shared" si="249"/>
        <v>-2.7668881471819562E-3</v>
      </c>
      <c r="BK478" s="12">
        <f t="shared" si="250"/>
        <v>3.8613620457180531E-2</v>
      </c>
      <c r="BL478" s="5">
        <f t="shared" si="251"/>
        <v>0.19609896706278618</v>
      </c>
      <c r="BM478" s="19">
        <f t="shared" si="252"/>
        <v>5.4090759712144276E-2</v>
      </c>
      <c r="BN478" s="19">
        <f t="shared" si="253"/>
        <v>0.10035188791949645</v>
      </c>
      <c r="BO478" s="19" t="s">
        <v>53</v>
      </c>
    </row>
    <row r="479" spans="1:67" x14ac:dyDescent="0.25">
      <c r="A479" s="1">
        <v>45797</v>
      </c>
      <c r="B479" s="1" t="str">
        <f t="shared" si="223"/>
        <v>202505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">
        <v>0</v>
      </c>
      <c r="O479" s="2">
        <v>0</v>
      </c>
      <c r="P479" s="2">
        <v>0</v>
      </c>
      <c r="Q479" s="2">
        <f>Q478*(1+((1+VLOOKUP($B479,'IPCA Hist'!$B:$C,2,0))^12 - 1)+$Q$2)^(1/252)</f>
        <v>46723895.190292992</v>
      </c>
      <c r="R479" s="2">
        <f>R478*(1+((1+VLOOKUP($B479,'IPCA Hist'!$B:$C,2,0))^12 - 1)+$R$2)^(1/252)</f>
        <v>46710808.304640248</v>
      </c>
      <c r="S479" s="2">
        <f>S478*(1+((1+VLOOKUP($B479,'IPCA Hist'!$B:$C,2,0))^12 - 1)+$S$2)^(1/252)</f>
        <v>47733685.161817797</v>
      </c>
      <c r="T479" s="2">
        <f>T478*(1+((1+VLOOKUP($B479,'IPCA Hist'!$B:$C,2,0))^12 - 1)+$T$2)^(1/252)</f>
        <v>241076077.90942997</v>
      </c>
      <c r="U479" s="2">
        <f>U478*(1+((1+VLOOKUP($B479,'IPCA Hist'!$B:$C,2,0))^12 - 1)+$U$2)^(1/252)</f>
        <v>21210161.599992055</v>
      </c>
      <c r="V479" s="2">
        <f>V478*(1+((1+VLOOKUP($B479,'IPCA Hist'!$B:$C,2,0))^12 - 1)+$V$2)^(1/252)</f>
        <v>82349391.593657658</v>
      </c>
      <c r="W479" s="2">
        <f>W478*(1+((1+VLOOKUP($B479,'IPCA Hist'!$B:$C,2,0))^12 - 1)+$W$2)^(1/252)</f>
        <v>43363079.079607539</v>
      </c>
      <c r="X479" s="2">
        <f>X478*(1+((1+VLOOKUP($B479,'IPCA Hist'!$B:$C,2,0))^12 - 1)+$X$2)^(1/252)</f>
        <v>14851055.290417628</v>
      </c>
      <c r="Y479" s="2">
        <f>Y478*(1+((1+VLOOKUP($B479,'IPCA Hist'!$B:$C,2,0))^12 - 1)+$Y$2)^(1/252)</f>
        <v>121023543.63839987</v>
      </c>
      <c r="Z479" s="2">
        <f>Z478*(1+((1+VLOOKUP($B479,'IPCA Hist'!$B:$C,2,0))^12 - 1)+$Z$2)^(1/252)</f>
        <v>82528047.346567005</v>
      </c>
      <c r="AA479" s="2">
        <f>AA478*(1+((1+VLOOKUP($B479,'IPCA Hist'!$B:$C,2,0))^12 - 1)+$AA$2)^(1/252)</f>
        <v>41514548.618936695</v>
      </c>
      <c r="AB479" s="2">
        <f>AB478*(1+((1+VLOOKUP($B479,'IPCA Hist'!$B:$C,2,0))^12 - 1)+$AB$2)^(1/252)</f>
        <v>41528268.205874242</v>
      </c>
      <c r="AC479" s="2">
        <f>AC478*(1+((1+VLOOKUP($B479,'IPCA Hist'!$B:$C,2,0))^12 - 1)+$AC$2)^(1/252)</f>
        <v>5160477.0316962982</v>
      </c>
      <c r="AD479" s="2">
        <f>AD478*(1+((1+VLOOKUP($B479,'IPCA Hist'!$B:$C,2,0))^12 - 1)+$AD$2)^(1/252)</f>
        <v>383842146.44385535</v>
      </c>
      <c r="AE479" s="2">
        <v>0</v>
      </c>
      <c r="AF479" s="2">
        <f>AF478*(1+((1+VLOOKUP($B479,'IGPM Hist'!$B:$C,2,0))^12 - 1)+$AF$2)^(1/252)</f>
        <v>1706623.2442571388</v>
      </c>
      <c r="AG479" s="2">
        <v>0</v>
      </c>
      <c r="AH479" s="2">
        <v>0</v>
      </c>
      <c r="AI479" s="2">
        <v>0</v>
      </c>
      <c r="AJ479" s="2">
        <f t="shared" ref="AJ479:AW479" si="256">AJ478*(1+AJ$2)^(1/252)</f>
        <v>55400300.653850883</v>
      </c>
      <c r="AK479" s="2">
        <f t="shared" si="256"/>
        <v>181857822.68163717</v>
      </c>
      <c r="AL479" s="2">
        <f t="shared" si="256"/>
        <v>37297290.801731996</v>
      </c>
      <c r="AM479" s="2">
        <f t="shared" si="256"/>
        <v>130576629.41377383</v>
      </c>
      <c r="AN479" s="2">
        <f t="shared" si="256"/>
        <v>55940778.809333369</v>
      </c>
      <c r="AO479" s="2">
        <f t="shared" si="256"/>
        <v>24033665.290861841</v>
      </c>
      <c r="AP479" s="2">
        <v>0</v>
      </c>
      <c r="AQ479" s="2">
        <v>0</v>
      </c>
      <c r="AR479" s="2">
        <v>0</v>
      </c>
      <c r="AS479" s="2">
        <f t="shared" si="256"/>
        <v>108790177.3190562</v>
      </c>
      <c r="AT479" s="2">
        <f t="shared" si="256"/>
        <v>5543407.9822750464</v>
      </c>
      <c r="AU479" s="2">
        <v>0</v>
      </c>
      <c r="AV479" s="2">
        <f t="shared" si="256"/>
        <v>55244642.688532643</v>
      </c>
      <c r="AW479" s="2">
        <f t="shared" si="256"/>
        <v>2864064.5312493588</v>
      </c>
      <c r="AX479" s="2">
        <v>0</v>
      </c>
      <c r="AY479" s="2">
        <v>0</v>
      </c>
      <c r="AZ479" s="2">
        <v>0</v>
      </c>
      <c r="BA479" s="2">
        <f>BA478*(1+VLOOKUP(A479,'SELIC Hist'!$A:$C,3,0)-0.01%)^(1/252)</f>
        <v>6545357.1978935031</v>
      </c>
      <c r="BB479" s="2">
        <f t="shared" ref="BB479:BB487" si="257">SUM(C479:BA479)</f>
        <v>1885415946.0296381</v>
      </c>
      <c r="BC479" s="2">
        <v>0</v>
      </c>
      <c r="BD479" s="2">
        <v>0</v>
      </c>
      <c r="BE479" s="2">
        <f t="shared" ref="BE479:BE487" si="258">BB479-BB478-BC479+BD479</f>
        <v>778329.25105524063</v>
      </c>
      <c r="BF479" s="2">
        <f t="shared" ref="BF479:BF487" si="259">IF(MONTH(A479)=MONTH(A478),BE479+BF478,BE479)</f>
        <v>-4450720.4281203747</v>
      </c>
      <c r="BG479" s="2">
        <f t="shared" ref="BG479:BG487" si="260">IF(YEAR(A479)=YEAR(A478),BE479+BG478,BE479)</f>
        <v>67224469.938832045</v>
      </c>
      <c r="BH479" s="11">
        <f t="shared" ref="BH479:BH487" si="261">(1+(BB479-BB478-BC479+BD479)/BB478)*BH478</f>
        <v>1.1965929393813548</v>
      </c>
      <c r="BI479" s="12">
        <f t="shared" ref="BI479:BI487" si="262">BH479/BH478 - 1</f>
        <v>4.1298615931562033E-4</v>
      </c>
      <c r="BJ479" s="12">
        <f t="shared" ref="BJ479:BJ487" si="263">IF(MONTH(A479)=MONTH(A478),(1+BI479)*(1+BJ478) - 1,BI479)</f>
        <v>-2.3550446743755282E-3</v>
      </c>
      <c r="BK479" s="12">
        <f t="shared" ref="BK479:BK487" si="264">IF(YEAR(A479)=YEAR(A478),(1+BI479)*(1+BK478) - 1,BI479)</f>
        <v>3.904255350730601E-2</v>
      </c>
      <c r="BL479" s="5">
        <f t="shared" ref="BL479:BL487" si="265">(1+BI479)*(1+BL478) - 1</f>
        <v>0.1965929393813548</v>
      </c>
      <c r="BM479" s="19">
        <f t="shared" ref="BM479:BM487" si="266">BH479/BH353 - 1</f>
        <v>5.40796351161692E-2</v>
      </c>
      <c r="BN479" s="19">
        <f t="shared" ref="BN479:BN487" si="267">BH479/BH227 - 1</f>
        <v>0.10030876036710712</v>
      </c>
      <c r="BO479" s="19" t="s">
        <v>53</v>
      </c>
    </row>
    <row r="480" spans="1:67" x14ac:dyDescent="0.25">
      <c r="A480" s="1">
        <v>45798</v>
      </c>
      <c r="B480" s="1" t="str">
        <f t="shared" si="223"/>
        <v>202505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4">
        <v>0</v>
      </c>
      <c r="J480" s="24">
        <v>0</v>
      </c>
      <c r="K480" s="24">
        <v>0</v>
      </c>
      <c r="L480" s="24">
        <v>0</v>
      </c>
      <c r="M480" s="24">
        <v>0</v>
      </c>
      <c r="N480" s="2">
        <v>0</v>
      </c>
      <c r="O480" s="2">
        <v>0</v>
      </c>
      <c r="P480" s="2">
        <v>0</v>
      </c>
      <c r="Q480" s="2">
        <f>Q479*(1+((1+VLOOKUP($B480,'IPCA Hist'!$B:$C,2,0))^12 - 1)+$Q$2)^(1/252)</f>
        <v>46738739.598447062</v>
      </c>
      <c r="R480" s="2">
        <f>R479*(1+((1+VLOOKUP($B480,'IPCA Hist'!$B:$C,2,0))^12 - 1)+$R$2)^(1/252)</f>
        <v>46725665.669756576</v>
      </c>
      <c r="S480" s="2">
        <f>S479*(1+((1+VLOOKUP($B480,'IPCA Hist'!$B:$C,2,0))^12 - 1)+$S$2)^(1/252)</f>
        <v>47748657.894347444</v>
      </c>
      <c r="T480" s="2">
        <f>T479*(1+((1+VLOOKUP($B480,'IPCA Hist'!$B:$C,2,0))^12 - 1)+$T$2)^(1/252)</f>
        <v>241151608.35847551</v>
      </c>
      <c r="U480" s="2">
        <f>U479*(1+((1+VLOOKUP($B480,'IPCA Hist'!$B:$C,2,0))^12 - 1)+$U$2)^(1/252)</f>
        <v>21217850.726934373</v>
      </c>
      <c r="V480" s="2">
        <f>V479*(1+((1+VLOOKUP($B480,'IPCA Hist'!$B:$C,2,0))^12 - 1)+$V$2)^(1/252)</f>
        <v>82383601.902865052</v>
      </c>
      <c r="W480" s="2">
        <f>W479*(1+((1+VLOOKUP($B480,'IPCA Hist'!$B:$C,2,0))^12 - 1)+$W$2)^(1/252)</f>
        <v>43381234.380566604</v>
      </c>
      <c r="X480" s="2">
        <f>X479*(1+((1+VLOOKUP($B480,'IPCA Hist'!$B:$C,2,0))^12 - 1)+$X$2)^(1/252)</f>
        <v>14856990.751442134</v>
      </c>
      <c r="Y480" s="2">
        <f>Y479*(1+((1+VLOOKUP($B480,'IPCA Hist'!$B:$C,2,0))^12 - 1)+$Y$2)^(1/252)</f>
        <v>121074473.24942869</v>
      </c>
      <c r="Z480" s="2">
        <f>Z479*(1+((1+VLOOKUP($B480,'IPCA Hist'!$B:$C,2,0))^12 - 1)+$Z$2)^(1/252)</f>
        <v>82560351.907469153</v>
      </c>
      <c r="AA480" s="2">
        <f>AA479*(1+((1+VLOOKUP($B480,'IPCA Hist'!$B:$C,2,0))^12 - 1)+$AA$2)^(1/252)</f>
        <v>41532610.797563918</v>
      </c>
      <c r="AB480" s="2">
        <f>AB479*(1+((1+VLOOKUP($B480,'IPCA Hist'!$B:$C,2,0))^12 - 1)+$AB$2)^(1/252)</f>
        <v>41546321.578008011</v>
      </c>
      <c r="AC480" s="2">
        <f>AC479*(1+((1+VLOOKUP($B480,'IPCA Hist'!$B:$C,2,0))^12 - 1)+$AC$2)^(1/252)</f>
        <v>5162546.9068238251</v>
      </c>
      <c r="AD480" s="2">
        <f>AD479*(1+((1+VLOOKUP($B480,'IPCA Hist'!$B:$C,2,0))^12 - 1)+$AD$2)^(1/252)</f>
        <v>383995960.10440624</v>
      </c>
      <c r="AE480" s="2">
        <v>0</v>
      </c>
      <c r="AF480" s="2">
        <f>AF479*(1+((1+VLOOKUP($B480,'IGPM Hist'!$B:$C,2,0))^12 - 1)+$AF$2)^(1/252)</f>
        <v>1706658.6999404244</v>
      </c>
      <c r="AG480" s="2">
        <v>0</v>
      </c>
      <c r="AH480" s="2">
        <v>0</v>
      </c>
      <c r="AI480" s="2">
        <v>0</v>
      </c>
      <c r="AJ480" s="2">
        <f t="shared" ref="AJ480:AW480" si="268">AJ479*(1+AJ$2)^(1/252)</f>
        <v>55425807.099808067</v>
      </c>
      <c r="AK480" s="2">
        <f t="shared" si="268"/>
        <v>181945685.51099065</v>
      </c>
      <c r="AL480" s="2">
        <f t="shared" si="268"/>
        <v>37315317.178366154</v>
      </c>
      <c r="AM480" s="2">
        <f t="shared" si="268"/>
        <v>130639704.76078205</v>
      </c>
      <c r="AN480" s="2">
        <f t="shared" si="268"/>
        <v>55967820.797393776</v>
      </c>
      <c r="AO480" s="2">
        <f t="shared" si="268"/>
        <v>24047450.427284181</v>
      </c>
      <c r="AP480" s="2">
        <v>0</v>
      </c>
      <c r="AQ480" s="2">
        <v>0</v>
      </c>
      <c r="AR480" s="2">
        <v>0</v>
      </c>
      <c r="AS480" s="2">
        <f t="shared" si="268"/>
        <v>108838646.2557746</v>
      </c>
      <c r="AT480" s="2">
        <f t="shared" si="268"/>
        <v>5546544.2386175422</v>
      </c>
      <c r="AU480" s="2">
        <v>0</v>
      </c>
      <c r="AV480" s="2">
        <f t="shared" si="268"/>
        <v>55269784.316406347</v>
      </c>
      <c r="AW480" s="2">
        <f t="shared" si="268"/>
        <v>2865664.1864243038</v>
      </c>
      <c r="AX480" s="2">
        <v>0</v>
      </c>
      <c r="AY480" s="2">
        <v>0</v>
      </c>
      <c r="AZ480" s="2">
        <v>0</v>
      </c>
      <c r="BA480" s="2">
        <f>BA479*(1+VLOOKUP(A480,'SELIC Hist'!$A:$C,3,0)-0.01%)^(1/252)</f>
        <v>6548906.8500765078</v>
      </c>
      <c r="BB480" s="2">
        <f t="shared" si="257"/>
        <v>1886194604.1483991</v>
      </c>
      <c r="BC480" s="2">
        <v>0</v>
      </c>
      <c r="BD480" s="2">
        <v>0</v>
      </c>
      <c r="BE480" s="2">
        <f t="shared" si="258"/>
        <v>778658.11876106262</v>
      </c>
      <c r="BF480" s="2">
        <f t="shared" si="259"/>
        <v>-3672062.3093593121</v>
      </c>
      <c r="BG480" s="2">
        <f t="shared" si="260"/>
        <v>68003128.057593107</v>
      </c>
      <c r="BH480" s="11">
        <f t="shared" si="261"/>
        <v>1.1970871204182043</v>
      </c>
      <c r="BI480" s="12">
        <f t="shared" si="262"/>
        <v>4.1299009929396391E-4</v>
      </c>
      <c r="BJ480" s="12">
        <f t="shared" si="263"/>
        <v>-1.9430271852154402E-3</v>
      </c>
      <c r="BK480" s="12">
        <f t="shared" si="264"/>
        <v>3.9471667794649612E-2</v>
      </c>
      <c r="BL480" s="5">
        <f t="shared" si="265"/>
        <v>0.19708712041820431</v>
      </c>
      <c r="BM480" s="19">
        <f t="shared" si="266"/>
        <v>5.4068512312114292E-2</v>
      </c>
      <c r="BN480" s="19">
        <f t="shared" si="267"/>
        <v>0.10035552130227354</v>
      </c>
      <c r="BO480" s="19" t="s">
        <v>53</v>
      </c>
    </row>
    <row r="481" spans="1:67" x14ac:dyDescent="0.25">
      <c r="A481" s="1">
        <v>45799</v>
      </c>
      <c r="B481" s="1" t="str">
        <f t="shared" si="223"/>
        <v>202505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">
        <v>0</v>
      </c>
      <c r="O481" s="2">
        <v>0</v>
      </c>
      <c r="P481" s="2">
        <v>0</v>
      </c>
      <c r="Q481" s="2">
        <f>Q480*(1+((1+VLOOKUP($B481,'IPCA Hist'!$B:$C,2,0))^12 - 1)+$Q$2)^(1/252)</f>
        <v>46753588.722741611</v>
      </c>
      <c r="R481" s="2">
        <f>R480*(1+((1+VLOOKUP($B481,'IPCA Hist'!$B:$C,2,0))^12 - 1)+$R$2)^(1/252)</f>
        <v>46740527.760573573</v>
      </c>
      <c r="S481" s="2">
        <f>S480*(1+((1+VLOOKUP($B481,'IPCA Hist'!$B:$C,2,0))^12 - 1)+$S$2)^(1/252)</f>
        <v>47763635.323407829</v>
      </c>
      <c r="T481" s="2">
        <f>T480*(1+((1+VLOOKUP($B481,'IPCA Hist'!$B:$C,2,0))^12 - 1)+$T$2)^(1/252)</f>
        <v>241227162.47162235</v>
      </c>
      <c r="U481" s="2">
        <f>U480*(1+((1+VLOOKUP($B481,'IPCA Hist'!$B:$C,2,0))^12 - 1)+$U$2)^(1/252)</f>
        <v>21225542.641345933</v>
      </c>
      <c r="V481" s="2">
        <f>V480*(1+((1+VLOOKUP($B481,'IPCA Hist'!$B:$C,2,0))^12 - 1)+$V$2)^(1/252)</f>
        <v>82417826.424020261</v>
      </c>
      <c r="W481" s="2">
        <f>W480*(1+((1+VLOOKUP($B481,'IPCA Hist'!$B:$C,2,0))^12 - 1)+$W$2)^(1/252)</f>
        <v>43399397.282806754</v>
      </c>
      <c r="X481" s="2">
        <f>X480*(1+((1+VLOOKUP($B481,'IPCA Hist'!$B:$C,2,0))^12 - 1)+$X$2)^(1/252)</f>
        <v>14862928.584668271</v>
      </c>
      <c r="Y481" s="2">
        <f>Y480*(1+((1+VLOOKUP($B481,'IPCA Hist'!$B:$C,2,0))^12 - 1)+$Y$2)^(1/252)</f>
        <v>121125424.29285985</v>
      </c>
      <c r="Z481" s="2">
        <f>Z480*(1+((1+VLOOKUP($B481,'IPCA Hist'!$B:$C,2,0))^12 - 1)+$Z$2)^(1/252)</f>
        <v>82592669.113583311</v>
      </c>
      <c r="AA481" s="2">
        <f>AA480*(1+((1+VLOOKUP($B481,'IPCA Hist'!$B:$C,2,0))^12 - 1)+$AA$2)^(1/252)</f>
        <v>41550680.834696352</v>
      </c>
      <c r="AB481" s="2">
        <f>AB480*(1+((1+VLOOKUP($B481,'IPCA Hist'!$B:$C,2,0))^12 - 1)+$AB$2)^(1/252)</f>
        <v>41564382.798392124</v>
      </c>
      <c r="AC481" s="2">
        <f>AC480*(1+((1+VLOOKUP($B481,'IPCA Hist'!$B:$C,2,0))^12 - 1)+$AC$2)^(1/252)</f>
        <v>5164617.6121813906</v>
      </c>
      <c r="AD481" s="2">
        <f>AD480*(1+((1+VLOOKUP($B481,'IPCA Hist'!$B:$C,2,0))^12 - 1)+$AD$2)^(1/252)</f>
        <v>384149835.40134174</v>
      </c>
      <c r="AE481" s="2">
        <v>0</v>
      </c>
      <c r="AF481" s="2">
        <f>AF480*(1+((1+VLOOKUP($B481,'IGPM Hist'!$B:$C,2,0))^12 - 1)+$AF$2)^(1/252)</f>
        <v>1706694.156360314</v>
      </c>
      <c r="AG481" s="2">
        <v>0</v>
      </c>
      <c r="AH481" s="2">
        <v>0</v>
      </c>
      <c r="AI481" s="2">
        <v>0</v>
      </c>
      <c r="AJ481" s="2">
        <f t="shared" ref="AJ481:AW481" si="269">AJ480*(1+AJ$2)^(1/252)</f>
        <v>55451325.289000899</v>
      </c>
      <c r="AK481" s="2">
        <f t="shared" si="269"/>
        <v>182033590.79041126</v>
      </c>
      <c r="AL481" s="2">
        <f t="shared" si="269"/>
        <v>37333352.267436191</v>
      </c>
      <c r="AM481" s="2">
        <f t="shared" si="269"/>
        <v>130702810.57648453</v>
      </c>
      <c r="AN481" s="2">
        <f t="shared" si="269"/>
        <v>55994875.857655428</v>
      </c>
      <c r="AO481" s="2">
        <f t="shared" si="269"/>
        <v>24061243.470531549</v>
      </c>
      <c r="AP481" s="2">
        <v>0</v>
      </c>
      <c r="AQ481" s="2">
        <v>0</v>
      </c>
      <c r="AR481" s="2">
        <v>0</v>
      </c>
      <c r="AS481" s="2">
        <f t="shared" si="269"/>
        <v>108887136.78670202</v>
      </c>
      <c r="AT481" s="2">
        <f t="shared" si="269"/>
        <v>5549682.2693385212</v>
      </c>
      <c r="AU481" s="2">
        <v>0</v>
      </c>
      <c r="AV481" s="2">
        <f t="shared" si="269"/>
        <v>55294937.386139773</v>
      </c>
      <c r="AW481" s="2">
        <f t="shared" si="269"/>
        <v>2867264.7350486284</v>
      </c>
      <c r="AX481" s="2">
        <v>0</v>
      </c>
      <c r="AY481" s="2">
        <v>0</v>
      </c>
      <c r="AZ481" s="2">
        <v>0</v>
      </c>
      <c r="BA481" s="2">
        <f>BA480*(1+VLOOKUP(A481,'SELIC Hist'!$A:$C,3,0)-0.01%)^(1/252)</f>
        <v>6552458.427292821</v>
      </c>
      <c r="BB481" s="2">
        <f t="shared" si="257"/>
        <v>1886973591.2766435</v>
      </c>
      <c r="BC481" s="2">
        <v>0</v>
      </c>
      <c r="BD481" s="2">
        <v>0</v>
      </c>
      <c r="BE481" s="2">
        <f t="shared" si="258"/>
        <v>778987.12824440002</v>
      </c>
      <c r="BF481" s="2">
        <f t="shared" si="259"/>
        <v>-2893075.181114912</v>
      </c>
      <c r="BG481" s="2">
        <f t="shared" si="260"/>
        <v>68782115.185837507</v>
      </c>
      <c r="BH481" s="11">
        <f t="shared" si="261"/>
        <v>1.1975815102633147</v>
      </c>
      <c r="BI481" s="12">
        <f t="shared" si="262"/>
        <v>4.1299403917882671E-4</v>
      </c>
      <c r="BJ481" s="12">
        <f t="shared" si="263"/>
        <v>-1.5308356046820348E-3</v>
      </c>
      <c r="BK481" s="12">
        <f t="shared" si="264"/>
        <v>3.9900963397344169E-2</v>
      </c>
      <c r="BL481" s="5">
        <f t="shared" si="265"/>
        <v>0.19758151026331472</v>
      </c>
      <c r="BM481" s="19">
        <f t="shared" si="266"/>
        <v>5.4057391299727753E-2</v>
      </c>
      <c r="BN481" s="19">
        <f t="shared" si="267"/>
        <v>0.10029149416544292</v>
      </c>
      <c r="BO481" s="19" t="s">
        <v>53</v>
      </c>
    </row>
    <row r="482" spans="1:67" x14ac:dyDescent="0.25">
      <c r="A482" s="1">
        <v>45800</v>
      </c>
      <c r="B482" s="1" t="str">
        <f t="shared" si="223"/>
        <v>202505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">
        <v>0</v>
      </c>
      <c r="O482" s="2">
        <v>0</v>
      </c>
      <c r="P482" s="2">
        <v>0</v>
      </c>
      <c r="Q482" s="2">
        <f>Q481*(1+((1+VLOOKUP($B482,'IPCA Hist'!$B:$C,2,0))^12 - 1)+$Q$2)^(1/252)</f>
        <v>46768442.564674981</v>
      </c>
      <c r="R482" s="2">
        <f>R481*(1+((1+VLOOKUP($B482,'IPCA Hist'!$B:$C,2,0))^12 - 1)+$R$2)^(1/252)</f>
        <v>46755394.578594357</v>
      </c>
      <c r="S482" s="2">
        <f>S481*(1+((1+VLOOKUP($B482,'IPCA Hist'!$B:$C,2,0))^12 - 1)+$S$2)^(1/252)</f>
        <v>47778617.450472116</v>
      </c>
      <c r="T482" s="2">
        <f>T481*(1+((1+VLOOKUP($B482,'IPCA Hist'!$B:$C,2,0))^12 - 1)+$T$2)^(1/252)</f>
        <v>241302740.25628462</v>
      </c>
      <c r="U482" s="2">
        <f>U481*(1+((1+VLOOKUP($B482,'IPCA Hist'!$B:$C,2,0))^12 - 1)+$U$2)^(1/252)</f>
        <v>21233237.344237257</v>
      </c>
      <c r="V482" s="2">
        <f>V481*(1+((1+VLOOKUP($B482,'IPCA Hist'!$B:$C,2,0))^12 - 1)+$V$2)^(1/252)</f>
        <v>82452065.163027346</v>
      </c>
      <c r="W482" s="2">
        <f>W481*(1+((1+VLOOKUP($B482,'IPCA Hist'!$B:$C,2,0))^12 - 1)+$W$2)^(1/252)</f>
        <v>43417567.789510503</v>
      </c>
      <c r="X482" s="2">
        <f>X481*(1+((1+VLOOKUP($B482,'IPCA Hist'!$B:$C,2,0))^12 - 1)+$X$2)^(1/252)</f>
        <v>14868868.791044125</v>
      </c>
      <c r="Y482" s="2">
        <f>Y481*(1+((1+VLOOKUP($B482,'IPCA Hist'!$B:$C,2,0))^12 - 1)+$Y$2)^(1/252)</f>
        <v>121176396.77771261</v>
      </c>
      <c r="Z482" s="2">
        <f>Z481*(1+((1+VLOOKUP($B482,'IPCA Hist'!$B:$C,2,0))^12 - 1)+$Z$2)^(1/252)</f>
        <v>82624998.969859287</v>
      </c>
      <c r="AA482" s="2">
        <f>AA481*(1+((1+VLOOKUP($B482,'IPCA Hist'!$B:$C,2,0))^12 - 1)+$AA$2)^(1/252)</f>
        <v>41568758.733753085</v>
      </c>
      <c r="AB482" s="2">
        <f>AB481*(1+((1+VLOOKUP($B482,'IPCA Hist'!$B:$C,2,0))^12 - 1)+$AB$2)^(1/252)</f>
        <v>41582451.870438419</v>
      </c>
      <c r="AC482" s="2">
        <f>AC481*(1+((1+VLOOKUP($B482,'IPCA Hist'!$B:$C,2,0))^12 - 1)+$AC$2)^(1/252)</f>
        <v>5166689.1481020004</v>
      </c>
      <c r="AD482" s="2">
        <f>AD481*(1+((1+VLOOKUP($B482,'IPCA Hist'!$B:$C,2,0))^12 - 1)+$AD$2)^(1/252)</f>
        <v>384303772.35936087</v>
      </c>
      <c r="AE482" s="2">
        <v>0</v>
      </c>
      <c r="AF482" s="2">
        <f>AF481*(1+((1+VLOOKUP($B482,'IGPM Hist'!$B:$C,2,0))^12 - 1)+$AF$2)^(1/252)</f>
        <v>1706729.6135168227</v>
      </c>
      <c r="AG482" s="2">
        <v>0</v>
      </c>
      <c r="AH482" s="2">
        <v>0</v>
      </c>
      <c r="AI482" s="2">
        <v>0</v>
      </c>
      <c r="AJ482" s="2">
        <f t="shared" ref="AJ482:AW482" si="270">AJ481*(1+AJ$2)^(1/252)</f>
        <v>55476855.226835988</v>
      </c>
      <c r="AK482" s="2">
        <f t="shared" si="270"/>
        <v>182121538.54040834</v>
      </c>
      <c r="AL482" s="2">
        <f t="shared" si="270"/>
        <v>37351396.073152967</v>
      </c>
      <c r="AM482" s="2">
        <f t="shared" si="270"/>
        <v>130765946.87559925</v>
      </c>
      <c r="AN482" s="2">
        <f t="shared" si="270"/>
        <v>56021943.996437475</v>
      </c>
      <c r="AO482" s="2">
        <f t="shared" si="270"/>
        <v>24075044.425139107</v>
      </c>
      <c r="AP482" s="2">
        <v>0</v>
      </c>
      <c r="AQ482" s="2">
        <v>0</v>
      </c>
      <c r="AR482" s="2">
        <v>0</v>
      </c>
      <c r="AS482" s="2">
        <f t="shared" si="270"/>
        <v>108935648.92145924</v>
      </c>
      <c r="AT482" s="2">
        <f t="shared" si="270"/>
        <v>5552822.0754418606</v>
      </c>
      <c r="AU482" s="2">
        <v>0</v>
      </c>
      <c r="AV482" s="2">
        <f t="shared" si="270"/>
        <v>55320101.902940065</v>
      </c>
      <c r="AW482" s="2">
        <f t="shared" si="270"/>
        <v>2868866.1776213474</v>
      </c>
      <c r="AX482" s="2">
        <v>0</v>
      </c>
      <c r="AY482" s="2">
        <v>0</v>
      </c>
      <c r="AZ482" s="2">
        <v>0</v>
      </c>
      <c r="BA482" s="2">
        <v>6556011.9000000004</v>
      </c>
      <c r="BB482" s="2">
        <f t="shared" si="257"/>
        <v>1887752907.5256243</v>
      </c>
      <c r="BC482" s="2">
        <v>0</v>
      </c>
      <c r="BD482" s="2">
        <v>0</v>
      </c>
      <c r="BE482" s="2">
        <f t="shared" si="258"/>
        <v>779316.24898076057</v>
      </c>
      <c r="BF482" s="2">
        <f t="shared" si="259"/>
        <v>-2113758.9321341515</v>
      </c>
      <c r="BG482" s="2">
        <f t="shared" si="260"/>
        <v>69561431.434818268</v>
      </c>
      <c r="BH482" s="11">
        <f t="shared" si="261"/>
        <v>1.1980761089872933</v>
      </c>
      <c r="BI482" s="12">
        <f t="shared" si="262"/>
        <v>4.1299796276073053E-4</v>
      </c>
      <c r="BJ482" s="12">
        <f t="shared" si="263"/>
        <v>-1.1184698739074017E-3</v>
      </c>
      <c r="BK482" s="12">
        <f t="shared" si="264"/>
        <v>4.0330440376700194E-2</v>
      </c>
      <c r="BL482" s="5">
        <f t="shared" si="265"/>
        <v>0.19807610898729333</v>
      </c>
      <c r="BM482" s="19">
        <f t="shared" si="266"/>
        <v>5.4046272061678335E-2</v>
      </c>
      <c r="BN482" s="19">
        <f t="shared" si="267"/>
        <v>0.1002670506129637</v>
      </c>
      <c r="BO482" s="19" t="s">
        <v>53</v>
      </c>
    </row>
    <row r="483" spans="1:67" x14ac:dyDescent="0.25">
      <c r="A483" s="1">
        <v>45803</v>
      </c>
      <c r="B483" s="1" t="str">
        <f t="shared" si="223"/>
        <v>202505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4">
        <v>0</v>
      </c>
      <c r="J483" s="24">
        <v>0</v>
      </c>
      <c r="K483" s="24">
        <v>0</v>
      </c>
      <c r="L483" s="24">
        <v>0</v>
      </c>
      <c r="M483" s="24">
        <v>0</v>
      </c>
      <c r="N483" s="2">
        <v>0</v>
      </c>
      <c r="O483" s="2">
        <v>0</v>
      </c>
      <c r="P483" s="2">
        <v>0</v>
      </c>
      <c r="Q483" s="2">
        <f>Q482*(1+((1+VLOOKUP($B483,'IPCA Hist'!$B:$C,2,0))^12 - 1)+$Q$2)^(1/252)</f>
        <v>46783301.125745982</v>
      </c>
      <c r="R483" s="2">
        <f>R482*(1+((1+VLOOKUP($B483,'IPCA Hist'!$B:$C,2,0))^12 - 1)+$R$2)^(1/252)</f>
        <v>46770266.125322506</v>
      </c>
      <c r="S483" s="2">
        <f>S482*(1+((1+VLOOKUP($B483,'IPCA Hist'!$B:$C,2,0))^12 - 1)+$S$2)^(1/252)</f>
        <v>47793604.277013943</v>
      </c>
      <c r="T483" s="2">
        <f>T482*(1+((1+VLOOKUP($B483,'IPCA Hist'!$B:$C,2,0))^12 - 1)+$T$2)^(1/252)</f>
        <v>241378341.7198787</v>
      </c>
      <c r="U483" s="2">
        <f>U482*(1+((1+VLOOKUP($B483,'IPCA Hist'!$B:$C,2,0))^12 - 1)+$U$2)^(1/252)</f>
        <v>21240934.836619221</v>
      </c>
      <c r="V483" s="2">
        <f>V482*(1+((1+VLOOKUP($B483,'IPCA Hist'!$B:$C,2,0))^12 - 1)+$V$2)^(1/252)</f>
        <v>82486318.125792801</v>
      </c>
      <c r="W483" s="2">
        <f>W482*(1+((1+VLOOKUP($B483,'IPCA Hist'!$B:$C,2,0))^12 - 1)+$W$2)^(1/252)</f>
        <v>43435745.903861701</v>
      </c>
      <c r="X483" s="2">
        <f>X482*(1+((1+VLOOKUP($B483,'IPCA Hist'!$B:$C,2,0))^12 - 1)+$X$2)^(1/252)</f>
        <v>14874811.371518167</v>
      </c>
      <c r="Y483" s="2">
        <f>Y482*(1+((1+VLOOKUP($B483,'IPCA Hist'!$B:$C,2,0))^12 - 1)+$Y$2)^(1/252)</f>
        <v>121227390.71301004</v>
      </c>
      <c r="Z483" s="2">
        <f>Z482*(1+((1+VLOOKUP($B483,'IPCA Hist'!$B:$C,2,0))^12 - 1)+$Z$2)^(1/252)</f>
        <v>82657341.481248811</v>
      </c>
      <c r="AA483" s="2">
        <f>AA482*(1+((1+VLOOKUP($B483,'IPCA Hist'!$B:$C,2,0))^12 - 1)+$AA$2)^(1/252)</f>
        <v>41586844.498154692</v>
      </c>
      <c r="AB483" s="2">
        <f>AB482*(1+((1+VLOOKUP($B483,'IPCA Hist'!$B:$C,2,0))^12 - 1)+$AB$2)^(1/252)</f>
        <v>41600528.797560208</v>
      </c>
      <c r="AC483" s="2">
        <f>AC482*(1+((1+VLOOKUP($B483,'IPCA Hist'!$B:$C,2,0))^12 - 1)+$AC$2)^(1/252)</f>
        <v>5168761.5149187958</v>
      </c>
      <c r="AD483" s="2">
        <f>AD482*(1+((1+VLOOKUP($B483,'IPCA Hist'!$B:$C,2,0))^12 - 1)+$AD$2)^(1/252)</f>
        <v>384457771.00317252</v>
      </c>
      <c r="AE483" s="2">
        <v>0</v>
      </c>
      <c r="AF483" s="2">
        <f>AF482*(1+((1+VLOOKUP($B483,'IGPM Hist'!$B:$C,2,0))^12 - 1)+$AF$2)^(1/252)</f>
        <v>1706765.0714099661</v>
      </c>
      <c r="AG483" s="2">
        <v>0</v>
      </c>
      <c r="AH483" s="2">
        <v>0</v>
      </c>
      <c r="AI483" s="2">
        <v>0</v>
      </c>
      <c r="AJ483" s="2">
        <f t="shared" ref="AJ483:AW483" si="271">AJ482*(1+AJ$2)^(1/252)</f>
        <v>55502396.918722451</v>
      </c>
      <c r="AK483" s="2">
        <f t="shared" si="271"/>
        <v>182209528.78150114</v>
      </c>
      <c r="AL483" s="2">
        <f t="shared" si="271"/>
        <v>37369448.599729374</v>
      </c>
      <c r="AM483" s="2">
        <f t="shared" si="271"/>
        <v>130829113.67285129</v>
      </c>
      <c r="AN483" s="2">
        <f t="shared" si="271"/>
        <v>56049025.220062122</v>
      </c>
      <c r="AO483" s="2">
        <f t="shared" si="271"/>
        <v>24088853.295644626</v>
      </c>
      <c r="AP483" s="2">
        <v>0</v>
      </c>
      <c r="AQ483" s="2">
        <v>0</v>
      </c>
      <c r="AR483" s="2">
        <v>0</v>
      </c>
      <c r="AS483" s="2">
        <f t="shared" si="271"/>
        <v>108984182.66967134</v>
      </c>
      <c r="AT483" s="2">
        <f t="shared" si="271"/>
        <v>5555963.6579320077</v>
      </c>
      <c r="AU483" s="2">
        <v>0</v>
      </c>
      <c r="AV483" s="2">
        <f t="shared" si="271"/>
        <v>55345277.87201675</v>
      </c>
      <c r="AW483" s="2">
        <f t="shared" si="271"/>
        <v>2870468.5146417548</v>
      </c>
      <c r="AX483" s="2">
        <v>0</v>
      </c>
      <c r="AY483" s="2">
        <v>0</v>
      </c>
      <c r="AZ483" s="2">
        <v>0</v>
      </c>
      <c r="BA483" s="2">
        <f>BA482*(1+VLOOKUP(A483,'SELIC Hist'!$A:$C,3,0)-0.01%)^(1/252)</f>
        <v>6559567.330398838</v>
      </c>
      <c r="BB483" s="2">
        <f t="shared" si="257"/>
        <v>1888532553.0983994</v>
      </c>
      <c r="BC483" s="2">
        <v>0</v>
      </c>
      <c r="BD483" s="2">
        <v>0</v>
      </c>
      <c r="BE483" s="2">
        <f t="shared" si="258"/>
        <v>779645.5727751255</v>
      </c>
      <c r="BF483" s="2">
        <f t="shared" si="259"/>
        <v>-1334113.359359026</v>
      </c>
      <c r="BG483" s="2">
        <f t="shared" si="260"/>
        <v>70341077.007593393</v>
      </c>
      <c r="BH483" s="11">
        <f t="shared" si="261"/>
        <v>1.1985709167190128</v>
      </c>
      <c r="BI483" s="12">
        <f t="shared" si="262"/>
        <v>4.1300191866588953E-4</v>
      </c>
      <c r="BJ483" s="12">
        <f t="shared" si="263"/>
        <v>-7.0592988544537771E-4</v>
      </c>
      <c r="BK483" s="12">
        <f t="shared" si="264"/>
        <v>4.0760098844622394E-2</v>
      </c>
      <c r="BL483" s="5">
        <f t="shared" si="265"/>
        <v>0.19857091671901284</v>
      </c>
      <c r="BM483" s="19">
        <f t="shared" si="266"/>
        <v>5.4035154631870252E-2</v>
      </c>
      <c r="BN483" s="19">
        <f t="shared" si="267"/>
        <v>0.10012619544120671</v>
      </c>
      <c r="BO483" s="19" t="s">
        <v>53</v>
      </c>
    </row>
    <row r="484" spans="1:67" x14ac:dyDescent="0.25">
      <c r="A484" s="1">
        <v>45804</v>
      </c>
      <c r="B484" s="1" t="str">
        <f t="shared" si="223"/>
        <v>202505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4">
        <v>0</v>
      </c>
      <c r="J484" s="24">
        <v>0</v>
      </c>
      <c r="K484" s="24">
        <v>0</v>
      </c>
      <c r="L484" s="24">
        <v>0</v>
      </c>
      <c r="M484" s="24">
        <v>0</v>
      </c>
      <c r="N484" s="2">
        <v>0</v>
      </c>
      <c r="O484" s="2">
        <v>0</v>
      </c>
      <c r="P484" s="2">
        <v>0</v>
      </c>
      <c r="Q484" s="2">
        <f>Q483*(1+((1+VLOOKUP($B484,'IPCA Hist'!$B:$C,2,0))^12 - 1)+$Q$2)^(1/252)</f>
        <v>46798164.407453917</v>
      </c>
      <c r="R484" s="2">
        <f>R483*(1+((1+VLOOKUP($B484,'IPCA Hist'!$B:$C,2,0))^12 - 1)+$R$2)^(1/252)</f>
        <v>46785142.402262092</v>
      </c>
      <c r="S484" s="2">
        <f>S483*(1+((1+VLOOKUP($B484,'IPCA Hist'!$B:$C,2,0))^12 - 1)+$S$2)^(1/252)</f>
        <v>47808595.804507405</v>
      </c>
      <c r="T484" s="2">
        <f>T483*(1+((1+VLOOKUP($B484,'IPCA Hist'!$B:$C,2,0))^12 - 1)+$T$2)^(1/252)</f>
        <v>241453966.86982337</v>
      </c>
      <c r="U484" s="2">
        <f>U483*(1+((1+VLOOKUP($B484,'IPCA Hist'!$B:$C,2,0))^12 - 1)+$U$2)^(1/252)</f>
        <v>21248635.119503077</v>
      </c>
      <c r="V484" s="2">
        <f>V483*(1+((1+VLOOKUP($B484,'IPCA Hist'!$B:$C,2,0))^12 - 1)+$V$2)^(1/252)</f>
        <v>82520585.318225592</v>
      </c>
      <c r="W484" s="2">
        <f>W483*(1+((1+VLOOKUP($B484,'IPCA Hist'!$B:$C,2,0))^12 - 1)+$W$2)^(1/252)</f>
        <v>43453931.629045524</v>
      </c>
      <c r="X484" s="2">
        <f>X483*(1+((1+VLOOKUP($B484,'IPCA Hist'!$B:$C,2,0))^12 - 1)+$X$2)^(1/252)</f>
        <v>14880756.32703924</v>
      </c>
      <c r="Y484" s="2">
        <f>Y483*(1+((1+VLOOKUP($B484,'IPCA Hist'!$B:$C,2,0))^12 - 1)+$Y$2)^(1/252)</f>
        <v>121278406.10777901</v>
      </c>
      <c r="Z484" s="2">
        <f>Z483*(1+((1+VLOOKUP($B484,'IPCA Hist'!$B:$C,2,0))^12 - 1)+$Z$2)^(1/252)</f>
        <v>82689696.65270558</v>
      </c>
      <c r="AA484" s="2">
        <f>AA483*(1+((1+VLOOKUP($B484,'IPCA Hist'!$B:$C,2,0))^12 - 1)+$AA$2)^(1/252)</f>
        <v>41604938.131323226</v>
      </c>
      <c r="AB484" s="2">
        <f>AB483*(1+((1+VLOOKUP($B484,'IPCA Hist'!$B:$C,2,0))^12 - 1)+$AB$2)^(1/252)</f>
        <v>41618613.583172284</v>
      </c>
      <c r="AC484" s="2">
        <f>AC483*(1+((1+VLOOKUP($B484,'IPCA Hist'!$B:$C,2,0))^12 - 1)+$AC$2)^(1/252)</f>
        <v>5170834.7129650498</v>
      </c>
      <c r="AD484" s="2">
        <f>AD483*(1+((1+VLOOKUP($B484,'IPCA Hist'!$B:$C,2,0))^12 - 1)+$AD$2)^(1/252)</f>
        <v>384611831.35749549</v>
      </c>
      <c r="AE484" s="2">
        <v>0</v>
      </c>
      <c r="AF484" s="2">
        <f>AF483*(1+((1+VLOOKUP($B484,'IGPM Hist'!$B:$C,2,0))^12 - 1)+$AF$2)^(1/252)</f>
        <v>1706800.5300397594</v>
      </c>
      <c r="AG484" s="2">
        <v>0</v>
      </c>
      <c r="AH484" s="2">
        <v>0</v>
      </c>
      <c r="AI484" s="2">
        <v>0</v>
      </c>
      <c r="AJ484" s="2">
        <f t="shared" ref="AJ484:AW484" si="272">AJ483*(1+AJ$2)^(1/252)</f>
        <v>55527950.370071873</v>
      </c>
      <c r="AK484" s="2">
        <f t="shared" si="272"/>
        <v>182297561.53421882</v>
      </c>
      <c r="AL484" s="2">
        <f t="shared" si="272"/>
        <v>37387509.851380341</v>
      </c>
      <c r="AM484" s="2">
        <f t="shared" si="272"/>
        <v>130892310.98297286</v>
      </c>
      <c r="AN484" s="2">
        <f t="shared" si="272"/>
        <v>56076119.534854636</v>
      </c>
      <c r="AO484" s="2">
        <f t="shared" si="272"/>
        <v>24102670.086588472</v>
      </c>
      <c r="AP484" s="2">
        <v>0</v>
      </c>
      <c r="AQ484" s="2">
        <v>0</v>
      </c>
      <c r="AR484" s="2">
        <v>0</v>
      </c>
      <c r="AS484" s="2">
        <f t="shared" si="272"/>
        <v>109032738.0409677</v>
      </c>
      <c r="AT484" s="2">
        <f t="shared" si="272"/>
        <v>5559107.0178139759</v>
      </c>
      <c r="AU484" s="2">
        <v>0</v>
      </c>
      <c r="AV484" s="2">
        <f t="shared" si="272"/>
        <v>55370465.298581712</v>
      </c>
      <c r="AW484" s="2">
        <f t="shared" si="272"/>
        <v>2872071.7466094228</v>
      </c>
      <c r="AX484" s="2">
        <v>0</v>
      </c>
      <c r="AY484" s="2">
        <v>0</v>
      </c>
      <c r="AZ484" s="2">
        <v>0</v>
      </c>
      <c r="BA484" s="2">
        <f>BA483*(1+VLOOKUP(A484,'SELIC Hist'!$A:$C,3,0)-0.01%)^(1/252)</f>
        <v>6563124.6889646025</v>
      </c>
      <c r="BB484" s="2">
        <f t="shared" si="257"/>
        <v>1889312528.1063647</v>
      </c>
      <c r="BC484" s="2">
        <v>0</v>
      </c>
      <c r="BD484" s="2">
        <v>0</v>
      </c>
      <c r="BE484" s="2">
        <f t="shared" si="258"/>
        <v>779975.00796532631</v>
      </c>
      <c r="BF484" s="2">
        <f t="shared" si="259"/>
        <v>-554138.35139369965</v>
      </c>
      <c r="BG484" s="2">
        <f t="shared" si="260"/>
        <v>71121052.01555872</v>
      </c>
      <c r="BH484" s="11">
        <f t="shared" si="261"/>
        <v>1.1990659335291713</v>
      </c>
      <c r="BI484" s="12">
        <f t="shared" si="262"/>
        <v>4.1300585827119818E-4</v>
      </c>
      <c r="BJ484" s="12">
        <f t="shared" si="263"/>
        <v>-2.932155803524461E-4</v>
      </c>
      <c r="BK484" s="12">
        <f t="shared" si="264"/>
        <v>4.1189938862500108E-2</v>
      </c>
      <c r="BL484" s="5">
        <f t="shared" si="265"/>
        <v>0.19906593352917135</v>
      </c>
      <c r="BM484" s="19">
        <f t="shared" si="266"/>
        <v>5.4024038992975809E-2</v>
      </c>
      <c r="BN484" s="19">
        <f t="shared" si="267"/>
        <v>0.10026617316210884</v>
      </c>
      <c r="BO484" s="19" t="s">
        <v>53</v>
      </c>
    </row>
    <row r="485" spans="1:67" x14ac:dyDescent="0.25">
      <c r="A485" s="1">
        <v>45805</v>
      </c>
      <c r="B485" s="1" t="str">
        <f t="shared" si="223"/>
        <v>202505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4">
        <v>0</v>
      </c>
      <c r="J485" s="24">
        <v>0</v>
      </c>
      <c r="K485" s="24">
        <v>0</v>
      </c>
      <c r="L485" s="24">
        <v>0</v>
      </c>
      <c r="M485" s="24">
        <v>0</v>
      </c>
      <c r="N485" s="2">
        <v>0</v>
      </c>
      <c r="O485" s="2">
        <v>0</v>
      </c>
      <c r="P485" s="2">
        <v>0</v>
      </c>
      <c r="Q485" s="2">
        <f>Q484*(1+((1+VLOOKUP($B485,'IPCA Hist'!$B:$C,2,0))^12 - 1)+$Q$2)^(1/252)</f>
        <v>46813032.411298551</v>
      </c>
      <c r="R485" s="2">
        <f>R484*(1+((1+VLOOKUP($B485,'IPCA Hist'!$B:$C,2,0))^12 - 1)+$R$2)^(1/252)</f>
        <v>46800023.410917655</v>
      </c>
      <c r="S485" s="2">
        <f>S484*(1+((1+VLOOKUP($B485,'IPCA Hist'!$B:$C,2,0))^12 - 1)+$S$2)^(1/252)</f>
        <v>47823592.034427062</v>
      </c>
      <c r="T485" s="2">
        <f>T484*(1+((1+VLOOKUP($B485,'IPCA Hist'!$B:$C,2,0))^12 - 1)+$T$2)^(1/252)</f>
        <v>241529615.71353966</v>
      </c>
      <c r="U485" s="2">
        <f>U484*(1+((1+VLOOKUP($B485,'IPCA Hist'!$B:$C,2,0))^12 - 1)+$U$2)^(1/252)</f>
        <v>21256338.19390044</v>
      </c>
      <c r="V485" s="2">
        <f>V484*(1+((1+VLOOKUP($B485,'IPCA Hist'!$B:$C,2,0))^12 - 1)+$V$2)^(1/252)</f>
        <v>82554866.746237129</v>
      </c>
      <c r="W485" s="2">
        <f>W484*(1+((1+VLOOKUP($B485,'IPCA Hist'!$B:$C,2,0))^12 - 1)+$W$2)^(1/252)</f>
        <v>43472124.968248479</v>
      </c>
      <c r="X485" s="2">
        <f>X484*(1+((1+VLOOKUP($B485,'IPCA Hist'!$B:$C,2,0))^12 - 1)+$X$2)^(1/252)</f>
        <v>14886703.658556569</v>
      </c>
      <c r="Y485" s="2">
        <f>Y484*(1+((1+VLOOKUP($B485,'IPCA Hist'!$B:$C,2,0))^12 - 1)+$Y$2)^(1/252)</f>
        <v>121329442.97105017</v>
      </c>
      <c r="Z485" s="2">
        <f>Z484*(1+((1+VLOOKUP($B485,'IPCA Hist'!$B:$C,2,0))^12 - 1)+$Z$2)^(1/252)</f>
        <v>82722064.489185214</v>
      </c>
      <c r="AA485" s="2">
        <f>AA484*(1+((1+VLOOKUP($B485,'IPCA Hist'!$B:$C,2,0))^12 - 1)+$AA$2)^(1/252)</f>
        <v>41623039.636682235</v>
      </c>
      <c r="AB485" s="2">
        <f>AB484*(1+((1+VLOOKUP($B485,'IPCA Hist'!$B:$C,2,0))^12 - 1)+$AB$2)^(1/252)</f>
        <v>41636706.230690926</v>
      </c>
      <c r="AC485" s="2">
        <f>AC484*(1+((1+VLOOKUP($B485,'IPCA Hist'!$B:$C,2,0))^12 - 1)+$AC$2)^(1/252)</f>
        <v>5172908.7425741693</v>
      </c>
      <c r="AD485" s="2">
        <f>AD484*(1+((1+VLOOKUP($B485,'IPCA Hist'!$B:$C,2,0))^12 - 1)+$AD$2)^(1/252)</f>
        <v>384765953.4470585</v>
      </c>
      <c r="AE485" s="2">
        <v>0</v>
      </c>
      <c r="AF485" s="2">
        <f>AF484*(1+((1+VLOOKUP($B485,'IGPM Hist'!$B:$C,2,0))^12 - 1)+$AF$2)^(1/252)</f>
        <v>1706835.9894062178</v>
      </c>
      <c r="AG485" s="2">
        <v>0</v>
      </c>
      <c r="AH485" s="2">
        <v>0</v>
      </c>
      <c r="AI485" s="2">
        <v>0</v>
      </c>
      <c r="AJ485" s="2">
        <f t="shared" ref="AJ485:AW485" si="273">AJ484*(1+AJ$2)^(1/252)</f>
        <v>55553515.586298347</v>
      </c>
      <c r="AK485" s="2">
        <f t="shared" si="273"/>
        <v>182385636.81910044</v>
      </c>
      <c r="AL485" s="2">
        <f t="shared" si="273"/>
        <v>37405579.832322843</v>
      </c>
      <c r="AM485" s="2">
        <f t="shared" si="273"/>
        <v>130955538.82070327</v>
      </c>
      <c r="AN485" s="2">
        <f t="shared" si="273"/>
        <v>56103226.947143331</v>
      </c>
      <c r="AO485" s="2">
        <f t="shared" si="273"/>
        <v>24116494.802513622</v>
      </c>
      <c r="AP485" s="2">
        <v>0</v>
      </c>
      <c r="AQ485" s="2">
        <v>0</v>
      </c>
      <c r="AR485" s="2">
        <v>0</v>
      </c>
      <c r="AS485" s="2">
        <f t="shared" si="273"/>
        <v>109081315.04498199</v>
      </c>
      <c r="AT485" s="2">
        <f t="shared" si="273"/>
        <v>5562252.1560933487</v>
      </c>
      <c r="AU485" s="2">
        <v>0</v>
      </c>
      <c r="AV485" s="2">
        <f t="shared" si="273"/>
        <v>55395664.187849209</v>
      </c>
      <c r="AW485" s="2">
        <f t="shared" si="273"/>
        <v>2873675.874024203</v>
      </c>
      <c r="AX485" s="2">
        <v>0</v>
      </c>
      <c r="AY485" s="2">
        <v>0</v>
      </c>
      <c r="AZ485" s="2">
        <v>0</v>
      </c>
      <c r="BA485" s="2">
        <f>BA484*(1+VLOOKUP(A485,'SELIC Hist'!$A:$C,3,0)-0.01%)^(1/252)</f>
        <v>6566683.9767429708</v>
      </c>
      <c r="BB485" s="2">
        <f t="shared" si="257"/>
        <v>1890092832.6915467</v>
      </c>
      <c r="BC485" s="2">
        <v>0</v>
      </c>
      <c r="BD485" s="2">
        <v>0</v>
      </c>
      <c r="BE485" s="2">
        <f t="shared" si="258"/>
        <v>780304.58518195152</v>
      </c>
      <c r="BF485" s="2">
        <f t="shared" si="259"/>
        <v>226166.23378825188</v>
      </c>
      <c r="BG485" s="2">
        <f t="shared" si="260"/>
        <v>71901356.600740671</v>
      </c>
      <c r="BH485" s="11">
        <f t="shared" si="261"/>
        <v>1.1995611595079068</v>
      </c>
      <c r="BI485" s="12">
        <f t="shared" si="262"/>
        <v>4.1300979778302604E-4</v>
      </c>
      <c r="BJ485" s="12">
        <f t="shared" si="263"/>
        <v>1.1967311652294477E-4</v>
      </c>
      <c r="BK485" s="12">
        <f t="shared" si="264"/>
        <v>4.1619960508603393E-2</v>
      </c>
      <c r="BL485" s="5">
        <f t="shared" si="265"/>
        <v>0.19956115950790676</v>
      </c>
      <c r="BM485" s="19">
        <f t="shared" si="266"/>
        <v>5.4012925144743207E-2</v>
      </c>
      <c r="BN485" s="19">
        <f t="shared" si="267"/>
        <v>0.10023298664878966</v>
      </c>
      <c r="BO485" s="19" t="s">
        <v>53</v>
      </c>
    </row>
    <row r="486" spans="1:67" x14ac:dyDescent="0.25">
      <c r="A486" s="1">
        <v>45806</v>
      </c>
      <c r="B486" s="1" t="str">
        <f t="shared" si="223"/>
        <v>202505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">
        <v>0</v>
      </c>
      <c r="O486" s="2">
        <v>0</v>
      </c>
      <c r="P486" s="2">
        <v>0</v>
      </c>
      <c r="Q486" s="2">
        <f>Q485*(1+((1+VLOOKUP($B486,'IPCA Hist'!$B:$C,2,0))^12 - 1)+$Q$2)^(1/252)</f>
        <v>46827905.138780124</v>
      </c>
      <c r="R486" s="2">
        <f>R485*(1+((1+VLOOKUP($B486,'IPCA Hist'!$B:$C,2,0))^12 - 1)+$R$2)^(1/252)</f>
        <v>46814909.15279422</v>
      </c>
      <c r="S486" s="2">
        <f>S485*(1+((1+VLOOKUP($B486,'IPCA Hist'!$B:$C,2,0))^12 - 1)+$S$2)^(1/252)</f>
        <v>47838592.968247928</v>
      </c>
      <c r="T486" s="2">
        <f>T485*(1+((1+VLOOKUP($B486,'IPCA Hist'!$B:$C,2,0))^12 - 1)+$T$2)^(1/252)</f>
        <v>241605288.25845096</v>
      </c>
      <c r="U486" s="2">
        <f>U485*(1+((1+VLOOKUP($B486,'IPCA Hist'!$B:$C,2,0))^12 - 1)+$U$2)^(1/252)</f>
        <v>21264044.060823292</v>
      </c>
      <c r="V486" s="2">
        <f>V485*(1+((1+VLOOKUP($B486,'IPCA Hist'!$B:$C,2,0))^12 - 1)+$V$2)^(1/252)</f>
        <v>82589162.41574128</v>
      </c>
      <c r="W486" s="2">
        <f>W485*(1+((1+VLOOKUP($B486,'IPCA Hist'!$B:$C,2,0))^12 - 1)+$W$2)^(1/252)</f>
        <v>43490325.924658418</v>
      </c>
      <c r="X486" s="2">
        <f>X485*(1+((1+VLOOKUP($B486,'IPCA Hist'!$B:$C,2,0))^12 - 1)+$X$2)^(1/252)</f>
        <v>14892653.367019761</v>
      </c>
      <c r="Y486" s="2">
        <f>Y485*(1+((1+VLOOKUP($B486,'IPCA Hist'!$B:$C,2,0))^12 - 1)+$Y$2)^(1/252)</f>
        <v>121380501.31185798</v>
      </c>
      <c r="Z486" s="2">
        <f>Z485*(1+((1+VLOOKUP($B486,'IPCA Hist'!$B:$C,2,0))^12 - 1)+$Z$2)^(1/252)</f>
        <v>82754444.995645285</v>
      </c>
      <c r="AA486" s="2">
        <f>AA485*(1+((1+VLOOKUP($B486,'IPCA Hist'!$B:$C,2,0))^12 - 1)+$AA$2)^(1/252)</f>
        <v>41641149.017656758</v>
      </c>
      <c r="AB486" s="2">
        <f>AB485*(1+((1+VLOOKUP($B486,'IPCA Hist'!$B:$C,2,0))^12 - 1)+$AB$2)^(1/252)</f>
        <v>41654806.743533902</v>
      </c>
      <c r="AC486" s="2">
        <f>AC485*(1+((1+VLOOKUP($B486,'IPCA Hist'!$B:$C,2,0))^12 - 1)+$AC$2)^(1/252)</f>
        <v>5174983.6040796963</v>
      </c>
      <c r="AD486" s="2">
        <f>AD485*(1+((1+VLOOKUP($B486,'IPCA Hist'!$B:$C,2,0))^12 - 1)+$AD$2)^(1/252)</f>
        <v>384920137.29660016</v>
      </c>
      <c r="AE486" s="2">
        <v>0</v>
      </c>
      <c r="AF486" s="2">
        <f>AF485*(1+((1+VLOOKUP($B486,'IGPM Hist'!$B:$C,2,0))^12 - 1)+$AF$2)^(1/252)</f>
        <v>1706871.4495093569</v>
      </c>
      <c r="AG486" s="2">
        <v>0</v>
      </c>
      <c r="AH486" s="2">
        <v>0</v>
      </c>
      <c r="AI486" s="2">
        <v>0</v>
      </c>
      <c r="AJ486" s="2">
        <f t="shared" ref="AJ486:AW486" si="274">AJ485*(1+AJ$2)^(1/252)</f>
        <v>55579092.572818458</v>
      </c>
      <c r="AK486" s="2">
        <f t="shared" si="274"/>
        <v>182473754.65669501</v>
      </c>
      <c r="AL486" s="2">
        <f t="shared" si="274"/>
        <v>37423658.546775877</v>
      </c>
      <c r="AM486" s="2">
        <f t="shared" si="274"/>
        <v>131018797.20078894</v>
      </c>
      <c r="AN486" s="2">
        <f t="shared" si="274"/>
        <v>56130347.4632596</v>
      </c>
      <c r="AO486" s="2">
        <f t="shared" si="274"/>
        <v>24130327.447965655</v>
      </c>
      <c r="AP486" s="2">
        <v>0</v>
      </c>
      <c r="AQ486" s="2">
        <v>0</v>
      </c>
      <c r="AR486" s="2">
        <v>0</v>
      </c>
      <c r="AS486" s="2">
        <f t="shared" si="274"/>
        <v>109129913.69135214</v>
      </c>
      <c r="AT486" s="2">
        <f t="shared" si="274"/>
        <v>5565399.0737762777</v>
      </c>
      <c r="AU486" s="2">
        <v>0</v>
      </c>
      <c r="AV486" s="2">
        <f t="shared" si="274"/>
        <v>55420874.545035869</v>
      </c>
      <c r="AW486" s="2">
        <f t="shared" si="274"/>
        <v>2875280.8973862263</v>
      </c>
      <c r="AX486" s="2">
        <v>0</v>
      </c>
      <c r="AY486" s="2">
        <v>0</v>
      </c>
      <c r="AZ486" s="2">
        <v>0</v>
      </c>
      <c r="BA486" s="2">
        <f>BA485*(1+VLOOKUP(A486,'SELIC Hist'!$A:$C,3,0)-0.01%)^(1/252)</f>
        <v>6570245.1947801849</v>
      </c>
      <c r="BB486" s="2">
        <f t="shared" si="257"/>
        <v>1890873466.9960334</v>
      </c>
      <c r="BC486" s="2">
        <v>0</v>
      </c>
      <c r="BD486" s="2">
        <v>0</v>
      </c>
      <c r="BE486" s="2">
        <f t="shared" si="258"/>
        <v>780634.30448675156</v>
      </c>
      <c r="BF486" s="2">
        <f t="shared" si="259"/>
        <v>1006800.5382750034</v>
      </c>
      <c r="BG486" s="2">
        <f t="shared" si="260"/>
        <v>72681990.905227423</v>
      </c>
      <c r="BH486" s="11">
        <f t="shared" si="261"/>
        <v>1.2000565947453963</v>
      </c>
      <c r="BI486" s="12">
        <f t="shared" si="262"/>
        <v>4.1301373720092904E-4</v>
      </c>
      <c r="BJ486" s="12">
        <f t="shared" si="263"/>
        <v>5.3273628036487608E-4</v>
      </c>
      <c r="BK486" s="12">
        <f t="shared" si="264"/>
        <v>4.2050163861236056E-2</v>
      </c>
      <c r="BL486" s="5">
        <f t="shared" si="265"/>
        <v>0.20005659474539628</v>
      </c>
      <c r="BM486" s="19">
        <f t="shared" si="266"/>
        <v>5.4001813086919981E-2</v>
      </c>
      <c r="BN486" s="19">
        <f t="shared" si="267"/>
        <v>0.10025493524395701</v>
      </c>
      <c r="BO486" s="19" t="s">
        <v>53</v>
      </c>
    </row>
    <row r="487" spans="1:67" x14ac:dyDescent="0.25">
      <c r="A487" s="1">
        <v>45807</v>
      </c>
      <c r="B487" s="1" t="str">
        <f t="shared" si="223"/>
        <v>202505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4">
        <v>0</v>
      </c>
      <c r="J487" s="24">
        <v>0</v>
      </c>
      <c r="K487" s="24">
        <v>0</v>
      </c>
      <c r="L487" s="24">
        <v>0</v>
      </c>
      <c r="M487" s="24">
        <v>0</v>
      </c>
      <c r="N487" s="2">
        <v>0</v>
      </c>
      <c r="O487" s="2">
        <v>0</v>
      </c>
      <c r="P487" s="2">
        <v>0</v>
      </c>
      <c r="Q487" s="2">
        <f>Q486*(1+((1+VLOOKUP($B487,'IPCA Hist'!$B:$C,2,0))^12 - 1)+$Q$2)^(1/252)</f>
        <v>46842782.591399364</v>
      </c>
      <c r="R487" s="2">
        <f>R486*(1+((1+VLOOKUP($B487,'IPCA Hist'!$B:$C,2,0))^12 - 1)+$R$2)^(1/252)</f>
        <v>46829799.629397288</v>
      </c>
      <c r="S487" s="2">
        <f>S486*(1+((1+VLOOKUP($B487,'IPCA Hist'!$B:$C,2,0))^12 - 1)+$S$2)^(1/252)</f>
        <v>47853598.607445493</v>
      </c>
      <c r="T487" s="2">
        <f>T486*(1+((1+VLOOKUP($B487,'IPCA Hist'!$B:$C,2,0))^12 - 1)+$T$2)^(1/252)</f>
        <v>241680984.51198298</v>
      </c>
      <c r="U487" s="2">
        <f>U486*(1+((1+VLOOKUP($B487,'IPCA Hist'!$B:$C,2,0))^12 - 1)+$U$2)^(1/252)</f>
        <v>21271752.72128398</v>
      </c>
      <c r="V487" s="2">
        <f>V486*(1+((1+VLOOKUP($B487,'IPCA Hist'!$B:$C,2,0))^12 - 1)+$V$2)^(1/252)</f>
        <v>82623472.332654372</v>
      </c>
      <c r="W487" s="2">
        <f>W486*(1+((1+VLOOKUP($B487,'IPCA Hist'!$B:$C,2,0))^12 - 1)+$W$2)^(1/252)</f>
        <v>43508534.501464516</v>
      </c>
      <c r="X487" s="2">
        <f>X486*(1+((1+VLOOKUP($B487,'IPCA Hist'!$B:$C,2,0))^12 - 1)+$X$2)^(1/252)</f>
        <v>14898605.4533788</v>
      </c>
      <c r="Y487" s="2">
        <f>Y486*(1+((1+VLOOKUP($B487,'IPCA Hist'!$B:$C,2,0))^12 - 1)+$Y$2)^(1/252)</f>
        <v>121431581.13924071</v>
      </c>
      <c r="Z487" s="2">
        <f>Z486*(1+((1+VLOOKUP($B487,'IPCA Hist'!$B:$C,2,0))^12 - 1)+$Z$2)^(1/252)</f>
        <v>82786838.177045286</v>
      </c>
      <c r="AA487" s="2">
        <f>AA486*(1+((1+VLOOKUP($B487,'IPCA Hist'!$B:$C,2,0))^12 - 1)+$AA$2)^(1/252)</f>
        <v>41659266.277673326</v>
      </c>
      <c r="AB487" s="2">
        <f>AB486*(1+((1+VLOOKUP($B487,'IPCA Hist'!$B:$C,2,0))^12 - 1)+$AB$2)^(1/252)</f>
        <v>41672915.125120468</v>
      </c>
      <c r="AC487" s="2">
        <f>AC486*(1+((1+VLOOKUP($B487,'IPCA Hist'!$B:$C,2,0))^12 - 1)+$AC$2)^(1/252)</f>
        <v>5177059.2978153052</v>
      </c>
      <c r="AD487" s="2">
        <f>AD486*(1+((1+VLOOKUP($B487,'IPCA Hist'!$B:$C,2,0))^12 - 1)+$AD$2)^(1/252)</f>
        <v>385074382.93086898</v>
      </c>
      <c r="AE487" s="2">
        <v>0</v>
      </c>
      <c r="AF487" s="2">
        <f>AF486*(1+((1+VLOOKUP($B487,'IGPM Hist'!$B:$C,2,0))^12 - 1)+$AF$2)^(1/252)</f>
        <v>1706906.9103491916</v>
      </c>
      <c r="AG487" s="2">
        <v>0</v>
      </c>
      <c r="AH487" s="2">
        <v>0</v>
      </c>
      <c r="AI487" s="2">
        <v>0</v>
      </c>
      <c r="AJ487" s="2">
        <f t="shared" ref="AJ487:AW487" si="275">AJ486*(1+AJ$2)^(1/252)</f>
        <v>55604681.335051276</v>
      </c>
      <c r="AK487" s="2">
        <f t="shared" si="275"/>
        <v>182561915.06756145</v>
      </c>
      <c r="AL487" s="2">
        <f t="shared" si="275"/>
        <v>37441745.998960495</v>
      </c>
      <c r="AM487" s="2">
        <f t="shared" si="275"/>
        <v>131082086.13798344</v>
      </c>
      <c r="AN487" s="2">
        <f t="shared" si="275"/>
        <v>56157481.089537874</v>
      </c>
      <c r="AO487" s="2">
        <f t="shared" si="275"/>
        <v>24144168.027492758</v>
      </c>
      <c r="AP487" s="2">
        <v>0</v>
      </c>
      <c r="AQ487" s="2">
        <v>0</v>
      </c>
      <c r="AR487" s="2">
        <v>0</v>
      </c>
      <c r="AS487" s="2">
        <f t="shared" si="275"/>
        <v>109178533.98972043</v>
      </c>
      <c r="AT487" s="2">
        <f t="shared" si="275"/>
        <v>5568547.7718694834</v>
      </c>
      <c r="AU487" s="2">
        <v>0</v>
      </c>
      <c r="AV487" s="2">
        <f t="shared" si="275"/>
        <v>55446096.375360705</v>
      </c>
      <c r="AW487" s="2">
        <f t="shared" si="275"/>
        <v>2876886.8171959026</v>
      </c>
      <c r="AX487" s="2">
        <v>0</v>
      </c>
      <c r="AY487" s="2">
        <v>0</v>
      </c>
      <c r="AZ487" s="2">
        <v>0</v>
      </c>
      <c r="BA487" s="2">
        <f>BA486*(1+VLOOKUP(A487,'SELIC Hist'!$A:$C,3,0)-0.01%)^(1/252)</f>
        <v>6573808.3441230552</v>
      </c>
      <c r="BB487" s="2">
        <f t="shared" si="257"/>
        <v>1891654431.1619771</v>
      </c>
      <c r="BC487" s="2">
        <v>0</v>
      </c>
      <c r="BD487" s="2">
        <v>0</v>
      </c>
      <c r="BE487" s="2">
        <f t="shared" si="258"/>
        <v>780964.16594362259</v>
      </c>
      <c r="BF487" s="2">
        <f t="shared" si="259"/>
        <v>1787764.704218626</v>
      </c>
      <c r="BG487" s="2">
        <f t="shared" si="260"/>
        <v>73462955.071171045</v>
      </c>
      <c r="BH487" s="11">
        <f t="shared" si="261"/>
        <v>1.200552239331858</v>
      </c>
      <c r="BI487" s="12">
        <f t="shared" si="262"/>
        <v>4.1301767652623944E-4</v>
      </c>
      <c r="BJ487" s="12">
        <f t="shared" si="263"/>
        <v>9.4597398639173491E-4</v>
      </c>
      <c r="BK487" s="12">
        <f t="shared" si="264"/>
        <v>4.2480548998737877E-2</v>
      </c>
      <c r="BL487" s="5">
        <f t="shared" si="265"/>
        <v>0.20055223933185795</v>
      </c>
      <c r="BM487" s="19">
        <f t="shared" si="266"/>
        <v>5.3990702819255221E-2</v>
      </c>
      <c r="BN487" s="19">
        <f t="shared" si="267"/>
        <v>0.10013772469483606</v>
      </c>
      <c r="BO487" s="19" t="s">
        <v>53</v>
      </c>
    </row>
    <row r="488" spans="1:67" x14ac:dyDescent="0.25">
      <c r="A488" s="1">
        <v>45810</v>
      </c>
      <c r="B488" s="1" t="str">
        <f t="shared" si="223"/>
        <v>202506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4">
        <v>0</v>
      </c>
      <c r="J488" s="24">
        <v>0</v>
      </c>
      <c r="K488" s="24">
        <v>0</v>
      </c>
      <c r="L488" s="24">
        <v>0</v>
      </c>
      <c r="M488" s="24">
        <v>0</v>
      </c>
      <c r="N488" s="2">
        <v>0</v>
      </c>
      <c r="O488" s="2">
        <v>0</v>
      </c>
      <c r="P488" s="2">
        <v>0</v>
      </c>
      <c r="Q488" s="2">
        <f>Q487*(1+((1+VLOOKUP($B488,'IPCA Hist'!$B:$C,2,0))^12 - 1)+$Q$2)^(1/252)</f>
        <v>46857240.885919809</v>
      </c>
      <c r="R488" s="2">
        <f>R487*(1+((1+VLOOKUP($B488,'IPCA Hist'!$B:$C,2,0))^12 - 1)+$R$2)^(1/252)</f>
        <v>46844271.113981575</v>
      </c>
      <c r="S488" s="2">
        <f>S487*(1+((1+VLOOKUP($B488,'IPCA Hist'!$B:$C,2,0))^12 - 1)+$S$2)^(1/252)</f>
        <v>47868175.482897967</v>
      </c>
      <c r="T488" s="2">
        <f>T487*(1+((1+VLOOKUP($B488,'IPCA Hist'!$B:$C,2,0))^12 - 1)+$T$2)^(1/252)</f>
        <v>241754515.06932679</v>
      </c>
      <c r="U488" s="2">
        <f>U487*(1+((1+VLOOKUP($B488,'IPCA Hist'!$B:$C,2,0))^12 - 1)+$U$2)^(1/252)</f>
        <v>21279273.841062594</v>
      </c>
      <c r="V488" s="2">
        <f>V487*(1+((1+VLOOKUP($B488,'IPCA Hist'!$B:$C,2,0))^12 - 1)+$V$2)^(1/252)</f>
        <v>82657066.965164915</v>
      </c>
      <c r="W488" s="2">
        <f>W487*(1+((1+VLOOKUP($B488,'IPCA Hist'!$B:$C,2,0))^12 - 1)+$W$2)^(1/252)</f>
        <v>43526366.849687904</v>
      </c>
      <c r="X488" s="2">
        <f>X487*(1+((1+VLOOKUP($B488,'IPCA Hist'!$B:$C,2,0))^12 - 1)+$X$2)^(1/252)</f>
        <v>14904427.846988043</v>
      </c>
      <c r="Y488" s="2">
        <f>Y487*(1+((1+VLOOKUP($B488,'IPCA Hist'!$B:$C,2,0))^12 - 1)+$Y$2)^(1/252)</f>
        <v>121481611.71382979</v>
      </c>
      <c r="Z488" s="2">
        <f>Z487*(1+((1+VLOOKUP($B488,'IPCA Hist'!$B:$C,2,0))^12 - 1)+$Z$2)^(1/252)</f>
        <v>82818508.639859661</v>
      </c>
      <c r="AA488" s="2">
        <f>AA487*(1+((1+VLOOKUP($B488,'IPCA Hist'!$B:$C,2,0))^12 - 1)+$AA$2)^(1/252)</f>
        <v>41677025.393892229</v>
      </c>
      <c r="AB488" s="2">
        <f>AB487*(1+((1+VLOOKUP($B488,'IPCA Hist'!$B:$C,2,0))^12 - 1)+$AB$2)^(1/252)</f>
        <v>41690665.199960135</v>
      </c>
      <c r="AC488" s="2">
        <f>AC487*(1+((1+VLOOKUP($B488,'IPCA Hist'!$B:$C,2,0))^12 - 1)+$AC$2)^(1/252)</f>
        <v>5179089.9476075554</v>
      </c>
      <c r="AD488" s="2">
        <f>AD487*(1+((1+VLOOKUP($B488,'IPCA Hist'!$B:$C,2,0))^12 - 1)+$AD$2)^(1/252)</f>
        <v>385225277.71221739</v>
      </c>
      <c r="AE488" s="2">
        <v>0</v>
      </c>
      <c r="AF488" s="2">
        <f>AF487*(1+((1+VLOOKUP($B488,'IGPM Hist'!$B:$C,2,0))^12 - 1)+$AF$2)^(1/252)</f>
        <v>1706037.4843793991</v>
      </c>
      <c r="AG488" s="2">
        <v>0</v>
      </c>
      <c r="AH488" s="2">
        <v>0</v>
      </c>
      <c r="AI488" s="2">
        <v>0</v>
      </c>
      <c r="AJ488" s="2">
        <f t="shared" ref="AJ488:AW488" si="276">AJ487*(1+AJ$2)^(1/252)</f>
        <v>55630281.878418371</v>
      </c>
      <c r="AK488" s="2">
        <f t="shared" si="276"/>
        <v>182650118.07226864</v>
      </c>
      <c r="AL488" s="2">
        <f t="shared" si="276"/>
        <v>37459842.193099782</v>
      </c>
      <c r="AM488" s="2">
        <f t="shared" si="276"/>
        <v>131145405.64704745</v>
      </c>
      <c r="AN488" s="2">
        <f t="shared" si="276"/>
        <v>56184627.832315654</v>
      </c>
      <c r="AO488" s="2">
        <f t="shared" si="276"/>
        <v>24158016.545645729</v>
      </c>
      <c r="AP488" s="2">
        <v>0</v>
      </c>
      <c r="AQ488" s="2">
        <v>0</v>
      </c>
      <c r="AR488" s="2">
        <v>0</v>
      </c>
      <c r="AS488" s="2">
        <f t="shared" si="276"/>
        <v>109227175.94973339</v>
      </c>
      <c r="AT488" s="2">
        <f t="shared" si="276"/>
        <v>5571698.2513802573</v>
      </c>
      <c r="AU488" s="2">
        <v>0</v>
      </c>
      <c r="AV488" s="2">
        <f t="shared" si="276"/>
        <v>55471329.684045099</v>
      </c>
      <c r="AW488" s="2">
        <f t="shared" si="276"/>
        <v>2878493.633953921</v>
      </c>
      <c r="AX488" s="2">
        <v>0</v>
      </c>
      <c r="AY488" s="2">
        <v>0</v>
      </c>
      <c r="AZ488" s="2">
        <v>0</v>
      </c>
      <c r="BA488" s="2">
        <f>BA487*(1+VLOOKUP(A488,'SELIC Hist'!$A:$C,3,0)-0.01%)^(1/252)</f>
        <v>6577373.4258189602</v>
      </c>
      <c r="BB488" s="2">
        <f t="shared" ref="BB488:BB507" si="277">SUM(C488:BA488)</f>
        <v>1892423917.2605031</v>
      </c>
      <c r="BC488" s="2">
        <v>0</v>
      </c>
      <c r="BD488" s="2">
        <v>0</v>
      </c>
      <c r="BE488" s="2">
        <f t="shared" ref="BE488:BE507" si="278">BB488-BB487-BC488+BD488</f>
        <v>769486.09852600098</v>
      </c>
      <c r="BF488" s="2">
        <f t="shared" ref="BF488:BF507" si="279">IF(MONTH(A488)=MONTH(A487),BE488+BF487,BE488)</f>
        <v>769486.09852600098</v>
      </c>
      <c r="BG488" s="2">
        <f t="shared" ref="BG488:BG507" si="280">IF(YEAR(A488)=YEAR(A487),BE488+BG487,BE488)</f>
        <v>74232441.169697046</v>
      </c>
      <c r="BH488" s="11">
        <f t="shared" ref="BH488:BH507" si="281">(1+(BB488-BB487-BC488+BD488)/BB487)*BH487</f>
        <v>1.2010405992793736</v>
      </c>
      <c r="BI488" s="12">
        <f t="shared" ref="BI488:BI507" si="282">BH488/BH487 - 1</f>
        <v>4.06779423265613E-4</v>
      </c>
      <c r="BJ488" s="12">
        <f t="shared" ref="BJ488:BJ507" si="283">IF(MONTH(A488)=MONTH(A487),(1+BI488)*(1+BJ487) - 1,BI488)</f>
        <v>4.06779423265613E-4</v>
      </c>
      <c r="BK488" s="12">
        <f t="shared" ref="BK488:BK507" si="284">IF(YEAR(A488)=YEAR(A487),(1+BI488)*(1+BK487) - 1,BI488)</f>
        <v>4.2904608635225161E-2</v>
      </c>
      <c r="BL488" s="5">
        <f t="shared" ref="BL488:BL507" si="285">(1+BI488)*(1+BL487) - 1</f>
        <v>0.20104059927937357</v>
      </c>
      <c r="BM488" s="19">
        <f t="shared" ref="BM488:BM507" si="286">BH488/BH362 - 1</f>
        <v>5.3973017914192623E-2</v>
      </c>
      <c r="BN488" s="19">
        <f t="shared" ref="BN488:BN507" si="287">BH488/BH236 - 1</f>
        <v>9.9842127985686036E-2</v>
      </c>
      <c r="BO488" s="19" t="s">
        <v>53</v>
      </c>
    </row>
    <row r="489" spans="1:67" x14ac:dyDescent="0.25">
      <c r="A489" s="1">
        <v>45811</v>
      </c>
      <c r="B489" s="1" t="str">
        <f t="shared" si="223"/>
        <v>202506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4">
        <v>0</v>
      </c>
      <c r="J489" s="24">
        <v>0</v>
      </c>
      <c r="K489" s="24">
        <v>0</v>
      </c>
      <c r="L489" s="24">
        <v>0</v>
      </c>
      <c r="M489" s="24">
        <v>0</v>
      </c>
      <c r="N489" s="2">
        <v>0</v>
      </c>
      <c r="O489" s="2">
        <v>0</v>
      </c>
      <c r="P489" s="2">
        <v>0</v>
      </c>
      <c r="Q489" s="2">
        <f>Q488*(1+((1+VLOOKUP($B489,'IPCA Hist'!$B:$C,2,0))^12 - 1)+$Q$2)^(1/252)</f>
        <v>46871703.643076092</v>
      </c>
      <c r="R489" s="2">
        <f>R488*(1+((1+VLOOKUP($B489,'IPCA Hist'!$B:$C,2,0))^12 - 1)+$R$2)^(1/252)</f>
        <v>46858747.070587263</v>
      </c>
      <c r="S489" s="2">
        <f>S488*(1+((1+VLOOKUP($B489,'IPCA Hist'!$B:$C,2,0))^12 - 1)+$S$2)^(1/252)</f>
        <v>47882756.79867059</v>
      </c>
      <c r="T489" s="2">
        <f>T488*(1+((1+VLOOKUP($B489,'IPCA Hist'!$B:$C,2,0))^12 - 1)+$T$2)^(1/252)</f>
        <v>241828067.99807426</v>
      </c>
      <c r="U489" s="2">
        <f>U488*(1+((1+VLOOKUP($B489,'IPCA Hist'!$B:$C,2,0))^12 - 1)+$U$2)^(1/252)</f>
        <v>21286797.620106924</v>
      </c>
      <c r="V489" s="2">
        <f>V488*(1+((1+VLOOKUP($B489,'IPCA Hist'!$B:$C,2,0))^12 - 1)+$V$2)^(1/252)</f>
        <v>82690675.257224038</v>
      </c>
      <c r="W489" s="2">
        <f>W488*(1+((1+VLOOKUP($B489,'IPCA Hist'!$B:$C,2,0))^12 - 1)+$W$2)^(1/252)</f>
        <v>43544206.506653056</v>
      </c>
      <c r="X489" s="2">
        <f>X488*(1+((1+VLOOKUP($B489,'IPCA Hist'!$B:$C,2,0))^12 - 1)+$X$2)^(1/252)</f>
        <v>14910252.515995976</v>
      </c>
      <c r="Y489" s="2">
        <f>Y488*(1+((1+VLOOKUP($B489,'IPCA Hist'!$B:$C,2,0))^12 - 1)+$Y$2)^(1/252)</f>
        <v>121531662.90133001</v>
      </c>
      <c r="Z489" s="2">
        <f>Z488*(1+((1+VLOOKUP($B489,'IPCA Hist'!$B:$C,2,0))^12 - 1)+$Z$2)^(1/252)</f>
        <v>82850191.218346491</v>
      </c>
      <c r="AA489" s="2">
        <f>AA488*(1+((1+VLOOKUP($B489,'IPCA Hist'!$B:$C,2,0))^12 - 1)+$AA$2)^(1/252)</f>
        <v>41694792.080724753</v>
      </c>
      <c r="AB489" s="2">
        <f>AB488*(1+((1+VLOOKUP($B489,'IPCA Hist'!$B:$C,2,0))^12 - 1)+$AB$2)^(1/252)</f>
        <v>41708422.835229784</v>
      </c>
      <c r="AC489" s="2">
        <f>AC488*(1+((1+VLOOKUP($B489,'IPCA Hist'!$B:$C,2,0))^12 - 1)+$AC$2)^(1/252)</f>
        <v>5181121.3939019013</v>
      </c>
      <c r="AD489" s="2">
        <f>AD488*(1+((1+VLOOKUP($B489,'IPCA Hist'!$B:$C,2,0))^12 - 1)+$AD$2)^(1/252)</f>
        <v>385376231.62301207</v>
      </c>
      <c r="AE489" s="2">
        <v>0</v>
      </c>
      <c r="AF489" s="2">
        <f>AF488*(1+((1+VLOOKUP($B489,'IGPM Hist'!$B:$C,2,0))^12 - 1)+$AF$2)^(1/252)</f>
        <v>1705168.5012583127</v>
      </c>
      <c r="AG489" s="2">
        <v>0</v>
      </c>
      <c r="AH489" s="2">
        <v>0</v>
      </c>
      <c r="AI489" s="2">
        <v>0</v>
      </c>
      <c r="AJ489" s="2">
        <f t="shared" ref="AJ489:AW489" si="288">AJ488*(1+AJ$2)^(1/252)</f>
        <v>55655894.208343811</v>
      </c>
      <c r="AK489" s="2">
        <f t="shared" si="288"/>
        <v>182738363.69139534</v>
      </c>
      <c r="AL489" s="2">
        <f t="shared" si="288"/>
        <v>37477947.133418866</v>
      </c>
      <c r="AM489" s="2">
        <f t="shared" si="288"/>
        <v>131208755.74274878</v>
      </c>
      <c r="AN489" s="2">
        <f t="shared" si="288"/>
        <v>56211787.69793351</v>
      </c>
      <c r="AO489" s="2">
        <f t="shared" si="288"/>
        <v>24171873.006977972</v>
      </c>
      <c r="AP489" s="2">
        <v>0</v>
      </c>
      <c r="AQ489" s="2">
        <v>0</v>
      </c>
      <c r="AR489" s="2">
        <v>0</v>
      </c>
      <c r="AS489" s="2">
        <f t="shared" si="288"/>
        <v>109275839.58104187</v>
      </c>
      <c r="AT489" s="2">
        <f t="shared" si="288"/>
        <v>5574850.513316459</v>
      </c>
      <c r="AU489" s="2">
        <v>0</v>
      </c>
      <c r="AV489" s="2">
        <f t="shared" si="288"/>
        <v>55496574.476312801</v>
      </c>
      <c r="AW489" s="2">
        <f t="shared" si="288"/>
        <v>2880101.3481612513</v>
      </c>
      <c r="AX489" s="2">
        <v>0</v>
      </c>
      <c r="AY489" s="2">
        <v>0</v>
      </c>
      <c r="AZ489" s="2">
        <v>0</v>
      </c>
      <c r="BA489" s="2">
        <f>BA488*(1+VLOOKUP(A489,'SELIC Hist'!$A:$C,3,0)-0.01%)^(1/252)</f>
        <v>6580940.4409158463</v>
      </c>
      <c r="BB489" s="2">
        <f t="shared" si="277"/>
        <v>1893193725.8047576</v>
      </c>
      <c r="BC489" s="2">
        <v>0</v>
      </c>
      <c r="BD489" s="2">
        <v>0</v>
      </c>
      <c r="BE489" s="2">
        <f t="shared" si="278"/>
        <v>769808.5442545414</v>
      </c>
      <c r="BF489" s="2">
        <f t="shared" si="279"/>
        <v>1539294.6427805424</v>
      </c>
      <c r="BG489" s="2">
        <f t="shared" si="280"/>
        <v>75002249.713951588</v>
      </c>
      <c r="BH489" s="11">
        <f t="shared" si="281"/>
        <v>1.2015291638694154</v>
      </c>
      <c r="BI489" s="12">
        <f t="shared" si="282"/>
        <v>4.0678440873276323E-4</v>
      </c>
      <c r="BJ489" s="12">
        <f t="shared" si="283"/>
        <v>8.1372930352552331E-4</v>
      </c>
      <c r="BK489" s="12">
        <f t="shared" si="284"/>
        <v>4.3328845969813568E-2</v>
      </c>
      <c r="BL489" s="5">
        <f t="shared" si="285"/>
        <v>0.20152916386941544</v>
      </c>
      <c r="BM489" s="19">
        <f t="shared" si="286"/>
        <v>5.3955336080782734E-2</v>
      </c>
      <c r="BN489" s="19">
        <f t="shared" si="287"/>
        <v>0.1007317942196666</v>
      </c>
      <c r="BO489" s="19" t="s">
        <v>53</v>
      </c>
    </row>
    <row r="490" spans="1:67" x14ac:dyDescent="0.25">
      <c r="A490" s="1">
        <v>45812</v>
      </c>
      <c r="B490" s="1" t="str">
        <f t="shared" si="223"/>
        <v>202506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4">
        <v>0</v>
      </c>
      <c r="J490" s="24">
        <v>0</v>
      </c>
      <c r="K490" s="24">
        <v>0</v>
      </c>
      <c r="L490" s="24">
        <v>0</v>
      </c>
      <c r="M490" s="24">
        <v>0</v>
      </c>
      <c r="N490" s="2">
        <v>0</v>
      </c>
      <c r="O490" s="2">
        <v>0</v>
      </c>
      <c r="P490" s="2">
        <v>0</v>
      </c>
      <c r="Q490" s="2">
        <f>Q489*(1+((1+VLOOKUP($B490,'IPCA Hist'!$B:$C,2,0))^12 - 1)+$Q$2)^(1/252)</f>
        <v>46886170.864245631</v>
      </c>
      <c r="R490" s="2">
        <f>R489*(1+((1+VLOOKUP($B490,'IPCA Hist'!$B:$C,2,0))^12 - 1)+$R$2)^(1/252)</f>
        <v>46873227.500596307</v>
      </c>
      <c r="S490" s="2">
        <f>S489*(1+((1+VLOOKUP($B490,'IPCA Hist'!$B:$C,2,0))^12 - 1)+$S$2)^(1/252)</f>
        <v>47897342.55611594</v>
      </c>
      <c r="T490" s="2">
        <f>T489*(1+((1+VLOOKUP($B490,'IPCA Hist'!$B:$C,2,0))^12 - 1)+$T$2)^(1/252)</f>
        <v>241901643.30503181</v>
      </c>
      <c r="U490" s="2">
        <f>U489*(1+((1+VLOOKUP($B490,'IPCA Hist'!$B:$C,2,0))^12 - 1)+$U$2)^(1/252)</f>
        <v>21294324.059357215</v>
      </c>
      <c r="V490" s="2">
        <f>V489*(1+((1+VLOOKUP($B490,'IPCA Hist'!$B:$C,2,0))^12 - 1)+$V$2)^(1/252)</f>
        <v>82724297.214385688</v>
      </c>
      <c r="W490" s="2">
        <f>W489*(1+((1+VLOOKUP($B490,'IPCA Hist'!$B:$C,2,0))^12 - 1)+$W$2)^(1/252)</f>
        <v>43562053.475355521</v>
      </c>
      <c r="X490" s="2">
        <f>X489*(1+((1+VLOOKUP($B490,'IPCA Hist'!$B:$C,2,0))^12 - 1)+$X$2)^(1/252)</f>
        <v>14916079.461291827</v>
      </c>
      <c r="Y490" s="2">
        <f>Y489*(1+((1+VLOOKUP($B490,'IPCA Hist'!$B:$C,2,0))^12 - 1)+$Y$2)^(1/252)</f>
        <v>121581734.71023405</v>
      </c>
      <c r="Z490" s="2">
        <f>Z489*(1+((1+VLOOKUP($B490,'IPCA Hist'!$B:$C,2,0))^12 - 1)+$Z$2)^(1/252)</f>
        <v>82881885.917140678</v>
      </c>
      <c r="AA490" s="2">
        <f>AA489*(1+((1+VLOOKUP($B490,'IPCA Hist'!$B:$C,2,0))^12 - 1)+$AA$2)^(1/252)</f>
        <v>41712566.341398217</v>
      </c>
      <c r="AB490" s="2">
        <f>AB489*(1+((1+VLOOKUP($B490,'IPCA Hist'!$B:$C,2,0))^12 - 1)+$AB$2)^(1/252)</f>
        <v>41726188.034149684</v>
      </c>
      <c r="AC490" s="2">
        <f>AC489*(1+((1+VLOOKUP($B490,'IPCA Hist'!$B:$C,2,0))^12 - 1)+$AC$2)^(1/252)</f>
        <v>5183153.6370107625</v>
      </c>
      <c r="AD490" s="2">
        <f>AD489*(1+((1+VLOOKUP($B490,'IPCA Hist'!$B:$C,2,0))^12 - 1)+$AD$2)^(1/252)</f>
        <v>385527244.68642342</v>
      </c>
      <c r="AE490" s="2">
        <v>0</v>
      </c>
      <c r="AF490" s="2">
        <f>AF489*(1+((1+VLOOKUP($B490,'IGPM Hist'!$B:$C,2,0))^12 - 1)+$AF$2)^(1/252)</f>
        <v>1704299.9607603643</v>
      </c>
      <c r="AG490" s="2">
        <v>0</v>
      </c>
      <c r="AH490" s="2">
        <v>0</v>
      </c>
      <c r="AI490" s="2">
        <v>0</v>
      </c>
      <c r="AJ490" s="2">
        <f t="shared" ref="AJ490:AW490" si="289">AJ489*(1+AJ$2)^(1/252)</f>
        <v>55681518.330254152</v>
      </c>
      <c r="AK490" s="2">
        <f t="shared" si="289"/>
        <v>182826651.94553033</v>
      </c>
      <c r="AL490" s="2">
        <f t="shared" si="289"/>
        <v>37496060.824144915</v>
      </c>
      <c r="AM490" s="2">
        <f t="shared" si="289"/>
        <v>131272136.43986239</v>
      </c>
      <c r="AN490" s="2">
        <f t="shared" si="289"/>
        <v>56238960.692735076</v>
      </c>
      <c r="AO490" s="2">
        <f t="shared" si="289"/>
        <v>24185737.416045506</v>
      </c>
      <c r="AP490" s="2">
        <v>0</v>
      </c>
      <c r="AQ490" s="2">
        <v>0</v>
      </c>
      <c r="AR490" s="2">
        <v>0</v>
      </c>
      <c r="AS490" s="2">
        <f t="shared" si="289"/>
        <v>109324524.89330101</v>
      </c>
      <c r="AT490" s="2">
        <f t="shared" si="289"/>
        <v>5578004.55868652</v>
      </c>
      <c r="AU490" s="2">
        <v>0</v>
      </c>
      <c r="AV490" s="2">
        <f t="shared" si="289"/>
        <v>55521830.757389955</v>
      </c>
      <c r="AW490" s="2">
        <f t="shared" si="289"/>
        <v>2881709.9603191423</v>
      </c>
      <c r="AX490" s="2">
        <v>0</v>
      </c>
      <c r="AY490" s="2">
        <v>0</v>
      </c>
      <c r="AZ490" s="2">
        <v>0</v>
      </c>
      <c r="BA490" s="2">
        <f>BA489*(1+VLOOKUP(A490,'SELIC Hist'!$A:$C,3,0)-0.01%)^(1/252)</f>
        <v>6584509.3904622272</v>
      </c>
      <c r="BB490" s="2">
        <f t="shared" si="277"/>
        <v>1893963856.9322283</v>
      </c>
      <c r="BC490" s="2">
        <v>0</v>
      </c>
      <c r="BD490" s="2">
        <v>0</v>
      </c>
      <c r="BE490" s="2">
        <f t="shared" si="278"/>
        <v>770131.12747073174</v>
      </c>
      <c r="BF490" s="2">
        <f t="shared" si="279"/>
        <v>2309425.7702512741</v>
      </c>
      <c r="BG490" s="2">
        <f t="shared" si="280"/>
        <v>75772380.841422319</v>
      </c>
      <c r="BH490" s="11">
        <f t="shared" si="281"/>
        <v>1.2020179331892411</v>
      </c>
      <c r="BI490" s="12">
        <f t="shared" si="282"/>
        <v>4.0678939348559595E-4</v>
      </c>
      <c r="BJ490" s="12">
        <f t="shared" si="283"/>
        <v>1.2208497134609253E-3</v>
      </c>
      <c r="BK490" s="12">
        <f t="shared" si="284"/>
        <v>4.3753261078271599E-2</v>
      </c>
      <c r="BL490" s="5">
        <f t="shared" si="285"/>
        <v>0.20201793318924111</v>
      </c>
      <c r="BM490" s="19">
        <f t="shared" si="286"/>
        <v>5.3937657318029908E-2</v>
      </c>
      <c r="BN490" s="19">
        <f t="shared" si="287"/>
        <v>0.1004504500552601</v>
      </c>
      <c r="BO490" s="19" t="s">
        <v>53</v>
      </c>
    </row>
    <row r="491" spans="1:67" x14ac:dyDescent="0.25">
      <c r="A491" s="1">
        <v>45813</v>
      </c>
      <c r="B491" s="1" t="str">
        <f t="shared" si="223"/>
        <v>202506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4">
        <v>0</v>
      </c>
      <c r="J491" s="24">
        <v>0</v>
      </c>
      <c r="K491" s="24">
        <v>0</v>
      </c>
      <c r="L491" s="24">
        <v>0</v>
      </c>
      <c r="M491" s="24">
        <v>0</v>
      </c>
      <c r="N491" s="2">
        <v>0</v>
      </c>
      <c r="O491" s="2">
        <v>0</v>
      </c>
      <c r="P491" s="2">
        <v>0</v>
      </c>
      <c r="Q491" s="2">
        <f>Q490*(1+((1+VLOOKUP($B491,'IPCA Hist'!$B:$C,2,0))^12 - 1)+$Q$2)^(1/252)</f>
        <v>46900642.550806277</v>
      </c>
      <c r="R491" s="2">
        <f>R490*(1+((1+VLOOKUP($B491,'IPCA Hist'!$B:$C,2,0))^12 - 1)+$R$2)^(1/252)</f>
        <v>46887712.40539109</v>
      </c>
      <c r="S491" s="2">
        <f>S490*(1+((1+VLOOKUP($B491,'IPCA Hist'!$B:$C,2,0))^12 - 1)+$S$2)^(1/252)</f>
        <v>47911932.756587014</v>
      </c>
      <c r="T491" s="2">
        <f>T490*(1+((1+VLOOKUP($B491,'IPCA Hist'!$B:$C,2,0))^12 - 1)+$T$2)^(1/252)</f>
        <v>241975240.99700794</v>
      </c>
      <c r="U491" s="2">
        <f>U490*(1+((1+VLOOKUP($B491,'IPCA Hist'!$B:$C,2,0))^12 - 1)+$U$2)^(1/252)</f>
        <v>21301853.159754045</v>
      </c>
      <c r="V491" s="2">
        <f>V490*(1+((1+VLOOKUP($B491,'IPCA Hist'!$B:$C,2,0))^12 - 1)+$V$2)^(1/252)</f>
        <v>82757932.842206091</v>
      </c>
      <c r="W491" s="2">
        <f>W490*(1+((1+VLOOKUP($B491,'IPCA Hist'!$B:$C,2,0))^12 - 1)+$W$2)^(1/252)</f>
        <v>43579907.75879208</v>
      </c>
      <c r="X491" s="2">
        <f>X490*(1+((1+VLOOKUP($B491,'IPCA Hist'!$B:$C,2,0))^12 - 1)+$X$2)^(1/252)</f>
        <v>14921908.683765175</v>
      </c>
      <c r="Y491" s="2">
        <f>Y490*(1+((1+VLOOKUP($B491,'IPCA Hist'!$B:$C,2,0))^12 - 1)+$Y$2)^(1/252)</f>
        <v>121631827.14903803</v>
      </c>
      <c r="Z491" s="2">
        <f>Z490*(1+((1+VLOOKUP($B491,'IPCA Hist'!$B:$C,2,0))^12 - 1)+$Z$2)^(1/252)</f>
        <v>82913592.740878895</v>
      </c>
      <c r="AA491" s="2">
        <f>AA490*(1+((1+VLOOKUP($B491,'IPCA Hist'!$B:$C,2,0))^12 - 1)+$AA$2)^(1/252)</f>
        <v>41730348.179141305</v>
      </c>
      <c r="AB491" s="2">
        <f>AB490*(1+((1+VLOOKUP($B491,'IPCA Hist'!$B:$C,2,0))^12 - 1)+$AB$2)^(1/252)</f>
        <v>41743960.79994148</v>
      </c>
      <c r="AC491" s="2">
        <f>AC490*(1+((1+VLOOKUP($B491,'IPCA Hist'!$B:$C,2,0))^12 - 1)+$AC$2)^(1/252)</f>
        <v>5185186.6772466814</v>
      </c>
      <c r="AD491" s="2">
        <f>AD490*(1+((1+VLOOKUP($B491,'IPCA Hist'!$B:$C,2,0))^12 - 1)+$AD$2)^(1/252)</f>
        <v>385678316.92563093</v>
      </c>
      <c r="AE491" s="2">
        <v>0</v>
      </c>
      <c r="AF491" s="2">
        <f>AF490*(1+((1+VLOOKUP($B491,'IGPM Hist'!$B:$C,2,0))^12 - 1)+$AF$2)^(1/252)</f>
        <v>1703431.8626601002</v>
      </c>
      <c r="AG491" s="2">
        <v>0</v>
      </c>
      <c r="AH491" s="2">
        <v>0</v>
      </c>
      <c r="AI491" s="2">
        <v>0</v>
      </c>
      <c r="AJ491" s="2">
        <f t="shared" ref="AJ491:AW491" si="290">AJ490*(1+AJ$2)^(1/252)</f>
        <v>55707154.249578461</v>
      </c>
      <c r="AK491" s="2">
        <f t="shared" si="290"/>
        <v>182914982.85527226</v>
      </c>
      <c r="AL491" s="2">
        <f t="shared" si="290"/>
        <v>37514183.269507132</v>
      </c>
      <c r="AM491" s="2">
        <f t="shared" si="290"/>
        <v>131335547.75317034</v>
      </c>
      <c r="AN491" s="2">
        <f t="shared" si="290"/>
        <v>56266146.823067047</v>
      </c>
      <c r="AO491" s="2">
        <f t="shared" si="290"/>
        <v>24199609.777406961</v>
      </c>
      <c r="AP491" s="2">
        <v>0</v>
      </c>
      <c r="AQ491" s="2">
        <v>0</v>
      </c>
      <c r="AR491" s="2">
        <v>0</v>
      </c>
      <c r="AS491" s="2">
        <f t="shared" si="290"/>
        <v>109373231.89617024</v>
      </c>
      <c r="AT491" s="2">
        <f t="shared" si="290"/>
        <v>5581160.3884994416</v>
      </c>
      <c r="AU491" s="2">
        <v>0</v>
      </c>
      <c r="AV491" s="2">
        <f t="shared" si="290"/>
        <v>55547098.532505073</v>
      </c>
      <c r="AW491" s="2">
        <f t="shared" si="290"/>
        <v>2883319.470929123</v>
      </c>
      <c r="AX491" s="2">
        <v>0</v>
      </c>
      <c r="AY491" s="2">
        <v>0</v>
      </c>
      <c r="AZ491" s="2">
        <v>0</v>
      </c>
      <c r="BA491" s="2">
        <f>BA490*(1+VLOOKUP(A491,'SELIC Hist'!$A:$C,3,0)-0.01%)^(1/252)</f>
        <v>6588080.2755071856</v>
      </c>
      <c r="BB491" s="2">
        <f t="shared" si="277"/>
        <v>1894734310.7804604</v>
      </c>
      <c r="BC491" s="2">
        <v>0</v>
      </c>
      <c r="BD491" s="2">
        <v>0</v>
      </c>
      <c r="BE491" s="2">
        <f t="shared" si="278"/>
        <v>770453.84823203087</v>
      </c>
      <c r="BF491" s="2">
        <f t="shared" si="279"/>
        <v>3079879.618483305</v>
      </c>
      <c r="BG491" s="2">
        <f t="shared" si="280"/>
        <v>76542834.68965435</v>
      </c>
      <c r="BH491" s="11">
        <f t="shared" si="281"/>
        <v>1.2025069073261445</v>
      </c>
      <c r="BI491" s="12">
        <f t="shared" si="282"/>
        <v>4.0679437752322301E-4</v>
      </c>
      <c r="BJ491" s="12">
        <f t="shared" si="283"/>
        <v>1.6281407257834335E-3</v>
      </c>
      <c r="BK491" s="12">
        <f t="shared" si="284"/>
        <v>4.4177854036399733E-2</v>
      </c>
      <c r="BL491" s="5">
        <f t="shared" si="285"/>
        <v>0.20250690732614451</v>
      </c>
      <c r="BM491" s="19">
        <f t="shared" si="286"/>
        <v>5.3886069485287846E-2</v>
      </c>
      <c r="BN491" s="19">
        <f t="shared" si="287"/>
        <v>0.10058104467767737</v>
      </c>
      <c r="BO491" s="19" t="s">
        <v>53</v>
      </c>
    </row>
    <row r="492" spans="1:67" x14ac:dyDescent="0.25">
      <c r="A492" s="1">
        <v>45814</v>
      </c>
      <c r="B492" s="1" t="str">
        <f t="shared" si="223"/>
        <v>202506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4">
        <v>0</v>
      </c>
      <c r="J492" s="24">
        <v>0</v>
      </c>
      <c r="K492" s="24">
        <v>0</v>
      </c>
      <c r="L492" s="24">
        <v>0</v>
      </c>
      <c r="M492" s="24">
        <v>0</v>
      </c>
      <c r="N492" s="2">
        <v>0</v>
      </c>
      <c r="O492" s="2">
        <v>0</v>
      </c>
      <c r="P492" s="2">
        <v>0</v>
      </c>
      <c r="Q492" s="2">
        <f>Q491*(1+((1+VLOOKUP($B492,'IPCA Hist'!$B:$C,2,0))^12 - 1)+$Q$2)^(1/252)</f>
        <v>46915118.70413629</v>
      </c>
      <c r="R492" s="2">
        <f>R491*(1+((1+VLOOKUP($B492,'IPCA Hist'!$B:$C,2,0))^12 - 1)+$R$2)^(1/252)</f>
        <v>46902201.78635443</v>
      </c>
      <c r="S492" s="2">
        <f>S491*(1+((1+VLOOKUP($B492,'IPCA Hist'!$B:$C,2,0))^12 - 1)+$S$2)^(1/252)</f>
        <v>47926527.401437223</v>
      </c>
      <c r="T492" s="2">
        <f>T491*(1+((1+VLOOKUP($B492,'IPCA Hist'!$B:$C,2,0))^12 - 1)+$T$2)^(1/252)</f>
        <v>242048861.0808132</v>
      </c>
      <c r="U492" s="2">
        <f>U491*(1+((1+VLOOKUP($B492,'IPCA Hist'!$B:$C,2,0))^12 - 1)+$U$2)^(1/252)</f>
        <v>21309384.922238324</v>
      </c>
      <c r="V492" s="2">
        <f>V491*(1+((1+VLOOKUP($B492,'IPCA Hist'!$B:$C,2,0))^12 - 1)+$V$2)^(1/252)</f>
        <v>82791582.146243721</v>
      </c>
      <c r="W492" s="2">
        <f>W491*(1+((1+VLOOKUP($B492,'IPCA Hist'!$B:$C,2,0))^12 - 1)+$W$2)^(1/252)</f>
        <v>43597769.359960735</v>
      </c>
      <c r="X492" s="2">
        <f>X491*(1+((1+VLOOKUP($B492,'IPCA Hist'!$B:$C,2,0))^12 - 1)+$X$2)^(1/252)</f>
        <v>14927740.184305942</v>
      </c>
      <c r="Y492" s="2">
        <f>Y491*(1+((1+VLOOKUP($B492,'IPCA Hist'!$B:$C,2,0))^12 - 1)+$Y$2)^(1/252)</f>
        <v>121681940.22624162</v>
      </c>
      <c r="Z492" s="2">
        <f>Z491*(1+((1+VLOOKUP($B492,'IPCA Hist'!$B:$C,2,0))^12 - 1)+$Z$2)^(1/252)</f>
        <v>82945311.694199592</v>
      </c>
      <c r="AA492" s="2">
        <f>AA491*(1+((1+VLOOKUP($B492,'IPCA Hist'!$B:$C,2,0))^12 - 1)+$AA$2)^(1/252)</f>
        <v>41748137.597184077</v>
      </c>
      <c r="AB492" s="2">
        <f>AB491*(1+((1+VLOOKUP($B492,'IPCA Hist'!$B:$C,2,0))^12 - 1)+$AB$2)^(1/252)</f>
        <v>41761741.135828197</v>
      </c>
      <c r="AC492" s="2">
        <f>AC491*(1+((1+VLOOKUP($B492,'IPCA Hist'!$B:$C,2,0))^12 - 1)+$AC$2)^(1/252)</f>
        <v>5187220.5149223236</v>
      </c>
      <c r="AD492" s="2">
        <f>AD491*(1+((1+VLOOKUP($B492,'IPCA Hist'!$B:$C,2,0))^12 - 1)+$AD$2)^(1/252)</f>
        <v>385829448.36382312</v>
      </c>
      <c r="AE492" s="2">
        <v>0</v>
      </c>
      <c r="AF492" s="2">
        <f>AF491*(1+((1+VLOOKUP($B492,'IGPM Hist'!$B:$C,2,0))^12 - 1)+$AF$2)^(1/252)</f>
        <v>1702564.2067321821</v>
      </c>
      <c r="AG492" s="2">
        <v>0</v>
      </c>
      <c r="AH492" s="2">
        <v>0</v>
      </c>
      <c r="AI492" s="2">
        <v>0</v>
      </c>
      <c r="AJ492" s="2">
        <f t="shared" ref="AJ492:AW492" si="291">AJ491*(1+AJ$2)^(1/252)</f>
        <v>55732801.9717483</v>
      </c>
      <c r="AK492" s="2">
        <f t="shared" si="291"/>
        <v>183003356.44122982</v>
      </c>
      <c r="AL492" s="2">
        <f t="shared" si="291"/>
        <v>37532314.473736785</v>
      </c>
      <c r="AM492" s="2">
        <f t="shared" si="291"/>
        <v>131398989.69746187</v>
      </c>
      <c r="AN492" s="2">
        <f t="shared" si="291"/>
        <v>56293346.095279194</v>
      </c>
      <c r="AO492" s="2">
        <f t="shared" si="291"/>
        <v>24213490.095623583</v>
      </c>
      <c r="AP492" s="2">
        <v>0</v>
      </c>
      <c r="AQ492" s="2">
        <v>0</v>
      </c>
      <c r="AR492" s="2">
        <v>0</v>
      </c>
      <c r="AS492" s="2">
        <f t="shared" si="291"/>
        <v>109421960.59931332</v>
      </c>
      <c r="AT492" s="2">
        <f t="shared" si="291"/>
        <v>5584318.0037647961</v>
      </c>
      <c r="AU492" s="2">
        <v>0</v>
      </c>
      <c r="AV492" s="2">
        <f t="shared" si="291"/>
        <v>55572377.80688905</v>
      </c>
      <c r="AW492" s="2">
        <f t="shared" si="291"/>
        <v>2884929.880493002</v>
      </c>
      <c r="AX492" s="2">
        <v>0</v>
      </c>
      <c r="AY492" s="2">
        <v>0</v>
      </c>
      <c r="AZ492" s="2">
        <v>0</v>
      </c>
      <c r="BA492" s="2">
        <f>6287173.63</f>
        <v>6287173.6299999999</v>
      </c>
      <c r="BB492" s="2">
        <f t="shared" si="277"/>
        <v>1895200608.0199609</v>
      </c>
      <c r="BC492" s="2">
        <v>0</v>
      </c>
      <c r="BD492" s="2">
        <v>0</v>
      </c>
      <c r="BE492" s="2">
        <f t="shared" si="278"/>
        <v>466297.23950052261</v>
      </c>
      <c r="BF492" s="2">
        <f t="shared" si="279"/>
        <v>3546176.8579838276</v>
      </c>
      <c r="BG492" s="2">
        <f t="shared" si="280"/>
        <v>77009131.929154873</v>
      </c>
      <c r="BH492" s="11">
        <f t="shared" si="281"/>
        <v>1.2028028462597333</v>
      </c>
      <c r="BI492" s="12">
        <f t="shared" si="282"/>
        <v>2.4610164963356773E-4</v>
      </c>
      <c r="BJ492" s="12">
        <f t="shared" si="283"/>
        <v>1.8746430635354638E-3</v>
      </c>
      <c r="BK492" s="12">
        <f t="shared" si="284"/>
        <v>4.4434827928788945E-2</v>
      </c>
      <c r="BL492" s="5">
        <f t="shared" si="285"/>
        <v>0.20280284625973333</v>
      </c>
      <c r="BM492" s="19">
        <f t="shared" si="286"/>
        <v>5.3665208971851008E-2</v>
      </c>
      <c r="BN492" s="19">
        <f t="shared" si="287"/>
        <v>0.10043338351611397</v>
      </c>
      <c r="BO492" s="19" t="s">
        <v>53</v>
      </c>
    </row>
    <row r="493" spans="1:67" x14ac:dyDescent="0.25">
      <c r="A493" s="1">
        <v>45817</v>
      </c>
      <c r="B493" s="1" t="str">
        <f t="shared" si="223"/>
        <v>202506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4">
        <v>0</v>
      </c>
      <c r="J493" s="24">
        <v>0</v>
      </c>
      <c r="K493" s="24">
        <v>0</v>
      </c>
      <c r="L493" s="24">
        <v>0</v>
      </c>
      <c r="M493" s="24">
        <v>0</v>
      </c>
      <c r="N493" s="2">
        <v>0</v>
      </c>
      <c r="O493" s="2">
        <v>0</v>
      </c>
      <c r="P493" s="2">
        <v>0</v>
      </c>
      <c r="Q493" s="2">
        <f>Q492*(1+((1+VLOOKUP($B493,'IPCA Hist'!$B:$C,2,0))^12 - 1)+$Q$2)^(1/252)</f>
        <v>46929599.32561437</v>
      </c>
      <c r="R493" s="2">
        <f>R492*(1+((1+VLOOKUP($B493,'IPCA Hist'!$B:$C,2,0))^12 - 1)+$R$2)^(1/252)</f>
        <v>46916695.644869559</v>
      </c>
      <c r="S493" s="2">
        <f>S492*(1+((1+VLOOKUP($B493,'IPCA Hist'!$B:$C,2,0))^12 - 1)+$S$2)^(1/252)</f>
        <v>47941126.492020383</v>
      </c>
      <c r="T493" s="2">
        <f>T492*(1+((1+VLOOKUP($B493,'IPCA Hist'!$B:$C,2,0))^12 - 1)+$T$2)^(1/252)</f>
        <v>242122503.56326023</v>
      </c>
      <c r="U493" s="2">
        <f>U492*(1+((1+VLOOKUP($B493,'IPCA Hist'!$B:$C,2,0))^12 - 1)+$U$2)^(1/252)</f>
        <v>21316919.347751293</v>
      </c>
      <c r="V493" s="2">
        <f>V492*(1+((1+VLOOKUP($B493,'IPCA Hist'!$B:$C,2,0))^12 - 1)+$V$2)^(1/252)</f>
        <v>82825245.132059321</v>
      </c>
      <c r="W493" s="2">
        <f>W492*(1+((1+VLOOKUP($B493,'IPCA Hist'!$B:$C,2,0))^12 - 1)+$W$2)^(1/252)</f>
        <v>43615638.281860732</v>
      </c>
      <c r="X493" s="2">
        <f>X492*(1+((1+VLOOKUP($B493,'IPCA Hist'!$B:$C,2,0))^12 - 1)+$X$2)^(1/252)</f>
        <v>14933573.9638044</v>
      </c>
      <c r="Y493" s="2">
        <f>Y492*(1+((1+VLOOKUP($B493,'IPCA Hist'!$B:$C,2,0))^12 - 1)+$Y$2)^(1/252)</f>
        <v>121732073.95034796</v>
      </c>
      <c r="Z493" s="2">
        <f>Z492*(1+((1+VLOOKUP($B493,'IPCA Hist'!$B:$C,2,0))^12 - 1)+$Z$2)^(1/252)</f>
        <v>82977042.781743005</v>
      </c>
      <c r="AA493" s="2">
        <f>AA492*(1+((1+VLOOKUP($B493,'IPCA Hist'!$B:$C,2,0))^12 - 1)+$AA$2)^(1/252)</f>
        <v>41765934.598757975</v>
      </c>
      <c r="AB493" s="2">
        <f>AB492*(1+((1+VLOOKUP($B493,'IPCA Hist'!$B:$C,2,0))^12 - 1)+$AB$2)^(1/252)</f>
        <v>41779529.045034215</v>
      </c>
      <c r="AC493" s="2">
        <f>AC492*(1+((1+VLOOKUP($B493,'IPCA Hist'!$B:$C,2,0))^12 - 1)+$AC$2)^(1/252)</f>
        <v>5189255.1503504766</v>
      </c>
      <c r="AD493" s="2">
        <f>AD492*(1+((1+VLOOKUP($B493,'IPCA Hist'!$B:$C,2,0))^12 - 1)+$AD$2)^(1/252)</f>
        <v>385980639.02419764</v>
      </c>
      <c r="AE493" s="2">
        <v>0</v>
      </c>
      <c r="AF493" s="2">
        <f>AF492*(1+((1+VLOOKUP($B493,'IGPM Hist'!$B:$C,2,0))^12 - 1)+$AF$2)^(1/252)</f>
        <v>1701696.992751386</v>
      </c>
      <c r="AG493" s="2">
        <v>0</v>
      </c>
      <c r="AH493" s="2">
        <v>0</v>
      </c>
      <c r="AI493" s="2">
        <v>0</v>
      </c>
      <c r="AJ493" s="2">
        <f t="shared" ref="AJ493:AW493" si="292">AJ492*(1+AJ$2)^(1/252)</f>
        <v>55758461.502197728</v>
      </c>
      <c r="AK493" s="2">
        <f t="shared" si="292"/>
        <v>183091772.72402155</v>
      </c>
      <c r="AL493" s="2">
        <f t="shared" si="292"/>
        <v>37550454.441067167</v>
      </c>
      <c r="AM493" s="2">
        <f t="shared" si="292"/>
        <v>131462462.28753334</v>
      </c>
      <c r="AN493" s="2">
        <f t="shared" si="292"/>
        <v>56320558.515724346</v>
      </c>
      <c r="AO493" s="2">
        <f t="shared" si="292"/>
        <v>24227378.375259236</v>
      </c>
      <c r="AP493" s="2">
        <v>0</v>
      </c>
      <c r="AQ493" s="2">
        <v>0</v>
      </c>
      <c r="AR493" s="2">
        <v>0</v>
      </c>
      <c r="AS493" s="2">
        <f t="shared" si="292"/>
        <v>109470711.0123983</v>
      </c>
      <c r="AT493" s="2">
        <f t="shared" si="292"/>
        <v>5587477.4054927258</v>
      </c>
      <c r="AU493" s="2">
        <v>0</v>
      </c>
      <c r="AV493" s="2">
        <f t="shared" si="292"/>
        <v>55597668.585775152</v>
      </c>
      <c r="AW493" s="2">
        <f t="shared" si="292"/>
        <v>2886541.1895128693</v>
      </c>
      <c r="AX493" s="2">
        <v>0</v>
      </c>
      <c r="AY493" s="2">
        <v>0</v>
      </c>
      <c r="AZ493" s="2">
        <v>0</v>
      </c>
      <c r="BA493" s="2">
        <f>BA492*(1+VLOOKUP(A493,'SELIC Hist'!$A:$C,3,0)-0.01%)^(1/252)</f>
        <v>6290583.2650933824</v>
      </c>
      <c r="BB493" s="2">
        <f t="shared" si="277"/>
        <v>1895971542.5984988</v>
      </c>
      <c r="BC493" s="2">
        <v>0</v>
      </c>
      <c r="BD493" s="2">
        <v>0</v>
      </c>
      <c r="BE493" s="2">
        <f t="shared" si="278"/>
        <v>770934.57853794098</v>
      </c>
      <c r="BF493" s="2">
        <f t="shared" si="279"/>
        <v>4317111.4365217686</v>
      </c>
      <c r="BG493" s="2">
        <f t="shared" si="280"/>
        <v>77780066.507692814</v>
      </c>
      <c r="BH493" s="11">
        <f t="shared" si="281"/>
        <v>1.2032921254956208</v>
      </c>
      <c r="BI493" s="12">
        <f t="shared" si="282"/>
        <v>4.0678257239656901E-4</v>
      </c>
      <c r="BJ493" s="12">
        <f t="shared" si="283"/>
        <v>2.2821882080596989E-3</v>
      </c>
      <c r="BK493" s="12">
        <f t="shared" si="284"/>
        <v>4.4859685814794492E-2</v>
      </c>
      <c r="BL493" s="5">
        <f t="shared" si="285"/>
        <v>0.20329212549562081</v>
      </c>
      <c r="BM493" s="19">
        <f t="shared" si="286"/>
        <v>5.3613620986320942E-2</v>
      </c>
      <c r="BN493" s="19">
        <f t="shared" si="287"/>
        <v>0.10046137890315232</v>
      </c>
      <c r="BO493" s="19" t="s">
        <v>53</v>
      </c>
    </row>
    <row r="494" spans="1:67" x14ac:dyDescent="0.25">
      <c r="A494" s="1">
        <v>45818</v>
      </c>
      <c r="B494" s="1" t="str">
        <f t="shared" si="223"/>
        <v>202506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4">
        <v>0</v>
      </c>
      <c r="J494" s="24">
        <v>0</v>
      </c>
      <c r="K494" s="24">
        <v>0</v>
      </c>
      <c r="L494" s="24">
        <v>0</v>
      </c>
      <c r="M494" s="24">
        <v>0</v>
      </c>
      <c r="N494" s="2">
        <v>0</v>
      </c>
      <c r="O494" s="2">
        <v>0</v>
      </c>
      <c r="P494" s="2">
        <v>0</v>
      </c>
      <c r="Q494" s="2">
        <f>Q493*(1+((1+VLOOKUP($B494,'IPCA Hist'!$B:$C,2,0))^12 - 1)+$Q$2)^(1/252)</f>
        <v>46944084.416619636</v>
      </c>
      <c r="R494" s="2">
        <f>R493*(1+((1+VLOOKUP($B494,'IPCA Hist'!$B:$C,2,0))^12 - 1)+$R$2)^(1/252)</f>
        <v>46931193.982320145</v>
      </c>
      <c r="S494" s="2">
        <f>S493*(1+((1+VLOOKUP($B494,'IPCA Hist'!$B:$C,2,0))^12 - 1)+$S$2)^(1/252)</f>
        <v>47955730.029690735</v>
      </c>
      <c r="T494" s="2">
        <f>T493*(1+((1+VLOOKUP($B494,'IPCA Hist'!$B:$C,2,0))^12 - 1)+$T$2)^(1/252)</f>
        <v>242196168.45116374</v>
      </c>
      <c r="U494" s="2">
        <f>U493*(1+((1+VLOOKUP($B494,'IPCA Hist'!$B:$C,2,0))^12 - 1)+$U$2)^(1/252)</f>
        <v>21324456.437234528</v>
      </c>
      <c r="V494" s="2">
        <f>V493*(1+((1+VLOOKUP($B494,'IPCA Hist'!$B:$C,2,0))^12 - 1)+$V$2)^(1/252)</f>
        <v>82858921.80521588</v>
      </c>
      <c r="W494" s="2">
        <f>W493*(1+((1+VLOOKUP($B494,'IPCA Hist'!$B:$C,2,0))^12 - 1)+$W$2)^(1/252)</f>
        <v>43633514.527492523</v>
      </c>
      <c r="X494" s="2">
        <f>X493*(1+((1+VLOOKUP($B494,'IPCA Hist'!$B:$C,2,0))^12 - 1)+$X$2)^(1/252)</f>
        <v>14939410.023151169</v>
      </c>
      <c r="Y494" s="2">
        <f>Y493*(1+((1+VLOOKUP($B494,'IPCA Hist'!$B:$C,2,0))^12 - 1)+$Y$2)^(1/252)</f>
        <v>121782228.32986371</v>
      </c>
      <c r="Z494" s="2">
        <f>Z493*(1+((1+VLOOKUP($B494,'IPCA Hist'!$B:$C,2,0))^12 - 1)+$Z$2)^(1/252)</f>
        <v>83008786.008151129</v>
      </c>
      <c r="AA494" s="2">
        <f>AA493*(1+((1+VLOOKUP($B494,'IPCA Hist'!$B:$C,2,0))^12 - 1)+$AA$2)^(1/252)</f>
        <v>41783739.187095813</v>
      </c>
      <c r="AB494" s="2">
        <f>AB493*(1+((1+VLOOKUP($B494,'IPCA Hist'!$B:$C,2,0))^12 - 1)+$AB$2)^(1/252)</f>
        <v>41797324.530785307</v>
      </c>
      <c r="AC494" s="2">
        <f>AC493*(1+((1+VLOOKUP($B494,'IPCA Hist'!$B:$C,2,0))^12 - 1)+$AC$2)^(1/252)</f>
        <v>5191290.5838440508</v>
      </c>
      <c r="AD494" s="2">
        <f>AD493*(1+((1+VLOOKUP($B494,'IPCA Hist'!$B:$C,2,0))^12 - 1)+$AD$2)^(1/252)</f>
        <v>386131888.9299612</v>
      </c>
      <c r="AE494" s="2">
        <v>0</v>
      </c>
      <c r="AF494" s="2">
        <f>AF493*(1+((1+VLOOKUP($B494,'IGPM Hist'!$B:$C,2,0))^12 - 1)+$AF$2)^(1/252)</f>
        <v>1700830.2204926028</v>
      </c>
      <c r="AG494" s="2">
        <v>0</v>
      </c>
      <c r="AH494" s="2">
        <v>0</v>
      </c>
      <c r="AI494" s="2">
        <v>0</v>
      </c>
      <c r="AJ494" s="2">
        <f t="shared" ref="AJ494:AW494" si="293">AJ493*(1+AJ$2)^(1/252)</f>
        <v>55784132.846363306</v>
      </c>
      <c r="AK494" s="2">
        <f t="shared" si="293"/>
        <v>183180231.72427607</v>
      </c>
      <c r="AL494" s="2">
        <f t="shared" si="293"/>
        <v>37568603.175733626</v>
      </c>
      <c r="AM494" s="2">
        <f t="shared" si="293"/>
        <v>131525965.53818828</v>
      </c>
      <c r="AN494" s="2">
        <f t="shared" si="293"/>
        <v>56347784.090758413</v>
      </c>
      <c r="AO494" s="2">
        <f t="shared" si="293"/>
        <v>24241274.620880399</v>
      </c>
      <c r="AP494" s="2">
        <v>0</v>
      </c>
      <c r="AQ494" s="2">
        <v>0</v>
      </c>
      <c r="AR494" s="2">
        <v>0</v>
      </c>
      <c r="AS494" s="2">
        <f t="shared" si="293"/>
        <v>109519483.14509755</v>
      </c>
      <c r="AT494" s="2">
        <f t="shared" si="293"/>
        <v>5590638.5946939467</v>
      </c>
      <c r="AU494" s="2">
        <v>0</v>
      </c>
      <c r="AV494" s="2">
        <f t="shared" si="293"/>
        <v>55622970.874399044</v>
      </c>
      <c r="AW494" s="2">
        <f t="shared" si="293"/>
        <v>2888153.3984910944</v>
      </c>
      <c r="AX494" s="2">
        <v>0</v>
      </c>
      <c r="AY494" s="2">
        <v>0</v>
      </c>
      <c r="AZ494" s="2">
        <v>0</v>
      </c>
      <c r="BA494" s="2">
        <f>BA493*(1+VLOOKUP(A494,'SELIC Hist'!$A:$C,3,0)-0.01%)^(1/252)</f>
        <v>6293994.7492865594</v>
      </c>
      <c r="BB494" s="2">
        <f t="shared" si="277"/>
        <v>1896742800.2212501</v>
      </c>
      <c r="BC494" s="2">
        <v>0</v>
      </c>
      <c r="BD494" s="2">
        <v>0</v>
      </c>
      <c r="BE494" s="2">
        <f t="shared" si="278"/>
        <v>771257.62275123596</v>
      </c>
      <c r="BF494" s="2">
        <f t="shared" si="279"/>
        <v>5088369.0592730045</v>
      </c>
      <c r="BG494" s="2">
        <f t="shared" si="280"/>
        <v>78551324.13044405</v>
      </c>
      <c r="BH494" s="11">
        <f t="shared" si="281"/>
        <v>1.2037816097538674</v>
      </c>
      <c r="BI494" s="12">
        <f t="shared" si="282"/>
        <v>4.0678755214562656E-4</v>
      </c>
      <c r="BJ494" s="12">
        <f t="shared" si="283"/>
        <v>2.6899041259600409E-3</v>
      </c>
      <c r="BK494" s="12">
        <f t="shared" si="284"/>
        <v>4.5284721728722666E-2</v>
      </c>
      <c r="BL494" s="5">
        <f t="shared" si="285"/>
        <v>0.20378160975386739</v>
      </c>
      <c r="BM494" s="19">
        <f t="shared" si="286"/>
        <v>5.3559120382165926E-2</v>
      </c>
      <c r="BN494" s="19">
        <f t="shared" si="287"/>
        <v>0.10063407417254044</v>
      </c>
      <c r="BO494" s="19" t="s">
        <v>53</v>
      </c>
    </row>
    <row r="495" spans="1:67" x14ac:dyDescent="0.25">
      <c r="A495" s="1">
        <v>45819</v>
      </c>
      <c r="B495" s="1" t="str">
        <f t="shared" si="223"/>
        <v>202506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4">
        <v>0</v>
      </c>
      <c r="J495" s="24">
        <v>0</v>
      </c>
      <c r="K495" s="24">
        <v>0</v>
      </c>
      <c r="L495" s="24">
        <v>0</v>
      </c>
      <c r="M495" s="24">
        <v>0</v>
      </c>
      <c r="N495" s="2">
        <v>0</v>
      </c>
      <c r="O495" s="2">
        <v>0</v>
      </c>
      <c r="P495" s="2">
        <v>0</v>
      </c>
      <c r="Q495" s="2">
        <f>Q494*(1+((1+VLOOKUP($B495,'IPCA Hist'!$B:$C,2,0))^12 - 1)+$Q$2)^(1/252)</f>
        <v>46958573.978531629</v>
      </c>
      <c r="R495" s="2">
        <f>R494*(1+((1+VLOOKUP($B495,'IPCA Hist'!$B:$C,2,0))^12 - 1)+$R$2)^(1/252)</f>
        <v>46945696.800090283</v>
      </c>
      <c r="S495" s="2">
        <f>S494*(1+((1+VLOOKUP($B495,'IPCA Hist'!$B:$C,2,0))^12 - 1)+$S$2)^(1/252)</f>
        <v>47970338.015802912</v>
      </c>
      <c r="T495" s="2">
        <f>T494*(1+((1+VLOOKUP($B495,'IPCA Hist'!$B:$C,2,0))^12 - 1)+$T$2)^(1/252)</f>
        <v>242269855.75134048</v>
      </c>
      <c r="U495" s="2">
        <f>U494*(1+((1+VLOOKUP($B495,'IPCA Hist'!$B:$C,2,0))^12 - 1)+$U$2)^(1/252)</f>
        <v>21331996.191629935</v>
      </c>
      <c r="V495" s="2">
        <f>V494*(1+((1+VLOOKUP($B495,'IPCA Hist'!$B:$C,2,0))^12 - 1)+$V$2)^(1/252)</f>
        <v>82892612.17127867</v>
      </c>
      <c r="W495" s="2">
        <f>W494*(1+((1+VLOOKUP($B495,'IPCA Hist'!$B:$C,2,0))^12 - 1)+$W$2)^(1/252)</f>
        <v>43651398.099857815</v>
      </c>
      <c r="X495" s="2">
        <f>X494*(1+((1+VLOOKUP($B495,'IPCA Hist'!$B:$C,2,0))^12 - 1)+$X$2)^(1/252)</f>
        <v>14945248.363237215</v>
      </c>
      <c r="Y495" s="2">
        <f>Y494*(1+((1+VLOOKUP($B495,'IPCA Hist'!$B:$C,2,0))^12 - 1)+$Y$2)^(1/252)</f>
        <v>121832403.37329903</v>
      </c>
      <c r="Z495" s="2">
        <f>Z494*(1+((1+VLOOKUP($B495,'IPCA Hist'!$B:$C,2,0))^12 - 1)+$Z$2)^(1/252)</f>
        <v>83040541.378067732</v>
      </c>
      <c r="AA495" s="2">
        <f>AA494*(1+((1+VLOOKUP($B495,'IPCA Hist'!$B:$C,2,0))^12 - 1)+$AA$2)^(1/252)</f>
        <v>41801551.365431793</v>
      </c>
      <c r="AB495" s="2">
        <f>AB494*(1+((1+VLOOKUP($B495,'IPCA Hist'!$B:$C,2,0))^12 - 1)+$AB$2)^(1/252)</f>
        <v>41815127.596308604</v>
      </c>
      <c r="AC495" s="2">
        <f>AC494*(1+((1+VLOOKUP($B495,'IPCA Hist'!$B:$C,2,0))^12 - 1)+$AC$2)^(1/252)</f>
        <v>5193326.8157160794</v>
      </c>
      <c r="AD495" s="2">
        <f>AD494*(1+((1+VLOOKUP($B495,'IPCA Hist'!$B:$C,2,0))^12 - 1)+$AD$2)^(1/252)</f>
        <v>386283198.10432971</v>
      </c>
      <c r="AE495" s="2">
        <v>0</v>
      </c>
      <c r="AF495" s="2">
        <f>AF494*(1+((1+VLOOKUP($B495,'IGPM Hist'!$B:$C,2,0))^12 - 1)+$AF$2)^(1/252)</f>
        <v>1699963.8897308379</v>
      </c>
      <c r="AG495" s="2">
        <v>0</v>
      </c>
      <c r="AH495" s="2">
        <v>0</v>
      </c>
      <c r="AI495" s="2">
        <v>0</v>
      </c>
      <c r="AJ495" s="2">
        <f t="shared" ref="AJ495:AW495" si="294">AJ494*(1+AJ$2)^(1/252)</f>
        <v>55809816.009684108</v>
      </c>
      <c r="AK495" s="2">
        <f t="shared" si="294"/>
        <v>183268733.46263185</v>
      </c>
      <c r="AL495" s="2">
        <f t="shared" si="294"/>
        <v>37586760.681973554</v>
      </c>
      <c r="AM495" s="2">
        <f t="shared" si="294"/>
        <v>131589499.46423735</v>
      </c>
      <c r="AN495" s="2">
        <f t="shared" si="294"/>
        <v>56375022.826740377</v>
      </c>
      <c r="AO495" s="2">
        <f t="shared" si="294"/>
        <v>24255178.837056171</v>
      </c>
      <c r="AP495" s="2">
        <v>0</v>
      </c>
      <c r="AQ495" s="2">
        <v>0</v>
      </c>
      <c r="AR495" s="2">
        <v>0</v>
      </c>
      <c r="AS495" s="2">
        <f t="shared" si="294"/>
        <v>109568277.00708772</v>
      </c>
      <c r="AT495" s="2">
        <f t="shared" si="294"/>
        <v>5593801.5723797446</v>
      </c>
      <c r="AU495" s="2">
        <v>0</v>
      </c>
      <c r="AV495" s="2">
        <f t="shared" si="294"/>
        <v>55648284.677998759</v>
      </c>
      <c r="AW495" s="2">
        <f t="shared" si="294"/>
        <v>2889766.5079303272</v>
      </c>
      <c r="AX495" s="2">
        <v>0</v>
      </c>
      <c r="AY495" s="2">
        <v>0</v>
      </c>
      <c r="AZ495" s="2">
        <v>0</v>
      </c>
      <c r="BA495" s="2">
        <f>BA494*(1+VLOOKUP(A495,'SELIC Hist'!$A:$C,3,0)-0.01%)^(1/252)</f>
        <v>6297408.0835823277</v>
      </c>
      <c r="BB495" s="2">
        <f t="shared" si="277"/>
        <v>1897514381.0259552</v>
      </c>
      <c r="BC495" s="2">
        <v>0</v>
      </c>
      <c r="BD495" s="2">
        <v>0</v>
      </c>
      <c r="BE495" s="2">
        <f t="shared" si="278"/>
        <v>771580.80470514297</v>
      </c>
      <c r="BF495" s="2">
        <f t="shared" si="279"/>
        <v>5859949.8639781475</v>
      </c>
      <c r="BG495" s="2">
        <f t="shared" si="280"/>
        <v>79322904.935149193</v>
      </c>
      <c r="BH495" s="11">
        <f t="shared" si="281"/>
        <v>1.2042712991218907</v>
      </c>
      <c r="BI495" s="12">
        <f t="shared" si="282"/>
        <v>4.0679253118303116E-4</v>
      </c>
      <c r="BJ495" s="12">
        <f t="shared" si="283"/>
        <v>3.0977908900511331E-3</v>
      </c>
      <c r="BK495" s="12">
        <f t="shared" si="284"/>
        <v>4.5709935746481634E-2</v>
      </c>
      <c r="BL495" s="5">
        <f t="shared" si="285"/>
        <v>0.20427129912189068</v>
      </c>
      <c r="BM495" s="19">
        <f t="shared" si="286"/>
        <v>5.3504627200641419E-2</v>
      </c>
      <c r="BN495" s="19">
        <f t="shared" si="287"/>
        <v>0.10061645320691803</v>
      </c>
      <c r="BO495" s="19" t="s">
        <v>53</v>
      </c>
    </row>
    <row r="496" spans="1:67" x14ac:dyDescent="0.25">
      <c r="A496" s="1">
        <v>45820</v>
      </c>
      <c r="B496" s="1" t="str">
        <f t="shared" si="223"/>
        <v>202506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4">
        <v>0</v>
      </c>
      <c r="J496" s="24">
        <v>0</v>
      </c>
      <c r="K496" s="24">
        <v>0</v>
      </c>
      <c r="L496" s="24">
        <v>0</v>
      </c>
      <c r="M496" s="24">
        <v>0</v>
      </c>
      <c r="N496" s="2">
        <v>0</v>
      </c>
      <c r="O496" s="2">
        <v>0</v>
      </c>
      <c r="P496" s="2">
        <v>0</v>
      </c>
      <c r="Q496" s="2">
        <f>Q495*(1+((1+VLOOKUP($B496,'IPCA Hist'!$B:$C,2,0))^12 - 1)+$Q$2)^(1/252)</f>
        <v>46973068.012730323</v>
      </c>
      <c r="R496" s="2">
        <f>R495*(1+((1+VLOOKUP($B496,'IPCA Hist'!$B:$C,2,0))^12 - 1)+$R$2)^(1/252)</f>
        <v>46960204.0995645</v>
      </c>
      <c r="S496" s="2">
        <f>S495*(1+((1+VLOOKUP($B496,'IPCA Hist'!$B:$C,2,0))^12 - 1)+$S$2)^(1/252)</f>
        <v>47984950.451711982</v>
      </c>
      <c r="T496" s="2">
        <f>T495*(1+((1+VLOOKUP($B496,'IPCA Hist'!$B:$C,2,0))^12 - 1)+$T$2)^(1/252)</f>
        <v>242343565.47060934</v>
      </c>
      <c r="U496" s="2">
        <f>U495*(1+((1+VLOOKUP($B496,'IPCA Hist'!$B:$C,2,0))^12 - 1)+$U$2)^(1/252)</f>
        <v>21339538.611879759</v>
      </c>
      <c r="V496" s="2">
        <f>V495*(1+((1+VLOOKUP($B496,'IPCA Hist'!$B:$C,2,0))^12 - 1)+$V$2)^(1/252)</f>
        <v>82926316.235815212</v>
      </c>
      <c r="W496" s="2">
        <f>W495*(1+((1+VLOOKUP($B496,'IPCA Hist'!$B:$C,2,0))^12 - 1)+$W$2)^(1/252)</f>
        <v>43669289.001959525</v>
      </c>
      <c r="X496" s="2">
        <f>X495*(1+((1+VLOOKUP($B496,'IPCA Hist'!$B:$C,2,0))^12 - 1)+$X$2)^(1/252)</f>
        <v>14951088.984953856</v>
      </c>
      <c r="Y496" s="2">
        <f>Y495*(1+((1+VLOOKUP($B496,'IPCA Hist'!$B:$C,2,0))^12 - 1)+$Y$2)^(1/252)</f>
        <v>121882599.08916758</v>
      </c>
      <c r="Z496" s="2">
        <f>Z495*(1+((1+VLOOKUP($B496,'IPCA Hist'!$B:$C,2,0))^12 - 1)+$Z$2)^(1/252)</f>
        <v>83072308.89613837</v>
      </c>
      <c r="AA496" s="2">
        <f>AA495*(1+((1+VLOOKUP($B496,'IPCA Hist'!$B:$C,2,0))^12 - 1)+$AA$2)^(1/252)</f>
        <v>41819371.137001485</v>
      </c>
      <c r="AB496" s="2">
        <f>AB495*(1+((1+VLOOKUP($B496,'IPCA Hist'!$B:$C,2,0))^12 - 1)+$AB$2)^(1/252)</f>
        <v>41832938.24483262</v>
      </c>
      <c r="AC496" s="2">
        <f>AC495*(1+((1+VLOOKUP($B496,'IPCA Hist'!$B:$C,2,0))^12 - 1)+$AC$2)^(1/252)</f>
        <v>5195363.8462797189</v>
      </c>
      <c r="AD496" s="2">
        <f>AD495*(1+((1+VLOOKUP($B496,'IPCA Hist'!$B:$C,2,0))^12 - 1)+$AD$2)^(1/252)</f>
        <v>386434566.57052803</v>
      </c>
      <c r="AE496" s="2">
        <v>0</v>
      </c>
      <c r="AF496" s="2">
        <f>AF495*(1+((1+VLOOKUP($B496,'IGPM Hist'!$B:$C,2,0))^12 - 1)+$AF$2)^(1/252)</f>
        <v>1699098.0002412116</v>
      </c>
      <c r="AG496" s="2">
        <v>0</v>
      </c>
      <c r="AH496" s="2">
        <v>0</v>
      </c>
      <c r="AI496" s="2">
        <v>0</v>
      </c>
      <c r="AJ496" s="2">
        <f t="shared" ref="AJ496:AW496" si="295">AJ495*(1+AJ$2)^(1/252)</f>
        <v>55835510.997601695</v>
      </c>
      <c r="AK496" s="2">
        <f t="shared" si="295"/>
        <v>183357277.95973742</v>
      </c>
      <c r="AL496" s="2">
        <f t="shared" si="295"/>
        <v>37604926.964026399</v>
      </c>
      <c r="AM496" s="2">
        <f t="shared" si="295"/>
        <v>131653064.08049837</v>
      </c>
      <c r="AN496" s="2">
        <f t="shared" si="295"/>
        <v>56402274.73003228</v>
      </c>
      <c r="AO496" s="2">
        <f t="shared" si="295"/>
        <v>24269091.028358269</v>
      </c>
      <c r="AP496" s="2">
        <v>0</v>
      </c>
      <c r="AQ496" s="2">
        <v>0</v>
      </c>
      <c r="AR496" s="2">
        <v>0</v>
      </c>
      <c r="AS496" s="2">
        <f t="shared" si="295"/>
        <v>109617092.60804981</v>
      </c>
      <c r="AT496" s="2">
        <f t="shared" si="295"/>
        <v>5596966.3395619784</v>
      </c>
      <c r="AU496" s="2">
        <v>0</v>
      </c>
      <c r="AV496" s="2">
        <f t="shared" si="295"/>
        <v>55673610.001814716</v>
      </c>
      <c r="AW496" s="2">
        <f t="shared" si="295"/>
        <v>2891380.5183334993</v>
      </c>
      <c r="AX496" s="2">
        <v>0</v>
      </c>
      <c r="AY496" s="2">
        <v>0</v>
      </c>
      <c r="AZ496" s="2">
        <v>0</v>
      </c>
      <c r="BA496" s="2">
        <f>BA495*(1+VLOOKUP(A496,'SELIC Hist'!$A:$C,3,0)-0.01%)^(1/252)</f>
        <v>6300823.2689840281</v>
      </c>
      <c r="BB496" s="2">
        <f t="shared" si="277"/>
        <v>1898286285.1504118</v>
      </c>
      <c r="BC496" s="2">
        <v>0</v>
      </c>
      <c r="BD496" s="2">
        <v>0</v>
      </c>
      <c r="BE496" s="2">
        <f t="shared" si="278"/>
        <v>771904.12445664406</v>
      </c>
      <c r="BF496" s="2">
        <f t="shared" si="279"/>
        <v>6631853.9884347916</v>
      </c>
      <c r="BG496" s="2">
        <f t="shared" si="280"/>
        <v>80094809.059605837</v>
      </c>
      <c r="BH496" s="11">
        <f t="shared" si="281"/>
        <v>1.2047611936871454</v>
      </c>
      <c r="BI496" s="12">
        <f t="shared" si="282"/>
        <v>4.0679750950789462E-4</v>
      </c>
      <c r="BJ496" s="12">
        <f t="shared" si="283"/>
        <v>3.5058485731780387E-3</v>
      </c>
      <c r="BK496" s="12">
        <f t="shared" si="284"/>
        <v>4.6135327944010873E-2</v>
      </c>
      <c r="BL496" s="5">
        <f t="shared" si="285"/>
        <v>0.2047611936871454</v>
      </c>
      <c r="BM496" s="19">
        <f t="shared" si="286"/>
        <v>5.3450141440122723E-2</v>
      </c>
      <c r="BN496" s="19">
        <f t="shared" si="287"/>
        <v>0.10095212884561211</v>
      </c>
      <c r="BO496" s="19" t="s">
        <v>53</v>
      </c>
    </row>
    <row r="497" spans="1:67" x14ac:dyDescent="0.25">
      <c r="A497" s="1">
        <v>45821</v>
      </c>
      <c r="B497" s="1" t="str">
        <f t="shared" si="223"/>
        <v>202506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4">
        <v>0</v>
      </c>
      <c r="J497" s="24">
        <v>0</v>
      </c>
      <c r="K497" s="24">
        <v>0</v>
      </c>
      <c r="L497" s="24">
        <v>0</v>
      </c>
      <c r="M497" s="24">
        <v>0</v>
      </c>
      <c r="N497" s="2">
        <v>0</v>
      </c>
      <c r="O497" s="2">
        <v>0</v>
      </c>
      <c r="P497" s="2">
        <v>0</v>
      </c>
      <c r="Q497" s="2">
        <f>Q496*(1+((1+VLOOKUP($B497,'IPCA Hist'!$B:$C,2,0))^12 - 1)+$Q$2)^(1/252)</f>
        <v>46987566.520596109</v>
      </c>
      <c r="R497" s="2">
        <f>R496*(1+((1+VLOOKUP($B497,'IPCA Hist'!$B:$C,2,0))^12 - 1)+$R$2)^(1/252)</f>
        <v>46974715.882127739</v>
      </c>
      <c r="S497" s="2">
        <f>S496*(1+((1+VLOOKUP($B497,'IPCA Hist'!$B:$C,2,0))^12 - 1)+$S$2)^(1/252)</f>
        <v>47999567.338773407</v>
      </c>
      <c r="T497" s="2">
        <f>T496*(1+((1+VLOOKUP($B497,'IPCA Hist'!$B:$C,2,0))^12 - 1)+$T$2)^(1/252)</f>
        <v>242417297.61579123</v>
      </c>
      <c r="U497" s="2">
        <f>U496*(1+((1+VLOOKUP($B497,'IPCA Hist'!$B:$C,2,0))^12 - 1)+$U$2)^(1/252)</f>
        <v>21347083.698926572</v>
      </c>
      <c r="V497" s="2">
        <f>V496*(1+((1+VLOOKUP($B497,'IPCA Hist'!$B:$C,2,0))^12 - 1)+$V$2)^(1/252)</f>
        <v>82960034.004395291</v>
      </c>
      <c r="W497" s="2">
        <f>W496*(1+((1+VLOOKUP($B497,'IPCA Hist'!$B:$C,2,0))^12 - 1)+$W$2)^(1/252)</f>
        <v>43687187.236801811</v>
      </c>
      <c r="X497" s="2">
        <f>X496*(1+((1+VLOOKUP($B497,'IPCA Hist'!$B:$C,2,0))^12 - 1)+$X$2)^(1/252)</f>
        <v>14956931.889192754</v>
      </c>
      <c r="Y497" s="2">
        <f>Y496*(1+((1+VLOOKUP($B497,'IPCA Hist'!$B:$C,2,0))^12 - 1)+$Y$2)^(1/252)</f>
        <v>121932815.48598653</v>
      </c>
      <c r="Z497" s="2">
        <f>Z496*(1+((1+VLOOKUP($B497,'IPCA Hist'!$B:$C,2,0))^12 - 1)+$Z$2)^(1/252)</f>
        <v>83104088.567010358</v>
      </c>
      <c r="AA497" s="2">
        <f>AA496*(1+((1+VLOOKUP($B497,'IPCA Hist'!$B:$C,2,0))^12 - 1)+$AA$2)^(1/252)</f>
        <v>41837198.505041845</v>
      </c>
      <c r="AB497" s="2">
        <f>AB496*(1+((1+VLOOKUP($B497,'IPCA Hist'!$B:$C,2,0))^12 - 1)+$AB$2)^(1/252)</f>
        <v>41850756.479587249</v>
      </c>
      <c r="AC497" s="2">
        <f>AC496*(1+((1+VLOOKUP($B497,'IPCA Hist'!$B:$C,2,0))^12 - 1)+$AC$2)^(1/252)</f>
        <v>5197401.6758482475</v>
      </c>
      <c r="AD497" s="2">
        <f>AD496*(1+((1+VLOOKUP($B497,'IPCA Hist'!$B:$C,2,0))^12 - 1)+$AD$2)^(1/252)</f>
        <v>386585994.35179019</v>
      </c>
      <c r="AE497" s="2">
        <v>0</v>
      </c>
      <c r="AF497" s="2">
        <f>AF496*(1+((1+VLOOKUP($B497,'IGPM Hist'!$B:$C,2,0))^12 - 1)+$AF$2)^(1/252)</f>
        <v>1698232.5517989588</v>
      </c>
      <c r="AG497" s="2">
        <v>0</v>
      </c>
      <c r="AH497" s="2">
        <v>0</v>
      </c>
      <c r="AI497" s="2">
        <v>0</v>
      </c>
      <c r="AJ497" s="2">
        <f t="shared" ref="AJ497:AW497" si="296">AJ496*(1+AJ$2)^(1/252)</f>
        <v>55861217.815560147</v>
      </c>
      <c r="AK497" s="2">
        <f t="shared" si="296"/>
        <v>183445865.23625124</v>
      </c>
      <c r="AL497" s="2">
        <f t="shared" si="296"/>
        <v>37623102.026133642</v>
      </c>
      <c r="AM497" s="2">
        <f t="shared" si="296"/>
        <v>131716659.40179631</v>
      </c>
      <c r="AN497" s="2">
        <f t="shared" si="296"/>
        <v>56429539.806999259</v>
      </c>
      <c r="AO497" s="2">
        <f t="shared" si="296"/>
        <v>24283011.199361041</v>
      </c>
      <c r="AP497" s="2">
        <v>0</v>
      </c>
      <c r="AQ497" s="2">
        <v>0</v>
      </c>
      <c r="AR497" s="2">
        <v>0</v>
      </c>
      <c r="AS497" s="2">
        <f t="shared" si="296"/>
        <v>109665929.95766911</v>
      </c>
      <c r="AT497" s="2">
        <f t="shared" si="296"/>
        <v>5600132.8972530803</v>
      </c>
      <c r="AU497" s="2">
        <v>0</v>
      </c>
      <c r="AV497" s="2">
        <f t="shared" si="296"/>
        <v>55698946.851089723</v>
      </c>
      <c r="AW497" s="2">
        <f t="shared" si="296"/>
        <v>2892995.4302038229</v>
      </c>
      <c r="AX497" s="2">
        <v>0</v>
      </c>
      <c r="AY497" s="2">
        <v>0</v>
      </c>
      <c r="AZ497" s="2">
        <v>0</v>
      </c>
      <c r="BA497" s="2">
        <f>BA496*(1+VLOOKUP(A497,'SELIC Hist'!$A:$C,3,0)-0.01%)^(1/252)</f>
        <v>6304240.3064955445</v>
      </c>
      <c r="BB497" s="2">
        <f t="shared" si="277"/>
        <v>1899058512.732481</v>
      </c>
      <c r="BC497" s="2">
        <v>0</v>
      </c>
      <c r="BD497" s="2">
        <v>0</v>
      </c>
      <c r="BE497" s="2">
        <f t="shared" si="278"/>
        <v>772227.58206915855</v>
      </c>
      <c r="BF497" s="2">
        <f t="shared" si="279"/>
        <v>7404081.5705039501</v>
      </c>
      <c r="BG497" s="2">
        <f t="shared" si="280"/>
        <v>80867036.641674995</v>
      </c>
      <c r="BH497" s="11">
        <f t="shared" si="281"/>
        <v>1.2052512935371256</v>
      </c>
      <c r="BI497" s="12">
        <f t="shared" si="282"/>
        <v>4.0680248712221534E-4</v>
      </c>
      <c r="BJ497" s="12">
        <f t="shared" si="283"/>
        <v>3.9140772482193498E-3</v>
      </c>
      <c r="BK497" s="12">
        <f t="shared" si="284"/>
        <v>4.6560898397284944E-2</v>
      </c>
      <c r="BL497" s="5">
        <f t="shared" si="285"/>
        <v>0.20525129353712557</v>
      </c>
      <c r="BM497" s="19">
        <f t="shared" si="286"/>
        <v>5.3395663098985802E-2</v>
      </c>
      <c r="BN497" s="19">
        <f t="shared" si="287"/>
        <v>0.10124802854460935</v>
      </c>
      <c r="BO497" s="19" t="s">
        <v>53</v>
      </c>
    </row>
    <row r="498" spans="1:67" x14ac:dyDescent="0.25">
      <c r="A498" s="1">
        <v>45824</v>
      </c>
      <c r="B498" s="1" t="str">
        <f t="shared" si="223"/>
        <v>202506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4">
        <v>0</v>
      </c>
      <c r="J498" s="24">
        <v>0</v>
      </c>
      <c r="K498" s="24">
        <v>0</v>
      </c>
      <c r="L498" s="24">
        <v>0</v>
      </c>
      <c r="M498" s="24">
        <v>0</v>
      </c>
      <c r="N498" s="2">
        <v>0</v>
      </c>
      <c r="O498" s="2">
        <v>0</v>
      </c>
      <c r="P498" s="2">
        <v>0</v>
      </c>
      <c r="Q498" s="2">
        <f>Q497*(1+((1+VLOOKUP($B498,'IPCA Hist'!$B:$C,2,0))^12 - 1)+$Q$2)^(1/252)</f>
        <v>47002069.50350982</v>
      </c>
      <c r="R498" s="2">
        <f>R497*(1+((1+VLOOKUP($B498,'IPCA Hist'!$B:$C,2,0))^12 - 1)+$R$2)^(1/252)</f>
        <v>46989232.149165377</v>
      </c>
      <c r="S498" s="2">
        <f>S497*(1+((1+VLOOKUP($B498,'IPCA Hist'!$B:$C,2,0))^12 - 1)+$S$2)^(1/252)</f>
        <v>48014188.678343073</v>
      </c>
      <c r="T498" s="2">
        <f>T497*(1+((1+VLOOKUP($B498,'IPCA Hist'!$B:$C,2,0))^12 - 1)+$T$2)^(1/252)</f>
        <v>242491052.19370914</v>
      </c>
      <c r="U498" s="2">
        <f>U497*(1+((1+VLOOKUP($B498,'IPCA Hist'!$B:$C,2,0))^12 - 1)+$U$2)^(1/252)</f>
        <v>21354631.453713279</v>
      </c>
      <c r="V498" s="2">
        <f>V497*(1+((1+VLOOKUP($B498,'IPCA Hist'!$B:$C,2,0))^12 - 1)+$V$2)^(1/252)</f>
        <v>82993765.482590973</v>
      </c>
      <c r="W498" s="2">
        <f>W497*(1+((1+VLOOKUP($B498,'IPCA Hist'!$B:$C,2,0))^12 - 1)+$W$2)^(1/252)</f>
        <v>43705092.807390057</v>
      </c>
      <c r="X498" s="2">
        <f>X497*(1+((1+VLOOKUP($B498,'IPCA Hist'!$B:$C,2,0))^12 - 1)+$X$2)^(1/252)</f>
        <v>14962777.076845922</v>
      </c>
      <c r="Y498" s="2">
        <f>Y497*(1+((1+VLOOKUP($B498,'IPCA Hist'!$B:$C,2,0))^12 - 1)+$Y$2)^(1/252)</f>
        <v>121983052.57227656</v>
      </c>
      <c r="Z498" s="2">
        <f>Z497*(1+((1+VLOOKUP($B498,'IPCA Hist'!$B:$C,2,0))^12 - 1)+$Z$2)^(1/252)</f>
        <v>83135880.395332828</v>
      </c>
      <c r="AA498" s="2">
        <f>AA497*(1+((1+VLOOKUP($B498,'IPCA Hist'!$B:$C,2,0))^12 - 1)+$AA$2)^(1/252)</f>
        <v>41855033.47279121</v>
      </c>
      <c r="AB498" s="2">
        <f>AB497*(1+((1+VLOOKUP($B498,'IPCA Hist'!$B:$C,2,0))^12 - 1)+$AB$2)^(1/252)</f>
        <v>41868582.303803749</v>
      </c>
      <c r="AC498" s="2">
        <f>AC497*(1+((1+VLOOKUP($B498,'IPCA Hist'!$B:$C,2,0))^12 - 1)+$AC$2)^(1/252)</f>
        <v>5199440.3047350673</v>
      </c>
      <c r="AD498" s="2">
        <f>AD497*(1+((1+VLOOKUP($B498,'IPCA Hist'!$B:$C,2,0))^12 - 1)+$AD$2)^(1/252)</f>
        <v>386737481.47135931</v>
      </c>
      <c r="AE498" s="2">
        <v>0</v>
      </c>
      <c r="AF498" s="2">
        <f>AF497*(1+((1+VLOOKUP($B498,'IGPM Hist'!$B:$C,2,0))^12 - 1)+$AF$2)^(1/252)</f>
        <v>1697367.5441794284</v>
      </c>
      <c r="AG498" s="2">
        <v>0</v>
      </c>
      <c r="AH498" s="2">
        <v>0</v>
      </c>
      <c r="AI498" s="2">
        <v>0</v>
      </c>
      <c r="AJ498" s="2">
        <f t="shared" ref="AJ498:AW498" si="297">AJ497*(1+AJ$2)^(1/252)</f>
        <v>55886936.469006047</v>
      </c>
      <c r="AK498" s="2">
        <f t="shared" si="297"/>
        <v>183534495.31284174</v>
      </c>
      <c r="AL498" s="2">
        <f t="shared" si="297"/>
        <v>37641285.872538827</v>
      </c>
      <c r="AM498" s="2">
        <f t="shared" si="297"/>
        <v>131780285.44296332</v>
      </c>
      <c r="AN498" s="2">
        <f t="shared" si="297"/>
        <v>56456818.064009517</v>
      </c>
      <c r="AO498" s="2">
        <f t="shared" si="297"/>
        <v>24296939.354641449</v>
      </c>
      <c r="AP498" s="2">
        <v>0</v>
      </c>
      <c r="AQ498" s="2">
        <v>0</v>
      </c>
      <c r="AR498" s="2">
        <v>0</v>
      </c>
      <c r="AS498" s="2">
        <f t="shared" si="297"/>
        <v>109714789.06563522</v>
      </c>
      <c r="AT498" s="2">
        <f t="shared" si="297"/>
        <v>5603301.2464660536</v>
      </c>
      <c r="AU498" s="2">
        <v>0</v>
      </c>
      <c r="AV498" s="2">
        <f t="shared" si="297"/>
        <v>55724295.231068976</v>
      </c>
      <c r="AW498" s="2">
        <f t="shared" si="297"/>
        <v>2894611.2440447905</v>
      </c>
      <c r="AX498" s="2">
        <v>0</v>
      </c>
      <c r="AY498" s="2">
        <v>0</v>
      </c>
      <c r="AZ498" s="2">
        <v>0</v>
      </c>
      <c r="BA498" s="2">
        <f>BA497*(1+VLOOKUP(A498,'SELIC Hist'!$A:$C,3,0)-0.01%)^(1/252)</f>
        <v>6307659.1971213063</v>
      </c>
      <c r="BB498" s="2">
        <f t="shared" si="277"/>
        <v>1899831063.9100833</v>
      </c>
      <c r="BC498" s="2">
        <v>0</v>
      </c>
      <c r="BD498" s="2">
        <v>0</v>
      </c>
      <c r="BE498" s="2">
        <f t="shared" si="278"/>
        <v>772551.17760229111</v>
      </c>
      <c r="BF498" s="2">
        <f t="shared" si="279"/>
        <v>8176632.7481062412</v>
      </c>
      <c r="BG498" s="2">
        <f t="shared" si="280"/>
        <v>81639587.819277287</v>
      </c>
      <c r="BH498" s="11">
        <f t="shared" si="281"/>
        <v>1.2057415987593638</v>
      </c>
      <c r="BI498" s="12">
        <f t="shared" si="282"/>
        <v>4.0680746402621537E-4</v>
      </c>
      <c r="BJ498" s="12">
        <f t="shared" si="283"/>
        <v>4.3224769880849667E-3</v>
      </c>
      <c r="BK498" s="12">
        <f t="shared" si="284"/>
        <v>4.6986647182311048E-2</v>
      </c>
      <c r="BL498" s="5">
        <f t="shared" si="285"/>
        <v>0.20574159875936382</v>
      </c>
      <c r="BM498" s="19">
        <f t="shared" si="286"/>
        <v>5.3341122117529505E-2</v>
      </c>
      <c r="BN498" s="19">
        <f t="shared" si="287"/>
        <v>0.10144790344249532</v>
      </c>
      <c r="BO498" s="19" t="s">
        <v>53</v>
      </c>
    </row>
    <row r="499" spans="1:67" x14ac:dyDescent="0.25">
      <c r="A499" s="1">
        <v>45825</v>
      </c>
      <c r="B499" s="1" t="str">
        <f t="shared" si="223"/>
        <v>202506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">
        <v>0</v>
      </c>
      <c r="O499" s="2">
        <v>0</v>
      </c>
      <c r="P499" s="2">
        <v>0</v>
      </c>
      <c r="Q499" s="2">
        <f>Q498*(1+((1+VLOOKUP($B499,'IPCA Hist'!$B:$C,2,0))^12 - 1)+$Q$2)^(1/252)</f>
        <v>47016576.962852702</v>
      </c>
      <c r="R499" s="2">
        <f>R498*(1+((1+VLOOKUP($B499,'IPCA Hist'!$B:$C,2,0))^12 - 1)+$R$2)^(1/252)</f>
        <v>47003752.902063221</v>
      </c>
      <c r="S499" s="2">
        <f>S498*(1+((1+VLOOKUP($B499,'IPCA Hist'!$B:$C,2,0))^12 - 1)+$S$2)^(1/252)</f>
        <v>48028814.471777275</v>
      </c>
      <c r="T499" s="2">
        <f>T498*(1+((1+VLOOKUP($B499,'IPCA Hist'!$B:$C,2,0))^12 - 1)+$T$2)^(1/252)</f>
        <v>242564829.21118817</v>
      </c>
      <c r="U499" s="2">
        <f>U498*(1+((1+VLOOKUP($B499,'IPCA Hist'!$B:$C,2,0))^12 - 1)+$U$2)^(1/252)</f>
        <v>21362181.877183128</v>
      </c>
      <c r="V499" s="2">
        <f>V498*(1+((1+VLOOKUP($B499,'IPCA Hist'!$B:$C,2,0))^12 - 1)+$V$2)^(1/252)</f>
        <v>83027510.67597656</v>
      </c>
      <c r="W499" s="2">
        <f>W498*(1+((1+VLOOKUP($B499,'IPCA Hist'!$B:$C,2,0))^12 - 1)+$W$2)^(1/252)</f>
        <v>43723005.716730885</v>
      </c>
      <c r="X499" s="2">
        <f>X498*(1+((1+VLOOKUP($B499,'IPCA Hist'!$B:$C,2,0))^12 - 1)+$X$2)^(1/252)</f>
        <v>14968624.548805721</v>
      </c>
      <c r="Y499" s="2">
        <f>Y498*(1+((1+VLOOKUP($B499,'IPCA Hist'!$B:$C,2,0))^12 - 1)+$Y$2)^(1/252)</f>
        <v>122033310.35656187</v>
      </c>
      <c r="Z499" s="2">
        <f>Z498*(1+((1+VLOOKUP($B499,'IPCA Hist'!$B:$C,2,0))^12 - 1)+$Z$2)^(1/252)</f>
        <v>83167684.385756642</v>
      </c>
      <c r="AA499" s="2">
        <f>AA498*(1+((1+VLOOKUP($B499,'IPCA Hist'!$B:$C,2,0))^12 - 1)+$AA$2)^(1/252)</f>
        <v>41872876.043489285</v>
      </c>
      <c r="AB499" s="2">
        <f>AB498*(1+((1+VLOOKUP($B499,'IPCA Hist'!$B:$C,2,0))^12 - 1)+$AB$2)^(1/252)</f>
        <v>41886415.720714755</v>
      </c>
      <c r="AC499" s="2">
        <f>AC498*(1+((1+VLOOKUP($B499,'IPCA Hist'!$B:$C,2,0))^12 - 1)+$AC$2)^(1/252)</f>
        <v>5201479.7332537025</v>
      </c>
      <c r="AD499" s="2">
        <f>AD498*(1+((1+VLOOKUP($B499,'IPCA Hist'!$B:$C,2,0))^12 - 1)+$AD$2)^(1/252)</f>
        <v>386889027.95248765</v>
      </c>
      <c r="AE499" s="2">
        <v>0</v>
      </c>
      <c r="AF499" s="2">
        <f>AF498*(1+((1+VLOOKUP($B499,'IGPM Hist'!$B:$C,2,0))^12 - 1)+$AF$2)^(1/252)</f>
        <v>1696502.977158084</v>
      </c>
      <c r="AG499" s="2">
        <v>0</v>
      </c>
      <c r="AH499" s="2">
        <v>0</v>
      </c>
      <c r="AI499" s="2">
        <v>0</v>
      </c>
      <c r="AJ499" s="2">
        <f t="shared" ref="AJ499:AW499" si="298">AJ498*(1+AJ$2)^(1/252)</f>
        <v>55912666.963388488</v>
      </c>
      <c r="AK499" s="2">
        <f t="shared" si="298"/>
        <v>183623168.21018738</v>
      </c>
      <c r="AL499" s="2">
        <f t="shared" si="298"/>
        <v>37659478.50748755</v>
      </c>
      <c r="AM499" s="2">
        <f t="shared" si="298"/>
        <v>131843942.21883871</v>
      </c>
      <c r="AN499" s="2">
        <f t="shared" si="298"/>
        <v>56484109.507434338</v>
      </c>
      <c r="AO499" s="2">
        <f t="shared" si="298"/>
        <v>24310875.498779081</v>
      </c>
      <c r="AP499" s="2">
        <v>0</v>
      </c>
      <c r="AQ499" s="2">
        <v>0</v>
      </c>
      <c r="AR499" s="2">
        <v>0</v>
      </c>
      <c r="AS499" s="2">
        <f t="shared" si="298"/>
        <v>109763669.94164208</v>
      </c>
      <c r="AT499" s="2">
        <f t="shared" si="298"/>
        <v>5606471.3882144755</v>
      </c>
      <c r="AU499" s="2">
        <v>0</v>
      </c>
      <c r="AV499" s="2">
        <f t="shared" si="298"/>
        <v>55749655.147000059</v>
      </c>
      <c r="AW499" s="2">
        <f t="shared" si="298"/>
        <v>2896227.9603601769</v>
      </c>
      <c r="AX499" s="2">
        <v>0</v>
      </c>
      <c r="AY499" s="2">
        <v>0</v>
      </c>
      <c r="AZ499" s="2">
        <v>0</v>
      </c>
      <c r="BA499" s="2">
        <f>BA498*(1+VLOOKUP(A499,'SELIC Hist'!$A:$C,3,0)-0.01%)^(1/252)</f>
        <v>6311079.9418662861</v>
      </c>
      <c r="BB499" s="2">
        <f t="shared" si="277"/>
        <v>1900603938.8211987</v>
      </c>
      <c r="BC499" s="2">
        <v>0</v>
      </c>
      <c r="BD499" s="2">
        <v>0</v>
      </c>
      <c r="BE499" s="2">
        <f t="shared" si="278"/>
        <v>772874.91111540794</v>
      </c>
      <c r="BF499" s="2">
        <f t="shared" si="279"/>
        <v>8949507.6592216492</v>
      </c>
      <c r="BG499" s="2">
        <f t="shared" si="280"/>
        <v>82412462.730392694</v>
      </c>
      <c r="BH499" s="11">
        <f t="shared" si="281"/>
        <v>1.2062321094414301</v>
      </c>
      <c r="BI499" s="12">
        <f t="shared" si="282"/>
        <v>4.0681244022011676E-4</v>
      </c>
      <c r="BJ499" s="12">
        <f t="shared" si="283"/>
        <v>4.7310478657163202E-3</v>
      </c>
      <c r="BK499" s="12">
        <f t="shared" si="284"/>
        <v>4.7412574375129246E-2</v>
      </c>
      <c r="BL499" s="5">
        <f t="shared" si="285"/>
        <v>0.20623210944143011</v>
      </c>
      <c r="BM499" s="19">
        <f t="shared" si="286"/>
        <v>5.3286588562432735E-2</v>
      </c>
      <c r="BN499" s="19">
        <f t="shared" si="287"/>
        <v>0.10162493981996579</v>
      </c>
      <c r="BO499" s="19" t="s">
        <v>53</v>
      </c>
    </row>
    <row r="500" spans="1:67" x14ac:dyDescent="0.25">
      <c r="A500" s="1">
        <v>45826</v>
      </c>
      <c r="B500" s="1" t="str">
        <f t="shared" si="223"/>
        <v>202506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4">
        <v>0</v>
      </c>
      <c r="J500" s="24">
        <v>0</v>
      </c>
      <c r="K500" s="24">
        <v>0</v>
      </c>
      <c r="L500" s="24">
        <v>0</v>
      </c>
      <c r="M500" s="24">
        <v>0</v>
      </c>
      <c r="N500" s="2">
        <v>0</v>
      </c>
      <c r="O500" s="2">
        <v>0</v>
      </c>
      <c r="P500" s="2">
        <v>0</v>
      </c>
      <c r="Q500" s="2">
        <f>Q499*(1+((1+VLOOKUP($B500,'IPCA Hist'!$B:$C,2,0))^12 - 1)+$Q$2)^(1/252)</f>
        <v>47031088.900006428</v>
      </c>
      <c r="R500" s="2">
        <f>R499*(1+((1+VLOOKUP($B500,'IPCA Hist'!$B:$C,2,0))^12 - 1)+$R$2)^(1/252)</f>
        <v>47018278.142207511</v>
      </c>
      <c r="S500" s="2">
        <f>S499*(1+((1+VLOOKUP($B500,'IPCA Hist'!$B:$C,2,0))^12 - 1)+$S$2)^(1/252)</f>
        <v>48043444.720432729</v>
      </c>
      <c r="T500" s="2">
        <f>T499*(1+((1+VLOOKUP($B500,'IPCA Hist'!$B:$C,2,0))^12 - 1)+$T$2)^(1/252)</f>
        <v>242638628.67505544</v>
      </c>
      <c r="U500" s="2">
        <f>U499*(1+((1+VLOOKUP($B500,'IPCA Hist'!$B:$C,2,0))^12 - 1)+$U$2)^(1/252)</f>
        <v>21369734.97027969</v>
      </c>
      <c r="V500" s="2">
        <f>V499*(1+((1+VLOOKUP($B500,'IPCA Hist'!$B:$C,2,0))^12 - 1)+$V$2)^(1/252)</f>
        <v>83061269.590128645</v>
      </c>
      <c r="W500" s="2">
        <f>W499*(1+((1+VLOOKUP($B500,'IPCA Hist'!$B:$C,2,0))^12 - 1)+$W$2)^(1/252)</f>
        <v>43740925.967832141</v>
      </c>
      <c r="X500" s="2">
        <f>X499*(1+((1+VLOOKUP($B500,'IPCA Hist'!$B:$C,2,0))^12 - 1)+$X$2)^(1/252)</f>
        <v>14974474.305964863</v>
      </c>
      <c r="Y500" s="2">
        <f>Y499*(1+((1+VLOOKUP($B500,'IPCA Hist'!$B:$C,2,0))^12 - 1)+$Y$2)^(1/252)</f>
        <v>122083588.84737016</v>
      </c>
      <c r="Z500" s="2">
        <f>Z499*(1+((1+VLOOKUP($B500,'IPCA Hist'!$B:$C,2,0))^12 - 1)+$Z$2)^(1/252)</f>
        <v>83199500.542934477</v>
      </c>
      <c r="AA500" s="2">
        <f>AA499*(1+((1+VLOOKUP($B500,'IPCA Hist'!$B:$C,2,0))^12 - 1)+$AA$2)^(1/252)</f>
        <v>41890726.22037717</v>
      </c>
      <c r="AB500" s="2">
        <f>AB499*(1+((1+VLOOKUP($B500,'IPCA Hist'!$B:$C,2,0))^12 - 1)+$AB$2)^(1/252)</f>
        <v>41904256.733554289</v>
      </c>
      <c r="AC500" s="2">
        <f>AC499*(1+((1+VLOOKUP($B500,'IPCA Hist'!$B:$C,2,0))^12 - 1)+$AC$2)^(1/252)</f>
        <v>5203519.9617178012</v>
      </c>
      <c r="AD500" s="2">
        <f>AD499*(1+((1+VLOOKUP($B500,'IPCA Hist'!$B:$C,2,0))^12 - 1)+$AD$2)^(1/252)</f>
        <v>387040633.81843656</v>
      </c>
      <c r="AE500" s="2">
        <v>0</v>
      </c>
      <c r="AF500" s="2">
        <f>AF499*(1+((1+VLOOKUP($B500,'IGPM Hist'!$B:$C,2,0))^12 - 1)+$AF$2)^(1/252)</f>
        <v>1695638.8505105036</v>
      </c>
      <c r="AG500" s="2">
        <v>0</v>
      </c>
      <c r="AH500" s="2">
        <v>0</v>
      </c>
      <c r="AI500" s="2">
        <v>0</v>
      </c>
      <c r="AJ500" s="2">
        <f t="shared" ref="AJ500:AW500" si="299">AJ499*(1+AJ$2)^(1/252)</f>
        <v>55938409.30415906</v>
      </c>
      <c r="AK500" s="2">
        <f t="shared" si="299"/>
        <v>183711883.94897658</v>
      </c>
      <c r="AL500" s="2">
        <f t="shared" si="299"/>
        <v>37677679.935227454</v>
      </c>
      <c r="AM500" s="2">
        <f t="shared" si="299"/>
        <v>131907629.74426894</v>
      </c>
      <c r="AN500" s="2">
        <f t="shared" si="299"/>
        <v>56511414.143648088</v>
      </c>
      <c r="AO500" s="2">
        <f t="shared" si="299"/>
        <v>24324819.63635616</v>
      </c>
      <c r="AP500" s="2">
        <v>0</v>
      </c>
      <c r="AQ500" s="2">
        <v>0</v>
      </c>
      <c r="AR500" s="2">
        <v>0</v>
      </c>
      <c r="AS500" s="2">
        <f t="shared" si="299"/>
        <v>109812572.59538791</v>
      </c>
      <c r="AT500" s="2">
        <f t="shared" si="299"/>
        <v>5609643.3235124964</v>
      </c>
      <c r="AU500" s="2">
        <v>0</v>
      </c>
      <c r="AV500" s="2">
        <f t="shared" si="299"/>
        <v>55775026.604132935</v>
      </c>
      <c r="AW500" s="2">
        <f t="shared" si="299"/>
        <v>2897845.5796540375</v>
      </c>
      <c r="AX500" s="2">
        <v>0</v>
      </c>
      <c r="AY500" s="2">
        <v>0</v>
      </c>
      <c r="AZ500" s="2">
        <v>0</v>
      </c>
      <c r="BA500" s="2">
        <f>BA499*(1+VLOOKUP(A500,'SELIC Hist'!$A:$C,3,0)-0.01%)^(1/252)</f>
        <v>6314502.541736003</v>
      </c>
      <c r="BB500" s="2">
        <f t="shared" si="277"/>
        <v>1901377137.603868</v>
      </c>
      <c r="BC500" s="2">
        <v>0</v>
      </c>
      <c r="BD500" s="2">
        <v>0</v>
      </c>
      <c r="BE500" s="2">
        <f t="shared" si="278"/>
        <v>773198.7826693058</v>
      </c>
      <c r="BF500" s="2">
        <f t="shared" si="279"/>
        <v>9722706.441890955</v>
      </c>
      <c r="BG500" s="2">
        <f t="shared" si="280"/>
        <v>83185661.513062</v>
      </c>
      <c r="BH500" s="11">
        <f t="shared" si="281"/>
        <v>1.206722825670933</v>
      </c>
      <c r="BI500" s="12">
        <f t="shared" si="282"/>
        <v>4.0681741570458563E-4</v>
      </c>
      <c r="BJ500" s="12">
        <f t="shared" si="283"/>
        <v>5.1397899540872594E-3</v>
      </c>
      <c r="BK500" s="12">
        <f t="shared" si="284"/>
        <v>4.7838680051813132E-2</v>
      </c>
      <c r="BL500" s="5">
        <f t="shared" si="285"/>
        <v>0.20672282567093303</v>
      </c>
      <c r="BM500" s="19">
        <f t="shared" si="286"/>
        <v>5.3232062432072125E-2</v>
      </c>
      <c r="BN500" s="19">
        <f t="shared" si="287"/>
        <v>0.10135093161338915</v>
      </c>
      <c r="BO500" s="19" t="s">
        <v>53</v>
      </c>
    </row>
    <row r="501" spans="1:67" x14ac:dyDescent="0.25">
      <c r="A501" s="1">
        <v>45828</v>
      </c>
      <c r="B501" s="1" t="str">
        <f t="shared" si="223"/>
        <v>202506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4">
        <v>0</v>
      </c>
      <c r="J501" s="24">
        <v>0</v>
      </c>
      <c r="K501" s="24">
        <v>0</v>
      </c>
      <c r="L501" s="24">
        <v>0</v>
      </c>
      <c r="M501" s="24">
        <v>0</v>
      </c>
      <c r="N501" s="2">
        <v>0</v>
      </c>
      <c r="O501" s="2">
        <v>0</v>
      </c>
      <c r="P501" s="2">
        <v>0</v>
      </c>
      <c r="Q501" s="2">
        <f>Q500*(1+((1+VLOOKUP($B501,'IPCA Hist'!$B:$C,2,0))^12 - 1)+$Q$2)^(1/252)</f>
        <v>47045605.316353105</v>
      </c>
      <c r="R501" s="2">
        <f>R500*(1+((1+VLOOKUP($B501,'IPCA Hist'!$B:$C,2,0))^12 - 1)+$R$2)^(1/252)</f>
        <v>47032807.870984904</v>
      </c>
      <c r="S501" s="2">
        <f>S500*(1+((1+VLOOKUP($B501,'IPCA Hist'!$B:$C,2,0))^12 - 1)+$S$2)^(1/252)</f>
        <v>48058079.425666548</v>
      </c>
      <c r="T501" s="2">
        <f>T500*(1+((1+VLOOKUP($B501,'IPCA Hist'!$B:$C,2,0))^12 - 1)+$T$2)^(1/252)</f>
        <v>242712450.59214023</v>
      </c>
      <c r="U501" s="2">
        <f>U500*(1+((1+VLOOKUP($B501,'IPCA Hist'!$B:$C,2,0))^12 - 1)+$U$2)^(1/252)</f>
        <v>21377290.733946871</v>
      </c>
      <c r="V501" s="2">
        <f>V500*(1+((1+VLOOKUP($B501,'IPCA Hist'!$B:$C,2,0))^12 - 1)+$V$2)^(1/252)</f>
        <v>83095042.230626076</v>
      </c>
      <c r="W501" s="2">
        <f>W500*(1+((1+VLOOKUP($B501,'IPCA Hist'!$B:$C,2,0))^12 - 1)+$W$2)^(1/252)</f>
        <v>43758853.563702911</v>
      </c>
      <c r="X501" s="2">
        <f>X500*(1+((1+VLOOKUP($B501,'IPCA Hist'!$B:$C,2,0))^12 - 1)+$X$2)^(1/252)</f>
        <v>14980326.349216403</v>
      </c>
      <c r="Y501" s="2">
        <f>Y500*(1+((1+VLOOKUP($B501,'IPCA Hist'!$B:$C,2,0))^12 - 1)+$Y$2)^(1/252)</f>
        <v>122133888.05323265</v>
      </c>
      <c r="Z501" s="2">
        <f>Z500*(1+((1+VLOOKUP($B501,'IPCA Hist'!$B:$C,2,0))^12 - 1)+$Z$2)^(1/252)</f>
        <v>83231328.871520773</v>
      </c>
      <c r="AA501" s="2">
        <f>AA500*(1+((1+VLOOKUP($B501,'IPCA Hist'!$B:$C,2,0))^12 - 1)+$AA$2)^(1/252)</f>
        <v>41908584.006697342</v>
      </c>
      <c r="AB501" s="2">
        <f>AB500*(1+((1+VLOOKUP($B501,'IPCA Hist'!$B:$C,2,0))^12 - 1)+$AB$2)^(1/252)</f>
        <v>41922105.345557749</v>
      </c>
      <c r="AC501" s="2">
        <f>AC500*(1+((1+VLOOKUP($B501,'IPCA Hist'!$B:$C,2,0))^12 - 1)+$AC$2)^(1/252)</f>
        <v>5205560.9904411333</v>
      </c>
      <c r="AD501" s="2">
        <f>AD500*(1+((1+VLOOKUP($B501,'IPCA Hist'!$B:$C,2,0))^12 - 1)+$AD$2)^(1/252)</f>
        <v>387192299.09247649</v>
      </c>
      <c r="AE501" s="2">
        <v>0</v>
      </c>
      <c r="AF501" s="2">
        <f>AF500*(1+((1+VLOOKUP($B501,'IGPM Hist'!$B:$C,2,0))^12 - 1)+$AF$2)^(1/252)</f>
        <v>1694775.1640123797</v>
      </c>
      <c r="AG501" s="2">
        <v>0</v>
      </c>
      <c r="AH501" s="2">
        <v>0</v>
      </c>
      <c r="AI501" s="2">
        <v>0</v>
      </c>
      <c r="AJ501" s="2">
        <f t="shared" ref="AJ501:AW501" si="300">AJ500*(1+AJ$2)^(1/252)</f>
        <v>55964163.496771879</v>
      </c>
      <c r="AK501" s="2">
        <f t="shared" si="300"/>
        <v>183800642.54990777</v>
      </c>
      <c r="AL501" s="2">
        <f t="shared" si="300"/>
        <v>37695890.160008229</v>
      </c>
      <c r="AM501" s="2">
        <f t="shared" si="300"/>
        <v>131971348.03410766</v>
      </c>
      <c r="AN501" s="2">
        <f t="shared" si="300"/>
        <v>56538731.97902821</v>
      </c>
      <c r="AO501" s="2">
        <f t="shared" si="300"/>
        <v>24338771.771957528</v>
      </c>
      <c r="AP501" s="2">
        <v>0</v>
      </c>
      <c r="AQ501" s="2">
        <v>0</v>
      </c>
      <c r="AR501" s="2">
        <v>0</v>
      </c>
      <c r="AS501" s="2">
        <f t="shared" si="300"/>
        <v>109861497.03657529</v>
      </c>
      <c r="AT501" s="2">
        <f t="shared" si="300"/>
        <v>5612817.0533748409</v>
      </c>
      <c r="AU501" s="2">
        <v>0</v>
      </c>
      <c r="AV501" s="2">
        <f t="shared" si="300"/>
        <v>55800409.607719958</v>
      </c>
      <c r="AW501" s="2">
        <f t="shared" si="300"/>
        <v>2899464.1024307092</v>
      </c>
      <c r="AX501" s="2">
        <v>0</v>
      </c>
      <c r="AY501" s="2">
        <v>0</v>
      </c>
      <c r="AZ501" s="2">
        <v>0</v>
      </c>
      <c r="BA501" s="2">
        <v>6288508.3099999996</v>
      </c>
      <c r="BB501" s="2">
        <f t="shared" si="277"/>
        <v>1902121241.7084575</v>
      </c>
      <c r="BC501" s="2">
        <v>0</v>
      </c>
      <c r="BD501" s="2">
        <v>0</v>
      </c>
      <c r="BE501" s="2">
        <f t="shared" si="278"/>
        <v>744104.10458946228</v>
      </c>
      <c r="BF501" s="2">
        <f t="shared" si="279"/>
        <v>10466810.546480417</v>
      </c>
      <c r="BG501" s="2">
        <f t="shared" si="280"/>
        <v>83929765.617651463</v>
      </c>
      <c r="BH501" s="11">
        <f t="shared" si="281"/>
        <v>1.2071950767514394</v>
      </c>
      <c r="BI501" s="12">
        <f t="shared" si="282"/>
        <v>3.9135008509005864E-4</v>
      </c>
      <c r="BJ501" s="12">
        <f t="shared" si="283"/>
        <v>5.5331514964132023E-3</v>
      </c>
      <c r="BK501" s="12">
        <f t="shared" si="284"/>
        <v>4.8248751808412038E-2</v>
      </c>
      <c r="BL501" s="5">
        <f t="shared" si="285"/>
        <v>0.20719507675143944</v>
      </c>
      <c r="BM501" s="19">
        <f t="shared" si="286"/>
        <v>5.3161255266747975E-2</v>
      </c>
      <c r="BN501" s="19">
        <f t="shared" si="287"/>
        <v>0.10151093757047502</v>
      </c>
      <c r="BO501" s="19" t="s">
        <v>53</v>
      </c>
    </row>
    <row r="502" spans="1:67" x14ac:dyDescent="0.25">
      <c r="A502" s="1">
        <v>45831</v>
      </c>
      <c r="B502" s="1" t="str">
        <f t="shared" si="223"/>
        <v>202506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4">
        <v>0</v>
      </c>
      <c r="J502" s="24">
        <v>0</v>
      </c>
      <c r="K502" s="24">
        <v>0</v>
      </c>
      <c r="L502" s="24">
        <v>0</v>
      </c>
      <c r="M502" s="24">
        <v>0</v>
      </c>
      <c r="N502" s="2">
        <v>0</v>
      </c>
      <c r="O502" s="2">
        <v>0</v>
      </c>
      <c r="P502" s="2">
        <v>0</v>
      </c>
      <c r="Q502" s="2">
        <f>Q501*(1+((1+VLOOKUP($B502,'IPCA Hist'!$B:$C,2,0))^12 - 1)+$Q$2)^(1/252)</f>
        <v>47060126.213275254</v>
      </c>
      <c r="R502" s="2">
        <f>R501*(1+((1+VLOOKUP($B502,'IPCA Hist'!$B:$C,2,0))^12 - 1)+$R$2)^(1/252)</f>
        <v>47047342.089782491</v>
      </c>
      <c r="S502" s="2">
        <f>S501*(1+((1+VLOOKUP($B502,'IPCA Hist'!$B:$C,2,0))^12 - 1)+$S$2)^(1/252)</f>
        <v>48072718.588836275</v>
      </c>
      <c r="T502" s="2">
        <f>T501*(1+((1+VLOOKUP($B502,'IPCA Hist'!$B:$C,2,0))^12 - 1)+$T$2)^(1/252)</f>
        <v>242786294.96927381</v>
      </c>
      <c r="U502" s="2">
        <f>U501*(1+((1+VLOOKUP($B502,'IPCA Hist'!$B:$C,2,0))^12 - 1)+$U$2)^(1/252)</f>
        <v>21384849.169128917</v>
      </c>
      <c r="V502" s="2">
        <f>V501*(1+((1+VLOOKUP($B502,'IPCA Hist'!$B:$C,2,0))^12 - 1)+$V$2)^(1/252)</f>
        <v>83128828.603049964</v>
      </c>
      <c r="W502" s="2">
        <f>W501*(1+((1+VLOOKUP($B502,'IPCA Hist'!$B:$C,2,0))^12 - 1)+$W$2)^(1/252)</f>
        <v>43776788.507353514</v>
      </c>
      <c r="X502" s="2">
        <f>X501*(1+((1+VLOOKUP($B502,'IPCA Hist'!$B:$C,2,0))^12 - 1)+$X$2)^(1/252)</f>
        <v>14986180.679453753</v>
      </c>
      <c r="Y502" s="2">
        <f>Y501*(1+((1+VLOOKUP($B502,'IPCA Hist'!$B:$C,2,0))^12 - 1)+$Y$2)^(1/252)</f>
        <v>122184207.98268408</v>
      </c>
      <c r="Z502" s="2">
        <f>Z501*(1+((1+VLOOKUP($B502,'IPCA Hist'!$B:$C,2,0))^12 - 1)+$Z$2)^(1/252)</f>
        <v>83263169.376171753</v>
      </c>
      <c r="AA502" s="2">
        <f>AA501*(1+((1+VLOOKUP($B502,'IPCA Hist'!$B:$C,2,0))^12 - 1)+$AA$2)^(1/252)</f>
        <v>41926449.405693665</v>
      </c>
      <c r="AB502" s="2">
        <f>AB501*(1+((1+VLOOKUP($B502,'IPCA Hist'!$B:$C,2,0))^12 - 1)+$AB$2)^(1/252)</f>
        <v>41939961.5599619</v>
      </c>
      <c r="AC502" s="2">
        <f>AC501*(1+((1+VLOOKUP($B502,'IPCA Hist'!$B:$C,2,0))^12 - 1)+$AC$2)^(1/252)</f>
        <v>5207602.8197375927</v>
      </c>
      <c r="AD502" s="2">
        <f>AD501*(1+((1+VLOOKUP($B502,'IPCA Hist'!$B:$C,2,0))^12 - 1)+$AD$2)^(1/252)</f>
        <v>387344023.79788703</v>
      </c>
      <c r="AE502" s="2">
        <v>0</v>
      </c>
      <c r="AF502" s="2">
        <f>AF501*(1+((1+VLOOKUP($B502,'IGPM Hist'!$B:$C,2,0))^12 - 1)+$AF$2)^(1/252)</f>
        <v>1693911.9174395185</v>
      </c>
      <c r="AG502" s="2">
        <v>0</v>
      </c>
      <c r="AH502" s="2">
        <v>0</v>
      </c>
      <c r="AI502" s="2">
        <v>0</v>
      </c>
      <c r="AJ502" s="2">
        <f t="shared" ref="AJ502:AW502" si="301">AJ501*(1+AJ$2)^(1/252)</f>
        <v>55989929.546683565</v>
      </c>
      <c r="AK502" s="2">
        <f t="shared" si="301"/>
        <v>183889444.03368938</v>
      </c>
      <c r="AL502" s="2">
        <f t="shared" si="301"/>
        <v>37714109.186081633</v>
      </c>
      <c r="AM502" s="2">
        <f t="shared" si="301"/>
        <v>132035097.10321568</v>
      </c>
      <c r="AN502" s="2">
        <f t="shared" si="301"/>
        <v>56566063.019955233</v>
      </c>
      <c r="AO502" s="2">
        <f t="shared" si="301"/>
        <v>24352731.910170663</v>
      </c>
      <c r="AP502" s="2">
        <v>0</v>
      </c>
      <c r="AQ502" s="2">
        <v>0</v>
      </c>
      <c r="AR502" s="2">
        <v>0</v>
      </c>
      <c r="AS502" s="2">
        <f t="shared" si="301"/>
        <v>109910443.27491112</v>
      </c>
      <c r="AT502" s="2">
        <f t="shared" si="301"/>
        <v>5615992.5788168078</v>
      </c>
      <c r="AU502" s="2">
        <v>0</v>
      </c>
      <c r="AV502" s="2">
        <f t="shared" si="301"/>
        <v>55825804.16301588</v>
      </c>
      <c r="AW502" s="2">
        <f t="shared" si="301"/>
        <v>2901083.5291948109</v>
      </c>
      <c r="AX502" s="2">
        <v>0</v>
      </c>
      <c r="AY502" s="2">
        <v>0</v>
      </c>
      <c r="AZ502" s="2">
        <v>0</v>
      </c>
      <c r="BA502" s="2">
        <f>BA501*(1+VLOOKUP(A502,'SELIC Hist'!$A:$C,3,0)-0.01%)^(1/252)</f>
        <v>6291973.0584229585</v>
      </c>
      <c r="BB502" s="2">
        <f t="shared" si="277"/>
        <v>1902895127.0838871</v>
      </c>
      <c r="BC502" s="2">
        <v>0</v>
      </c>
      <c r="BD502" s="2">
        <v>0</v>
      </c>
      <c r="BE502" s="2">
        <f t="shared" si="278"/>
        <v>773885.37542963028</v>
      </c>
      <c r="BF502" s="2">
        <f t="shared" si="279"/>
        <v>11240695.921910048</v>
      </c>
      <c r="BG502" s="2">
        <f t="shared" si="280"/>
        <v>84703650.993081093</v>
      </c>
      <c r="BH502" s="11">
        <f t="shared" si="281"/>
        <v>1.2076862287320302</v>
      </c>
      <c r="BI502" s="12">
        <f t="shared" si="282"/>
        <v>4.0685386318206618E-4</v>
      </c>
      <c r="BJ502" s="12">
        <f t="shared" si="283"/>
        <v>5.9422565436570984E-3</v>
      </c>
      <c r="BK502" s="12">
        <f t="shared" si="284"/>
        <v>4.8675235862660982E-2</v>
      </c>
      <c r="BL502" s="5">
        <f t="shared" si="285"/>
        <v>0.20768622873203024</v>
      </c>
      <c r="BM502" s="19">
        <f t="shared" si="286"/>
        <v>5.3102927699796965E-2</v>
      </c>
      <c r="BN502" s="19">
        <f t="shared" si="287"/>
        <v>0.10170975829667683</v>
      </c>
      <c r="BO502" s="19" t="s">
        <v>53</v>
      </c>
    </row>
    <row r="503" spans="1:67" x14ac:dyDescent="0.25">
      <c r="A503" s="1">
        <v>45832</v>
      </c>
      <c r="B503" s="1" t="str">
        <f t="shared" si="223"/>
        <v>202506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4">
        <v>0</v>
      </c>
      <c r="J503" s="24">
        <v>0</v>
      </c>
      <c r="K503" s="24">
        <v>0</v>
      </c>
      <c r="L503" s="24">
        <v>0</v>
      </c>
      <c r="M503" s="24">
        <v>0</v>
      </c>
      <c r="N503" s="2">
        <v>0</v>
      </c>
      <c r="O503" s="2">
        <v>0</v>
      </c>
      <c r="P503" s="2">
        <v>0</v>
      </c>
      <c r="Q503" s="2">
        <f>Q502*(1+((1+VLOOKUP($B503,'IPCA Hist'!$B:$C,2,0))^12 - 1)+$Q$2)^(1/252)</f>
        <v>47074651.592155837</v>
      </c>
      <c r="R503" s="2">
        <f>R502*(1+((1+VLOOKUP($B503,'IPCA Hist'!$B:$C,2,0))^12 - 1)+$R$2)^(1/252)</f>
        <v>47061880.799987786</v>
      </c>
      <c r="S503" s="2">
        <f>S502*(1+((1+VLOOKUP($B503,'IPCA Hist'!$B:$C,2,0))^12 - 1)+$S$2)^(1/252)</f>
        <v>48087362.211299859</v>
      </c>
      <c r="T503" s="2">
        <f>T502*(1+((1+VLOOKUP($B503,'IPCA Hist'!$B:$C,2,0))^12 - 1)+$T$2)^(1/252)</f>
        <v>242860161.81328958</v>
      </c>
      <c r="U503" s="2">
        <f>U502*(1+((1+VLOOKUP($B503,'IPCA Hist'!$B:$C,2,0))^12 - 1)+$U$2)^(1/252)</f>
        <v>21392410.276770402</v>
      </c>
      <c r="V503" s="2">
        <f>V502*(1+((1+VLOOKUP($B503,'IPCA Hist'!$B:$C,2,0))^12 - 1)+$V$2)^(1/252)</f>
        <v>83162628.712983713</v>
      </c>
      <c r="W503" s="2">
        <f>W502*(1+((1+VLOOKUP($B503,'IPCA Hist'!$B:$C,2,0))^12 - 1)+$W$2)^(1/252)</f>
        <v>43794730.801795505</v>
      </c>
      <c r="X503" s="2">
        <f>X502*(1+((1+VLOOKUP($B503,'IPCA Hist'!$B:$C,2,0))^12 - 1)+$X$2)^(1/252)</f>
        <v>14992037.297570666</v>
      </c>
      <c r="Y503" s="2">
        <f>Y502*(1+((1+VLOOKUP($B503,'IPCA Hist'!$B:$C,2,0))^12 - 1)+$Y$2)^(1/252)</f>
        <v>122234548.64426267</v>
      </c>
      <c r="Z503" s="2">
        <f>Z502*(1+((1+VLOOKUP($B503,'IPCA Hist'!$B:$C,2,0))^12 - 1)+$Z$2)^(1/252)</f>
        <v>83295022.061545432</v>
      </c>
      <c r="AA503" s="2">
        <f>AA502*(1+((1+VLOOKUP($B503,'IPCA Hist'!$B:$C,2,0))^12 - 1)+$AA$2)^(1/252)</f>
        <v>41944322.420611374</v>
      </c>
      <c r="AB503" s="2">
        <f>AB502*(1+((1+VLOOKUP($B503,'IPCA Hist'!$B:$C,2,0))^12 - 1)+$AB$2)^(1/252)</f>
        <v>41957825.380004898</v>
      </c>
      <c r="AC503" s="2">
        <f>AC502*(1+((1+VLOOKUP($B503,'IPCA Hist'!$B:$C,2,0))^12 - 1)+$AC$2)^(1/252)</f>
        <v>5209645.4499211963</v>
      </c>
      <c r="AD503" s="2">
        <f>AD502*(1+((1+VLOOKUP($B503,'IPCA Hist'!$B:$C,2,0))^12 - 1)+$AD$2)^(1/252)</f>
        <v>387495807.95795691</v>
      </c>
      <c r="AE503" s="2">
        <v>0</v>
      </c>
      <c r="AF503" s="2">
        <f>AF502*(1+((1+VLOOKUP($B503,'IGPM Hist'!$B:$C,2,0))^12 - 1)+$AF$2)^(1/252)</f>
        <v>1693049.110567841</v>
      </c>
      <c r="AG503" s="2">
        <v>0</v>
      </c>
      <c r="AH503" s="2">
        <v>0</v>
      </c>
      <c r="AI503" s="2">
        <v>0</v>
      </c>
      <c r="AJ503" s="2">
        <f t="shared" ref="AJ503:AW503" si="302">AJ502*(1+AJ$2)^(1/252)</f>
        <v>56015707.459353246</v>
      </c>
      <c r="AK503" s="2">
        <f t="shared" si="302"/>
        <v>183978288.42103985</v>
      </c>
      <c r="AL503" s="2">
        <f t="shared" si="302"/>
        <v>37732337.017701469</v>
      </c>
      <c r="AM503" s="2">
        <f t="shared" si="302"/>
        <v>132098876.96646102</v>
      </c>
      <c r="AN503" s="2">
        <f t="shared" si="302"/>
        <v>56593407.272812769</v>
      </c>
      <c r="AO503" s="2">
        <f t="shared" si="302"/>
        <v>24366700.055585671</v>
      </c>
      <c r="AP503" s="2">
        <v>0</v>
      </c>
      <c r="AQ503" s="2">
        <v>0</v>
      </c>
      <c r="AR503" s="2">
        <v>0</v>
      </c>
      <c r="AS503" s="2">
        <f t="shared" si="302"/>
        <v>109959411.32010661</v>
      </c>
      <c r="AT503" s="2">
        <f t="shared" si="302"/>
        <v>5619169.90085427</v>
      </c>
      <c r="AU503" s="2">
        <v>0</v>
      </c>
      <c r="AV503" s="2">
        <f t="shared" si="302"/>
        <v>55851210.275277838</v>
      </c>
      <c r="AW503" s="2">
        <f t="shared" si="302"/>
        <v>2902703.8604512438</v>
      </c>
      <c r="AX503" s="2">
        <v>0</v>
      </c>
      <c r="AY503" s="2">
        <v>0</v>
      </c>
      <c r="AZ503" s="2">
        <v>0</v>
      </c>
      <c r="BA503" s="2">
        <f>BA502*(1+VLOOKUP(A503,'SELIC Hist'!$A:$C,3,0)-0.01%)^(1/252)</f>
        <v>6295439.7158012753</v>
      </c>
      <c r="BB503" s="2">
        <f t="shared" si="277"/>
        <v>1903669336.7961686</v>
      </c>
      <c r="BC503" s="2">
        <v>0</v>
      </c>
      <c r="BD503" s="2">
        <v>0</v>
      </c>
      <c r="BE503" s="2">
        <f t="shared" si="278"/>
        <v>774209.71228146553</v>
      </c>
      <c r="BF503" s="2">
        <f t="shared" si="279"/>
        <v>12014905.634191513</v>
      </c>
      <c r="BG503" s="2">
        <f t="shared" si="280"/>
        <v>85477860.705362558</v>
      </c>
      <c r="BH503" s="11">
        <f t="shared" si="281"/>
        <v>1.2081775865553621</v>
      </c>
      <c r="BI503" s="12">
        <f t="shared" si="282"/>
        <v>4.0685884432734021E-4</v>
      </c>
      <c r="BJ503" s="12">
        <f t="shared" si="283"/>
        <v>6.3515330476144882E-3</v>
      </c>
      <c r="BK503" s="12">
        <f t="shared" si="284"/>
        <v>4.9101898657198717E-2</v>
      </c>
      <c r="BL503" s="5">
        <f t="shared" si="285"/>
        <v>0.20817758655536212</v>
      </c>
      <c r="BM503" s="19">
        <f t="shared" si="286"/>
        <v>5.3044607741167038E-2</v>
      </c>
      <c r="BN503" s="19">
        <f t="shared" si="287"/>
        <v>0.10149909009392655</v>
      </c>
      <c r="BO503" s="19" t="s">
        <v>53</v>
      </c>
    </row>
    <row r="504" spans="1:67" x14ac:dyDescent="0.25">
      <c r="A504" s="1">
        <v>45833</v>
      </c>
      <c r="B504" s="1" t="str">
        <f t="shared" si="223"/>
        <v>202506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4">
        <v>0</v>
      </c>
      <c r="J504" s="24">
        <v>0</v>
      </c>
      <c r="K504" s="24">
        <v>0</v>
      </c>
      <c r="L504" s="24">
        <v>0</v>
      </c>
      <c r="M504" s="24">
        <v>0</v>
      </c>
      <c r="N504" s="2">
        <v>0</v>
      </c>
      <c r="O504" s="2">
        <v>0</v>
      </c>
      <c r="P504" s="2">
        <v>0</v>
      </c>
      <c r="Q504" s="2">
        <f>Q503*(1+((1+VLOOKUP($B504,'IPCA Hist'!$B:$C,2,0))^12 - 1)+$Q$2)^(1/252)</f>
        <v>47089181.454378232</v>
      </c>
      <c r="R504" s="2">
        <f>R503*(1+((1+VLOOKUP($B504,'IPCA Hist'!$B:$C,2,0))^12 - 1)+$R$2)^(1/252)</f>
        <v>47076424.002988748</v>
      </c>
      <c r="S504" s="2">
        <f>S503*(1+((1+VLOOKUP($B504,'IPCA Hist'!$B:$C,2,0))^12 - 1)+$S$2)^(1/252)</f>
        <v>48102010.29441566</v>
      </c>
      <c r="T504" s="2">
        <f>T503*(1+((1+VLOOKUP($B504,'IPCA Hist'!$B:$C,2,0))^12 - 1)+$T$2)^(1/252)</f>
        <v>242934051.13102302</v>
      </c>
      <c r="U504" s="2">
        <f>U503*(1+((1+VLOOKUP($B504,'IPCA Hist'!$B:$C,2,0))^12 - 1)+$U$2)^(1/252)</f>
        <v>21399974.057816233</v>
      </c>
      <c r="V504" s="2">
        <f>V503*(1+((1+VLOOKUP($B504,'IPCA Hist'!$B:$C,2,0))^12 - 1)+$V$2)^(1/252)</f>
        <v>83196442.566012979</v>
      </c>
      <c r="W504" s="2">
        <f>W503*(1+((1+VLOOKUP($B504,'IPCA Hist'!$B:$C,2,0))^12 - 1)+$W$2)^(1/252)</f>
        <v>43812680.450041667</v>
      </c>
      <c r="X504" s="2">
        <f>X503*(1+((1+VLOOKUP($B504,'IPCA Hist'!$B:$C,2,0))^12 - 1)+$X$2)^(1/252)</f>
        <v>14997896.20446125</v>
      </c>
      <c r="Y504" s="2">
        <f>Y503*(1+((1+VLOOKUP($B504,'IPCA Hist'!$B:$C,2,0))^12 - 1)+$Y$2)^(1/252)</f>
        <v>122284910.04651022</v>
      </c>
      <c r="Z504" s="2">
        <f>Z503*(1+((1+VLOOKUP($B504,'IPCA Hist'!$B:$C,2,0))^12 - 1)+$Z$2)^(1/252)</f>
        <v>83326886.932301596</v>
      </c>
      <c r="AA504" s="2">
        <f>AA503*(1+((1+VLOOKUP($B504,'IPCA Hist'!$B:$C,2,0))^12 - 1)+$AA$2)^(1/252)</f>
        <v>41962203.054697096</v>
      </c>
      <c r="AB504" s="2">
        <f>AB503*(1+((1+VLOOKUP($B504,'IPCA Hist'!$B:$C,2,0))^12 - 1)+$AB$2)^(1/252)</f>
        <v>41975696.808926269</v>
      </c>
      <c r="AC504" s="2">
        <f>AC503*(1+((1+VLOOKUP($B504,'IPCA Hist'!$B:$C,2,0))^12 - 1)+$AC$2)^(1/252)</f>
        <v>5211688.8813060839</v>
      </c>
      <c r="AD504" s="2">
        <f>AD503*(1+((1+VLOOKUP($B504,'IPCA Hist'!$B:$C,2,0))^12 - 1)+$AD$2)^(1/252)</f>
        <v>387647651.59598392</v>
      </c>
      <c r="AE504" s="2">
        <v>0</v>
      </c>
      <c r="AF504" s="2">
        <f>AF503*(1+((1+VLOOKUP($B504,'IGPM Hist'!$B:$C,2,0))^12 - 1)+$AF$2)^(1/252)</f>
        <v>1692186.743173382</v>
      </c>
      <c r="AG504" s="2">
        <v>0</v>
      </c>
      <c r="AH504" s="2">
        <v>0</v>
      </c>
      <c r="AI504" s="2">
        <v>0</v>
      </c>
      <c r="AJ504" s="2">
        <f t="shared" ref="AJ504:AW504" si="303">AJ503*(1+AJ$2)^(1/252)</f>
        <v>56041497.240242571</v>
      </c>
      <c r="AK504" s="2">
        <f t="shared" si="303"/>
        <v>184067175.73268759</v>
      </c>
      <c r="AL504" s="2">
        <f t="shared" si="303"/>
        <v>37750573.6591236</v>
      </c>
      <c r="AM504" s="2">
        <f t="shared" si="303"/>
        <v>132162687.63871884</v>
      </c>
      <c r="AN504" s="2">
        <f t="shared" si="303"/>
        <v>56620764.743987516</v>
      </c>
      <c r="AO504" s="2">
        <f t="shared" si="303"/>
        <v>24380676.212795291</v>
      </c>
      <c r="AP504" s="2">
        <v>0</v>
      </c>
      <c r="AQ504" s="2">
        <v>0</v>
      </c>
      <c r="AR504" s="2">
        <v>0</v>
      </c>
      <c r="AS504" s="2">
        <f t="shared" si="303"/>
        <v>110008401.18187729</v>
      </c>
      <c r="AT504" s="2">
        <f t="shared" si="303"/>
        <v>5622349.0205036746</v>
      </c>
      <c r="AU504" s="2">
        <v>0</v>
      </c>
      <c r="AV504" s="2">
        <f t="shared" si="303"/>
        <v>55876627.949765362</v>
      </c>
      <c r="AW504" s="2">
        <f t="shared" si="303"/>
        <v>2904325.0967051904</v>
      </c>
      <c r="AX504" s="2">
        <v>0</v>
      </c>
      <c r="AY504" s="2">
        <v>0</v>
      </c>
      <c r="AZ504" s="2">
        <v>0</v>
      </c>
      <c r="BA504" s="2">
        <f>BA503*(1+VLOOKUP(A504,'SELIC Hist'!$A:$C,3,0)-0.01%)^(1/252)</f>
        <v>6298908.2831867179</v>
      </c>
      <c r="BB504" s="2">
        <f t="shared" si="277"/>
        <v>1904443870.9836299</v>
      </c>
      <c r="BC504" s="2">
        <v>0</v>
      </c>
      <c r="BD504" s="2">
        <v>0</v>
      </c>
      <c r="BE504" s="2">
        <f t="shared" si="278"/>
        <v>774534.18746137619</v>
      </c>
      <c r="BF504" s="2">
        <f t="shared" si="279"/>
        <v>12789439.821652889</v>
      </c>
      <c r="BG504" s="2">
        <f t="shared" si="280"/>
        <v>86252394.892823935</v>
      </c>
      <c r="BH504" s="11">
        <f t="shared" si="281"/>
        <v>1.2086691503092262</v>
      </c>
      <c r="BI504" s="12">
        <f t="shared" si="282"/>
        <v>4.0686382476740057E-4</v>
      </c>
      <c r="BJ504" s="12">
        <f t="shared" si="283"/>
        <v>6.7609810814108773E-3</v>
      </c>
      <c r="BK504" s="12">
        <f t="shared" si="284"/>
        <v>4.9528740268257154E-2</v>
      </c>
      <c r="BL504" s="5">
        <f t="shared" si="285"/>
        <v>0.20866915030922617</v>
      </c>
      <c r="BM504" s="19">
        <f t="shared" si="286"/>
        <v>5.2986295389184646E-2</v>
      </c>
      <c r="BN504" s="19">
        <f t="shared" si="287"/>
        <v>0.10215482441642232</v>
      </c>
      <c r="BO504" s="19" t="s">
        <v>53</v>
      </c>
    </row>
    <row r="505" spans="1:67" x14ac:dyDescent="0.25">
      <c r="A505" s="1">
        <v>45834</v>
      </c>
      <c r="B505" s="1" t="str">
        <f t="shared" si="223"/>
        <v>202506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">
        <v>0</v>
      </c>
      <c r="O505" s="2">
        <v>0</v>
      </c>
      <c r="P505" s="2">
        <v>0</v>
      </c>
      <c r="Q505" s="2">
        <f>Q504*(1+((1+VLOOKUP($B505,'IPCA Hist'!$B:$C,2,0))^12 - 1)+$Q$2)^(1/252)</f>
        <v>47103715.801326253</v>
      </c>
      <c r="R505" s="2">
        <f>R504*(1+((1+VLOOKUP($B505,'IPCA Hist'!$B:$C,2,0))^12 - 1)+$R$2)^(1/252)</f>
        <v>47090971.700173743</v>
      </c>
      <c r="S505" s="2">
        <f>S504*(1+((1+VLOOKUP($B505,'IPCA Hist'!$B:$C,2,0))^12 - 1)+$S$2)^(1/252)</f>
        <v>48116662.839542463</v>
      </c>
      <c r="T505" s="2">
        <f>T504*(1+((1+VLOOKUP($B505,'IPCA Hist'!$B:$C,2,0))^12 - 1)+$T$2)^(1/252)</f>
        <v>243007962.92931166</v>
      </c>
      <c r="U505" s="2">
        <f>U504*(1+((1+VLOOKUP($B505,'IPCA Hist'!$B:$C,2,0))^12 - 1)+$U$2)^(1/252)</f>
        <v>21407540.51321166</v>
      </c>
      <c r="V505" s="2">
        <f>V504*(1+((1+VLOOKUP($B505,'IPCA Hist'!$B:$C,2,0))^12 - 1)+$V$2)^(1/252)</f>
        <v>83230270.167725682</v>
      </c>
      <c r="W505" s="2">
        <f>W504*(1+((1+VLOOKUP($B505,'IPCA Hist'!$B:$C,2,0))^12 - 1)+$W$2)^(1/252)</f>
        <v>43830637.455106013</v>
      </c>
      <c r="X505" s="2">
        <f>X504*(1+((1+VLOOKUP($B505,'IPCA Hist'!$B:$C,2,0))^12 - 1)+$X$2)^(1/252)</f>
        <v>15003757.401019963</v>
      </c>
      <c r="Y505" s="2">
        <f>Y504*(1+((1+VLOOKUP($B505,'IPCA Hist'!$B:$C,2,0))^12 - 1)+$Y$2)^(1/252)</f>
        <v>122335292.197972</v>
      </c>
      <c r="Z505" s="2">
        <f>Z504*(1+((1+VLOOKUP($B505,'IPCA Hist'!$B:$C,2,0))^12 - 1)+$Z$2)^(1/252)</f>
        <v>83358763.993101805</v>
      </c>
      <c r="AA505" s="2">
        <f>AA504*(1+((1+VLOOKUP($B505,'IPCA Hist'!$B:$C,2,0))^12 - 1)+$AA$2)^(1/252)</f>
        <v>41980091.311198846</v>
      </c>
      <c r="AB505" s="2">
        <f>AB504*(1+((1+VLOOKUP($B505,'IPCA Hist'!$B:$C,2,0))^12 - 1)+$AB$2)^(1/252)</f>
        <v>41993575.849966921</v>
      </c>
      <c r="AC505" s="2">
        <f>AC504*(1+((1+VLOOKUP($B505,'IPCA Hist'!$B:$C,2,0))^12 - 1)+$AC$2)^(1/252)</f>
        <v>5213733.114206519</v>
      </c>
      <c r="AD505" s="2">
        <f>AD504*(1+((1+VLOOKUP($B505,'IPCA Hist'!$B:$C,2,0))^12 - 1)+$AD$2)^(1/252)</f>
        <v>387799554.73527503</v>
      </c>
      <c r="AE505" s="2">
        <v>0</v>
      </c>
      <c r="AF505" s="2">
        <f>AF504*(1+((1+VLOOKUP($B505,'IGPM Hist'!$B:$C,2,0))^12 - 1)+$AF$2)^(1/252)</f>
        <v>1691324.8150322903</v>
      </c>
      <c r="AG505" s="2">
        <v>0</v>
      </c>
      <c r="AH505" s="2">
        <v>0</v>
      </c>
      <c r="AI505" s="2">
        <v>0</v>
      </c>
      <c r="AJ505" s="2">
        <f t="shared" ref="AJ505:AW505" si="304">AJ504*(1+AJ$2)^(1/252)</f>
        <v>56067298.894815698</v>
      </c>
      <c r="AK505" s="2">
        <f t="shared" si="304"/>
        <v>184156105.98937109</v>
      </c>
      <c r="AL505" s="2">
        <f t="shared" si="304"/>
        <v>37768819.114605933</v>
      </c>
      <c r="AM505" s="2">
        <f t="shared" si="304"/>
        <v>132226529.13487153</v>
      </c>
      <c r="AN505" s="2">
        <f t="shared" si="304"/>
        <v>56648135.439869255</v>
      </c>
      <c r="AO505" s="2">
        <f t="shared" si="304"/>
        <v>24394660.386394899</v>
      </c>
      <c r="AP505" s="2">
        <v>0</v>
      </c>
      <c r="AQ505" s="2">
        <v>0</v>
      </c>
      <c r="AR505" s="2">
        <v>0</v>
      </c>
      <c r="AS505" s="2">
        <f t="shared" si="304"/>
        <v>110057412.86994302</v>
      </c>
      <c r="AT505" s="2">
        <f t="shared" si="304"/>
        <v>5625529.9387820447</v>
      </c>
      <c r="AU505" s="2">
        <v>0</v>
      </c>
      <c r="AV505" s="2">
        <f t="shared" si="304"/>
        <v>55902057.191740379</v>
      </c>
      <c r="AW505" s="2">
        <f t="shared" si="304"/>
        <v>2905947.2384621152</v>
      </c>
      <c r="AX505" s="2">
        <v>0</v>
      </c>
      <c r="AY505" s="2">
        <v>0</v>
      </c>
      <c r="AZ505" s="2">
        <v>0</v>
      </c>
      <c r="BA505" s="2">
        <f>BA504*(1+VLOOKUP(A505,'SELIC Hist'!$A:$C,3,0)-0.01%)^(1/252)</f>
        <v>6302378.7616316341</v>
      </c>
      <c r="BB505" s="2">
        <f t="shared" si="277"/>
        <v>1905218729.7846584</v>
      </c>
      <c r="BC505" s="2">
        <v>0</v>
      </c>
      <c r="BD505" s="2">
        <v>0</v>
      </c>
      <c r="BE505" s="2">
        <f t="shared" si="278"/>
        <v>774858.80102849007</v>
      </c>
      <c r="BF505" s="2">
        <f t="shared" si="279"/>
        <v>13564298.622681379</v>
      </c>
      <c r="BG505" s="2">
        <f t="shared" si="280"/>
        <v>87027253.693852425</v>
      </c>
      <c r="BH505" s="11">
        <f t="shared" si="281"/>
        <v>1.209160920081451</v>
      </c>
      <c r="BI505" s="12">
        <f t="shared" si="282"/>
        <v>4.0686880450202523E-4</v>
      </c>
      <c r="BJ505" s="12">
        <f t="shared" si="283"/>
        <v>7.1706007182028575E-3</v>
      </c>
      <c r="BK505" s="12">
        <f t="shared" si="284"/>
        <v>4.9955760772100621E-2</v>
      </c>
      <c r="BL505" s="5">
        <f t="shared" si="285"/>
        <v>0.20916092008145104</v>
      </c>
      <c r="BM505" s="19">
        <f t="shared" si="286"/>
        <v>5.2898191796379335E-2</v>
      </c>
      <c r="BN505" s="19">
        <f t="shared" si="287"/>
        <v>0.10208367933128626</v>
      </c>
      <c r="BO505" s="19" t="s">
        <v>53</v>
      </c>
    </row>
    <row r="506" spans="1:67" x14ac:dyDescent="0.25">
      <c r="A506" s="1">
        <v>45835</v>
      </c>
      <c r="B506" s="1" t="str">
        <f t="shared" si="223"/>
        <v>202506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">
        <v>0</v>
      </c>
      <c r="O506" s="2">
        <v>0</v>
      </c>
      <c r="P506" s="2">
        <v>0</v>
      </c>
      <c r="Q506" s="2">
        <f>Q505*(1+((1+VLOOKUP($B506,'IPCA Hist'!$B:$C,2,0))^12 - 1)+$Q$2)^(1/252)</f>
        <v>47118254.634384133</v>
      </c>
      <c r="R506" s="2">
        <f>R505*(1+((1+VLOOKUP($B506,'IPCA Hist'!$B:$C,2,0))^12 - 1)+$R$2)^(1/252)</f>
        <v>47105523.892931588</v>
      </c>
      <c r="S506" s="2">
        <f>S505*(1+((1+VLOOKUP($B506,'IPCA Hist'!$B:$C,2,0))^12 - 1)+$S$2)^(1/252)</f>
        <v>48131319.848039448</v>
      </c>
      <c r="T506" s="2">
        <f>T505*(1+((1+VLOOKUP($B506,'IPCA Hist'!$B:$C,2,0))^12 - 1)+$T$2)^(1/252)</f>
        <v>243081897.21499515</v>
      </c>
      <c r="U506" s="2">
        <f>U505*(1+((1+VLOOKUP($B506,'IPCA Hist'!$B:$C,2,0))^12 - 1)+$U$2)^(1/252)</f>
        <v>21415109.643902257</v>
      </c>
      <c r="V506" s="2">
        <f>V505*(1+((1+VLOOKUP($B506,'IPCA Hist'!$B:$C,2,0))^12 - 1)+$V$2)^(1/252)</f>
        <v>83264111.523712039</v>
      </c>
      <c r="W506" s="2">
        <f>W505*(1+((1+VLOOKUP($B506,'IPCA Hist'!$B:$C,2,0))^12 - 1)+$W$2)^(1/252)</f>
        <v>43848601.820003808</v>
      </c>
      <c r="X506" s="2">
        <f>X505*(1+((1+VLOOKUP($B506,'IPCA Hist'!$B:$C,2,0))^12 - 1)+$X$2)^(1/252)</f>
        <v>15009620.888141606</v>
      </c>
      <c r="Y506" s="2">
        <f>Y505*(1+((1+VLOOKUP($B506,'IPCA Hist'!$B:$C,2,0))^12 - 1)+$Y$2)^(1/252)</f>
        <v>122385695.10719681</v>
      </c>
      <c r="Z506" s="2">
        <f>Z505*(1+((1+VLOOKUP($B506,'IPCA Hist'!$B:$C,2,0))^12 - 1)+$Z$2)^(1/252)</f>
        <v>83390653.248609424</v>
      </c>
      <c r="AA506" s="2">
        <f>AA505*(1+((1+VLOOKUP($B506,'IPCA Hist'!$B:$C,2,0))^12 - 1)+$AA$2)^(1/252)</f>
        <v>41997987.193366006</v>
      </c>
      <c r="AB506" s="2">
        <f>AB505*(1+((1+VLOOKUP($B506,'IPCA Hist'!$B:$C,2,0))^12 - 1)+$AB$2)^(1/252)</f>
        <v>42011462.506369151</v>
      </c>
      <c r="AC506" s="2">
        <f>AC505*(1+((1+VLOOKUP($B506,'IPCA Hist'!$B:$C,2,0))^12 - 1)+$AC$2)^(1/252)</f>
        <v>5215778.1489368882</v>
      </c>
      <c r="AD506" s="2">
        <f>AD505*(1+((1+VLOOKUP($B506,'IPCA Hist'!$B:$C,2,0))^12 - 1)+$AD$2)^(1/252)</f>
        <v>387951517.39914638</v>
      </c>
      <c r="AE506" s="2">
        <v>0</v>
      </c>
      <c r="AF506" s="2">
        <f>AF505*(1+((1+VLOOKUP($B506,'IGPM Hist'!$B:$C,2,0))^12 - 1)+$AF$2)^(1/252)</f>
        <v>1690463.3259208291</v>
      </c>
      <c r="AG506" s="2">
        <v>0</v>
      </c>
      <c r="AH506" s="2">
        <v>0</v>
      </c>
      <c r="AI506" s="2">
        <v>0</v>
      </c>
      <c r="AJ506" s="2">
        <f t="shared" ref="AJ506:AW506" si="305">AJ505*(1+AJ$2)^(1/252)</f>
        <v>56093112.428539306</v>
      </c>
      <c r="AK506" s="2">
        <f t="shared" si="305"/>
        <v>184245079.21183881</v>
      </c>
      <c r="AL506" s="2">
        <f t="shared" si="305"/>
        <v>37787073.38840846</v>
      </c>
      <c r="AM506" s="2">
        <f t="shared" si="305"/>
        <v>132290401.46980862</v>
      </c>
      <c r="AN506" s="2">
        <f t="shared" si="305"/>
        <v>56675519.366850868</v>
      </c>
      <c r="AO506" s="2">
        <f t="shared" si="305"/>
        <v>24408652.580982506</v>
      </c>
      <c r="AP506" s="2">
        <v>0</v>
      </c>
      <c r="AQ506" s="2">
        <v>0</v>
      </c>
      <c r="AR506" s="2">
        <v>0</v>
      </c>
      <c r="AS506" s="2">
        <f t="shared" si="305"/>
        <v>110106446.39402802</v>
      </c>
      <c r="AT506" s="2">
        <f t="shared" si="305"/>
        <v>5628712.6567069776</v>
      </c>
      <c r="AU506" s="2">
        <v>0</v>
      </c>
      <c r="AV506" s="2">
        <f t="shared" si="305"/>
        <v>55927498.006467216</v>
      </c>
      <c r="AW506" s="2">
        <f t="shared" si="305"/>
        <v>2907570.2862277655</v>
      </c>
      <c r="AX506" s="2">
        <v>0</v>
      </c>
      <c r="AY506" s="2">
        <v>0</v>
      </c>
      <c r="AZ506" s="2">
        <v>0</v>
      </c>
      <c r="BA506" s="2">
        <f>BA505*(1+VLOOKUP(A506,'SELIC Hist'!$A:$C,3,0)-0.01%)^(1/252)</f>
        <v>6305851.1521889502</v>
      </c>
      <c r="BB506" s="2">
        <f t="shared" si="277"/>
        <v>1905993913.3377025</v>
      </c>
      <c r="BC506" s="2">
        <v>0</v>
      </c>
      <c r="BD506" s="2">
        <v>0</v>
      </c>
      <c r="BE506" s="2">
        <f t="shared" si="278"/>
        <v>775183.55304408073</v>
      </c>
      <c r="BF506" s="2">
        <f t="shared" si="279"/>
        <v>14339482.17572546</v>
      </c>
      <c r="BG506" s="2">
        <f t="shared" si="280"/>
        <v>87802437.246896505</v>
      </c>
      <c r="BH506" s="11">
        <f t="shared" si="281"/>
        <v>1.209652895959904</v>
      </c>
      <c r="BI506" s="12">
        <f t="shared" si="282"/>
        <v>4.068737835323244E-4</v>
      </c>
      <c r="BJ506" s="12">
        <f t="shared" si="283"/>
        <v>7.5803920311796613E-3</v>
      </c>
      <c r="BK506" s="12">
        <f t="shared" si="284"/>
        <v>5.0382960245027419E-2</v>
      </c>
      <c r="BL506" s="5">
        <f t="shared" si="285"/>
        <v>0.209652895959904</v>
      </c>
      <c r="BM506" s="19">
        <f t="shared" si="286"/>
        <v>5.2835414499509126E-2</v>
      </c>
      <c r="BN506" s="19">
        <f t="shared" si="287"/>
        <v>0.10221749283707382</v>
      </c>
      <c r="BO506" s="19" t="s">
        <v>53</v>
      </c>
    </row>
    <row r="507" spans="1:67" s="23" customFormat="1" x14ac:dyDescent="0.25">
      <c r="A507" s="37">
        <v>45838</v>
      </c>
      <c r="B507" s="23" t="str">
        <f t="shared" si="223"/>
        <v>202506</v>
      </c>
      <c r="C507" s="22">
        <v>0</v>
      </c>
      <c r="D507" s="22">
        <v>0</v>
      </c>
      <c r="E507" s="22">
        <v>0</v>
      </c>
      <c r="F507" s="22">
        <v>0</v>
      </c>
      <c r="G507" s="22">
        <v>0</v>
      </c>
      <c r="H507" s="22">
        <v>0</v>
      </c>
      <c r="I507" s="22">
        <v>0</v>
      </c>
      <c r="J507" s="22">
        <v>0</v>
      </c>
      <c r="K507" s="22">
        <v>0</v>
      </c>
      <c r="L507" s="22">
        <v>0</v>
      </c>
      <c r="M507" s="22">
        <v>0</v>
      </c>
      <c r="N507" s="22">
        <v>0</v>
      </c>
      <c r="O507" s="22">
        <v>0</v>
      </c>
      <c r="P507" s="22">
        <v>0</v>
      </c>
      <c r="Q507" s="22">
        <f>Q506*(1+((1+VLOOKUP($B507,'IPCA Hist'!$B:$C,2,0))^12 - 1)+$Q$2)^(1/252)</f>
        <v>47132797.954936534</v>
      </c>
      <c r="R507" s="22">
        <f>R506*(1+((1+VLOOKUP($B507,'IPCA Hist'!$B:$C,2,0))^12 - 1)+$R$2)^(1/252)</f>
        <v>47120080.582651511</v>
      </c>
      <c r="S507" s="22">
        <f>S506*(1+((1+VLOOKUP($B507,'IPCA Hist'!$B:$C,2,0))^12 - 1)+$S$2)^(1/252)</f>
        <v>48145981.321266226</v>
      </c>
      <c r="T507" s="22">
        <f>T506*(1+((1+VLOOKUP($B507,'IPCA Hist'!$B:$C,2,0))^12 - 1)+$T$2)^(1/252)</f>
        <v>243155853.99491516</v>
      </c>
      <c r="U507" s="22">
        <f>U506*(1+((1+VLOOKUP($B507,'IPCA Hist'!$B:$C,2,0))^12 - 1)+$U$2)^(1/252)</f>
        <v>21422681.450833935</v>
      </c>
      <c r="V507" s="22">
        <f>V506*(1+((1+VLOOKUP($B507,'IPCA Hist'!$B:$C,2,0))^12 - 1)+$V$2)^(1/252)</f>
        <v>83297966.639564514</v>
      </c>
      <c r="W507" s="22">
        <f>W506*(1+((1+VLOOKUP($B507,'IPCA Hist'!$B:$C,2,0))^12 - 1)+$W$2)^(1/252)</f>
        <v>43866573.547751538</v>
      </c>
      <c r="X507" s="22">
        <f>X506*(1+((1+VLOOKUP($B507,'IPCA Hist'!$B:$C,2,0))^12 - 1)+$X$2)^(1/252)</f>
        <v>15015486.666721335</v>
      </c>
      <c r="Y507" s="22">
        <f>Y506*(1+((1+VLOOKUP($B507,'IPCA Hist'!$B:$C,2,0))^12 - 1)+$Y$2)^(1/252)</f>
        <v>122436118.78273699</v>
      </c>
      <c r="Z507" s="22">
        <f>Z506*(1+((1+VLOOKUP($B507,'IPCA Hist'!$B:$C,2,0))^12 - 1)+$Z$2)^(1/252)</f>
        <v>83422554.703489587</v>
      </c>
      <c r="AA507" s="22">
        <f>AA506*(1+((1+VLOOKUP($B507,'IPCA Hist'!$B:$C,2,0))^12 - 1)+$AA$2)^(1/252)</f>
        <v>42015890.704449363</v>
      </c>
      <c r="AB507" s="22">
        <f>AB506*(1+((1+VLOOKUP($B507,'IPCA Hist'!$B:$C,2,0))^12 - 1)+$AB$2)^(1/252)</f>
        <v>42029356.781376623</v>
      </c>
      <c r="AC507" s="22">
        <f>AC506*(1+((1+VLOOKUP($B507,'IPCA Hist'!$B:$C,2,0))^12 - 1)+$AC$2)^(1/252)</f>
        <v>5217823.985811701</v>
      </c>
      <c r="AD507" s="22">
        <f>AD506*(1+((1+VLOOKUP($B507,'IPCA Hist'!$B:$C,2,0))^12 - 1)+$AD$2)^(1/252)</f>
        <v>388103539.61092311</v>
      </c>
      <c r="AE507" s="22">
        <v>0</v>
      </c>
      <c r="AF507" s="22">
        <f>AF506*(1+((1+VLOOKUP($B507,'IGPM Hist'!$B:$C,2,0))^12 - 1)+$AF$2)^(1/252)</f>
        <v>1689602.2756153753</v>
      </c>
      <c r="AG507" s="22">
        <v>0</v>
      </c>
      <c r="AH507" s="22">
        <v>0</v>
      </c>
      <c r="AI507" s="22">
        <v>0</v>
      </c>
      <c r="AJ507" s="22">
        <f t="shared" ref="AJ507:AW507" si="306">AJ506*(1+AJ$2)^(1/252)</f>
        <v>56118937.846882582</v>
      </c>
      <c r="AK507" s="22">
        <f t="shared" si="306"/>
        <v>184334095.42084923</v>
      </c>
      <c r="AL507" s="22">
        <f t="shared" si="306"/>
        <v>37805336.484793209</v>
      </c>
      <c r="AM507" s="22">
        <f t="shared" si="306"/>
        <v>132354304.65842687</v>
      </c>
      <c r="AN507" s="22">
        <f t="shared" si="306"/>
        <v>56702916.531328313</v>
      </c>
      <c r="AO507" s="22">
        <f t="shared" si="306"/>
        <v>24422652.801158756</v>
      </c>
      <c r="AP507" s="22">
        <v>0</v>
      </c>
      <c r="AQ507" s="22">
        <v>0</v>
      </c>
      <c r="AR507" s="22">
        <v>0</v>
      </c>
      <c r="AS507" s="22">
        <f t="shared" si="306"/>
        <v>110155501.76386082</v>
      </c>
      <c r="AT507" s="22">
        <f t="shared" si="306"/>
        <v>5631897.1752966484</v>
      </c>
      <c r="AU507" s="22">
        <v>0</v>
      </c>
      <c r="AV507" s="22">
        <f t="shared" si="306"/>
        <v>55952950.399212576</v>
      </c>
      <c r="AW507" s="22">
        <f t="shared" si="306"/>
        <v>2909194.2405081713</v>
      </c>
      <c r="AX507" s="22">
        <v>0</v>
      </c>
      <c r="AY507" s="22">
        <v>0</v>
      </c>
      <c r="AZ507" s="22">
        <v>0</v>
      </c>
      <c r="BA507" s="22">
        <f>BA506*(1+VLOOKUP(A507,'SELIC Hist'!$A:$C,3,0)-0.01%)^(1/252)</f>
        <v>6309325.4559121737</v>
      </c>
      <c r="BB507" s="22">
        <f t="shared" si="277"/>
        <v>1906769421.7812724</v>
      </c>
      <c r="BC507" s="22">
        <v>0</v>
      </c>
      <c r="BD507" s="22">
        <v>0</v>
      </c>
      <c r="BE507" s="22">
        <f t="shared" si="278"/>
        <v>775508.44356989861</v>
      </c>
      <c r="BF507" s="22">
        <f t="shared" si="279"/>
        <v>15114990.619295359</v>
      </c>
      <c r="BG507" s="22">
        <f t="shared" si="280"/>
        <v>88577945.690466404</v>
      </c>
      <c r="BH507" s="38">
        <f t="shared" si="281"/>
        <v>1.2101450780324916</v>
      </c>
      <c r="BI507" s="39">
        <f t="shared" si="282"/>
        <v>4.0687876185918626E-4</v>
      </c>
      <c r="BJ507" s="39">
        <f t="shared" si="283"/>
        <v>7.9903550935629397E-3</v>
      </c>
      <c r="BK507" s="39">
        <f t="shared" si="284"/>
        <v>5.0810338763369822E-2</v>
      </c>
      <c r="BL507" s="40">
        <f t="shared" si="285"/>
        <v>0.21014507803249161</v>
      </c>
      <c r="BM507" s="41">
        <f t="shared" si="286"/>
        <v>5.2772644991846418E-2</v>
      </c>
      <c r="BN507" s="41">
        <f t="shared" si="287"/>
        <v>0.10227124675539212</v>
      </c>
      <c r="BO507" s="41">
        <f>BH507/BH3 - 1</f>
        <v>0.21014507803249161</v>
      </c>
    </row>
    <row r="508" spans="1:67" x14ac:dyDescent="0.25">
      <c r="A508" s="1">
        <v>45839</v>
      </c>
      <c r="B508" s="1" t="str">
        <f t="shared" si="223"/>
        <v>202507</v>
      </c>
      <c r="C508" s="24">
        <v>0</v>
      </c>
      <c r="D508" s="24">
        <v>0</v>
      </c>
      <c r="E508" s="24">
        <v>0</v>
      </c>
      <c r="F508" s="24">
        <v>0</v>
      </c>
      <c r="G508" s="24">
        <v>0</v>
      </c>
      <c r="H508" s="24">
        <v>0</v>
      </c>
      <c r="I508" s="24">
        <v>0</v>
      </c>
      <c r="J508" s="24">
        <v>0</v>
      </c>
      <c r="K508" s="24">
        <v>0</v>
      </c>
      <c r="L508" s="24">
        <v>0</v>
      </c>
      <c r="M508" s="24">
        <v>0</v>
      </c>
      <c r="N508" s="24">
        <v>0</v>
      </c>
      <c r="O508" s="24">
        <v>0</v>
      </c>
      <c r="P508" s="24">
        <v>0</v>
      </c>
      <c r="Q508" s="24">
        <f>Q507*(1+((1+VLOOKUP($B508,'IPCA Hist'!$B:$C,2,0))^12 - 1)+$Q$2)^(1/252)</f>
        <v>47147772.273482472</v>
      </c>
      <c r="R508" s="24">
        <f>R507*(1+((1+VLOOKUP($B508,'IPCA Hist'!$B:$C,2,0))^12 - 1)+$R$2)^(1/252)</f>
        <v>47135068.125512287</v>
      </c>
      <c r="S508" s="24">
        <f>S507*(1+((1+VLOOKUP($B508,'IPCA Hist'!$B:$C,2,0))^12 - 1)+$S$2)^(1/252)</f>
        <v>48161083.379660778</v>
      </c>
      <c r="T508" s="24">
        <f>T507*(1+((1+VLOOKUP($B508,'IPCA Hist'!$B:$C,2,0))^12 - 1)+$T$2)^(1/252)</f>
        <v>243232036.04914281</v>
      </c>
      <c r="U508" s="24">
        <f>U507*(1+((1+VLOOKUP($B508,'IPCA Hist'!$B:$C,2,0))^12 - 1)+$U$2)^(1/252)</f>
        <v>21430447.620664548</v>
      </c>
      <c r="V508" s="24">
        <f>V507*(1+((1+VLOOKUP($B508,'IPCA Hist'!$B:$C,2,0))^12 - 1)+$V$2)^(1/252)</f>
        <v>83332571.014168128</v>
      </c>
      <c r="W508" s="24">
        <f>W507*(1+((1+VLOOKUP($B508,'IPCA Hist'!$B:$C,2,0))^12 - 1)+$W$2)^(1/252)</f>
        <v>43884939.652320363</v>
      </c>
      <c r="X508" s="24">
        <f>X507*(1+((1+VLOOKUP($B508,'IPCA Hist'!$B:$C,2,0))^12 - 1)+$X$2)^(1/252)</f>
        <v>15021487.84536699</v>
      </c>
      <c r="Y508" s="24">
        <f>Y507*(1+((1+VLOOKUP($B508,'IPCA Hist'!$B:$C,2,0))^12 - 1)+$Y$2)^(1/252)</f>
        <v>122487642.83928019</v>
      </c>
      <c r="Z508" s="24">
        <f>Z507*(1+((1+VLOOKUP($B508,'IPCA Hist'!$B:$C,2,0))^12 - 1)+$Z$2)^(1/252)</f>
        <v>83455209.407989189</v>
      </c>
      <c r="AA508" s="24">
        <f>AA507*(1+((1+VLOOKUP($B508,'IPCA Hist'!$B:$C,2,0))^12 - 1)+$AA$2)^(1/252)</f>
        <v>42034171.00733912</v>
      </c>
      <c r="AB508" s="24">
        <f>AB507*(1+((1+VLOOKUP($B508,'IPCA Hist'!$B:$C,2,0))^12 - 1)+$AB$2)^(1/252)</f>
        <v>42047627.989189953</v>
      </c>
      <c r="AC508" s="24">
        <f>AC507*(1+((1+VLOOKUP($B508,'IPCA Hist'!$B:$C,2,0))^12 - 1)+$AC$2)^(1/252)</f>
        <v>5219916.8628890933</v>
      </c>
      <c r="AD508" s="24">
        <f>AD507*(1+((1+VLOOKUP($B508,'IPCA Hist'!$B:$C,2,0))^12 - 1)+$AD$2)^(1/252)</f>
        <v>388259060.90178019</v>
      </c>
      <c r="AE508" s="24">
        <v>0</v>
      </c>
      <c r="AF508" s="24">
        <f>AF507*(1+((1+VLOOKUP($B508,'IGPM Hist'!$B:$C,2,0))^12 - 1)+$AF$2)^(1/252)</f>
        <v>1689424.9966260695</v>
      </c>
      <c r="AG508" s="24">
        <v>0</v>
      </c>
      <c r="AH508" s="24">
        <v>0</v>
      </c>
      <c r="AI508" s="24">
        <v>0</v>
      </c>
      <c r="AJ508" s="24">
        <f>AJ507*(1+AJ$2)^(1/252) - 58000*1000*((1+10%)^(1/2) - 1)</f>
        <v>53313861.961448446</v>
      </c>
      <c r="AK508" s="24">
        <f>AK507*(1+AK$2)^(1/252) - 195000*1000*((1+10%)^(1/2) - 1)</f>
        <v>174905429.24399135</v>
      </c>
      <c r="AL508" s="24">
        <f>AL507*(1+AL$2)^(1/252) - 40000*1000*((1+10%)^(1/2) - 1)</f>
        <v>35871254.481218211</v>
      </c>
      <c r="AM508" s="24">
        <f>AM507*(1+AM$2)^(1/252) - 140000*1000*((1+10%)^(1/2) - 1)</f>
        <v>125584999.97180898</v>
      </c>
      <c r="AN508" s="24">
        <f>AN507*(1+AN$2)^(1/252) - 60000*1000*((1+10%)^(1/2) - 1)</f>
        <v>53801796.049491547</v>
      </c>
      <c r="AO508" s="24">
        <f>AO507*(1+AO$2)^(1/252) - 28400*1000*((1+10%)^(1/2) - 1)</f>
        <v>23050489.763494633</v>
      </c>
      <c r="AP508" s="24">
        <v>0</v>
      </c>
      <c r="AQ508" s="24">
        <v>0</v>
      </c>
      <c r="AR508" s="2">
        <v>0</v>
      </c>
      <c r="AS508" s="24">
        <f>AS507*(1+AS$2)^(1/252) - 114000*1000*((1+10%)^(1/2) - 1)</f>
        <v>104640370.297777</v>
      </c>
      <c r="AT508" s="24">
        <f>AT507*(1+AT$2)^(1/252) - 6800*1000*((1+10%)^(1/2) - 1)</f>
        <v>5303183.3280127756</v>
      </c>
      <c r="AU508" s="24">
        <v>0</v>
      </c>
      <c r="AV508" s="24">
        <f>AV507*(1+AV$2)^(1/252) - 59500*1000*((1+10%)^(1/2) - 1)</f>
        <v>53074287.909121558</v>
      </c>
      <c r="AW508" s="24">
        <f>AW507*(1+AW$2)^(1/252) - 3600*1000*((1+10%)^(1/2) - 1)</f>
        <v>2735107.2483970984</v>
      </c>
      <c r="AX508" s="24">
        <v>0</v>
      </c>
      <c r="AY508" s="2">
        <v>0</v>
      </c>
      <c r="AZ508" s="24">
        <v>0</v>
      </c>
      <c r="BA508" s="24">
        <v>40812961.200000003</v>
      </c>
      <c r="BB508" s="24">
        <f t="shared" ref="BB508:BB530" si="307">SUM(C508:BA508)</f>
        <v>1907632201.4201739</v>
      </c>
      <c r="BC508" s="24">
        <v>0</v>
      </c>
      <c r="BD508" s="24">
        <v>0</v>
      </c>
      <c r="BE508" s="24">
        <f t="shared" ref="BE508:BE530" si="308">BB508-BB507-BC508+BD508</f>
        <v>862779.63890147209</v>
      </c>
      <c r="BF508" s="24">
        <f t="shared" ref="BF508:BF530" si="309">IF(MONTH(A508)=MONTH(A507),BE508+BF507,BE508)</f>
        <v>862779.63890147209</v>
      </c>
      <c r="BG508" s="24">
        <f t="shared" ref="BG508:BG530" si="310">IF(YEAR(A508)=YEAR(A507),BE508+BG507,BE508)</f>
        <v>89440725.329367876</v>
      </c>
      <c r="BH508" s="46">
        <f t="shared" ref="BH508:BH530" si="311">(1+(BB508-BB507-BC508+BD508)/BB507)*BH507</f>
        <v>1.2106926474037625</v>
      </c>
      <c r="BI508" s="47">
        <f t="shared" ref="BI508:BI530" si="312">BH508/BH507 - 1</f>
        <v>4.5248241819173529E-4</v>
      </c>
      <c r="BJ508" s="47">
        <f t="shared" ref="BJ508:BJ530" si="313">IF(MONTH(A508)=MONTH(A507),(1+BI508)*(1+BJ507) - 1,BI508)</f>
        <v>4.5248241819173529E-4</v>
      </c>
      <c r="BK508" s="47">
        <f t="shared" ref="BK508:BK530" si="314">IF(YEAR(A508)=YEAR(A507),(1+BI508)*(1+BK507) - 1,BI508)</f>
        <v>5.1285811966514272E-2</v>
      </c>
      <c r="BL508" s="48">
        <f t="shared" ref="BL508:BL530" si="315">(1+BI508)*(1+BL507) - 1</f>
        <v>0.21069264740376248</v>
      </c>
      <c r="BM508" s="49">
        <f t="shared" ref="BM508:BM530" si="316">BH508/BH382 - 1</f>
        <v>5.2757865928038994E-2</v>
      </c>
      <c r="BN508" s="49">
        <f t="shared" ref="BN508:BN530" si="317">BH508/BH256 - 1</f>
        <v>0.10243332680403339</v>
      </c>
      <c r="BO508" s="49">
        <f t="shared" ref="BO508:BO530" si="318">BH508/BH4 - 1</f>
        <v>0.21040772825928222</v>
      </c>
    </row>
    <row r="509" spans="1:67" x14ac:dyDescent="0.25">
      <c r="A509" s="1">
        <v>45840</v>
      </c>
      <c r="B509" s="1" t="str">
        <f t="shared" si="223"/>
        <v>202507</v>
      </c>
      <c r="C509" s="24">
        <v>0</v>
      </c>
      <c r="D509" s="24">
        <v>0</v>
      </c>
      <c r="E509" s="24">
        <v>0</v>
      </c>
      <c r="F509" s="24">
        <v>0</v>
      </c>
      <c r="G509" s="24">
        <v>0</v>
      </c>
      <c r="H509" s="24">
        <v>0</v>
      </c>
      <c r="I509" s="24">
        <v>0</v>
      </c>
      <c r="J509" s="24">
        <v>0</v>
      </c>
      <c r="K509" s="24">
        <v>0</v>
      </c>
      <c r="L509" s="24">
        <v>0</v>
      </c>
      <c r="M509" s="24">
        <v>0</v>
      </c>
      <c r="N509" s="24">
        <v>0</v>
      </c>
      <c r="O509" s="24">
        <v>0</v>
      </c>
      <c r="P509" s="24">
        <v>0</v>
      </c>
      <c r="Q509" s="24">
        <f>Q508*(1+((1+VLOOKUP($B509,'IPCA Hist'!$B:$C,2,0))^12 - 1)+$Q$2)^(1/252)</f>
        <v>47162751.34944205</v>
      </c>
      <c r="R509" s="24">
        <f>R508*(1+((1+VLOOKUP($B509,'IPCA Hist'!$B:$C,2,0))^12 - 1)+$R$2)^(1/252)</f>
        <v>47150060.435479529</v>
      </c>
      <c r="S509" s="24">
        <f>S508*(1+((1+VLOOKUP($B509,'IPCA Hist'!$B:$C,2,0))^12 - 1)+$S$2)^(1/252)</f>
        <v>48176190.175151996</v>
      </c>
      <c r="T509" s="24">
        <f>T508*(1+((1+VLOOKUP($B509,'IPCA Hist'!$B:$C,2,0))^12 - 1)+$T$2)^(1/252)</f>
        <v>243308241.97162324</v>
      </c>
      <c r="U509" s="24">
        <f>U508*(1+((1+VLOOKUP($B509,'IPCA Hist'!$B:$C,2,0))^12 - 1)+$U$2)^(1/252)</f>
        <v>21438216.605894063</v>
      </c>
      <c r="V509" s="24">
        <f>V508*(1+((1+VLOOKUP($B509,'IPCA Hist'!$B:$C,2,0))^12 - 1)+$V$2)^(1/252)</f>
        <v>83367189.76442568</v>
      </c>
      <c r="W509" s="24">
        <f>W508*(1+((1+VLOOKUP($B509,'IPCA Hist'!$B:$C,2,0))^12 - 1)+$W$2)^(1/252)</f>
        <v>43903313.446429759</v>
      </c>
      <c r="X509" s="24">
        <f>X508*(1+((1+VLOOKUP($B509,'IPCA Hist'!$B:$C,2,0))^12 - 1)+$X$2)^(1/252)</f>
        <v>15027491.422479372</v>
      </c>
      <c r="Y509" s="24">
        <f>Y508*(1+((1+VLOOKUP($B509,'IPCA Hist'!$B:$C,2,0))^12 - 1)+$Y$2)^(1/252)</f>
        <v>122539188.57838266</v>
      </c>
      <c r="Z509" s="24">
        <f>Z508*(1+((1+VLOOKUP($B509,'IPCA Hist'!$B:$C,2,0))^12 - 1)+$Z$2)^(1/252)</f>
        <v>83487876.894760087</v>
      </c>
      <c r="AA509" s="24">
        <f>AA508*(1+((1+VLOOKUP($B509,'IPCA Hist'!$B:$C,2,0))^12 - 1)+$AA$2)^(1/252)</f>
        <v>42052459.263635747</v>
      </c>
      <c r="AB509" s="24">
        <f>AB508*(1+((1+VLOOKUP($B509,'IPCA Hist'!$B:$C,2,0))^12 - 1)+$AB$2)^(1/252)</f>
        <v>42065907.13995222</v>
      </c>
      <c r="AC509" s="24">
        <f>AC508*(1+((1+VLOOKUP($B509,'IPCA Hist'!$B:$C,2,0))^12 - 1)+$AC$2)^(1/252)</f>
        <v>5222010.5794226406</v>
      </c>
      <c r="AD509" s="24">
        <f>AD508*(1+((1+VLOOKUP($B509,'IPCA Hist'!$B:$C,2,0))^12 - 1)+$AD$2)^(1/252)</f>
        <v>388414644.51330549</v>
      </c>
      <c r="AE509" s="24">
        <v>0</v>
      </c>
      <c r="AF509" s="24">
        <f>AF508*(1+((1+VLOOKUP($B509,'IGPM Hist'!$B:$C,2,0))^12 - 1)+$AF$2)^(1/252)</f>
        <v>1689247.7362374964</v>
      </c>
      <c r="AG509" s="24">
        <v>0</v>
      </c>
      <c r="AH509" s="24">
        <v>0</v>
      </c>
      <c r="AI509" s="24">
        <v>0</v>
      </c>
      <c r="AJ509" s="24">
        <f t="shared" ref="AJ509:AO509" si="319">AJ508*(1+AJ$2)^(1/252)</f>
        <v>53338407.805475272</v>
      </c>
      <c r="AK509" s="24">
        <f t="shared" si="319"/>
        <v>174989933.09241566</v>
      </c>
      <c r="AL509" s="24">
        <f t="shared" si="319"/>
        <v>35888591.631711408</v>
      </c>
      <c r="AM509" s="24">
        <f t="shared" si="319"/>
        <v>125645664.10051112</v>
      </c>
      <c r="AN509" s="24">
        <f t="shared" si="319"/>
        <v>53827804.045042656</v>
      </c>
      <c r="AO509" s="24">
        <f t="shared" si="319"/>
        <v>23063710.97391535</v>
      </c>
      <c r="AP509" s="24">
        <v>17568054.960000001</v>
      </c>
      <c r="AQ509" s="24">
        <v>0</v>
      </c>
      <c r="AR509" s="2">
        <v>0</v>
      </c>
      <c r="AS509" s="24">
        <f t="shared" ref="AS509:AT509" si="320">AS508*(1+AS$2)^(1/252)</f>
        <v>104686990.38436146</v>
      </c>
      <c r="AT509" s="24">
        <f t="shared" si="320"/>
        <v>5306183.6740816701</v>
      </c>
      <c r="AU509" s="24">
        <v>5968533.3399999999</v>
      </c>
      <c r="AV509" s="24">
        <f t="shared" ref="AV509:AW509" si="321">AV508*(1+AV$2)^(1/252)</f>
        <v>53098441.816746518</v>
      </c>
      <c r="AW509" s="24">
        <f t="shared" si="321"/>
        <v>2736634.8775465782</v>
      </c>
      <c r="AX509" s="24">
        <v>3310336.696</v>
      </c>
      <c r="AY509" s="2">
        <v>0</v>
      </c>
      <c r="AZ509" s="24">
        <v>0</v>
      </c>
      <c r="BA509" s="24">
        <v>13784697.85</v>
      </c>
      <c r="BB509" s="24">
        <f t="shared" si="307"/>
        <v>1908218775.1244295</v>
      </c>
      <c r="BC509" s="24">
        <v>0</v>
      </c>
      <c r="BD509" s="24">
        <v>0</v>
      </c>
      <c r="BE509" s="24">
        <f t="shared" si="308"/>
        <v>586573.7042555809</v>
      </c>
      <c r="BF509" s="24">
        <f t="shared" si="309"/>
        <v>1449353.343157053</v>
      </c>
      <c r="BG509" s="24">
        <f t="shared" si="310"/>
        <v>90027299.033623457</v>
      </c>
      <c r="BH509" s="46">
        <f t="shared" si="311"/>
        <v>1.2110649206702622</v>
      </c>
      <c r="BI509" s="47">
        <f t="shared" si="312"/>
        <v>3.074878395421532E-4</v>
      </c>
      <c r="BJ509" s="47">
        <f t="shared" si="313"/>
        <v>7.601093905751366E-4</v>
      </c>
      <c r="BK509" s="47">
        <f t="shared" si="314"/>
        <v>5.1609069569577226E-2</v>
      </c>
      <c r="BL509" s="48">
        <f t="shared" si="315"/>
        <v>0.21106492067026217</v>
      </c>
      <c r="BM509" s="49">
        <f t="shared" si="316"/>
        <v>5.2590512875392958E-2</v>
      </c>
      <c r="BN509" s="49">
        <f t="shared" si="317"/>
        <v>0.10222118768383637</v>
      </c>
      <c r="BO509" s="49">
        <f t="shared" si="318"/>
        <v>0.21049496166192672</v>
      </c>
    </row>
    <row r="510" spans="1:67" x14ac:dyDescent="0.25">
      <c r="A510" s="1">
        <v>45841</v>
      </c>
      <c r="B510" s="1" t="str">
        <f t="shared" si="223"/>
        <v>202507</v>
      </c>
      <c r="C510" s="24">
        <v>0</v>
      </c>
      <c r="D510" s="24">
        <v>0</v>
      </c>
      <c r="E510" s="24">
        <v>0</v>
      </c>
      <c r="F510" s="24">
        <v>0</v>
      </c>
      <c r="G510" s="24">
        <v>0</v>
      </c>
      <c r="H510" s="24">
        <v>0</v>
      </c>
      <c r="I510" s="24">
        <v>0</v>
      </c>
      <c r="J510" s="24">
        <v>0</v>
      </c>
      <c r="K510" s="24">
        <v>0</v>
      </c>
      <c r="L510" s="24">
        <v>0</v>
      </c>
      <c r="M510" s="24">
        <v>0</v>
      </c>
      <c r="N510" s="24">
        <v>0</v>
      </c>
      <c r="O510" s="24">
        <v>0</v>
      </c>
      <c r="P510" s="24">
        <v>0</v>
      </c>
      <c r="Q510" s="24">
        <f>Q509*(1+((1+VLOOKUP($B510,'IPCA Hist'!$B:$C,2,0))^12 - 1)+$Q$2)^(1/252)</f>
        <v>47177735.184326723</v>
      </c>
      <c r="R510" s="24">
        <f>R509*(1+((1+VLOOKUP($B510,'IPCA Hist'!$B:$C,2,0))^12 - 1)+$R$2)^(1/252)</f>
        <v>47165057.51406952</v>
      </c>
      <c r="S510" s="24">
        <f>S509*(1+((1+VLOOKUP($B510,'IPCA Hist'!$B:$C,2,0))^12 - 1)+$S$2)^(1/252)</f>
        <v>48191301.709225781</v>
      </c>
      <c r="T510" s="24">
        <f>T509*(1+((1+VLOOKUP($B510,'IPCA Hist'!$B:$C,2,0))^12 - 1)+$T$2)^(1/252)</f>
        <v>243384471.76983449</v>
      </c>
      <c r="U510" s="24">
        <f>U509*(1+((1+VLOOKUP($B510,'IPCA Hist'!$B:$C,2,0))^12 - 1)+$U$2)^(1/252)</f>
        <v>21445988.407543119</v>
      </c>
      <c r="V510" s="24">
        <f>V509*(1+((1+VLOOKUP($B510,'IPCA Hist'!$B:$C,2,0))^12 - 1)+$V$2)^(1/252)</f>
        <v>83401822.896309227</v>
      </c>
      <c r="W510" s="24">
        <f>W509*(1+((1+VLOOKUP($B510,'IPCA Hist'!$B:$C,2,0))^12 - 1)+$W$2)^(1/252)</f>
        <v>43921694.933299191</v>
      </c>
      <c r="X510" s="24">
        <f>X509*(1+((1+VLOOKUP($B510,'IPCA Hist'!$B:$C,2,0))^12 - 1)+$X$2)^(1/252)</f>
        <v>15033497.399017064</v>
      </c>
      <c r="Y510" s="24">
        <f>Y509*(1+((1+VLOOKUP($B510,'IPCA Hist'!$B:$C,2,0))^12 - 1)+$Y$2)^(1/252)</f>
        <v>122590756.00916894</v>
      </c>
      <c r="Z510" s="24">
        <f>Z509*(1+((1+VLOOKUP($B510,'IPCA Hist'!$B:$C,2,0))^12 - 1)+$Z$2)^(1/252)</f>
        <v>83520557.168805733</v>
      </c>
      <c r="AA510" s="24">
        <f>AA509*(1+((1+VLOOKUP($B510,'IPCA Hist'!$B:$C,2,0))^12 - 1)+$AA$2)^(1/252)</f>
        <v>42070755.476799615</v>
      </c>
      <c r="AB510" s="24">
        <f>AB509*(1+((1+VLOOKUP($B510,'IPCA Hist'!$B:$C,2,0))^12 - 1)+$AB$2)^(1/252)</f>
        <v>42084194.237116426</v>
      </c>
      <c r="AC510" s="24">
        <f>AC509*(1+((1+VLOOKUP($B510,'IPCA Hist'!$B:$C,2,0))^12 - 1)+$AC$2)^(1/252)</f>
        <v>5224105.1357490504</v>
      </c>
      <c r="AD510" s="24">
        <f>AD509*(1+((1+VLOOKUP($B510,'IPCA Hist'!$B:$C,2,0))^12 - 1)+$AD$2)^(1/252)</f>
        <v>388570290.47047216</v>
      </c>
      <c r="AE510" s="24">
        <v>0</v>
      </c>
      <c r="AF510" s="24">
        <f>AF509*(1+((1+VLOOKUP($B510,'IGPM Hist'!$B:$C,2,0))^12 - 1)+$AF$2)^(1/252)</f>
        <v>1689070.4944477042</v>
      </c>
      <c r="AG510" s="24">
        <v>0</v>
      </c>
      <c r="AH510" s="24">
        <v>0</v>
      </c>
      <c r="AI510" s="24">
        <v>0</v>
      </c>
      <c r="AJ510" s="24">
        <f t="shared" ref="AJ510:AO510" si="322">AJ509*(1+AJ$2)^(1/252)</f>
        <v>53362964.950474054</v>
      </c>
      <c r="AK510" s="24">
        <f t="shared" si="322"/>
        <v>175074477.76804829</v>
      </c>
      <c r="AL510" s="24">
        <f t="shared" si="322"/>
        <v>35905937.161526471</v>
      </c>
      <c r="AM510" s="24">
        <f t="shared" si="322"/>
        <v>125706357.53316286</v>
      </c>
      <c r="AN510" s="24">
        <f t="shared" si="322"/>
        <v>53853824.612959042</v>
      </c>
      <c r="AO510" s="24">
        <f t="shared" si="322"/>
        <v>23076939.767706607</v>
      </c>
      <c r="AP510" s="24">
        <f>AP509*(1+AP$2)^(1/252)</f>
        <v>17576832.441083755</v>
      </c>
      <c r="AQ510" s="24">
        <v>6841434.0930000003</v>
      </c>
      <c r="AR510" s="2">
        <v>0</v>
      </c>
      <c r="AS510" s="24">
        <f t="shared" ref="AS510:AU510" si="323">AS509*(1+AS$2)^(1/252)</f>
        <v>104733631.2414427</v>
      </c>
      <c r="AT510" s="24">
        <f t="shared" si="323"/>
        <v>5309185.7176360134</v>
      </c>
      <c r="AU510" s="24">
        <f t="shared" si="323"/>
        <v>5971504.9334190907</v>
      </c>
      <c r="AV510" s="24">
        <f t="shared" ref="AV510:AX510" si="324">AV509*(1+AV$2)^(1/252)</f>
        <v>53122606.716723457</v>
      </c>
      <c r="AW510" s="24">
        <f t="shared" si="324"/>
        <v>2738163.359917013</v>
      </c>
      <c r="AX510" s="24">
        <f t="shared" si="324"/>
        <v>3311996.7133006509</v>
      </c>
      <c r="AY510" s="2">
        <v>0</v>
      </c>
      <c r="AZ510" s="24">
        <v>0</v>
      </c>
      <c r="BA510" s="24">
        <v>6950525.79</v>
      </c>
      <c r="BB510" s="24">
        <f t="shared" si="307"/>
        <v>1909007681.6065845</v>
      </c>
      <c r="BC510" s="24">
        <v>0</v>
      </c>
      <c r="BD510" s="24">
        <v>0</v>
      </c>
      <c r="BE510" s="24">
        <f t="shared" si="308"/>
        <v>788906.48215508461</v>
      </c>
      <c r="BF510" s="24">
        <f t="shared" si="309"/>
        <v>2238259.8253121376</v>
      </c>
      <c r="BG510" s="24">
        <f t="shared" si="310"/>
        <v>90816205.515778542</v>
      </c>
      <c r="BH510" s="46">
        <f t="shared" si="311"/>
        <v>1.2115656059054576</v>
      </c>
      <c r="BI510" s="47">
        <f t="shared" si="312"/>
        <v>4.1342559482138164E-4</v>
      </c>
      <c r="BJ510" s="47">
        <f t="shared" si="313"/>
        <v>1.1738492340733764E-3</v>
      </c>
      <c r="BK510" s="47">
        <f t="shared" si="314"/>
        <v>5.2043831674683627E-2</v>
      </c>
      <c r="BL510" s="48">
        <f t="shared" si="315"/>
        <v>0.21156560590545759</v>
      </c>
      <c r="BM510" s="49">
        <f t="shared" si="316"/>
        <v>5.2534642311969471E-2</v>
      </c>
      <c r="BN510" s="49">
        <f t="shared" si="317"/>
        <v>0.1023298993074655</v>
      </c>
      <c r="BO510" s="49">
        <f t="shared" si="318"/>
        <v>0.21071039571210748</v>
      </c>
    </row>
    <row r="511" spans="1:67" x14ac:dyDescent="0.25">
      <c r="A511" s="1">
        <v>45842</v>
      </c>
      <c r="B511" s="1" t="str">
        <f t="shared" si="223"/>
        <v>202507</v>
      </c>
      <c r="C511" s="24">
        <v>0</v>
      </c>
      <c r="D511" s="24">
        <v>0</v>
      </c>
      <c r="E511" s="24">
        <v>0</v>
      </c>
      <c r="F511" s="24">
        <v>0</v>
      </c>
      <c r="G511" s="24">
        <v>0</v>
      </c>
      <c r="H511" s="24">
        <v>0</v>
      </c>
      <c r="I511" s="24">
        <v>0</v>
      </c>
      <c r="J511" s="24">
        <v>0</v>
      </c>
      <c r="K511" s="24">
        <v>0</v>
      </c>
      <c r="L511" s="24">
        <v>0</v>
      </c>
      <c r="M511" s="24">
        <v>0</v>
      </c>
      <c r="N511" s="24">
        <v>0</v>
      </c>
      <c r="O511" s="24">
        <v>0</v>
      </c>
      <c r="P511" s="24">
        <v>0</v>
      </c>
      <c r="Q511" s="24">
        <f>Q510*(1+((1+VLOOKUP($B511,'IPCA Hist'!$B:$C,2,0))^12 - 1)+$Q$2)^(1/252)</f>
        <v>47192723.779648423</v>
      </c>
      <c r="R511" s="24">
        <f>R510*(1+((1+VLOOKUP($B511,'IPCA Hist'!$B:$C,2,0))^12 - 1)+$R$2)^(1/252)</f>
        <v>47180059.362799026</v>
      </c>
      <c r="S511" s="24">
        <f>S510*(1+((1+VLOOKUP($B511,'IPCA Hist'!$B:$C,2,0))^12 - 1)+$S$2)^(1/252)</f>
        <v>48206417.983368494</v>
      </c>
      <c r="T511" s="24">
        <f>T510*(1+((1+VLOOKUP($B511,'IPCA Hist'!$B:$C,2,0))^12 - 1)+$T$2)^(1/252)</f>
        <v>243460725.45125696</v>
      </c>
      <c r="U511" s="24">
        <f>U510*(1+((1+VLOOKUP($B511,'IPCA Hist'!$B:$C,2,0))^12 - 1)+$U$2)^(1/252)</f>
        <v>21453763.02663273</v>
      </c>
      <c r="V511" s="24">
        <f>V510*(1+((1+VLOOKUP($B511,'IPCA Hist'!$B:$C,2,0))^12 - 1)+$V$2)^(1/252)</f>
        <v>83436470.4157933</v>
      </c>
      <c r="W511" s="24">
        <f>W510*(1+((1+VLOOKUP($B511,'IPCA Hist'!$B:$C,2,0))^12 - 1)+$W$2)^(1/252)</f>
        <v>43940084.11614947</v>
      </c>
      <c r="X511" s="24">
        <f>X510*(1+((1+VLOOKUP($B511,'IPCA Hist'!$B:$C,2,0))^12 - 1)+$X$2)^(1/252)</f>
        <v>15039505.775939036</v>
      </c>
      <c r="Y511" s="24">
        <f>Y510*(1+((1+VLOOKUP($B511,'IPCA Hist'!$B:$C,2,0))^12 - 1)+$Y$2)^(1/252)</f>
        <v>122642345.14076741</v>
      </c>
      <c r="Z511" s="24">
        <f>Z510*(1+((1+VLOOKUP($B511,'IPCA Hist'!$B:$C,2,0))^12 - 1)+$Z$2)^(1/252)</f>
        <v>83553250.235131547</v>
      </c>
      <c r="AA511" s="24">
        <f>AA510*(1+((1+VLOOKUP($B511,'IPCA Hist'!$B:$C,2,0))^12 - 1)+$AA$2)^(1/252)</f>
        <v>42089059.650292605</v>
      </c>
      <c r="AB511" s="24">
        <f>AB510*(1+((1+VLOOKUP($B511,'IPCA Hist'!$B:$C,2,0))^12 - 1)+$AB$2)^(1/252)</f>
        <v>42102489.28413707</v>
      </c>
      <c r="AC511" s="24">
        <f>AC510*(1+((1+VLOOKUP($B511,'IPCA Hist'!$B:$C,2,0))^12 - 1)+$AC$2)^(1/252)</f>
        <v>5226200.5322051644</v>
      </c>
      <c r="AD511" s="24">
        <f>AD510*(1+((1+VLOOKUP($B511,'IPCA Hist'!$B:$C,2,0))^12 - 1)+$AD$2)^(1/252)</f>
        <v>388725998.79826343</v>
      </c>
      <c r="AE511" s="24">
        <v>0</v>
      </c>
      <c r="AF511" s="24">
        <f>AF510*(1+((1+VLOOKUP($B511,'IGPM Hist'!$B:$C,2,0))^12 - 1)+$AF$2)^(1/252)</f>
        <v>1688893.2712547414</v>
      </c>
      <c r="AG511" s="24">
        <v>0</v>
      </c>
      <c r="AH511" s="24">
        <v>0</v>
      </c>
      <c r="AI511" s="24">
        <v>0</v>
      </c>
      <c r="AJ511" s="24">
        <f t="shared" ref="AJ511:AQ511" si="325">AJ510*(1+AJ$2)^(1/252)</f>
        <v>53387533.401647791</v>
      </c>
      <c r="AK511" s="24">
        <f t="shared" si="325"/>
        <v>175159063.29061452</v>
      </c>
      <c r="AL511" s="24">
        <f t="shared" si="325"/>
        <v>35923291.074713267</v>
      </c>
      <c r="AM511" s="24">
        <f t="shared" si="325"/>
        <v>125767080.28391956</v>
      </c>
      <c r="AN511" s="24">
        <f t="shared" si="325"/>
        <v>53879857.75931824</v>
      </c>
      <c r="AO511" s="24">
        <f t="shared" si="325"/>
        <v>23090176.149218041</v>
      </c>
      <c r="AP511" s="24">
        <f t="shared" si="325"/>
        <v>17585614.307637293</v>
      </c>
      <c r="AQ511" s="24">
        <f t="shared" si="325"/>
        <v>6844864.831320174</v>
      </c>
      <c r="AR511" s="2">
        <v>0</v>
      </c>
      <c r="AS511" s="24">
        <f t="shared" ref="AS511:AU511" si="326">AS510*(1+AS$2)^(1/252)</f>
        <v>104780292.87827452</v>
      </c>
      <c r="AT511" s="24">
        <f t="shared" si="326"/>
        <v>5312189.4596361807</v>
      </c>
      <c r="AU511" s="24">
        <f t="shared" si="326"/>
        <v>5974478.006325176</v>
      </c>
      <c r="AV511" s="24">
        <f t="shared" ref="AV511:AX511" si="327">AV510*(1+AV$2)^(1/252)</f>
        <v>53146782.614054948</v>
      </c>
      <c r="AW511" s="24">
        <f t="shared" si="327"/>
        <v>2739692.6959849489</v>
      </c>
      <c r="AX511" s="24">
        <f t="shared" si="327"/>
        <v>3313657.5630415315</v>
      </c>
      <c r="AY511" s="2">
        <v>0</v>
      </c>
      <c r="AZ511" s="24">
        <v>0</v>
      </c>
      <c r="BA511" s="24">
        <f>BA510*(1+VLOOKUP(A511,'SELIC Hist'!$A:$C,3,0)-0.01%)^(1/252)</f>
        <v>6954355.2869303515</v>
      </c>
      <c r="BB511" s="24">
        <f t="shared" si="307"/>
        <v>1909796916.4262757</v>
      </c>
      <c r="BC511" s="24">
        <v>0</v>
      </c>
      <c r="BD511" s="24">
        <v>0</v>
      </c>
      <c r="BE511" s="24">
        <f t="shared" si="308"/>
        <v>789234.81969118118</v>
      </c>
      <c r="BF511" s="24">
        <f t="shared" si="309"/>
        <v>3027494.6450033188</v>
      </c>
      <c r="BG511" s="24">
        <f t="shared" si="310"/>
        <v>91605440.335469723</v>
      </c>
      <c r="BH511" s="46">
        <f t="shared" si="311"/>
        <v>1.2120664995224575</v>
      </c>
      <c r="BI511" s="47">
        <f t="shared" si="312"/>
        <v>4.134267385591528E-4</v>
      </c>
      <c r="BJ511" s="47">
        <f t="shared" si="313"/>
        <v>1.5877612732928537E-3</v>
      </c>
      <c r="BK511" s="47">
        <f t="shared" si="314"/>
        <v>5.2478774724834087E-2</v>
      </c>
      <c r="BL511" s="48">
        <f t="shared" si="315"/>
        <v>0.21206649952245749</v>
      </c>
      <c r="BM511" s="49">
        <f t="shared" si="316"/>
        <v>5.2478774724834532E-2</v>
      </c>
      <c r="BN511" s="49">
        <f t="shared" si="317"/>
        <v>0.10273801560798468</v>
      </c>
      <c r="BO511" s="49">
        <f t="shared" si="318"/>
        <v>0.21092585690469123</v>
      </c>
    </row>
    <row r="512" spans="1:67" x14ac:dyDescent="0.25">
      <c r="A512" s="1">
        <v>45845</v>
      </c>
      <c r="B512" s="1" t="str">
        <f t="shared" si="223"/>
        <v>202507</v>
      </c>
      <c r="C512" s="24">
        <v>0</v>
      </c>
      <c r="D512" s="24">
        <v>0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f>Q511*(1+((1+VLOOKUP($B512,'IPCA Hist'!$B:$C,2,0))^12 - 1)+$Q$2)^(1/252)</f>
        <v>47207717.136919565</v>
      </c>
      <c r="R512" s="24">
        <f>R511*(1+((1+VLOOKUP($B512,'IPCA Hist'!$B:$C,2,0))^12 - 1)+$R$2)^(1/252)</f>
        <v>47195065.983185284</v>
      </c>
      <c r="S512" s="24">
        <f>S511*(1+((1+VLOOKUP($B512,'IPCA Hist'!$B:$C,2,0))^12 - 1)+$S$2)^(1/252)</f>
        <v>48221538.999066964</v>
      </c>
      <c r="T512" s="24">
        <f>T511*(1+((1+VLOOKUP($B512,'IPCA Hist'!$B:$C,2,0))^12 - 1)+$T$2)^(1/252)</f>
        <v>243537003.0233734</v>
      </c>
      <c r="U512" s="24">
        <f>U511*(1+((1+VLOOKUP($B512,'IPCA Hist'!$B:$C,2,0))^12 - 1)+$U$2)^(1/252)</f>
        <v>21461540.464184277</v>
      </c>
      <c r="V512" s="24">
        <f>V511*(1+((1+VLOOKUP($B512,'IPCA Hist'!$B:$C,2,0))^12 - 1)+$V$2)^(1/252)</f>
        <v>83471132.328854933</v>
      </c>
      <c r="W512" s="24">
        <f>W511*(1+((1+VLOOKUP($B512,'IPCA Hist'!$B:$C,2,0))^12 - 1)+$W$2)^(1/252)</f>
        <v>43958480.998202763</v>
      </c>
      <c r="X512" s="24">
        <f>X511*(1+((1+VLOOKUP($B512,'IPCA Hist'!$B:$C,2,0))^12 - 1)+$X$2)^(1/252)</f>
        <v>15045516.554204639</v>
      </c>
      <c r="Y512" s="24">
        <f>Y511*(1+((1+VLOOKUP($B512,'IPCA Hist'!$B:$C,2,0))^12 - 1)+$Y$2)^(1/252)</f>
        <v>122693955.98231031</v>
      </c>
      <c r="Z512" s="24">
        <f>Z511*(1+((1+VLOOKUP($B512,'IPCA Hist'!$B:$C,2,0))^12 - 1)+$Z$2)^(1/252)</f>
        <v>83585956.098744899</v>
      </c>
      <c r="AA512" s="24">
        <f>AA511*(1+((1+VLOOKUP($B512,'IPCA Hist'!$B:$C,2,0))^12 - 1)+$AA$2)^(1/252)</f>
        <v>42107371.787578106</v>
      </c>
      <c r="AB512" s="24">
        <f>AB511*(1+((1+VLOOKUP($B512,'IPCA Hist'!$B:$C,2,0))^12 - 1)+$AB$2)^(1/252)</f>
        <v>42120792.284470156</v>
      </c>
      <c r="AC512" s="24">
        <f>AC511*(1+((1+VLOOKUP($B512,'IPCA Hist'!$B:$C,2,0))^12 - 1)+$AC$2)^(1/252)</f>
        <v>5228296.7691279603</v>
      </c>
      <c r="AD512" s="24">
        <f>AD511*(1+((1+VLOOKUP($B512,'IPCA Hist'!$B:$C,2,0))^12 - 1)+$AD$2)^(1/252)</f>
        <v>388881769.52167255</v>
      </c>
      <c r="AE512" s="24">
        <v>0</v>
      </c>
      <c r="AF512" s="24">
        <f>AF511*(1+((1+VLOOKUP($B512,'IGPM Hist'!$B:$C,2,0))^12 - 1)+$AF$2)^(1/252)</f>
        <v>1688716.0666566568</v>
      </c>
      <c r="AG512" s="24">
        <v>0</v>
      </c>
      <c r="AH512" s="24">
        <v>0</v>
      </c>
      <c r="AI512" s="24">
        <v>0</v>
      </c>
      <c r="AJ512" s="24">
        <f t="shared" ref="AJ512:AQ512" si="328">AJ511*(1+AJ$2)^(1/252)</f>
        <v>53412113.164201878</v>
      </c>
      <c r="AK512" s="24">
        <f t="shared" si="328"/>
        <v>175243689.67984915</v>
      </c>
      <c r="AL512" s="24">
        <f t="shared" si="328"/>
        <v>35940653.375323616</v>
      </c>
      <c r="AM512" s="24">
        <f t="shared" si="328"/>
        <v>125827832.36694339</v>
      </c>
      <c r="AN512" s="24">
        <f t="shared" si="328"/>
        <v>53905903.490200713</v>
      </c>
      <c r="AO512" s="24">
        <f t="shared" si="328"/>
        <v>23103420.122801792</v>
      </c>
      <c r="AP512" s="24">
        <f t="shared" si="328"/>
        <v>17594400.561851714</v>
      </c>
      <c r="AQ512" s="24">
        <f t="shared" si="328"/>
        <v>6848297.2900348231</v>
      </c>
      <c r="AR512" s="2">
        <v>0</v>
      </c>
      <c r="AS512" s="24">
        <f t="shared" ref="AS512:AU512" si="329">AS511*(1+AS$2)^(1/252)</f>
        <v>104826975.30411485</v>
      </c>
      <c r="AT512" s="24">
        <f t="shared" si="329"/>
        <v>5315194.90104309</v>
      </c>
      <c r="AU512" s="24">
        <f t="shared" si="329"/>
        <v>5977452.5594548564</v>
      </c>
      <c r="AV512" s="24">
        <f t="shared" ref="AV512:AX512" si="330">AV511*(1+AV$2)^(1/252)</f>
        <v>53170969.513745844</v>
      </c>
      <c r="AW512" s="24">
        <f t="shared" si="330"/>
        <v>2741222.8862271984</v>
      </c>
      <c r="AX512" s="24">
        <f t="shared" si="330"/>
        <v>3315319.2456400809</v>
      </c>
      <c r="AY512" s="2">
        <v>0</v>
      </c>
      <c r="AZ512" s="24">
        <v>0</v>
      </c>
      <c r="BA512" s="24">
        <v>6666643.7800000003</v>
      </c>
      <c r="BB512" s="24">
        <f t="shared" si="307"/>
        <v>1910294942.2399852</v>
      </c>
      <c r="BC512" s="24">
        <v>0</v>
      </c>
      <c r="BD512" s="24">
        <v>0</v>
      </c>
      <c r="BE512" s="24">
        <f t="shared" si="308"/>
        <v>498025.81370949745</v>
      </c>
      <c r="BF512" s="24">
        <f t="shared" si="309"/>
        <v>3525520.4587128162</v>
      </c>
      <c r="BG512" s="24">
        <f t="shared" si="310"/>
        <v>92103466.14917922</v>
      </c>
      <c r="BH512" s="46">
        <f t="shared" si="311"/>
        <v>1.2123825752263728</v>
      </c>
      <c r="BI512" s="47">
        <f t="shared" si="312"/>
        <v>2.6077422652948101E-4</v>
      </c>
      <c r="BJ512" s="47">
        <f t="shared" si="313"/>
        <v>1.8489495470404016E-3</v>
      </c>
      <c r="BK512" s="47">
        <f t="shared" si="314"/>
        <v>5.2753234063251719E-2</v>
      </c>
      <c r="BL512" s="48">
        <f t="shared" si="315"/>
        <v>0.21238257522637283</v>
      </c>
      <c r="BM512" s="49">
        <f t="shared" si="316"/>
        <v>5.2367689547025087E-2</v>
      </c>
      <c r="BN512" s="49">
        <f t="shared" si="317"/>
        <v>0.10218412007927213</v>
      </c>
      <c r="BO512" s="49">
        <f t="shared" si="318"/>
        <v>0.21086050087763386</v>
      </c>
    </row>
    <row r="513" spans="1:67" x14ac:dyDescent="0.25">
      <c r="A513" s="1">
        <v>45846</v>
      </c>
      <c r="B513" s="1" t="str">
        <f t="shared" si="223"/>
        <v>202507</v>
      </c>
      <c r="C513" s="24">
        <v>0</v>
      </c>
      <c r="D513" s="24">
        <v>0</v>
      </c>
      <c r="E513" s="24">
        <v>0</v>
      </c>
      <c r="F513" s="24">
        <v>0</v>
      </c>
      <c r="G513" s="24">
        <v>0</v>
      </c>
      <c r="H513" s="24">
        <v>0</v>
      </c>
      <c r="I513" s="24">
        <v>0</v>
      </c>
      <c r="J513" s="24">
        <v>0</v>
      </c>
      <c r="K513" s="24">
        <v>0</v>
      </c>
      <c r="L513" s="24">
        <v>0</v>
      </c>
      <c r="M513" s="24">
        <v>0</v>
      </c>
      <c r="N513" s="24">
        <v>0</v>
      </c>
      <c r="O513" s="24">
        <v>0</v>
      </c>
      <c r="P513" s="24">
        <v>0</v>
      </c>
      <c r="Q513" s="24">
        <f>Q512*(1+((1+VLOOKUP($B513,'IPCA Hist'!$B:$C,2,0))^12 - 1)+$Q$2)^(1/252)</f>
        <v>47222715.257653043</v>
      </c>
      <c r="R513" s="24">
        <f>R512*(1+((1+VLOOKUP($B513,'IPCA Hist'!$B:$C,2,0))^12 - 1)+$R$2)^(1/252)</f>
        <v>47210077.376746029</v>
      </c>
      <c r="S513" s="24">
        <f>S512*(1+((1+VLOOKUP($B513,'IPCA Hist'!$B:$C,2,0))^12 - 1)+$S$2)^(1/252)</f>
        <v>48236664.757808477</v>
      </c>
      <c r="T513" s="24">
        <f>T512*(1+((1+VLOOKUP($B513,'IPCA Hist'!$B:$C,2,0))^12 - 1)+$T$2)^(1/252)</f>
        <v>243613304.49366888</v>
      </c>
      <c r="U513" s="24">
        <f>U512*(1+((1+VLOOKUP($B513,'IPCA Hist'!$B:$C,2,0))^12 - 1)+$U$2)^(1/252)</f>
        <v>21469320.72121951</v>
      </c>
      <c r="V513" s="24">
        <f>V512*(1+((1+VLOOKUP($B513,'IPCA Hist'!$B:$C,2,0))^12 - 1)+$V$2)^(1/252)</f>
        <v>83505808.641473636</v>
      </c>
      <c r="W513" s="24">
        <f>W512*(1+((1+VLOOKUP($B513,'IPCA Hist'!$B:$C,2,0))^12 - 1)+$W$2)^(1/252)</f>
        <v>43976885.58268258</v>
      </c>
      <c r="X513" s="24">
        <f>X512*(1+((1+VLOOKUP($B513,'IPCA Hist'!$B:$C,2,0))^12 - 1)+$X$2)^(1/252)</f>
        <v>15051529.73477361</v>
      </c>
      <c r="Y513" s="24">
        <f>Y512*(1+((1+VLOOKUP($B513,'IPCA Hist'!$B:$C,2,0))^12 - 1)+$Y$2)^(1/252)</f>
        <v>122745588.54293369</v>
      </c>
      <c r="Z513" s="24">
        <f>Z512*(1+((1+VLOOKUP($B513,'IPCA Hist'!$B:$C,2,0))^12 - 1)+$Z$2)^(1/252)</f>
        <v>83618674.764655128</v>
      </c>
      <c r="AA513" s="24">
        <f>AA512*(1+((1+VLOOKUP($B513,'IPCA Hist'!$B:$C,2,0))^12 - 1)+$AA$2)^(1/252)</f>
        <v>42125691.892121002</v>
      </c>
      <c r="AB513" s="24">
        <f>AB512*(1+((1+VLOOKUP($B513,'IPCA Hist'!$B:$C,2,0))^12 - 1)+$AB$2)^(1/252)</f>
        <v>42139103.241573185</v>
      </c>
      <c r="AC513" s="24">
        <f>AC512*(1+((1+VLOOKUP($B513,'IPCA Hist'!$B:$C,2,0))^12 - 1)+$AC$2)^(1/252)</f>
        <v>5230393.8468545498</v>
      </c>
      <c r="AD513" s="24">
        <f>AD512*(1+((1+VLOOKUP($B513,'IPCA Hist'!$B:$C,2,0))^12 - 1)+$AD$2)^(1/252)</f>
        <v>389037602.6657027</v>
      </c>
      <c r="AE513" s="24">
        <v>0</v>
      </c>
      <c r="AF513" s="24">
        <f>AF512*(1+((1+VLOOKUP($B513,'IGPM Hist'!$B:$C,2,0))^12 - 1)+$AF$2)^(1/252)</f>
        <v>1688538.8806514994</v>
      </c>
      <c r="AG513" s="24">
        <v>0</v>
      </c>
      <c r="AH513" s="24">
        <v>0</v>
      </c>
      <c r="AI513" s="24">
        <v>0</v>
      </c>
      <c r="AJ513" s="24">
        <f t="shared" ref="AJ513:AQ513" si="331">AJ512*(1+AJ$2)^(1/252)</f>
        <v>53436704.243344098</v>
      </c>
      <c r="AK513" s="24">
        <f t="shared" si="331"/>
        <v>175328356.95549652</v>
      </c>
      <c r="AL513" s="24">
        <f t="shared" si="331"/>
        <v>35958024.067411289</v>
      </c>
      <c r="AM513" s="24">
        <f t="shared" si="331"/>
        <v>125888613.79640338</v>
      </c>
      <c r="AN513" s="24">
        <f t="shared" si="331"/>
        <v>53931961.811689869</v>
      </c>
      <c r="AO513" s="24">
        <f t="shared" si="331"/>
        <v>23116671.692812487</v>
      </c>
      <c r="AP513" s="24">
        <f t="shared" si="331"/>
        <v>17603191.205919214</v>
      </c>
      <c r="AQ513" s="24">
        <f t="shared" si="331"/>
        <v>6851731.4700066661</v>
      </c>
      <c r="AR513" s="2">
        <v>0</v>
      </c>
      <c r="AS513" s="24">
        <f t="shared" ref="AS513:AU513" si="332">AS512*(1+AS$2)^(1/252)</f>
        <v>104873678.52822576</v>
      </c>
      <c r="AT513" s="24">
        <f t="shared" si="332"/>
        <v>5318202.0428182036</v>
      </c>
      <c r="AU513" s="24">
        <f t="shared" si="332"/>
        <v>5980428.5935451016</v>
      </c>
      <c r="AV513" s="24">
        <f t="shared" ref="AV513:AX513" si="333">AV512*(1+AV$2)^(1/252)</f>
        <v>53195167.420803279</v>
      </c>
      <c r="AW513" s="24">
        <f t="shared" si="333"/>
        <v>2742753.9311208404</v>
      </c>
      <c r="AX513" s="24">
        <f t="shared" si="333"/>
        <v>3316981.7615139475</v>
      </c>
      <c r="AY513" s="2">
        <v>0</v>
      </c>
      <c r="AZ513" s="24">
        <v>0</v>
      </c>
      <c r="BA513" s="24">
        <f>BA512*(1+VLOOKUP(A513,'SELIC Hist'!$A:$C,3,0)-0.01%)^(1/252)</f>
        <v>6670316.8678587619</v>
      </c>
      <c r="BB513" s="24">
        <f t="shared" si="307"/>
        <v>1911084684.7894869</v>
      </c>
      <c r="BC513" s="24">
        <v>0</v>
      </c>
      <c r="BD513" s="24">
        <v>0</v>
      </c>
      <c r="BE513" s="24">
        <f t="shared" si="308"/>
        <v>789742.54950165749</v>
      </c>
      <c r="BF513" s="24">
        <f t="shared" si="309"/>
        <v>4315263.0082144737</v>
      </c>
      <c r="BG513" s="24">
        <f t="shared" si="310"/>
        <v>92893208.698680878</v>
      </c>
      <c r="BH513" s="46">
        <f t="shared" si="311"/>
        <v>1.212883791077789</v>
      </c>
      <c r="BI513" s="47">
        <f t="shared" si="312"/>
        <v>4.1341393521965308E-4</v>
      </c>
      <c r="BJ513" s="47">
        <f t="shared" si="313"/>
        <v>2.2631278637683661E-3</v>
      </c>
      <c r="BK513" s="47">
        <f t="shared" si="314"/>
        <v>5.3188456920560956E-2</v>
      </c>
      <c r="BL513" s="48">
        <f t="shared" si="315"/>
        <v>0.21288379107778899</v>
      </c>
      <c r="BM513" s="49">
        <f t="shared" si="316"/>
        <v>5.2415250417964243E-2</v>
      </c>
      <c r="BN513" s="49">
        <f t="shared" si="317"/>
        <v>0.10232310137917611</v>
      </c>
      <c r="BO513" s="49">
        <f t="shared" si="318"/>
        <v>0.21087766119303919</v>
      </c>
    </row>
    <row r="514" spans="1:67" x14ac:dyDescent="0.25">
      <c r="A514" s="1">
        <v>45847</v>
      </c>
      <c r="B514" s="1" t="str">
        <f t="shared" si="223"/>
        <v>202507</v>
      </c>
      <c r="C514" s="24">
        <v>0</v>
      </c>
      <c r="D514" s="24">
        <v>0</v>
      </c>
      <c r="E514" s="24">
        <v>0</v>
      </c>
      <c r="F514" s="24">
        <v>0</v>
      </c>
      <c r="G514" s="24">
        <v>0</v>
      </c>
      <c r="H514" s="24">
        <v>0</v>
      </c>
      <c r="I514" s="24">
        <v>0</v>
      </c>
      <c r="J514" s="24">
        <v>0</v>
      </c>
      <c r="K514" s="24">
        <v>0</v>
      </c>
      <c r="L514" s="24">
        <v>0</v>
      </c>
      <c r="M514" s="24">
        <v>0</v>
      </c>
      <c r="N514" s="24">
        <v>0</v>
      </c>
      <c r="O514" s="24">
        <v>0</v>
      </c>
      <c r="P514" s="24">
        <v>0</v>
      </c>
      <c r="Q514" s="24">
        <f>Q513*(1+((1+VLOOKUP($B514,'IPCA Hist'!$B:$C,2,0))^12 - 1)+$Q$2)^(1/252)</f>
        <v>47237718.143362232</v>
      </c>
      <c r="R514" s="24">
        <f>R513*(1+((1+VLOOKUP($B514,'IPCA Hist'!$B:$C,2,0))^12 - 1)+$R$2)^(1/252)</f>
        <v>47225093.544999465</v>
      </c>
      <c r="S514" s="24">
        <f>S513*(1+((1+VLOOKUP($B514,'IPCA Hist'!$B:$C,2,0))^12 - 1)+$S$2)^(1/252)</f>
        <v>48251795.261080801</v>
      </c>
      <c r="T514" s="24">
        <f>T513*(1+((1+VLOOKUP($B514,'IPCA Hist'!$B:$C,2,0))^12 - 1)+$T$2)^(1/252)</f>
        <v>243689629.86963084</v>
      </c>
      <c r="U514" s="24">
        <f>U513*(1+((1+VLOOKUP($B514,'IPCA Hist'!$B:$C,2,0))^12 - 1)+$U$2)^(1/252)</f>
        <v>21477103.798760552</v>
      </c>
      <c r="V514" s="24">
        <f>V513*(1+((1+VLOOKUP($B514,'IPCA Hist'!$B:$C,2,0))^12 - 1)+$V$2)^(1/252)</f>
        <v>83540499.359631389</v>
      </c>
      <c r="W514" s="24">
        <f>W513*(1+((1+VLOOKUP($B514,'IPCA Hist'!$B:$C,2,0))^12 - 1)+$W$2)^(1/252)</f>
        <v>43995297.872813776</v>
      </c>
      <c r="X514" s="24">
        <f>X513*(1+((1+VLOOKUP($B514,'IPCA Hist'!$B:$C,2,0))^12 - 1)+$X$2)^(1/252)</f>
        <v>15057545.318606066</v>
      </c>
      <c r="Y514" s="24">
        <f>Y513*(1+((1+VLOOKUP($B514,'IPCA Hist'!$B:$C,2,0))^12 - 1)+$Y$2)^(1/252)</f>
        <v>122797242.83177747</v>
      </c>
      <c r="Z514" s="24">
        <f>Z513*(1+((1+VLOOKUP($B514,'IPCA Hist'!$B:$C,2,0))^12 - 1)+$Z$2)^(1/252)</f>
        <v>83651406.237873539</v>
      </c>
      <c r="AA514" s="24">
        <f>AA513*(1+((1+VLOOKUP($B514,'IPCA Hist'!$B:$C,2,0))^12 - 1)+$AA$2)^(1/252)</f>
        <v>42144019.967387699</v>
      </c>
      <c r="AB514" s="24">
        <f>AB513*(1+((1+VLOOKUP($B514,'IPCA Hist'!$B:$C,2,0))^12 - 1)+$AB$2)^(1/252)</f>
        <v>42157422.158905156</v>
      </c>
      <c r="AC514" s="24">
        <f>AC513*(1+((1+VLOOKUP($B514,'IPCA Hist'!$B:$C,2,0))^12 - 1)+$AC$2)^(1/252)</f>
        <v>5232491.7657221816</v>
      </c>
      <c r="AD514" s="24">
        <f>AD513*(1+((1+VLOOKUP($B514,'IPCA Hist'!$B:$C,2,0))^12 - 1)+$AD$2)^(1/252)</f>
        <v>389193498.25536722</v>
      </c>
      <c r="AE514" s="24">
        <v>0</v>
      </c>
      <c r="AF514" s="24">
        <f>AF513*(1+((1+VLOOKUP($B514,'IGPM Hist'!$B:$C,2,0))^12 - 1)+$AF$2)^(1/252)</f>
        <v>1688361.7132373182</v>
      </c>
      <c r="AG514" s="24">
        <v>0</v>
      </c>
      <c r="AH514" s="24">
        <v>0</v>
      </c>
      <c r="AI514" s="24">
        <v>0</v>
      </c>
      <c r="AJ514" s="24">
        <f t="shared" ref="AJ514:AQ514" si="334">AJ513*(1+AJ$2)^(1/252)</f>
        <v>53461306.644284643</v>
      </c>
      <c r="AK514" s="24">
        <f t="shared" si="334"/>
        <v>175413065.13731048</v>
      </c>
      <c r="AL514" s="24">
        <f t="shared" si="334"/>
        <v>35975403.155032016</v>
      </c>
      <c r="AM514" s="24">
        <f t="shared" si="334"/>
        <v>125949424.58647537</v>
      </c>
      <c r="AN514" s="24">
        <f t="shared" si="334"/>
        <v>53958032.729872055</v>
      </c>
      <c r="AO514" s="24">
        <f t="shared" si="334"/>
        <v>23129930.863607258</v>
      </c>
      <c r="AP514" s="24">
        <f t="shared" si="334"/>
        <v>17611986.242033087</v>
      </c>
      <c r="AQ514" s="24">
        <f t="shared" si="334"/>
        <v>6855167.3720988519</v>
      </c>
      <c r="AR514" s="2">
        <v>0</v>
      </c>
      <c r="AS514" s="24">
        <f t="shared" ref="AS514:AU514" si="335">AS513*(1+AS$2)^(1/252)</f>
        <v>104920402.55987343</v>
      </c>
      <c r="AT514" s="24">
        <f t="shared" si="335"/>
        <v>5321210.8859235272</v>
      </c>
      <c r="AU514" s="24">
        <f t="shared" si="335"/>
        <v>5983406.1093332469</v>
      </c>
      <c r="AV514" s="24">
        <f t="shared" ref="AV514:AX514" si="336">AV513*(1+AV$2)^(1/252)</f>
        <v>53219376.340236664</v>
      </c>
      <c r="AW514" s="24">
        <f t="shared" si="336"/>
        <v>2744285.83114322</v>
      </c>
      <c r="AX514" s="24">
        <f t="shared" si="336"/>
        <v>3318645.1110809902</v>
      </c>
      <c r="AY514" s="2">
        <v>0</v>
      </c>
      <c r="AZ514" s="24">
        <v>0</v>
      </c>
      <c r="BA514" s="24">
        <f>BA513*(1+VLOOKUP(A514,'SELIC Hist'!$A:$C,3,0)-0.01%)^(1/252)</f>
        <v>6673991.9794606334</v>
      </c>
      <c r="BB514" s="24">
        <f t="shared" si="307"/>
        <v>1911874761.6469209</v>
      </c>
      <c r="BC514" s="24">
        <v>0</v>
      </c>
      <c r="BD514" s="24">
        <v>0</v>
      </c>
      <c r="BE514" s="24">
        <f t="shared" si="308"/>
        <v>790076.85743403435</v>
      </c>
      <c r="BF514" s="24">
        <f t="shared" si="309"/>
        <v>5105339.8656485081</v>
      </c>
      <c r="BG514" s="24">
        <f t="shared" si="310"/>
        <v>93683285.556114912</v>
      </c>
      <c r="BH514" s="46">
        <f t="shared" si="311"/>
        <v>1.2133852191001651</v>
      </c>
      <c r="BI514" s="47">
        <f t="shared" si="312"/>
        <v>4.1341802575378672E-4</v>
      </c>
      <c r="BJ514" s="47">
        <f t="shared" si="313"/>
        <v>2.6774815073755676E-3</v>
      </c>
      <c r="BK514" s="47">
        <f t="shared" si="314"/>
        <v>5.3623864013167655E-2</v>
      </c>
      <c r="BL514" s="48">
        <f t="shared" si="315"/>
        <v>0.21338521910016506</v>
      </c>
      <c r="BM514" s="49">
        <f t="shared" si="316"/>
        <v>5.2462661596138105E-2</v>
      </c>
      <c r="BN514" s="49">
        <f t="shared" si="317"/>
        <v>0.10232949163604821</v>
      </c>
      <c r="BO514" s="49">
        <f t="shared" si="318"/>
        <v>0.21099462700737903</v>
      </c>
    </row>
    <row r="515" spans="1:67" x14ac:dyDescent="0.25">
      <c r="A515" s="1">
        <v>45848</v>
      </c>
      <c r="B515" s="1" t="str">
        <f t="shared" si="223"/>
        <v>202507</v>
      </c>
      <c r="C515" s="24">
        <v>0</v>
      </c>
      <c r="D515" s="24">
        <v>0</v>
      </c>
      <c r="E515" s="24">
        <v>0</v>
      </c>
      <c r="F515" s="24">
        <v>0</v>
      </c>
      <c r="G515" s="24">
        <v>0</v>
      </c>
      <c r="H515" s="24">
        <v>0</v>
      </c>
      <c r="I515" s="24">
        <v>0</v>
      </c>
      <c r="J515" s="24">
        <v>0</v>
      </c>
      <c r="K515" s="24">
        <v>0</v>
      </c>
      <c r="L515" s="24">
        <v>0</v>
      </c>
      <c r="M515" s="24">
        <v>0</v>
      </c>
      <c r="N515" s="24">
        <v>0</v>
      </c>
      <c r="O515" s="24">
        <v>0</v>
      </c>
      <c r="P515" s="24">
        <v>0</v>
      </c>
      <c r="Q515" s="24">
        <f>Q514*(1+((1+VLOOKUP($B515,'IPCA Hist'!$B:$C,2,0))^12 - 1)+$Q$2)^(1/252)</f>
        <v>47252725.795560986</v>
      </c>
      <c r="R515" s="24">
        <f>R514*(1+((1+VLOOKUP($B515,'IPCA Hist'!$B:$C,2,0))^12 - 1)+$R$2)^(1/252)</f>
        <v>47240114.489464283</v>
      </c>
      <c r="S515" s="24">
        <f>S514*(1+((1+VLOOKUP($B515,'IPCA Hist'!$B:$C,2,0))^12 - 1)+$S$2)^(1/252)</f>
        <v>48266930.510372169</v>
      </c>
      <c r="T515" s="24">
        <f>T514*(1+((1+VLOOKUP($B515,'IPCA Hist'!$B:$C,2,0))^12 - 1)+$T$2)^(1/252)</f>
        <v>243765979.15874907</v>
      </c>
      <c r="U515" s="24">
        <f>U514*(1+((1+VLOOKUP($B515,'IPCA Hist'!$B:$C,2,0))^12 - 1)+$U$2)^(1/252)</f>
        <v>21484889.697829895</v>
      </c>
      <c r="V515" s="24">
        <f>V514*(1+((1+VLOOKUP($B515,'IPCA Hist'!$B:$C,2,0))^12 - 1)+$V$2)^(1/252)</f>
        <v>83575204.489312679</v>
      </c>
      <c r="W515" s="24">
        <f>W514*(1+((1+VLOOKUP($B515,'IPCA Hist'!$B:$C,2,0))^12 - 1)+$W$2)^(1/252)</f>
        <v>44013717.871822566</v>
      </c>
      <c r="X515" s="24">
        <f>X514*(1+((1+VLOOKUP($B515,'IPCA Hist'!$B:$C,2,0))^12 - 1)+$X$2)^(1/252)</f>
        <v>15063563.306662509</v>
      </c>
      <c r="Y515" s="24">
        <f>Y514*(1+((1+VLOOKUP($B515,'IPCA Hist'!$B:$C,2,0))^12 - 1)+$Y$2)^(1/252)</f>
        <v>122848918.85798539</v>
      </c>
      <c r="Z515" s="24">
        <f>Z514*(1+((1+VLOOKUP($B515,'IPCA Hist'!$B:$C,2,0))^12 - 1)+$Z$2)^(1/252)</f>
        <v>83684150.52341339</v>
      </c>
      <c r="AA515" s="24">
        <f>AA514*(1+((1+VLOOKUP($B515,'IPCA Hist'!$B:$C,2,0))^12 - 1)+$AA$2)^(1/252)</f>
        <v>42162356.016846105</v>
      </c>
      <c r="AB515" s="24">
        <f>AB514*(1+((1+VLOOKUP($B515,'IPCA Hist'!$B:$C,2,0))^12 - 1)+$AB$2)^(1/252)</f>
        <v>42175749.039926589</v>
      </c>
      <c r="AC515" s="24">
        <f>AC514*(1+((1+VLOOKUP($B515,'IPCA Hist'!$B:$C,2,0))^12 - 1)+$AC$2)^(1/252)</f>
        <v>5234590.5260682376</v>
      </c>
      <c r="AD515" s="24">
        <f>AD514*(1+((1+VLOOKUP($B515,'IPCA Hist'!$B:$C,2,0))^12 - 1)+$AD$2)^(1/252)</f>
        <v>389349456.31568933</v>
      </c>
      <c r="AE515" s="24">
        <v>0</v>
      </c>
      <c r="AF515" s="24">
        <f>AF514*(1+((1+VLOOKUP($B515,'IGPM Hist'!$B:$C,2,0))^12 - 1)+$AF$2)^(1/252)</f>
        <v>1688184.5644121626</v>
      </c>
      <c r="AG515" s="24">
        <v>0</v>
      </c>
      <c r="AH515" s="24">
        <v>0</v>
      </c>
      <c r="AI515" s="24">
        <v>0</v>
      </c>
      <c r="AJ515" s="24">
        <f t="shared" ref="AJ515:AQ515" si="337">AJ514*(1+AJ$2)^(1/252)</f>
        <v>53485920.372236103</v>
      </c>
      <c r="AK515" s="24">
        <f t="shared" si="337"/>
        <v>175497814.24505445</v>
      </c>
      <c r="AL515" s="24">
        <f t="shared" si="337"/>
        <v>35992790.642243505</v>
      </c>
      <c r="AM515" s="24">
        <f t="shared" si="337"/>
        <v>126010264.7513421</v>
      </c>
      <c r="AN515" s="24">
        <f t="shared" si="337"/>
        <v>53984116.250836566</v>
      </c>
      <c r="AO515" s="24">
        <f t="shared" si="337"/>
        <v>23143197.639545731</v>
      </c>
      <c r="AP515" s="24">
        <f t="shared" si="337"/>
        <v>17620785.672387715</v>
      </c>
      <c r="AQ515" s="24">
        <f t="shared" si="337"/>
        <v>6858604.9971749634</v>
      </c>
      <c r="AR515" s="2">
        <v>0</v>
      </c>
      <c r="AS515" s="24">
        <f t="shared" ref="AS515:AU515" si="338">AS514*(1+AS$2)^(1/252)</f>
        <v>104967147.40832818</v>
      </c>
      <c r="AT515" s="24">
        <f t="shared" si="338"/>
        <v>5324221.4313216107</v>
      </c>
      <c r="AU515" s="24">
        <f t="shared" si="338"/>
        <v>5986385.1075569959</v>
      </c>
      <c r="AV515" s="24">
        <f t="shared" ref="AV515:AX515" si="339">AV514*(1+AV$2)^(1/252)</f>
        <v>53243596.277057692</v>
      </c>
      <c r="AW515" s="24">
        <f t="shared" si="339"/>
        <v>2745818.5867719492</v>
      </c>
      <c r="AX515" s="24">
        <f t="shared" si="339"/>
        <v>3320309.2947592763</v>
      </c>
      <c r="AY515" s="2">
        <v>0</v>
      </c>
      <c r="AZ515" s="24">
        <v>0</v>
      </c>
      <c r="BA515" s="24">
        <f>BA514*(1+VLOOKUP(A515,'SELIC Hist'!$A:$C,3,0)-0.01%)^(1/252)</f>
        <v>6677669.1159206266</v>
      </c>
      <c r="BB515" s="24">
        <f t="shared" si="307"/>
        <v>1912665172.9566524</v>
      </c>
      <c r="BC515" s="24">
        <v>0</v>
      </c>
      <c r="BD515" s="24">
        <v>0</v>
      </c>
      <c r="BE515" s="24">
        <f t="shared" si="308"/>
        <v>790411.30973148346</v>
      </c>
      <c r="BF515" s="24">
        <f t="shared" si="309"/>
        <v>5895751.1753799915</v>
      </c>
      <c r="BG515" s="24">
        <f t="shared" si="310"/>
        <v>94473696.865846395</v>
      </c>
      <c r="BH515" s="46">
        <f t="shared" si="311"/>
        <v>1.2138868593851238</v>
      </c>
      <c r="BI515" s="47">
        <f t="shared" si="312"/>
        <v>4.134221161278262E-4</v>
      </c>
      <c r="BJ515" s="47">
        <f t="shared" si="313"/>
        <v>3.0920105535741094E-3</v>
      </c>
      <c r="BK515" s="47">
        <f t="shared" si="314"/>
        <v>5.4059455420630842E-2</v>
      </c>
      <c r="BL515" s="48">
        <f t="shared" si="315"/>
        <v>0.21388685938512375</v>
      </c>
      <c r="BM515" s="49">
        <f t="shared" si="316"/>
        <v>5.2510070386324603E-2</v>
      </c>
      <c r="BN515" s="49">
        <f t="shared" si="317"/>
        <v>0.10277349262977853</v>
      </c>
      <c r="BO515" s="49">
        <f t="shared" si="318"/>
        <v>0.21111389222231458</v>
      </c>
    </row>
    <row r="516" spans="1:67" x14ac:dyDescent="0.25">
      <c r="A516" s="1">
        <v>45849</v>
      </c>
      <c r="B516" s="1" t="str">
        <f t="shared" si="223"/>
        <v>202507</v>
      </c>
      <c r="C516" s="24">
        <v>0</v>
      </c>
      <c r="D516" s="24">
        <v>0</v>
      </c>
      <c r="E516" s="24">
        <v>0</v>
      </c>
      <c r="F516" s="24">
        <v>0</v>
      </c>
      <c r="G516" s="24">
        <v>0</v>
      </c>
      <c r="H516" s="24">
        <v>0</v>
      </c>
      <c r="I516" s="24">
        <v>0</v>
      </c>
      <c r="J516" s="24">
        <v>0</v>
      </c>
      <c r="K516" s="24">
        <v>0</v>
      </c>
      <c r="L516" s="24">
        <v>0</v>
      </c>
      <c r="M516" s="24">
        <v>0</v>
      </c>
      <c r="N516" s="24">
        <v>0</v>
      </c>
      <c r="O516" s="24">
        <v>0</v>
      </c>
      <c r="P516" s="24">
        <v>0</v>
      </c>
      <c r="Q516" s="24">
        <f>Q515*(1+((1+VLOOKUP($B516,'IPCA Hist'!$B:$C,2,0))^12 - 1)+$Q$2)^(1/252)</f>
        <v>47267738.215763643</v>
      </c>
      <c r="R516" s="24">
        <f>R515*(1+((1+VLOOKUP($B516,'IPCA Hist'!$B:$C,2,0))^12 - 1)+$R$2)^(1/252)</f>
        <v>47255140.211659662</v>
      </c>
      <c r="S516" s="24">
        <f>S515*(1+((1+VLOOKUP($B516,'IPCA Hist'!$B:$C,2,0))^12 - 1)+$S$2)^(1/252)</f>
        <v>48282070.507171266</v>
      </c>
      <c r="T516" s="24">
        <f>T515*(1+((1+VLOOKUP($B516,'IPCA Hist'!$B:$C,2,0))^12 - 1)+$T$2)^(1/252)</f>
        <v>243842352.36851567</v>
      </c>
      <c r="U516" s="24">
        <f>U515*(1+((1+VLOOKUP($B516,'IPCA Hist'!$B:$C,2,0))^12 - 1)+$U$2)^(1/252)</f>
        <v>21492678.419450402</v>
      </c>
      <c r="V516" s="24">
        <f>V515*(1+((1+VLOOKUP($B516,'IPCA Hist'!$B:$C,2,0))^12 - 1)+$V$2)^(1/252)</f>
        <v>83609924.036504462</v>
      </c>
      <c r="W516" s="24">
        <f>W515*(1+((1+VLOOKUP($B516,'IPCA Hist'!$B:$C,2,0))^12 - 1)+$W$2)^(1/252)</f>
        <v>44032145.58293651</v>
      </c>
      <c r="X516" s="24">
        <f>X515*(1+((1+VLOOKUP($B516,'IPCA Hist'!$B:$C,2,0))^12 - 1)+$X$2)^(1/252)</f>
        <v>15069583.699903827</v>
      </c>
      <c r="Y516" s="24">
        <f>Y515*(1+((1+VLOOKUP($B516,'IPCA Hist'!$B:$C,2,0))^12 - 1)+$Y$2)^(1/252)</f>
        <v>122900616.63070507</v>
      </c>
      <c r="Z516" s="24">
        <f>Z515*(1+((1+VLOOKUP($B516,'IPCA Hist'!$B:$C,2,0))^12 - 1)+$Z$2)^(1/252)</f>
        <v>83716907.626289889</v>
      </c>
      <c r="AA516" s="24">
        <f>AA515*(1+((1+VLOOKUP($B516,'IPCA Hist'!$B:$C,2,0))^12 - 1)+$AA$2)^(1/252)</f>
        <v>42180700.043965638</v>
      </c>
      <c r="AB516" s="24">
        <f>AB515*(1+((1+VLOOKUP($B516,'IPCA Hist'!$B:$C,2,0))^12 - 1)+$AB$2)^(1/252)</f>
        <v>42194083.888099492</v>
      </c>
      <c r="AC516" s="24">
        <f>AC515*(1+((1+VLOOKUP($B516,'IPCA Hist'!$B:$C,2,0))^12 - 1)+$AC$2)^(1/252)</f>
        <v>5236690.1282302374</v>
      </c>
      <c r="AD516" s="24">
        <f>AD515*(1+((1+VLOOKUP($B516,'IPCA Hist'!$B:$C,2,0))^12 - 1)+$AD$2)^(1/252)</f>
        <v>389505476.87170237</v>
      </c>
      <c r="AE516" s="24">
        <v>0</v>
      </c>
      <c r="AF516" s="24">
        <f>AF515*(1+((1+VLOOKUP($B516,'IGPM Hist'!$B:$C,2,0))^12 - 1)+$AF$2)^(1/252)</f>
        <v>1688007.4341740825</v>
      </c>
      <c r="AG516" s="24">
        <v>0</v>
      </c>
      <c r="AH516" s="24">
        <v>0</v>
      </c>
      <c r="AI516" s="24">
        <v>0</v>
      </c>
      <c r="AJ516" s="24">
        <f t="shared" ref="AJ516:AQ516" si="340">AJ515*(1+AJ$2)^(1/252)</f>
        <v>53510545.432413459</v>
      </c>
      <c r="AK516" s="24">
        <f t="shared" si="340"/>
        <v>175582604.2985014</v>
      </c>
      <c r="AL516" s="24">
        <f t="shared" si="340"/>
        <v>36010186.533105403</v>
      </c>
      <c r="AM516" s="24">
        <f t="shared" si="340"/>
        <v>126071134.30519313</v>
      </c>
      <c r="AN516" s="24">
        <f t="shared" si="340"/>
        <v>54010212.380675629</v>
      </c>
      <c r="AO516" s="24">
        <f t="shared" si="340"/>
        <v>23156472.024990037</v>
      </c>
      <c r="AP516" s="24">
        <f t="shared" si="340"/>
        <v>17629589.499178585</v>
      </c>
      <c r="AQ516" s="24">
        <f t="shared" si="340"/>
        <v>6862044.3460990172</v>
      </c>
      <c r="AR516" s="2">
        <v>0</v>
      </c>
      <c r="AS516" s="24">
        <f t="shared" ref="AS516:AU516" si="341">AS515*(1+AS$2)^(1/252)</f>
        <v>105013913.08286445</v>
      </c>
      <c r="AT516" s="24">
        <f t="shared" si="341"/>
        <v>5327233.6799755478</v>
      </c>
      <c r="AU516" s="24">
        <f t="shared" si="341"/>
        <v>5989365.588954418</v>
      </c>
      <c r="AV516" s="24">
        <f t="shared" ref="AV516:AX516" si="342">AV515*(1+AV$2)^(1/252)</f>
        <v>53267827.236280337</v>
      </c>
      <c r="AW516" s="24">
        <f t="shared" si="342"/>
        <v>2747352.1984849065</v>
      </c>
      <c r="AX516" s="24">
        <f t="shared" si="342"/>
        <v>3321974.3129670839</v>
      </c>
      <c r="AY516" s="2">
        <v>0</v>
      </c>
      <c r="AZ516" s="24">
        <v>0</v>
      </c>
      <c r="BA516" s="24">
        <f>BA515*(1+VLOOKUP(A516,'SELIC Hist'!$A:$C,3,0)-0.01%)^(1/252)</f>
        <v>6681348.2783543682</v>
      </c>
      <c r="BB516" s="24">
        <f t="shared" si="307"/>
        <v>1913455918.8631101</v>
      </c>
      <c r="BC516" s="24">
        <v>0</v>
      </c>
      <c r="BD516" s="24">
        <v>0</v>
      </c>
      <c r="BE516" s="24">
        <f t="shared" si="308"/>
        <v>790745.90645766258</v>
      </c>
      <c r="BF516" s="24">
        <f t="shared" si="309"/>
        <v>6686497.0818376541</v>
      </c>
      <c r="BG516" s="24">
        <f t="shared" si="310"/>
        <v>95264442.772304058</v>
      </c>
      <c r="BH516" s="46">
        <f t="shared" si="311"/>
        <v>1.2143887120243275</v>
      </c>
      <c r="BI516" s="47">
        <f t="shared" si="312"/>
        <v>4.1342620634177152E-4</v>
      </c>
      <c r="BJ516" s="47">
        <f t="shared" si="313"/>
        <v>3.5067150781089573E-3</v>
      </c>
      <c r="BK516" s="47">
        <f t="shared" si="314"/>
        <v>5.4495231222543961E-2</v>
      </c>
      <c r="BL516" s="48">
        <f t="shared" si="315"/>
        <v>0.21438871202432752</v>
      </c>
      <c r="BM516" s="49">
        <f t="shared" si="316"/>
        <v>5.2557476787603807E-2</v>
      </c>
      <c r="BN516" s="49">
        <f t="shared" si="317"/>
        <v>0.10290118164397288</v>
      </c>
      <c r="BO516" s="49">
        <f t="shared" si="318"/>
        <v>0.21123316220429844</v>
      </c>
    </row>
    <row r="517" spans="1:67" x14ac:dyDescent="0.25">
      <c r="A517" s="1">
        <v>45852</v>
      </c>
      <c r="B517" s="1" t="str">
        <f t="shared" si="223"/>
        <v>202507</v>
      </c>
      <c r="C517" s="24">
        <v>0</v>
      </c>
      <c r="D517" s="24">
        <v>0</v>
      </c>
      <c r="E517" s="24">
        <v>0</v>
      </c>
      <c r="F517" s="24">
        <v>0</v>
      </c>
      <c r="G517" s="24">
        <v>0</v>
      </c>
      <c r="H517" s="24">
        <v>0</v>
      </c>
      <c r="I517" s="24">
        <v>0</v>
      </c>
      <c r="J517" s="24">
        <v>0</v>
      </c>
      <c r="K517" s="24">
        <v>0</v>
      </c>
      <c r="L517" s="24">
        <v>0</v>
      </c>
      <c r="M517" s="24">
        <v>0</v>
      </c>
      <c r="N517" s="24">
        <v>0</v>
      </c>
      <c r="O517" s="24">
        <v>0</v>
      </c>
      <c r="P517" s="24">
        <v>0</v>
      </c>
      <c r="Q517" s="24">
        <f>Q516*(1+((1+VLOOKUP($B517,'IPCA Hist'!$B:$C,2,0))^12 - 1)+$Q$2)^(1/252)</f>
        <v>47282755.405485019</v>
      </c>
      <c r="R517" s="24">
        <f>R516*(1+((1+VLOOKUP($B517,'IPCA Hist'!$B:$C,2,0))^12 - 1)+$R$2)^(1/252)</f>
        <v>47270170.713105261</v>
      </c>
      <c r="S517" s="24">
        <f>S516*(1+((1+VLOOKUP($B517,'IPCA Hist'!$B:$C,2,0))^12 - 1)+$S$2)^(1/252)</f>
        <v>48297215.252967253</v>
      </c>
      <c r="T517" s="24">
        <f>T516*(1+((1+VLOOKUP($B517,'IPCA Hist'!$B:$C,2,0))^12 - 1)+$T$2)^(1/252)</f>
        <v>243918749.50642511</v>
      </c>
      <c r="U517" s="24">
        <f>U516*(1+((1+VLOOKUP($B517,'IPCA Hist'!$B:$C,2,0))^12 - 1)+$U$2)^(1/252)</f>
        <v>21500469.964645308</v>
      </c>
      <c r="V517" s="24">
        <f>V516*(1+((1+VLOOKUP($B517,'IPCA Hist'!$B:$C,2,0))^12 - 1)+$V$2)^(1/252)</f>
        <v>83644658.007196188</v>
      </c>
      <c r="W517" s="24">
        <f>W516*(1+((1+VLOOKUP($B517,'IPCA Hist'!$B:$C,2,0))^12 - 1)+$W$2)^(1/252)</f>
        <v>44050581.00938452</v>
      </c>
      <c r="X517" s="24">
        <f>X516*(1+((1+VLOOKUP($B517,'IPCA Hist'!$B:$C,2,0))^12 - 1)+$X$2)^(1/252)</f>
        <v>15075606.49929129</v>
      </c>
      <c r="Y517" s="24">
        <f>Y516*(1+((1+VLOOKUP($B517,'IPCA Hist'!$B:$C,2,0))^12 - 1)+$Y$2)^(1/252)</f>
        <v>122952336.15908796</v>
      </c>
      <c r="Z517" s="24">
        <f>Z516*(1+((1+VLOOKUP($B517,'IPCA Hist'!$B:$C,2,0))^12 - 1)+$Z$2)^(1/252)</f>
        <v>83749677.551520228</v>
      </c>
      <c r="AA517" s="24">
        <f>AA516*(1+((1+VLOOKUP($B517,'IPCA Hist'!$B:$C,2,0))^12 - 1)+$AA$2)^(1/252)</f>
        <v>42199052.052217223</v>
      </c>
      <c r="AB517" s="24">
        <f>AB516*(1+((1+VLOOKUP($B517,'IPCA Hist'!$B:$C,2,0))^12 - 1)+$AB$2)^(1/252)</f>
        <v>42212426.706887387</v>
      </c>
      <c r="AC517" s="24">
        <f>AC516*(1+((1+VLOOKUP($B517,'IPCA Hist'!$B:$C,2,0))^12 - 1)+$AC$2)^(1/252)</f>
        <v>5238790.5725458339</v>
      </c>
      <c r="AD517" s="24">
        <f>AD516*(1+((1+VLOOKUP($B517,'IPCA Hist'!$B:$C,2,0))^12 - 1)+$AD$2)^(1/252)</f>
        <v>389661559.94844967</v>
      </c>
      <c r="AE517" s="24">
        <v>0</v>
      </c>
      <c r="AF517" s="24">
        <f>AF516*(1+((1+VLOOKUP($B517,'IGPM Hist'!$B:$C,2,0))^12 - 1)+$AF$2)^(1/252)</f>
        <v>1687830.3225211273</v>
      </c>
      <c r="AG517" s="24">
        <v>0</v>
      </c>
      <c r="AH517" s="24">
        <v>0</v>
      </c>
      <c r="AI517" s="24">
        <v>0</v>
      </c>
      <c r="AJ517" s="24">
        <f t="shared" ref="AJ517:AQ517" si="343">AJ516*(1+AJ$2)^(1/252)</f>
        <v>53535181.8300341</v>
      </c>
      <c r="AK517" s="24">
        <f t="shared" si="343"/>
        <v>175667435.31743386</v>
      </c>
      <c r="AL517" s="24">
        <f t="shared" si="343"/>
        <v>36027590.831679329</v>
      </c>
      <c r="AM517" s="24">
        <f t="shared" si="343"/>
        <v>126132033.26222487</v>
      </c>
      <c r="AN517" s="24">
        <f t="shared" si="343"/>
        <v>54036321.125484429</v>
      </c>
      <c r="AO517" s="24">
        <f t="shared" si="343"/>
        <v>23169754.024304807</v>
      </c>
      <c r="AP517" s="24">
        <f t="shared" si="343"/>
        <v>17638397.724602271</v>
      </c>
      <c r="AQ517" s="24">
        <f t="shared" si="343"/>
        <v>6865485.4197354615</v>
      </c>
      <c r="AR517" s="2">
        <v>0</v>
      </c>
      <c r="AS517" s="24">
        <f t="shared" ref="AS517:AU517" si="344">AS516*(1+AS$2)^(1/252)</f>
        <v>105060699.59276082</v>
      </c>
      <c r="AT517" s="24">
        <f t="shared" si="344"/>
        <v>5330247.632848979</v>
      </c>
      <c r="AU517" s="24">
        <f t="shared" si="344"/>
        <v>5992347.5542639503</v>
      </c>
      <c r="AV517" s="24">
        <f t="shared" ref="AV517:AX517" si="345">AV516*(1+AV$2)^(1/252)</f>
        <v>53292069.22292085</v>
      </c>
      <c r="AW517" s="24">
        <f t="shared" si="345"/>
        <v>2748886.6667602374</v>
      </c>
      <c r="AX517" s="24">
        <f t="shared" si="345"/>
        <v>3323640.1661228994</v>
      </c>
      <c r="AY517" s="2">
        <v>0</v>
      </c>
      <c r="AZ517" s="24">
        <v>0</v>
      </c>
      <c r="BA517" s="24">
        <v>6656665.7000000002</v>
      </c>
      <c r="BB517" s="24">
        <f t="shared" si="307"/>
        <v>1914218635.7429066</v>
      </c>
      <c r="BC517" s="24">
        <v>0</v>
      </c>
      <c r="BD517" s="24">
        <v>0</v>
      </c>
      <c r="BE517" s="24">
        <f t="shared" si="308"/>
        <v>762716.87979650497</v>
      </c>
      <c r="BF517" s="24">
        <f t="shared" si="309"/>
        <v>7449213.9616341591</v>
      </c>
      <c r="BG517" s="24">
        <f t="shared" si="310"/>
        <v>96027159.652100563</v>
      </c>
      <c r="BH517" s="46">
        <f t="shared" si="311"/>
        <v>1.2148727758379563</v>
      </c>
      <c r="BI517" s="47">
        <f t="shared" si="312"/>
        <v>3.9860697718596683E-4</v>
      </c>
      <c r="BJ517" s="47">
        <f t="shared" si="313"/>
        <v>3.9067198563920158E-3</v>
      </c>
      <c r="BK517" s="47">
        <f t="shared" si="314"/>
        <v>5.4915560379118489E-2</v>
      </c>
      <c r="BL517" s="48">
        <f t="shared" si="315"/>
        <v>0.21487277583795628</v>
      </c>
      <c r="BM517" s="49">
        <f t="shared" si="316"/>
        <v>5.2589284149033633E-2</v>
      </c>
      <c r="BN517" s="49">
        <f t="shared" si="317"/>
        <v>0.1029326629638625</v>
      </c>
      <c r="BO517" s="49">
        <f t="shared" si="318"/>
        <v>0.21133448810763755</v>
      </c>
    </row>
    <row r="518" spans="1:67" x14ac:dyDescent="0.25">
      <c r="A518" s="1">
        <v>45853</v>
      </c>
      <c r="B518" s="1" t="str">
        <f t="shared" si="223"/>
        <v>202507</v>
      </c>
      <c r="C518" s="24">
        <v>0</v>
      </c>
      <c r="D518" s="24">
        <v>0</v>
      </c>
      <c r="E518" s="24">
        <v>0</v>
      </c>
      <c r="F518" s="24">
        <v>0</v>
      </c>
      <c r="G518" s="24">
        <v>0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0</v>
      </c>
      <c r="Q518" s="24">
        <f>Q517*(1+((1+VLOOKUP($B518,'IPCA Hist'!$B:$C,2,0))^12 - 1)+$Q$2)^(1/252)</f>
        <v>47297777.366240419</v>
      </c>
      <c r="R518" s="24">
        <f>R517*(1+((1+VLOOKUP($B518,'IPCA Hist'!$B:$C,2,0))^12 - 1)+$R$2)^(1/252)</f>
        <v>47285205.995321222</v>
      </c>
      <c r="S518" s="24">
        <f>S517*(1+((1+VLOOKUP($B518,'IPCA Hist'!$B:$C,2,0))^12 - 1)+$S$2)^(1/252)</f>
        <v>48312364.749249764</v>
      </c>
      <c r="T518" s="24">
        <f>T517*(1+((1+VLOOKUP($B518,'IPCA Hist'!$B:$C,2,0))^12 - 1)+$T$2)^(1/252)</f>
        <v>243995170.5799742</v>
      </c>
      <c r="U518" s="24">
        <f>U517*(1+((1+VLOOKUP($B518,'IPCA Hist'!$B:$C,2,0))^12 - 1)+$U$2)^(1/252)</f>
        <v>21508264.334438212</v>
      </c>
      <c r="V518" s="24">
        <f>V517*(1+((1+VLOOKUP($B518,'IPCA Hist'!$B:$C,2,0))^12 - 1)+$V$2)^(1/252)</f>
        <v>83679406.407379791</v>
      </c>
      <c r="W518" s="24">
        <f>W517*(1+((1+VLOOKUP($B518,'IPCA Hist'!$B:$C,2,0))^12 - 1)+$W$2)^(1/252)</f>
        <v>44069024.154396862</v>
      </c>
      <c r="X518" s="24">
        <f>X517*(1+((1+VLOOKUP($B518,'IPCA Hist'!$B:$C,2,0))^12 - 1)+$X$2)^(1/252)</f>
        <v>15081631.705786552</v>
      </c>
      <c r="Y518" s="24">
        <f>Y517*(1+((1+VLOOKUP($B518,'IPCA Hist'!$B:$C,2,0))^12 - 1)+$Y$2)^(1/252)</f>
        <v>123004077.45228936</v>
      </c>
      <c r="Z518" s="24">
        <f>Z517*(1+((1+VLOOKUP($B518,'IPCA Hist'!$B:$C,2,0))^12 - 1)+$Z$2)^(1/252)</f>
        <v>83782460.304123566</v>
      </c>
      <c r="AA518" s="24">
        <f>AA517*(1+((1+VLOOKUP($B518,'IPCA Hist'!$B:$C,2,0))^12 - 1)+$AA$2)^(1/252)</f>
        <v>42217412.045073293</v>
      </c>
      <c r="AB518" s="24">
        <f>AB517*(1+((1+VLOOKUP($B518,'IPCA Hist'!$B:$C,2,0))^12 - 1)+$AB$2)^(1/252)</f>
        <v>42230777.499755293</v>
      </c>
      <c r="AC518" s="24">
        <f>AC517*(1+((1+VLOOKUP($B518,'IPCA Hist'!$B:$C,2,0))^12 - 1)+$AC$2)^(1/252)</f>
        <v>5240891.8593528159</v>
      </c>
      <c r="AD518" s="24">
        <f>AD517*(1+((1+VLOOKUP($B518,'IPCA Hist'!$B:$C,2,0))^12 - 1)+$AD$2)^(1/252)</f>
        <v>389817705.57098466</v>
      </c>
      <c r="AE518" s="24">
        <v>0</v>
      </c>
      <c r="AF518" s="24">
        <f>AF517*(1+((1+VLOOKUP($B518,'IGPM Hist'!$B:$C,2,0))^12 - 1)+$AF$2)^(1/252)</f>
        <v>1687653.2294513471</v>
      </c>
      <c r="AG518" s="24">
        <v>0</v>
      </c>
      <c r="AH518" s="24">
        <v>0</v>
      </c>
      <c r="AI518" s="24">
        <v>0</v>
      </c>
      <c r="AJ518" s="24">
        <f t="shared" ref="AJ518:AQ518" si="346">AJ517*(1+AJ$2)^(1/252)</f>
        <v>53559829.570317812</v>
      </c>
      <c r="AK518" s="24">
        <f t="shared" si="346"/>
        <v>175752307.32164389</v>
      </c>
      <c r="AL518" s="24">
        <f t="shared" si="346"/>
        <v>36045003.542028867</v>
      </c>
      <c r="AM518" s="24">
        <f t="shared" si="346"/>
        <v>126192961.63664059</v>
      </c>
      <c r="AN518" s="24">
        <f t="shared" si="346"/>
        <v>54062442.491361082</v>
      </c>
      <c r="AO518" s="24">
        <f t="shared" si="346"/>
        <v>23183043.641857173</v>
      </c>
      <c r="AP518" s="24">
        <f t="shared" si="346"/>
        <v>17647210.350856453</v>
      </c>
      <c r="AQ518" s="24">
        <f t="shared" si="346"/>
        <v>6868928.2189491792</v>
      </c>
      <c r="AR518" s="2">
        <v>0</v>
      </c>
      <c r="AS518" s="24">
        <f t="shared" ref="AS518:AU518" si="347">AS517*(1+AS$2)^(1/252)</f>
        <v>105107506.9473</v>
      </c>
      <c r="AT518" s="24">
        <f t="shared" si="347"/>
        <v>5333263.2909060894</v>
      </c>
      <c r="AU518" s="24">
        <f t="shared" si="347"/>
        <v>5995331.0042243991</v>
      </c>
      <c r="AV518" s="24">
        <f t="shared" ref="AV518:AX518" si="348">AV517*(1+AV$2)^(1/252)</f>
        <v>53316322.241997764</v>
      </c>
      <c r="AW518" s="24">
        <f t="shared" si="348"/>
        <v>2750421.9920763546</v>
      </c>
      <c r="AX518" s="24">
        <f t="shared" si="348"/>
        <v>3325306.8546454203</v>
      </c>
      <c r="AY518" s="2">
        <v>0</v>
      </c>
      <c r="AZ518" s="24">
        <v>0</v>
      </c>
      <c r="BA518" s="24">
        <f>BA517*(1+VLOOKUP(A518,'SELIC Hist'!$A:$C,3,0)-0.01%)^(1/252)</f>
        <v>6660333.2902852129</v>
      </c>
      <c r="BB518" s="24">
        <f t="shared" si="307"/>
        <v>1915010035.6489074</v>
      </c>
      <c r="BC518" s="24">
        <v>0</v>
      </c>
      <c r="BD518" s="24">
        <v>0</v>
      </c>
      <c r="BE518" s="24">
        <f t="shared" si="308"/>
        <v>791399.90600085258</v>
      </c>
      <c r="BF518" s="24">
        <f t="shared" si="309"/>
        <v>8240613.8676350117</v>
      </c>
      <c r="BG518" s="24">
        <f t="shared" si="310"/>
        <v>96818559.558101416</v>
      </c>
      <c r="BH518" s="46">
        <f t="shared" si="311"/>
        <v>1.2153750435427255</v>
      </c>
      <c r="BI518" s="47">
        <f t="shared" si="312"/>
        <v>4.1343234843904675E-4</v>
      </c>
      <c r="BJ518" s="47">
        <f t="shared" si="313"/>
        <v>4.3217673691959835E-3</v>
      </c>
      <c r="BK518" s="47">
        <f t="shared" si="314"/>
        <v>5.5351696596650957E-2</v>
      </c>
      <c r="BL518" s="48">
        <f t="shared" si="315"/>
        <v>0.21537504354272552</v>
      </c>
      <c r="BM518" s="49">
        <f t="shared" si="316"/>
        <v>5.2636682923150824E-2</v>
      </c>
      <c r="BN518" s="49">
        <f t="shared" si="317"/>
        <v>0.10268372364830358</v>
      </c>
      <c r="BO518" s="49">
        <f t="shared" si="318"/>
        <v>0.21145376338126587</v>
      </c>
    </row>
    <row r="519" spans="1:67" x14ac:dyDescent="0.25">
      <c r="A519" s="1">
        <v>45854</v>
      </c>
      <c r="B519" s="1" t="str">
        <f t="shared" si="223"/>
        <v>202507</v>
      </c>
      <c r="C519" s="24">
        <v>0</v>
      </c>
      <c r="D519" s="24">
        <v>0</v>
      </c>
      <c r="E519" s="24">
        <v>0</v>
      </c>
      <c r="F519" s="24">
        <v>0</v>
      </c>
      <c r="G519" s="24">
        <v>0</v>
      </c>
      <c r="H519" s="24">
        <v>0</v>
      </c>
      <c r="I519" s="24">
        <v>0</v>
      </c>
      <c r="J519" s="24">
        <v>0</v>
      </c>
      <c r="K519" s="24">
        <v>0</v>
      </c>
      <c r="L519" s="24">
        <v>0</v>
      </c>
      <c r="M519" s="24">
        <v>0</v>
      </c>
      <c r="N519" s="24">
        <v>0</v>
      </c>
      <c r="O519" s="24">
        <v>0</v>
      </c>
      <c r="P519" s="24">
        <v>0</v>
      </c>
      <c r="Q519" s="24">
        <f>Q518*(1+((1+VLOOKUP($B519,'IPCA Hist'!$B:$C,2,0))^12 - 1)+$Q$2)^(1/252)</f>
        <v>47312804.09954562</v>
      </c>
      <c r="R519" s="24">
        <f>R518*(1+((1+VLOOKUP($B519,'IPCA Hist'!$B:$C,2,0))^12 - 1)+$R$2)^(1/252)</f>
        <v>47300246.059828162</v>
      </c>
      <c r="S519" s="24">
        <f>S518*(1+((1+VLOOKUP($B519,'IPCA Hist'!$B:$C,2,0))^12 - 1)+$S$2)^(1/252)</f>
        <v>48327518.997508898</v>
      </c>
      <c r="T519" s="24">
        <f>T518*(1+((1+VLOOKUP($B519,'IPCA Hist'!$B:$C,2,0))^12 - 1)+$T$2)^(1/252)</f>
        <v>244071615.59666213</v>
      </c>
      <c r="U519" s="24">
        <f>U518*(1+((1+VLOOKUP($B519,'IPCA Hist'!$B:$C,2,0))^12 - 1)+$U$2)^(1/252)</f>
        <v>21516061.529853094</v>
      </c>
      <c r="V519" s="24">
        <f>V518*(1+((1+VLOOKUP($B519,'IPCA Hist'!$B:$C,2,0))^12 - 1)+$V$2)^(1/252)</f>
        <v>83714169.243049711</v>
      </c>
      <c r="W519" s="24">
        <f>W518*(1+((1+VLOOKUP($B519,'IPCA Hist'!$B:$C,2,0))^12 - 1)+$W$2)^(1/252)</f>
        <v>44087475.02120515</v>
      </c>
      <c r="X519" s="24">
        <f>X518*(1+((1+VLOOKUP($B519,'IPCA Hist'!$B:$C,2,0))^12 - 1)+$X$2)^(1/252)</f>
        <v>15087659.320351653</v>
      </c>
      <c r="Y519" s="24">
        <f>Y518*(1+((1+VLOOKUP($B519,'IPCA Hist'!$B:$C,2,0))^12 - 1)+$Y$2)^(1/252)</f>
        <v>123055840.51946843</v>
      </c>
      <c r="Z519" s="24">
        <f>Z518*(1+((1+VLOOKUP($B519,'IPCA Hist'!$B:$C,2,0))^12 - 1)+$Z$2)^(1/252)</f>
        <v>83815255.889120996</v>
      </c>
      <c r="AA519" s="24">
        <f>AA518*(1+((1+VLOOKUP($B519,'IPCA Hist'!$B:$C,2,0))^12 - 1)+$AA$2)^(1/252)</f>
        <v>42235780.026007801</v>
      </c>
      <c r="AB519" s="24">
        <f>AB518*(1+((1+VLOOKUP($B519,'IPCA Hist'!$B:$C,2,0))^12 - 1)+$AB$2)^(1/252)</f>
        <v>42249136.27016975</v>
      </c>
      <c r="AC519" s="24">
        <f>AC518*(1+((1+VLOOKUP($B519,'IPCA Hist'!$B:$C,2,0))^12 - 1)+$AC$2)^(1/252)</f>
        <v>5242993.9889891082</v>
      </c>
      <c r="AD519" s="24">
        <f>AD518*(1+((1+VLOOKUP($B519,'IPCA Hist'!$B:$C,2,0))^12 - 1)+$AD$2)^(1/252)</f>
        <v>389973913.76437068</v>
      </c>
      <c r="AE519" s="24">
        <v>0</v>
      </c>
      <c r="AF519" s="24">
        <f>AF518*(1+((1+VLOOKUP($B519,'IGPM Hist'!$B:$C,2,0))^12 - 1)+$AF$2)^(1/252)</f>
        <v>1687476.1549627923</v>
      </c>
      <c r="AG519" s="24">
        <v>0</v>
      </c>
      <c r="AH519" s="24">
        <v>0</v>
      </c>
      <c r="AI519" s="24">
        <v>0</v>
      </c>
      <c r="AJ519" s="24">
        <f t="shared" ref="AJ519:AQ519" si="349">AJ518*(1+AJ$2)^(1/252)</f>
        <v>53584488.658486791</v>
      </c>
      <c r="AK519" s="24">
        <f t="shared" si="349"/>
        <v>175837220.33093312</v>
      </c>
      <c r="AL519" s="24">
        <f t="shared" si="349"/>
        <v>36062424.668219566</v>
      </c>
      <c r="AM519" s="24">
        <f t="shared" si="349"/>
        <v>126253919.44265044</v>
      </c>
      <c r="AN519" s="24">
        <f t="shared" si="349"/>
        <v>54088576.484406665</v>
      </c>
      <c r="AO519" s="24">
        <f t="shared" si="349"/>
        <v>23196340.882016774</v>
      </c>
      <c r="AP519" s="24">
        <f t="shared" si="349"/>
        <v>17656027.38013991</v>
      </c>
      <c r="AQ519" s="24">
        <f t="shared" si="349"/>
        <v>6872372.7446054863</v>
      </c>
      <c r="AR519" s="2">
        <v>0</v>
      </c>
      <c r="AS519" s="24">
        <f t="shared" ref="AS519:AU519" si="350">AS518*(1+AS$2)^(1/252)</f>
        <v>105154335.15576884</v>
      </c>
      <c r="AT519" s="24">
        <f t="shared" si="350"/>
        <v>5336280.6551116081</v>
      </c>
      <c r="AU519" s="24">
        <f t="shared" si="350"/>
        <v>5998315.9395749364</v>
      </c>
      <c r="AV519" s="24">
        <f t="shared" ref="AV519:AX519" si="351">AV518*(1+AV$2)^(1/252)</f>
        <v>53340586.298531897</v>
      </c>
      <c r="AW519" s="24">
        <f t="shared" si="351"/>
        <v>2751958.1749119377</v>
      </c>
      <c r="AX519" s="24">
        <f t="shared" si="351"/>
        <v>3326974.3789535533</v>
      </c>
      <c r="AY519" s="2">
        <v>0</v>
      </c>
      <c r="AZ519" s="24">
        <v>0</v>
      </c>
      <c r="BA519" s="24">
        <f>BA518*(1+VLOOKUP(A519,'SELIC Hist'!$A:$C,3,0)-0.01%)^(1/252)</f>
        <v>6664002.9012845652</v>
      </c>
      <c r="BB519" s="24">
        <f t="shared" si="307"/>
        <v>1915801770.5766902</v>
      </c>
      <c r="BC519" s="24">
        <v>0</v>
      </c>
      <c r="BD519" s="24">
        <v>0</v>
      </c>
      <c r="BE519" s="24">
        <f t="shared" si="308"/>
        <v>791734.92778277397</v>
      </c>
      <c r="BF519" s="24">
        <f t="shared" si="309"/>
        <v>9032348.7954177856</v>
      </c>
      <c r="BG519" s="24">
        <f t="shared" si="310"/>
        <v>97610294.48588419</v>
      </c>
      <c r="BH519" s="46">
        <f t="shared" si="311"/>
        <v>1.2158775238715047</v>
      </c>
      <c r="BI519" s="47">
        <f t="shared" si="312"/>
        <v>4.1343643795288543E-4</v>
      </c>
      <c r="BJ519" s="47">
        <f t="shared" si="313"/>
        <v>4.736990583255718E-3</v>
      </c>
      <c r="BK519" s="47">
        <f t="shared" si="314"/>
        <v>5.5788017442879312E-2</v>
      </c>
      <c r="BL519" s="48">
        <f t="shared" si="315"/>
        <v>0.21587752387150472</v>
      </c>
      <c r="BM519" s="49">
        <f t="shared" si="316"/>
        <v>5.2684079305213904E-2</v>
      </c>
      <c r="BN519" s="49">
        <f t="shared" si="317"/>
        <v>0.10282123574371504</v>
      </c>
      <c r="BO519" s="49">
        <f t="shared" si="318"/>
        <v>0.21157304341379368</v>
      </c>
    </row>
    <row r="520" spans="1:67" x14ac:dyDescent="0.25">
      <c r="A520" s="1">
        <v>45855</v>
      </c>
      <c r="B520" s="1" t="str">
        <f t="shared" si="223"/>
        <v>202507</v>
      </c>
      <c r="C520" s="24">
        <v>0</v>
      </c>
      <c r="D520" s="24">
        <v>0</v>
      </c>
      <c r="E520" s="24">
        <v>0</v>
      </c>
      <c r="F520" s="24">
        <v>0</v>
      </c>
      <c r="G520" s="24">
        <v>0</v>
      </c>
      <c r="H520" s="24">
        <v>0</v>
      </c>
      <c r="I520" s="24">
        <v>0</v>
      </c>
      <c r="J520" s="24">
        <v>0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4">
        <v>0</v>
      </c>
      <c r="Q520" s="24">
        <f>Q519*(1+((1+VLOOKUP($B520,'IPCA Hist'!$B:$C,2,0))^12 - 1)+$Q$2)^(1/252)</f>
        <v>47327835.60691689</v>
      </c>
      <c r="R520" s="24">
        <f>R519*(1+((1+VLOOKUP($B520,'IPCA Hist'!$B:$C,2,0))^12 - 1)+$R$2)^(1/252)</f>
        <v>47315290.908147201</v>
      </c>
      <c r="S520" s="24">
        <f>S519*(1+((1+VLOOKUP($B520,'IPCA Hist'!$B:$C,2,0))^12 - 1)+$S$2)^(1/252)</f>
        <v>48342677.999235213</v>
      </c>
      <c r="T520" s="24">
        <f>T519*(1+((1+VLOOKUP($B520,'IPCA Hist'!$B:$C,2,0))^12 - 1)+$T$2)^(1/252)</f>
        <v>244148084.56399041</v>
      </c>
      <c r="U520" s="24">
        <f>U519*(1+((1+VLOOKUP($B520,'IPCA Hist'!$B:$C,2,0))^12 - 1)+$U$2)^(1/252)</f>
        <v>21523861.551914304</v>
      </c>
      <c r="V520" s="24">
        <f>V519*(1+((1+VLOOKUP($B520,'IPCA Hist'!$B:$C,2,0))^12 - 1)+$V$2)^(1/252)</f>
        <v>83748946.520202845</v>
      </c>
      <c r="W520" s="24">
        <f>W519*(1+((1+VLOOKUP($B520,'IPCA Hist'!$B:$C,2,0))^12 - 1)+$W$2)^(1/252)</f>
        <v>44105933.613042362</v>
      </c>
      <c r="X520" s="24">
        <f>X519*(1+((1+VLOOKUP($B520,'IPCA Hist'!$B:$C,2,0))^12 - 1)+$X$2)^(1/252)</f>
        <v>15093689.343949016</v>
      </c>
      <c r="Y520" s="24">
        <f>Y519*(1+((1+VLOOKUP($B520,'IPCA Hist'!$B:$C,2,0))^12 - 1)+$Y$2)^(1/252)</f>
        <v>123107625.36978818</v>
      </c>
      <c r="Z520" s="24">
        <f>Z519*(1+((1+VLOOKUP($B520,'IPCA Hist'!$B:$C,2,0))^12 - 1)+$Z$2)^(1/252)</f>
        <v>83848064.311535612</v>
      </c>
      <c r="AA520" s="24">
        <f>AA519*(1+((1+VLOOKUP($B520,'IPCA Hist'!$B:$C,2,0))^12 - 1)+$AA$2)^(1/252)</f>
        <v>42254155.998496197</v>
      </c>
      <c r="AB520" s="24">
        <f>AB519*(1+((1+VLOOKUP($B520,'IPCA Hist'!$B:$C,2,0))^12 - 1)+$AB$2)^(1/252)</f>
        <v>42267503.021598786</v>
      </c>
      <c r="AC520" s="24">
        <f>AC519*(1+((1+VLOOKUP($B520,'IPCA Hist'!$B:$C,2,0))^12 - 1)+$AC$2)^(1/252)</f>
        <v>5245096.9617927708</v>
      </c>
      <c r="AD520" s="24">
        <f>AD519*(1+((1+VLOOKUP($B520,'IPCA Hist'!$B:$C,2,0))^12 - 1)+$AD$2)^(1/252)</f>
        <v>390130184.55368125</v>
      </c>
      <c r="AE520" s="24">
        <v>0</v>
      </c>
      <c r="AF520" s="24">
        <f>AF519*(1+((1+VLOOKUP($B520,'IGPM Hist'!$B:$C,2,0))^12 - 1)+$AF$2)^(1/252)</f>
        <v>1687299.099053513</v>
      </c>
      <c r="AG520" s="24">
        <v>0</v>
      </c>
      <c r="AH520" s="24">
        <v>0</v>
      </c>
      <c r="AI520" s="24">
        <v>0</v>
      </c>
      <c r="AJ520" s="24">
        <f t="shared" ref="AJ520:AQ520" si="352">AJ519*(1+AJ$2)^(1/252)</f>
        <v>53609159.099765636</v>
      </c>
      <c r="AK520" s="24">
        <f t="shared" si="352"/>
        <v>175922174.36511275</v>
      </c>
      <c r="AL520" s="24">
        <f t="shared" si="352"/>
        <v>36079854.214318931</v>
      </c>
      <c r="AM520" s="24">
        <f t="shared" si="352"/>
        <v>126314906.6944714</v>
      </c>
      <c r="AN520" s="24">
        <f t="shared" si="352"/>
        <v>54114723.110725202</v>
      </c>
      <c r="AO520" s="24">
        <f t="shared" si="352"/>
        <v>23209645.74915576</v>
      </c>
      <c r="AP520" s="24">
        <f t="shared" si="352"/>
        <v>17664848.81465251</v>
      </c>
      <c r="AQ520" s="24">
        <f t="shared" si="352"/>
        <v>6875818.9975701328</v>
      </c>
      <c r="AR520" s="2">
        <v>0</v>
      </c>
      <c r="AS520" s="24">
        <f t="shared" ref="AS520:AU520" si="353">AS519*(1+AS$2)^(1/252)</f>
        <v>105201184.22745831</v>
      </c>
      <c r="AT520" s="24">
        <f t="shared" si="353"/>
        <v>5339299.7264308119</v>
      </c>
      <c r="AU520" s="24">
        <f t="shared" si="353"/>
        <v>6001302.3610551041</v>
      </c>
      <c r="AV520" s="24">
        <f t="shared" ref="AV520:AX520" si="354">AV519*(1+AV$2)^(1/252)</f>
        <v>53364861.397546358</v>
      </c>
      <c r="AW520" s="24">
        <f t="shared" si="354"/>
        <v>2753495.2157459338</v>
      </c>
      <c r="AX520" s="24">
        <f t="shared" si="354"/>
        <v>3328642.7394664157</v>
      </c>
      <c r="AY520" s="2">
        <v>0</v>
      </c>
      <c r="AZ520" s="24">
        <v>0</v>
      </c>
      <c r="BA520" s="24">
        <f>BA519*(1+VLOOKUP(A520,'SELIC Hist'!$A:$C,3,0)-0.01%)^(1/252)</f>
        <v>6667674.5341113992</v>
      </c>
      <c r="BB520" s="24">
        <f t="shared" si="307"/>
        <v>1916593840.6709313</v>
      </c>
      <c r="BC520" s="24">
        <v>0</v>
      </c>
      <c r="BD520" s="24">
        <v>0</v>
      </c>
      <c r="BE520" s="24">
        <f t="shared" si="308"/>
        <v>792070.09424114227</v>
      </c>
      <c r="BF520" s="24">
        <f t="shared" si="309"/>
        <v>9824418.8896589279</v>
      </c>
      <c r="BG520" s="24">
        <f t="shared" si="310"/>
        <v>98402364.580125332</v>
      </c>
      <c r="BH520" s="46">
        <f t="shared" si="311"/>
        <v>1.216380216916114</v>
      </c>
      <c r="BI520" s="47">
        <f t="shared" si="312"/>
        <v>4.1344052730618586E-4</v>
      </c>
      <c r="BJ520" s="47">
        <f t="shared" si="313"/>
        <v>5.1523895744465253E-3</v>
      </c>
      <c r="BK520" s="47">
        <f t="shared" si="314"/>
        <v>5.6224522997534443E-2</v>
      </c>
      <c r="BL520" s="48">
        <f t="shared" si="315"/>
        <v>0.21638021691611398</v>
      </c>
      <c r="BM520" s="49">
        <f t="shared" si="316"/>
        <v>5.2731473294302056E-2</v>
      </c>
      <c r="BN520" s="49">
        <f t="shared" si="317"/>
        <v>0.10258737961294706</v>
      </c>
      <c r="BO520" s="49">
        <f t="shared" si="318"/>
        <v>0.21169232820277628</v>
      </c>
    </row>
    <row r="521" spans="1:67" x14ac:dyDescent="0.25">
      <c r="A521" s="1">
        <v>45856</v>
      </c>
      <c r="B521" s="1" t="str">
        <f t="shared" si="223"/>
        <v>202507</v>
      </c>
      <c r="C521" s="24">
        <v>0</v>
      </c>
      <c r="D521" s="24">
        <v>0</v>
      </c>
      <c r="E521" s="24">
        <v>0</v>
      </c>
      <c r="F521" s="24">
        <v>0</v>
      </c>
      <c r="G521" s="24">
        <v>0</v>
      </c>
      <c r="H521" s="24">
        <v>0</v>
      </c>
      <c r="I521" s="24">
        <v>0</v>
      </c>
      <c r="J521" s="24">
        <v>0</v>
      </c>
      <c r="K521" s="24">
        <v>0</v>
      </c>
      <c r="L521" s="24">
        <v>0</v>
      </c>
      <c r="M521" s="24">
        <v>0</v>
      </c>
      <c r="N521" s="24">
        <v>0</v>
      </c>
      <c r="O521" s="24">
        <v>0</v>
      </c>
      <c r="P521" s="24">
        <v>0</v>
      </c>
      <c r="Q521" s="24">
        <f>Q520*(1+((1+VLOOKUP($B521,'IPCA Hist'!$B:$C,2,0))^12 - 1)+$Q$2)^(1/252)</f>
        <v>47342871.889870964</v>
      </c>
      <c r="R521" s="24">
        <f>R520*(1+((1+VLOOKUP($B521,'IPCA Hist'!$B:$C,2,0))^12 - 1)+$R$2)^(1/252)</f>
        <v>47330340.541799925</v>
      </c>
      <c r="S521" s="24">
        <f>S520*(1+((1+VLOOKUP($B521,'IPCA Hist'!$B:$C,2,0))^12 - 1)+$S$2)^(1/252)</f>
        <v>48357841.75591974</v>
      </c>
      <c r="T521" s="24">
        <f>T520*(1+((1+VLOOKUP($B521,'IPCA Hist'!$B:$C,2,0))^12 - 1)+$T$2)^(1/252)</f>
        <v>244224577.48946291</v>
      </c>
      <c r="U521" s="24">
        <f>U520*(1+((1+VLOOKUP($B521,'IPCA Hist'!$B:$C,2,0))^12 - 1)+$U$2)^(1/252)</f>
        <v>21531664.401646558</v>
      </c>
      <c r="V521" s="24">
        <f>V520*(1+((1+VLOOKUP($B521,'IPCA Hist'!$B:$C,2,0))^12 - 1)+$V$2)^(1/252)</f>
        <v>83783738.24483861</v>
      </c>
      <c r="W521" s="24">
        <f>W520*(1+((1+VLOOKUP($B521,'IPCA Hist'!$B:$C,2,0))^12 - 1)+$W$2)^(1/252)</f>
        <v>44124399.933142811</v>
      </c>
      <c r="X521" s="24">
        <f>X520*(1+((1+VLOOKUP($B521,'IPCA Hist'!$B:$C,2,0))^12 - 1)+$X$2)^(1/252)</f>
        <v>15099721.777541449</v>
      </c>
      <c r="Y521" s="24">
        <f>Y520*(1+((1+VLOOKUP($B521,'IPCA Hist'!$B:$C,2,0))^12 - 1)+$Y$2)^(1/252)</f>
        <v>123159432.0124155</v>
      </c>
      <c r="Z521" s="24">
        <f>Z520*(1+((1+VLOOKUP($B521,'IPCA Hist'!$B:$C,2,0))^12 - 1)+$Z$2)^(1/252)</f>
        <v>83880885.576392457</v>
      </c>
      <c r="AA521" s="24">
        <f>AA520*(1+((1+VLOOKUP($B521,'IPCA Hist'!$B:$C,2,0))^12 - 1)+$AA$2)^(1/252)</f>
        <v>42272539.966015458</v>
      </c>
      <c r="AB521" s="24">
        <f>AB520*(1+((1+VLOOKUP($B521,'IPCA Hist'!$B:$C,2,0))^12 - 1)+$AB$2)^(1/252)</f>
        <v>42285877.757511951</v>
      </c>
      <c r="AC521" s="24">
        <f>AC520*(1+((1+VLOOKUP($B521,'IPCA Hist'!$B:$C,2,0))^12 - 1)+$AC$2)^(1/252)</f>
        <v>5247200.7781019993</v>
      </c>
      <c r="AD521" s="24">
        <f>AD520*(1+((1+VLOOKUP($B521,'IPCA Hist'!$B:$C,2,0))^12 - 1)+$AD$2)^(1/252)</f>
        <v>390286517.96399987</v>
      </c>
      <c r="AE521" s="24">
        <v>0</v>
      </c>
      <c r="AF521" s="24">
        <f>AF520*(1+((1+VLOOKUP($B521,'IGPM Hist'!$B:$C,2,0))^12 - 1)+$AF$2)^(1/252)</f>
        <v>1687122.0617215601</v>
      </c>
      <c r="AG521" s="24">
        <v>0</v>
      </c>
      <c r="AH521" s="24">
        <v>0</v>
      </c>
      <c r="AI521" s="24">
        <v>0</v>
      </c>
      <c r="AJ521" s="24">
        <f t="shared" ref="AJ521:AQ521" si="355">AJ520*(1+AJ$2)^(1/252)</f>
        <v>53633840.899381347</v>
      </c>
      <c r="AK521" s="24">
        <f t="shared" si="355"/>
        <v>176007169.44400355</v>
      </c>
      <c r="AL521" s="24">
        <f t="shared" si="355"/>
        <v>36097292.184396438</v>
      </c>
      <c r="AM521" s="24">
        <f t="shared" si="355"/>
        <v>126375923.40632737</v>
      </c>
      <c r="AN521" s="24">
        <f t="shared" si="355"/>
        <v>54140882.376423664</v>
      </c>
      <c r="AO521" s="24">
        <f t="shared" si="355"/>
        <v>23222958.247648779</v>
      </c>
      <c r="AP521" s="24">
        <f t="shared" si="355"/>
        <v>17673674.65659523</v>
      </c>
      <c r="AQ521" s="24">
        <f t="shared" si="355"/>
        <v>6879266.9787093028</v>
      </c>
      <c r="AR521" s="2">
        <v>0</v>
      </c>
      <c r="AS521" s="24">
        <f t="shared" ref="AS521:AU521" si="356">AS520*(1+AS$2)^(1/252)</f>
        <v>105248054.17166355</v>
      </c>
      <c r="AT521" s="24">
        <f t="shared" si="356"/>
        <v>5342320.5058295224</v>
      </c>
      <c r="AU521" s="24">
        <f t="shared" si="356"/>
        <v>6004290.2694048109</v>
      </c>
      <c r="AV521" s="24">
        <f t="shared" ref="AV521:AX521" si="357">AV520*(1+AV$2)^(1/252)</f>
        <v>53389147.544066541</v>
      </c>
      <c r="AW521" s="24">
        <f t="shared" si="357"/>
        <v>2755033.1150575574</v>
      </c>
      <c r="AX521" s="24">
        <f t="shared" si="357"/>
        <v>3330311.9366033347</v>
      </c>
      <c r="AY521" s="2">
        <v>0</v>
      </c>
      <c r="AZ521" s="24">
        <v>0</v>
      </c>
      <c r="BA521" s="24">
        <f>BA520*(1+VLOOKUP(A521,'SELIC Hist'!$A:$C,3,0)-0.01%)^(1/252)</f>
        <v>6671348.1898796717</v>
      </c>
      <c r="BB521" s="24">
        <f t="shared" si="307"/>
        <v>1917386246.0763724</v>
      </c>
      <c r="BC521" s="24">
        <v>0</v>
      </c>
      <c r="BD521" s="24">
        <v>0</v>
      </c>
      <c r="BE521" s="24">
        <f t="shared" si="308"/>
        <v>792405.40544104576</v>
      </c>
      <c r="BF521" s="24">
        <f t="shared" si="309"/>
        <v>10616824.295099974</v>
      </c>
      <c r="BG521" s="24">
        <f t="shared" si="310"/>
        <v>99194769.985566378</v>
      </c>
      <c r="BH521" s="46">
        <f t="shared" si="311"/>
        <v>1.216883122768414</v>
      </c>
      <c r="BI521" s="47">
        <f t="shared" si="312"/>
        <v>4.1344461649917008E-4</v>
      </c>
      <c r="BJ521" s="47">
        <f t="shared" si="313"/>
        <v>5.5679644186774624E-3</v>
      </c>
      <c r="BK521" s="47">
        <f t="shared" si="314"/>
        <v>5.6661213340382099E-2</v>
      </c>
      <c r="BL521" s="48">
        <f t="shared" si="315"/>
        <v>0.21688312276841404</v>
      </c>
      <c r="BM521" s="49">
        <f t="shared" si="316"/>
        <v>5.2778864889496679E-2</v>
      </c>
      <c r="BN521" s="49">
        <f t="shared" si="317"/>
        <v>0.10277750519031548</v>
      </c>
      <c r="BO521" s="49">
        <f t="shared" si="318"/>
        <v>0.21181161774576851</v>
      </c>
    </row>
    <row r="522" spans="1:67" x14ac:dyDescent="0.25">
      <c r="A522" s="1">
        <v>45859</v>
      </c>
      <c r="B522" s="1" t="str">
        <f t="shared" si="223"/>
        <v>202507</v>
      </c>
      <c r="C522" s="24">
        <v>0</v>
      </c>
      <c r="D522" s="24">
        <v>0</v>
      </c>
      <c r="E522" s="24">
        <v>0</v>
      </c>
      <c r="F522" s="24">
        <v>0</v>
      </c>
      <c r="G522" s="24">
        <v>0</v>
      </c>
      <c r="H522" s="24">
        <v>0</v>
      </c>
      <c r="I522" s="24">
        <v>0</v>
      </c>
      <c r="J522" s="24">
        <v>0</v>
      </c>
      <c r="K522" s="24">
        <v>0</v>
      </c>
      <c r="L522" s="24">
        <v>0</v>
      </c>
      <c r="M522" s="24">
        <v>0</v>
      </c>
      <c r="N522" s="24">
        <v>0</v>
      </c>
      <c r="O522" s="24">
        <v>0</v>
      </c>
      <c r="P522" s="24">
        <v>0</v>
      </c>
      <c r="Q522" s="24">
        <f>Q521*(1+((1+VLOOKUP($B522,'IPCA Hist'!$B:$C,2,0))^12 - 1)+$Q$2)^(1/252)</f>
        <v>47357912.949925072</v>
      </c>
      <c r="R522" s="24">
        <f>R521*(1+((1+VLOOKUP($B522,'IPCA Hist'!$B:$C,2,0))^12 - 1)+$R$2)^(1/252)</f>
        <v>47345394.962308422</v>
      </c>
      <c r="S522" s="24">
        <f>S521*(1+((1+VLOOKUP($B522,'IPCA Hist'!$B:$C,2,0))^12 - 1)+$S$2)^(1/252)</f>
        <v>48373010.269053973</v>
      </c>
      <c r="T522" s="24">
        <f>T521*(1+((1+VLOOKUP($B522,'IPCA Hist'!$B:$C,2,0))^12 - 1)+$T$2)^(1/252)</f>
        <v>244301094.38058582</v>
      </c>
      <c r="U522" s="24">
        <f>U521*(1+((1+VLOOKUP($B522,'IPCA Hist'!$B:$C,2,0))^12 - 1)+$U$2)^(1/252)</f>
        <v>21539470.080074944</v>
      </c>
      <c r="V522" s="24">
        <f>V521*(1+((1+VLOOKUP($B522,'IPCA Hist'!$B:$C,2,0))^12 - 1)+$V$2)^(1/252)</f>
        <v>83818544.42295891</v>
      </c>
      <c r="W522" s="24">
        <f>W521*(1+((1+VLOOKUP($B522,'IPCA Hist'!$B:$C,2,0))^12 - 1)+$W$2)^(1/252)</f>
        <v>44142873.98474218</v>
      </c>
      <c r="X522" s="24">
        <f>X521*(1+((1+VLOOKUP($B522,'IPCA Hist'!$B:$C,2,0))^12 - 1)+$X$2)^(1/252)</f>
        <v>15105756.622092146</v>
      </c>
      <c r="Y522" s="24">
        <f>Y521*(1+((1+VLOOKUP($B522,'IPCA Hist'!$B:$C,2,0))^12 - 1)+$Y$2)^(1/252)</f>
        <v>123211260.45652108</v>
      </c>
      <c r="Z522" s="24">
        <f>Z521*(1+((1+VLOOKUP($B522,'IPCA Hist'!$B:$C,2,0))^12 - 1)+$Z$2)^(1/252)</f>
        <v>83913719.688718528</v>
      </c>
      <c r="AA522" s="24">
        <f>AA521*(1+((1+VLOOKUP($B522,'IPCA Hist'!$B:$C,2,0))^12 - 1)+$AA$2)^(1/252)</f>
        <v>42290931.932044066</v>
      </c>
      <c r="AB522" s="24">
        <f>AB521*(1+((1+VLOOKUP($B522,'IPCA Hist'!$B:$C,2,0))^12 - 1)+$AB$2)^(1/252)</f>
        <v>42304260.481380306</v>
      </c>
      <c r="AC522" s="24">
        <f>AC521*(1+((1+VLOOKUP($B522,'IPCA Hist'!$B:$C,2,0))^12 - 1)+$AC$2)^(1/252)</f>
        <v>5249305.4382551257</v>
      </c>
      <c r="AD522" s="24">
        <f>AD521*(1+((1+VLOOKUP($B522,'IPCA Hist'!$B:$C,2,0))^12 - 1)+$AD$2)^(1/252)</f>
        <v>390442914.02042013</v>
      </c>
      <c r="AE522" s="24">
        <v>0</v>
      </c>
      <c r="AF522" s="24">
        <f>AF521*(1+((1+VLOOKUP($B522,'IGPM Hist'!$B:$C,2,0))^12 - 1)+$AF$2)^(1/252)</f>
        <v>1686945.042964984</v>
      </c>
      <c r="AG522" s="24">
        <v>0</v>
      </c>
      <c r="AH522" s="24">
        <v>0</v>
      </c>
      <c r="AI522" s="24">
        <v>0</v>
      </c>
      <c r="AJ522" s="24">
        <f t="shared" ref="AJ522:AQ522" si="358">AJ521*(1+AJ$2)^(1/252)</f>
        <v>53658534.06256333</v>
      </c>
      <c r="AK522" s="24">
        <f t="shared" si="358"/>
        <v>176092205.5874359</v>
      </c>
      <c r="AL522" s="24">
        <f t="shared" si="358"/>
        <v>36114738.582523532</v>
      </c>
      <c r="AM522" s="24">
        <f t="shared" si="358"/>
        <v>126436969.59244905</v>
      </c>
      <c r="AN522" s="24">
        <f t="shared" si="358"/>
        <v>54167054.287611984</v>
      </c>
      <c r="AO522" s="24">
        <f t="shared" si="358"/>
        <v>23236278.381872997</v>
      </c>
      <c r="AP522" s="24">
        <f t="shared" si="358"/>
        <v>17682504.908170145</v>
      </c>
      <c r="AQ522" s="24">
        <f t="shared" si="358"/>
        <v>6882716.6888896162</v>
      </c>
      <c r="AR522" s="2">
        <v>0</v>
      </c>
      <c r="AS522" s="24">
        <f t="shared" ref="AS522:AU522" si="359">AS521*(1+AS$2)^(1/252)</f>
        <v>105294944.99768382</v>
      </c>
      <c r="AT522" s="24">
        <f t="shared" si="359"/>
        <v>5345342.9942741087</v>
      </c>
      <c r="AU522" s="24">
        <f t="shared" si="359"/>
        <v>6007279.6653643344</v>
      </c>
      <c r="AV522" s="24">
        <f t="shared" ref="AV522:AX522" si="360">AV521*(1+AV$2)^(1/252)</f>
        <v>53413444.743120119</v>
      </c>
      <c r="AW522" s="24">
        <f t="shared" si="360"/>
        <v>2756571.8733262909</v>
      </c>
      <c r="AX522" s="24">
        <f t="shared" si="360"/>
        <v>3331981.9707838478</v>
      </c>
      <c r="AY522" s="2">
        <v>0</v>
      </c>
      <c r="AZ522" s="24">
        <v>0</v>
      </c>
      <c r="BA522" s="24">
        <f>BA521*(1+VLOOKUP(A522,'SELIC Hist'!$A:$C,3,0)-0.01%)^(1/252)</f>
        <v>6675023.8697039532</v>
      </c>
      <c r="BB522" s="24">
        <f t="shared" si="307"/>
        <v>1918178986.9378188</v>
      </c>
      <c r="BC522" s="24">
        <v>0</v>
      </c>
      <c r="BD522" s="24">
        <v>0</v>
      </c>
      <c r="BE522" s="24">
        <f t="shared" si="308"/>
        <v>792740.86144638062</v>
      </c>
      <c r="BF522" s="24">
        <f t="shared" si="309"/>
        <v>11409565.156546354</v>
      </c>
      <c r="BG522" s="24">
        <f t="shared" si="310"/>
        <v>99987510.847012758</v>
      </c>
      <c r="BH522" s="46">
        <f t="shared" si="311"/>
        <v>1.2173862415203072</v>
      </c>
      <c r="BI522" s="47">
        <f t="shared" si="312"/>
        <v>4.1344870553272628E-4</v>
      </c>
      <c r="BJ522" s="47">
        <f t="shared" si="313"/>
        <v>5.9837151918915588E-3</v>
      </c>
      <c r="BK522" s="47">
        <f t="shared" si="314"/>
        <v>5.7098088551224224E-2</v>
      </c>
      <c r="BL522" s="48">
        <f t="shared" si="315"/>
        <v>0.21738624152030717</v>
      </c>
      <c r="BM522" s="49">
        <f t="shared" si="316"/>
        <v>5.2826254089878288E-2</v>
      </c>
      <c r="BN522" s="49">
        <f t="shared" si="317"/>
        <v>0.10287441885768733</v>
      </c>
      <c r="BO522" s="49">
        <f t="shared" si="318"/>
        <v>0.21193091204032521</v>
      </c>
    </row>
    <row r="523" spans="1:67" x14ac:dyDescent="0.25">
      <c r="A523" s="1">
        <v>45860</v>
      </c>
      <c r="B523" s="1" t="str">
        <f t="shared" si="223"/>
        <v>202507</v>
      </c>
      <c r="C523" s="24">
        <v>0</v>
      </c>
      <c r="D523" s="24">
        <v>0</v>
      </c>
      <c r="E523" s="24">
        <v>0</v>
      </c>
      <c r="F523" s="24">
        <v>0</v>
      </c>
      <c r="G523" s="24">
        <v>0</v>
      </c>
      <c r="H523" s="24">
        <v>0</v>
      </c>
      <c r="I523" s="24">
        <v>0</v>
      </c>
      <c r="J523" s="24">
        <v>0</v>
      </c>
      <c r="K523" s="24">
        <v>0</v>
      </c>
      <c r="L523" s="24">
        <v>0</v>
      </c>
      <c r="M523" s="24">
        <v>0</v>
      </c>
      <c r="N523" s="24">
        <v>0</v>
      </c>
      <c r="O523" s="24">
        <v>0</v>
      </c>
      <c r="P523" s="24">
        <v>0</v>
      </c>
      <c r="Q523" s="24">
        <f>Q522*(1+((1+VLOOKUP($B523,'IPCA Hist'!$B:$C,2,0))^12 - 1)+$Q$2)^(1/252)</f>
        <v>47372958.788596921</v>
      </c>
      <c r="R523" s="24">
        <f>R522*(1+((1+VLOOKUP($B523,'IPCA Hist'!$B:$C,2,0))^12 - 1)+$R$2)^(1/252)</f>
        <v>47360454.171195239</v>
      </c>
      <c r="S523" s="24">
        <f>S522*(1+((1+VLOOKUP($B523,'IPCA Hist'!$B:$C,2,0))^12 - 1)+$S$2)^(1/252)</f>
        <v>48388183.540129885</v>
      </c>
      <c r="T523" s="24">
        <f>T522*(1+((1+VLOOKUP($B523,'IPCA Hist'!$B:$C,2,0))^12 - 1)+$T$2)^(1/252)</f>
        <v>244377635.24486774</v>
      </c>
      <c r="U523" s="24">
        <f>U522*(1+((1+VLOOKUP($B523,'IPCA Hist'!$B:$C,2,0))^12 - 1)+$U$2)^(1/252)</f>
        <v>21547278.588224925</v>
      </c>
      <c r="V523" s="24">
        <f>V522*(1+((1+VLOOKUP($B523,'IPCA Hist'!$B:$C,2,0))^12 - 1)+$V$2)^(1/252)</f>
        <v>83853365.060568139</v>
      </c>
      <c r="W523" s="24">
        <f>W522*(1+((1+VLOOKUP($B523,'IPCA Hist'!$B:$C,2,0))^12 - 1)+$W$2)^(1/252)</f>
        <v>44161355.771077499</v>
      </c>
      <c r="X523" s="24">
        <f>X522*(1+((1+VLOOKUP($B523,'IPCA Hist'!$B:$C,2,0))^12 - 1)+$X$2)^(1/252)</f>
        <v>15111793.878564684</v>
      </c>
      <c r="Y523" s="24">
        <f>Y522*(1+((1+VLOOKUP($B523,'IPCA Hist'!$B:$C,2,0))^12 - 1)+$Y$2)^(1/252)</f>
        <v>123263110.71127953</v>
      </c>
      <c r="Z523" s="24">
        <f>Z522*(1+((1+VLOOKUP($B523,'IPCA Hist'!$B:$C,2,0))^12 - 1)+$Z$2)^(1/252)</f>
        <v>83946566.653542817</v>
      </c>
      <c r="AA523" s="24">
        <f>AA522*(1+((1+VLOOKUP($B523,'IPCA Hist'!$B:$C,2,0))^12 - 1)+$AA$2)^(1/252)</f>
        <v>42309331.900062025</v>
      </c>
      <c r="AB523" s="24">
        <f>AB522*(1+((1+VLOOKUP($B523,'IPCA Hist'!$B:$C,2,0))^12 - 1)+$AB$2)^(1/252)</f>
        <v>42322651.196676403</v>
      </c>
      <c r="AC523" s="24">
        <f>AC522*(1+((1+VLOOKUP($B523,'IPCA Hist'!$B:$C,2,0))^12 - 1)+$AC$2)^(1/252)</f>
        <v>5251410.9425906166</v>
      </c>
      <c r="AD523" s="24">
        <f>AD522*(1+((1+VLOOKUP($B523,'IPCA Hist'!$B:$C,2,0))^12 - 1)+$AD$2)^(1/252)</f>
        <v>390599372.74804562</v>
      </c>
      <c r="AE523" s="24">
        <v>0</v>
      </c>
      <c r="AF523" s="24">
        <f>AF522*(1+((1+VLOOKUP($B523,'IGPM Hist'!$B:$C,2,0))^12 - 1)+$AF$2)^(1/252)</f>
        <v>1686768.0427818359</v>
      </c>
      <c r="AG523" s="24">
        <v>0</v>
      </c>
      <c r="AH523" s="24">
        <v>0</v>
      </c>
      <c r="AI523" s="24">
        <v>0</v>
      </c>
      <c r="AJ523" s="24">
        <f t="shared" ref="AJ523:AQ523" si="361">AJ522*(1+AJ$2)^(1/252)</f>
        <v>53683238.594543397</v>
      </c>
      <c r="AK523" s="24">
        <f t="shared" si="361"/>
        <v>176177282.81524971</v>
      </c>
      <c r="AL523" s="24">
        <f t="shared" si="361"/>
        <v>36132193.412773624</v>
      </c>
      <c r="AM523" s="24">
        <f t="shared" si="361"/>
        <v>126498045.26707409</v>
      </c>
      <c r="AN523" s="24">
        <f t="shared" si="361"/>
        <v>54193238.850403033</v>
      </c>
      <c r="AO523" s="24">
        <f t="shared" si="361"/>
        <v>23249606.156208083</v>
      </c>
      <c r="AP523" s="24">
        <f t="shared" si="361"/>
        <v>17691339.571580421</v>
      </c>
      <c r="AQ523" s="24">
        <f t="shared" si="361"/>
        <v>6886168.1289781248</v>
      </c>
      <c r="AR523" s="2">
        <v>0</v>
      </c>
      <c r="AS523" s="24">
        <f t="shared" ref="AS523:AU523" si="362">AS522*(1+AS$2)^(1/252)</f>
        <v>105341856.71482253</v>
      </c>
      <c r="AT523" s="24">
        <f t="shared" si="362"/>
        <v>5348367.1927314857</v>
      </c>
      <c r="AU523" s="24">
        <f t="shared" si="362"/>
        <v>6010270.549674321</v>
      </c>
      <c r="AV523" s="24">
        <f t="shared" ref="AV523:AX523" si="363">AV522*(1+AV$2)^(1/252)</f>
        <v>53437752.999737062</v>
      </c>
      <c r="AW523" s="24">
        <f t="shared" si="363"/>
        <v>2758111.4910318842</v>
      </c>
      <c r="AX523" s="24">
        <f t="shared" si="363"/>
        <v>3333652.8424277026</v>
      </c>
      <c r="AY523" s="2">
        <v>0</v>
      </c>
      <c r="AZ523" s="24">
        <v>0</v>
      </c>
      <c r="BA523" s="24">
        <f>BA522*(1+VLOOKUP(A523,'SELIC Hist'!$A:$C,3,0)-0.01%)^(1/252) + BC523</f>
        <v>115378701.57469943</v>
      </c>
      <c r="BB523" s="24">
        <f t="shared" si="307"/>
        <v>2027672063.4001386</v>
      </c>
      <c r="BC523" s="24">
        <v>108700000</v>
      </c>
      <c r="BD523" s="24">
        <v>0</v>
      </c>
      <c r="BE523" s="24">
        <f t="shared" si="308"/>
        <v>793076.46231985092</v>
      </c>
      <c r="BF523" s="24">
        <f t="shared" si="309"/>
        <v>12202641.618866205</v>
      </c>
      <c r="BG523" s="24">
        <f t="shared" si="310"/>
        <v>100780587.30933261</v>
      </c>
      <c r="BH523" s="46">
        <f t="shared" si="311"/>
        <v>1.2178895732637349</v>
      </c>
      <c r="BI523" s="47">
        <f t="shared" si="312"/>
        <v>4.1345279440574423E-4</v>
      </c>
      <c r="BJ523" s="47">
        <f t="shared" si="313"/>
        <v>6.3996419700642626E-3</v>
      </c>
      <c r="BK523" s="47">
        <f t="shared" si="314"/>
        <v>5.7535148709896733E-2</v>
      </c>
      <c r="BL523" s="48">
        <f t="shared" si="315"/>
        <v>0.21788957326373493</v>
      </c>
      <c r="BM523" s="49">
        <f t="shared" si="316"/>
        <v>5.2873640894528284E-2</v>
      </c>
      <c r="BN523" s="49">
        <f t="shared" si="317"/>
        <v>0.10293263893818372</v>
      </c>
      <c r="BO523" s="49">
        <f t="shared" si="318"/>
        <v>0.21205021108399968</v>
      </c>
    </row>
    <row r="524" spans="1:67" x14ac:dyDescent="0.25">
      <c r="A524" s="1">
        <v>45861</v>
      </c>
      <c r="B524" s="1" t="str">
        <f t="shared" si="223"/>
        <v>202507</v>
      </c>
      <c r="C524" s="24">
        <v>0</v>
      </c>
      <c r="D524" s="24">
        <v>0</v>
      </c>
      <c r="E524" s="24">
        <v>0</v>
      </c>
      <c r="F524" s="24">
        <v>0</v>
      </c>
      <c r="G524" s="24">
        <v>0</v>
      </c>
      <c r="H524" s="24">
        <v>0</v>
      </c>
      <c r="I524" s="24">
        <v>0</v>
      </c>
      <c r="J524" s="24">
        <v>0</v>
      </c>
      <c r="K524" s="24">
        <v>0</v>
      </c>
      <c r="L524" s="24">
        <v>0</v>
      </c>
      <c r="M524" s="24">
        <v>0</v>
      </c>
      <c r="N524" s="24">
        <v>0</v>
      </c>
      <c r="O524" s="24">
        <v>0</v>
      </c>
      <c r="P524" s="24">
        <v>0</v>
      </c>
      <c r="Q524" s="24">
        <f>Q523*(1+((1+VLOOKUP($B524,'IPCA Hist'!$B:$C,2,0))^12 - 1)+$Q$2)^(1/252)</f>
        <v>47388009.407404698</v>
      </c>
      <c r="R524" s="24">
        <f>R523*(1+((1+VLOOKUP($B524,'IPCA Hist'!$B:$C,2,0))^12 - 1)+$R$2)^(1/252)</f>
        <v>47375518.169983432</v>
      </c>
      <c r="S524" s="24">
        <f>S523*(1+((1+VLOOKUP($B524,'IPCA Hist'!$B:$C,2,0))^12 - 1)+$S$2)^(1/252)</f>
        <v>48403361.570639908</v>
      </c>
      <c r="T524" s="24">
        <f>T523*(1+((1+VLOOKUP($B524,'IPCA Hist'!$B:$C,2,0))^12 - 1)+$T$2)^(1/252)</f>
        <v>244454200.08981958</v>
      </c>
      <c r="U524" s="24">
        <f>U523*(1+((1+VLOOKUP($B524,'IPCA Hist'!$B:$C,2,0))^12 - 1)+$U$2)^(1/252)</f>
        <v>21555089.927122332</v>
      </c>
      <c r="V524" s="24">
        <f>V523*(1+((1+VLOOKUP($B524,'IPCA Hist'!$B:$C,2,0))^12 - 1)+$V$2)^(1/252)</f>
        <v>83888200.163673177</v>
      </c>
      <c r="W524" s="24">
        <f>W523*(1+((1+VLOOKUP($B524,'IPCA Hist'!$B:$C,2,0))^12 - 1)+$W$2)^(1/252)</f>
        <v>44179845.295387156</v>
      </c>
      <c r="X524" s="24">
        <f>X523*(1+((1+VLOOKUP($B524,'IPCA Hist'!$B:$C,2,0))^12 - 1)+$X$2)^(1/252)</f>
        <v>15117833.547923027</v>
      </c>
      <c r="Y524" s="24">
        <f>Y523*(1+((1+VLOOKUP($B524,'IPCA Hist'!$B:$C,2,0))^12 - 1)+$Y$2)^(1/252)</f>
        <v>123314982.78586929</v>
      </c>
      <c r="Z524" s="24">
        <f>Z523*(1+((1+VLOOKUP($B524,'IPCA Hist'!$B:$C,2,0))^12 - 1)+$Z$2)^(1/252)</f>
        <v>83979426.475896269</v>
      </c>
      <c r="AA524" s="24">
        <f>AA523*(1+((1+VLOOKUP($B524,'IPCA Hist'!$B:$C,2,0))^12 - 1)+$AA$2)^(1/252)</f>
        <v>42327739.87355084</v>
      </c>
      <c r="AB524" s="24">
        <f>AB523*(1+((1+VLOOKUP($B524,'IPCA Hist'!$B:$C,2,0))^12 - 1)+$AB$2)^(1/252)</f>
        <v>42341049.906874321</v>
      </c>
      <c r="AC524" s="24">
        <f>AC523*(1+((1+VLOOKUP($B524,'IPCA Hist'!$B:$C,2,0))^12 - 1)+$AC$2)^(1/252)</f>
        <v>5253517.2914470751</v>
      </c>
      <c r="AD524" s="24">
        <f>AD523*(1+((1+VLOOKUP($B524,'IPCA Hist'!$B:$C,2,0))^12 - 1)+$AD$2)^(1/252)</f>
        <v>390755894.17198998</v>
      </c>
      <c r="AE524" s="24">
        <v>0</v>
      </c>
      <c r="AF524" s="24">
        <f>AF523*(1+((1+VLOOKUP($B524,'IGPM Hist'!$B:$C,2,0))^12 - 1)+$AF$2)^(1/252)</f>
        <v>1686591.0611701671</v>
      </c>
      <c r="AG524" s="24">
        <v>0</v>
      </c>
      <c r="AH524" s="24">
        <v>0</v>
      </c>
      <c r="AI524" s="24">
        <v>0</v>
      </c>
      <c r="AJ524" s="24">
        <f t="shared" ref="AJ524:AQ524" si="364">AJ523*(1+AJ$2)^(1/252)</f>
        <v>53707954.500555784</v>
      </c>
      <c r="AK524" s="24">
        <f t="shared" si="364"/>
        <v>176262401.14729449</v>
      </c>
      <c r="AL524" s="24">
        <f t="shared" si="364"/>
        <v>36149656.679222099</v>
      </c>
      <c r="AM524" s="24">
        <f t="shared" si="364"/>
        <v>126559150.44444697</v>
      </c>
      <c r="AN524" s="24">
        <f t="shared" si="364"/>
        <v>54219436.070912644</v>
      </c>
      <c r="AO524" s="24">
        <f t="shared" si="364"/>
        <v>23262941.575036224</v>
      </c>
      <c r="AP524" s="24">
        <f t="shared" si="364"/>
        <v>17700178.649030339</v>
      </c>
      <c r="AQ524" s="24">
        <f t="shared" si="364"/>
        <v>6889621.2998423176</v>
      </c>
      <c r="AR524" s="2">
        <v>54647173.725696005</v>
      </c>
      <c r="AS524" s="24">
        <f t="shared" ref="AS524:AU524" si="365">AS523*(1+AS$2)^(1/252)</f>
        <v>105388789.33238722</v>
      </c>
      <c r="AT524" s="24">
        <f t="shared" si="365"/>
        <v>5351393.102169116</v>
      </c>
      <c r="AU524" s="24">
        <f t="shared" si="365"/>
        <v>6013262.9230757849</v>
      </c>
      <c r="AV524" s="24">
        <f t="shared" ref="AV524:AX524" si="366">AV523*(1+AV$2)^(1/252)</f>
        <v>53462072.318949617</v>
      </c>
      <c r="AW524" s="24">
        <f t="shared" si="366"/>
        <v>2759651.968654356</v>
      </c>
      <c r="AX524" s="24">
        <f t="shared" si="366"/>
        <v>3335324.5519548575</v>
      </c>
      <c r="AY524" s="2">
        <v>54709098.950484</v>
      </c>
      <c r="AZ524" s="24">
        <v>0</v>
      </c>
      <c r="BA524" s="24">
        <f>BA523*(1+VLOOKUP(A524,'SELIC Hist'!$A:$C,3,0)-0.01%)^(1/252)-(AY524+AR524)</f>
        <v>6085998.5329410285</v>
      </c>
      <c r="BB524" s="24">
        <f t="shared" si="307"/>
        <v>2028525365.5114043</v>
      </c>
      <c r="BC524" s="24">
        <v>0</v>
      </c>
      <c r="BD524" s="24">
        <v>0</v>
      </c>
      <c r="BE524" s="24">
        <f t="shared" si="308"/>
        <v>853302.11126565933</v>
      </c>
      <c r="BF524" s="24">
        <f t="shared" si="309"/>
        <v>13055943.730131865</v>
      </c>
      <c r="BG524" s="24">
        <f t="shared" si="310"/>
        <v>101633889.42059827</v>
      </c>
      <c r="BH524" s="46">
        <f t="shared" si="311"/>
        <v>1.2184020958569652</v>
      </c>
      <c r="BI524" s="47">
        <f t="shared" si="312"/>
        <v>4.2082845972379879E-4</v>
      </c>
      <c r="BJ524" s="47">
        <f t="shared" si="313"/>
        <v>6.8231635812610048E-3</v>
      </c>
      <c r="BK524" s="47">
        <f t="shared" si="314"/>
        <v>5.7980189597632181E-2</v>
      </c>
      <c r="BL524" s="48">
        <f t="shared" si="315"/>
        <v>0.21840209585696524</v>
      </c>
      <c r="BM524" s="49">
        <f t="shared" si="316"/>
        <v>5.2928783782726585E-2</v>
      </c>
      <c r="BN524" s="49">
        <f t="shared" si="317"/>
        <v>0.10267715677305378</v>
      </c>
      <c r="BO524" s="49">
        <f t="shared" si="318"/>
        <v>0.21217844678182307</v>
      </c>
    </row>
    <row r="525" spans="1:67" x14ac:dyDescent="0.25">
      <c r="A525" s="1">
        <v>45862</v>
      </c>
      <c r="B525" s="1" t="str">
        <f t="shared" si="223"/>
        <v>202507</v>
      </c>
      <c r="C525" s="24">
        <v>0</v>
      </c>
      <c r="D525" s="24">
        <v>0</v>
      </c>
      <c r="E525" s="24">
        <v>0</v>
      </c>
      <c r="F525" s="24">
        <v>0</v>
      </c>
      <c r="G525" s="24">
        <v>0</v>
      </c>
      <c r="H525" s="24">
        <v>0</v>
      </c>
      <c r="I525" s="24">
        <v>0</v>
      </c>
      <c r="J525" s="24">
        <v>0</v>
      </c>
      <c r="K525" s="24">
        <v>0</v>
      </c>
      <c r="L525" s="24">
        <v>0</v>
      </c>
      <c r="M525" s="24">
        <v>0</v>
      </c>
      <c r="N525" s="24">
        <v>0</v>
      </c>
      <c r="O525" s="24">
        <v>0</v>
      </c>
      <c r="P525" s="24">
        <v>0</v>
      </c>
      <c r="Q525" s="24">
        <f>Q524*(1+((1+VLOOKUP($B525,'IPCA Hist'!$B:$C,2,0))^12 - 1)+$Q$2)^(1/252)</f>
        <v>47403064.80786708</v>
      </c>
      <c r="R525" s="24">
        <f>R524*(1+((1+VLOOKUP($B525,'IPCA Hist'!$B:$C,2,0))^12 - 1)+$R$2)^(1/252)</f>
        <v>47390586.960196525</v>
      </c>
      <c r="S525" s="24">
        <f>S524*(1+((1+VLOOKUP($B525,'IPCA Hist'!$B:$C,2,0))^12 - 1)+$S$2)^(1/252)</f>
        <v>48418544.362076946</v>
      </c>
      <c r="T525" s="24">
        <f>T524*(1+((1+VLOOKUP($B525,'IPCA Hist'!$B:$C,2,0))^12 - 1)+$T$2)^(1/252)</f>
        <v>244530788.92295462</v>
      </c>
      <c r="U525" s="24">
        <f>U524*(1+((1+VLOOKUP($B525,'IPCA Hist'!$B:$C,2,0))^12 - 1)+$U$2)^(1/252)</f>
        <v>21562904.097793374</v>
      </c>
      <c r="V525" s="24">
        <f>V524*(1+((1+VLOOKUP($B525,'IPCA Hist'!$B:$C,2,0))^12 - 1)+$V$2)^(1/252)</f>
        <v>83923049.738283426</v>
      </c>
      <c r="W525" s="24">
        <f>W524*(1+((1+VLOOKUP($B525,'IPCA Hist'!$B:$C,2,0))^12 - 1)+$W$2)^(1/252)</f>
        <v>44198342.560910895</v>
      </c>
      <c r="X525" s="24">
        <f>X524*(1+((1+VLOOKUP($B525,'IPCA Hist'!$B:$C,2,0))^12 - 1)+$X$2)^(1/252)</f>
        <v>15123875.631131522</v>
      </c>
      <c r="Y525" s="24">
        <f>Y524*(1+((1+VLOOKUP($B525,'IPCA Hist'!$B:$C,2,0))^12 - 1)+$Y$2)^(1/252)</f>
        <v>123366876.68947266</v>
      </c>
      <c r="Z525" s="24">
        <f>Z524*(1+((1+VLOOKUP($B525,'IPCA Hist'!$B:$C,2,0))^12 - 1)+$Z$2)^(1/252)</f>
        <v>84012299.160811812</v>
      </c>
      <c r="AA525" s="24">
        <f>AA524*(1+((1+VLOOKUP($B525,'IPCA Hist'!$B:$C,2,0))^12 - 1)+$AA$2)^(1/252)</f>
        <v>42346155.855993532</v>
      </c>
      <c r="AB525" s="24">
        <f>AB524*(1+((1+VLOOKUP($B525,'IPCA Hist'!$B:$C,2,0))^12 - 1)+$AB$2)^(1/252)</f>
        <v>42359456.615449645</v>
      </c>
      <c r="AC525" s="24">
        <f>AC524*(1+((1+VLOOKUP($B525,'IPCA Hist'!$B:$C,2,0))^12 - 1)+$AC$2)^(1/252)</f>
        <v>5255624.4851632388</v>
      </c>
      <c r="AD525" s="24">
        <f>AD524*(1+((1+VLOOKUP($B525,'IPCA Hist'!$B:$C,2,0))^12 - 1)+$AD$2)^(1/252)</f>
        <v>390912478.31737697</v>
      </c>
      <c r="AE525" s="24">
        <v>0</v>
      </c>
      <c r="AF525" s="24">
        <f>AF524*(1+((1+VLOOKUP($B525,'IGPM Hist'!$B:$C,2,0))^12 - 1)+$AF$2)^(1/252)</f>
        <v>1686414.0981280289</v>
      </c>
      <c r="AG525" s="24">
        <v>0</v>
      </c>
      <c r="AH525" s="24">
        <v>0</v>
      </c>
      <c r="AI525" s="24">
        <v>0</v>
      </c>
      <c r="AJ525" s="24">
        <f t="shared" ref="AJ525:AQ525" si="367">AJ524*(1+AJ$2)^(1/252)</f>
        <v>53732681.785837114</v>
      </c>
      <c r="AK525" s="24">
        <f t="shared" si="367"/>
        <v>176347560.60342938</v>
      </c>
      <c r="AL525" s="24">
        <f t="shared" si="367"/>
        <v>36167128.385946296</v>
      </c>
      <c r="AM525" s="24">
        <f t="shared" si="367"/>
        <v>126620285.13881904</v>
      </c>
      <c r="AN525" s="24">
        <f t="shared" si="367"/>
        <v>54245645.955259606</v>
      </c>
      <c r="AO525" s="24">
        <f t="shared" si="367"/>
        <v>23276284.64274212</v>
      </c>
      <c r="AP525" s="24">
        <f t="shared" si="367"/>
        <v>17709022.14272527</v>
      </c>
      <c r="AQ525" s="24">
        <f t="shared" si="367"/>
        <v>6893076.2023501173</v>
      </c>
      <c r="AR525" s="2">
        <v>54647173.725696005</v>
      </c>
      <c r="AS525" s="24">
        <f t="shared" ref="AS525:AU525" si="368">AS524*(1+AS$2)^(1/252)</f>
        <v>105435742.85968961</v>
      </c>
      <c r="AT525" s="24">
        <f t="shared" si="368"/>
        <v>5354420.7235550089</v>
      </c>
      <c r="AU525" s="24">
        <f t="shared" si="368"/>
        <v>6016256.7863101112</v>
      </c>
      <c r="AV525" s="24">
        <f t="shared" ref="AV525:AY525" si="369">AV524*(1+AV$2)^(1/252)</f>
        <v>53486402.705792338</v>
      </c>
      <c r="AW525" s="24">
        <f t="shared" si="369"/>
        <v>2761193.3066739915</v>
      </c>
      <c r="AX525" s="24">
        <f t="shared" si="369"/>
        <v>3336997.099785482</v>
      </c>
      <c r="AY525" s="24">
        <f t="shared" si="369"/>
        <v>54737560.151696868</v>
      </c>
      <c r="AZ525" s="24">
        <v>0</v>
      </c>
      <c r="BA525" s="24">
        <f>BA524*(1+VLOOKUP(A525,'SELIC Hist'!$A:$C,3,0)-0.01%)^(1/252)</f>
        <v>6089351.7055504378</v>
      </c>
      <c r="BB525" s="24">
        <f t="shared" si="307"/>
        <v>2029347246.2254696</v>
      </c>
      <c r="BC525" s="24">
        <v>0</v>
      </c>
      <c r="BD525" s="24">
        <v>0</v>
      </c>
      <c r="BE525" s="24">
        <f t="shared" si="308"/>
        <v>821880.71406531334</v>
      </c>
      <c r="BF525" s="24">
        <f t="shared" si="309"/>
        <v>13877824.444197178</v>
      </c>
      <c r="BG525" s="24">
        <f t="shared" si="310"/>
        <v>102455770.13466358</v>
      </c>
      <c r="BH525" s="46">
        <f t="shared" si="311"/>
        <v>1.2188957456784497</v>
      </c>
      <c r="BI525" s="47">
        <f t="shared" si="312"/>
        <v>4.0516166474358073E-4</v>
      </c>
      <c r="BJ525" s="47">
        <f t="shared" si="313"/>
        <v>7.2310897303200505E-3</v>
      </c>
      <c r="BK525" s="47">
        <f t="shared" si="314"/>
        <v>5.8408842612515333E-2</v>
      </c>
      <c r="BL525" s="48">
        <f t="shared" si="315"/>
        <v>0.21889574567844972</v>
      </c>
      <c r="BM525" s="49">
        <f t="shared" si="316"/>
        <v>5.2967430781630354E-2</v>
      </c>
      <c r="BN525" s="49">
        <f t="shared" si="317"/>
        <v>0.10272190133630121</v>
      </c>
      <c r="BO525" s="49">
        <f t="shared" si="318"/>
        <v>0.21228769912255796</v>
      </c>
    </row>
    <row r="526" spans="1:67" x14ac:dyDescent="0.25">
      <c r="A526" s="1">
        <v>45863</v>
      </c>
      <c r="B526" s="1" t="str">
        <f t="shared" si="223"/>
        <v>202507</v>
      </c>
      <c r="C526" s="24">
        <v>0</v>
      </c>
      <c r="D526" s="24">
        <v>0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f>Q525*(1+((1+VLOOKUP($B526,'IPCA Hist'!$B:$C,2,0))^12 - 1)+$Q$2)^(1/252)</f>
        <v>47418124.991503224</v>
      </c>
      <c r="R526" s="24">
        <f>R525*(1+((1+VLOOKUP($B526,'IPCA Hist'!$B:$C,2,0))^12 - 1)+$R$2)^(1/252)</f>
        <v>47405660.543358535</v>
      </c>
      <c r="S526" s="24">
        <f>S525*(1+((1+VLOOKUP($B526,'IPCA Hist'!$B:$C,2,0))^12 - 1)+$S$2)^(1/252)</f>
        <v>48433731.915934369</v>
      </c>
      <c r="T526" s="24">
        <f>T525*(1+((1+VLOOKUP($B526,'IPCA Hist'!$B:$C,2,0))^12 - 1)+$T$2)^(1/252)</f>
        <v>244607401.75178847</v>
      </c>
      <c r="U526" s="24">
        <f>U525*(1+((1+VLOOKUP($B526,'IPCA Hist'!$B:$C,2,0))^12 - 1)+$U$2)^(1/252)</f>
        <v>21570721.101264626</v>
      </c>
      <c r="V526" s="24">
        <f>V525*(1+((1+VLOOKUP($B526,'IPCA Hist'!$B:$C,2,0))^12 - 1)+$V$2)^(1/252)</f>
        <v>83957913.790410742</v>
      </c>
      <c r="W526" s="24">
        <f>W525*(1+((1+VLOOKUP($B526,'IPCA Hist'!$B:$C,2,0))^12 - 1)+$W$2)^(1/252)</f>
        <v>44216847.570889823</v>
      </c>
      <c r="X526" s="24">
        <f>X525*(1+((1+VLOOKUP($B526,'IPCA Hist'!$B:$C,2,0))^12 - 1)+$X$2)^(1/252)</f>
        <v>15129920.129154904</v>
      </c>
      <c r="Y526" s="24">
        <f>Y525*(1+((1+VLOOKUP($B526,'IPCA Hist'!$B:$C,2,0))^12 - 1)+$Y$2)^(1/252)</f>
        <v>123418792.43127583</v>
      </c>
      <c r="Z526" s="24">
        <f>Z525*(1+((1+VLOOKUP($B526,'IPCA Hist'!$B:$C,2,0))^12 - 1)+$Z$2)^(1/252)</f>
        <v>84045184.713324323</v>
      </c>
      <c r="AA526" s="24">
        <f>AA525*(1+((1+VLOOKUP($B526,'IPCA Hist'!$B:$C,2,0))^12 - 1)+$AA$2)^(1/252)</f>
        <v>42364579.850874647</v>
      </c>
      <c r="AB526" s="24">
        <f>AB525*(1+((1+VLOOKUP($B526,'IPCA Hist'!$B:$C,2,0))^12 - 1)+$AB$2)^(1/252)</f>
        <v>42377871.325879462</v>
      </c>
      <c r="AC526" s="24">
        <f>AC525*(1+((1+VLOOKUP($B526,'IPCA Hist'!$B:$C,2,0))^12 - 1)+$AC$2)^(1/252)</f>
        <v>5257732.5240779836</v>
      </c>
      <c r="AD526" s="24">
        <f>AD525*(1+((1+VLOOKUP($B526,'IPCA Hist'!$B:$C,2,0))^12 - 1)+$AD$2)^(1/252)</f>
        <v>391069125.20934045</v>
      </c>
      <c r="AE526" s="24">
        <v>0</v>
      </c>
      <c r="AF526" s="24">
        <f>AF525*(1+((1+VLOOKUP($B526,'IGPM Hist'!$B:$C,2,0))^12 - 1)+$AF$2)^(1/252)</f>
        <v>1686237.1536534731</v>
      </c>
      <c r="AG526" s="24">
        <v>0</v>
      </c>
      <c r="AH526" s="24">
        <v>0</v>
      </c>
      <c r="AI526" s="24">
        <v>0</v>
      </c>
      <c r="AJ526" s="24">
        <f t="shared" ref="AJ526:AQ526" si="370">AJ525*(1+AJ$2)^(1/252)</f>
        <v>53757420.455626443</v>
      </c>
      <c r="AK526" s="24">
        <f t="shared" si="370"/>
        <v>176432761.20352304</v>
      </c>
      <c r="AL526" s="24">
        <f t="shared" si="370"/>
        <v>36184608.537025541</v>
      </c>
      <c r="AM526" s="24">
        <f t="shared" si="370"/>
        <v>126681449.36444858</v>
      </c>
      <c r="AN526" s="24">
        <f t="shared" si="370"/>
        <v>54271868.509565666</v>
      </c>
      <c r="AO526" s="24">
        <f t="shared" si="370"/>
        <v>23289635.363712985</v>
      </c>
      <c r="AP526" s="24">
        <f t="shared" si="370"/>
        <v>17717870.05487169</v>
      </c>
      <c r="AQ526" s="24">
        <f t="shared" si="370"/>
        <v>6896532.8373698825</v>
      </c>
      <c r="AR526" s="2">
        <v>54647173.725696005</v>
      </c>
      <c r="AS526" s="24">
        <f t="shared" ref="AS526:AU526" si="371">AS525*(1+AS$2)^(1/252)</f>
        <v>105482717.30604553</v>
      </c>
      <c r="AT526" s="24">
        <f t="shared" si="371"/>
        <v>5357450.057857722</v>
      </c>
      <c r="AU526" s="24">
        <f t="shared" si="371"/>
        <v>6019252.1401190525</v>
      </c>
      <c r="AV526" s="24">
        <f t="shared" ref="AV526:AY526" si="372">AV525*(1+AV$2)^(1/252)</f>
        <v>53510744.165302061</v>
      </c>
      <c r="AW526" s="24">
        <f t="shared" si="372"/>
        <v>2762735.5055713458</v>
      </c>
      <c r="AX526" s="24">
        <f t="shared" si="372"/>
        <v>3338670.4863399556</v>
      </c>
      <c r="AY526" s="24">
        <f t="shared" si="372"/>
        <v>54766036.159221485</v>
      </c>
      <c r="AZ526" s="24">
        <v>0</v>
      </c>
      <c r="BA526" s="24">
        <f>BA525*(1+VLOOKUP(A526,'SELIC Hist'!$A:$C,3,0)-0.01%)^(1/252)</f>
        <v>6092706.7256408297</v>
      </c>
      <c r="BB526" s="24">
        <f t="shared" si="307"/>
        <v>2030169477.6006689</v>
      </c>
      <c r="BC526" s="24">
        <v>0</v>
      </c>
      <c r="BD526" s="24">
        <v>0</v>
      </c>
      <c r="BE526" s="24">
        <f t="shared" si="308"/>
        <v>822231.37519931793</v>
      </c>
      <c r="BF526" s="24">
        <f t="shared" si="309"/>
        <v>14700055.819396496</v>
      </c>
      <c r="BG526" s="24">
        <f t="shared" si="310"/>
        <v>103278001.5098629</v>
      </c>
      <c r="BH526" s="46">
        <f t="shared" si="311"/>
        <v>1.2193896061190708</v>
      </c>
      <c r="BI526" s="47">
        <f t="shared" si="312"/>
        <v>4.0517037028964253E-4</v>
      </c>
      <c r="BJ526" s="47">
        <f t="shared" si="313"/>
        <v>7.6391899239132144E-3</v>
      </c>
      <c r="BK526" s="47">
        <f t="shared" si="314"/>
        <v>5.8837678515194503E-2</v>
      </c>
      <c r="BL526" s="48">
        <f t="shared" si="315"/>
        <v>0.21938960611907077</v>
      </c>
      <c r="BM526" s="49">
        <f t="shared" si="316"/>
        <v>5.3006079528338024E-2</v>
      </c>
      <c r="BN526" s="49">
        <f t="shared" si="317"/>
        <v>0.10297002298561542</v>
      </c>
      <c r="BO526" s="49">
        <f t="shared" si="318"/>
        <v>0.21239695990450658</v>
      </c>
    </row>
    <row r="527" spans="1:67" x14ac:dyDescent="0.25">
      <c r="A527" s="1">
        <v>45866</v>
      </c>
      <c r="B527" s="1" t="str">
        <f t="shared" si="223"/>
        <v>202507</v>
      </c>
      <c r="C527" s="24">
        <v>0</v>
      </c>
      <c r="D527" s="24">
        <v>0</v>
      </c>
      <c r="E527" s="24">
        <v>0</v>
      </c>
      <c r="F527" s="24">
        <v>0</v>
      </c>
      <c r="G527" s="24">
        <v>0</v>
      </c>
      <c r="H527" s="24">
        <v>0</v>
      </c>
      <c r="I527" s="24">
        <v>0</v>
      </c>
      <c r="J527" s="24">
        <v>0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f>Q526*(1+((1+VLOOKUP($B527,'IPCA Hist'!$B:$C,2,0))^12 - 1)+$Q$2)^(1/252)</f>
        <v>47433189.959832765</v>
      </c>
      <c r="R527" s="24">
        <f>R526*(1+((1+VLOOKUP($B527,'IPCA Hist'!$B:$C,2,0))^12 - 1)+$R$2)^(1/252)</f>
        <v>47420738.920993961</v>
      </c>
      <c r="S527" s="24">
        <f>S526*(1+((1+VLOOKUP($B527,'IPCA Hist'!$B:$C,2,0))^12 - 1)+$S$2)^(1/252)</f>
        <v>48448924.233706012</v>
      </c>
      <c r="T527" s="24">
        <f>T526*(1+((1+VLOOKUP($B527,'IPCA Hist'!$B:$C,2,0))^12 - 1)+$T$2)^(1/252)</f>
        <v>244684038.58383912</v>
      </c>
      <c r="U527" s="24">
        <f>U526*(1+((1+VLOOKUP($B527,'IPCA Hist'!$B:$C,2,0))^12 - 1)+$U$2)^(1/252)</f>
        <v>21578540.938563038</v>
      </c>
      <c r="V527" s="24">
        <f>V526*(1+((1+VLOOKUP($B527,'IPCA Hist'!$B:$C,2,0))^12 - 1)+$V$2)^(1/252)</f>
        <v>83992792.326069519</v>
      </c>
      <c r="W527" s="24">
        <f>W526*(1+((1+VLOOKUP($B527,'IPCA Hist'!$B:$C,2,0))^12 - 1)+$W$2)^(1/252)</f>
        <v>44235360.328566387</v>
      </c>
      <c r="X527" s="24">
        <f>X526*(1+((1+VLOOKUP($B527,'IPCA Hist'!$B:$C,2,0))^12 - 1)+$X$2)^(1/252)</f>
        <v>15135967.042958291</v>
      </c>
      <c r="Y527" s="24">
        <f>Y526*(1+((1+VLOOKUP($B527,'IPCA Hist'!$B:$C,2,0))^12 - 1)+$Y$2)^(1/252)</f>
        <v>123470730.02046882</v>
      </c>
      <c r="Z527" s="24">
        <f>Z526*(1+((1+VLOOKUP($B527,'IPCA Hist'!$B:$C,2,0))^12 - 1)+$Z$2)^(1/252)</f>
        <v>84078083.13847065</v>
      </c>
      <c r="AA527" s="24">
        <f>AA526*(1+((1+VLOOKUP($B527,'IPCA Hist'!$B:$C,2,0))^12 - 1)+$AA$2)^(1/252)</f>
        <v>42383011.861680247</v>
      </c>
      <c r="AB527" s="24">
        <f>AB526*(1+((1+VLOOKUP($B527,'IPCA Hist'!$B:$C,2,0))^12 - 1)+$AB$2)^(1/252)</f>
        <v>42396294.041642383</v>
      </c>
      <c r="AC527" s="24">
        <f>AC526*(1+((1+VLOOKUP($B527,'IPCA Hist'!$B:$C,2,0))^12 - 1)+$AC$2)^(1/252)</f>
        <v>5259841.4085303191</v>
      </c>
      <c r="AD527" s="24">
        <f>AD526*(1+((1+VLOOKUP($B527,'IPCA Hist'!$B:$C,2,0))^12 - 1)+$AD$2)^(1/252)</f>
        <v>391225834.87302423</v>
      </c>
      <c r="AE527" s="24">
        <v>0</v>
      </c>
      <c r="AF527" s="24">
        <f>AF526*(1+((1+VLOOKUP($B527,'IGPM Hist'!$B:$C,2,0))^12 - 1)+$AF$2)^(1/252)</f>
        <v>1686060.2277445514</v>
      </c>
      <c r="AG527" s="24">
        <v>0</v>
      </c>
      <c r="AH527" s="24">
        <v>0</v>
      </c>
      <c r="AI527" s="24">
        <v>0</v>
      </c>
      <c r="AJ527" s="24">
        <f t="shared" ref="AJ527:AQ527" si="373">AJ526*(1+AJ$2)^(1/252)</f>
        <v>53782170.515165225</v>
      </c>
      <c r="AK527" s="24">
        <f t="shared" si="373"/>
        <v>176518002.96745381</v>
      </c>
      <c r="AL527" s="24">
        <f t="shared" si="373"/>
        <v>36202097.136541128</v>
      </c>
      <c r="AM527" s="24">
        <f t="shared" si="373"/>
        <v>126742643.13560073</v>
      </c>
      <c r="AN527" s="24">
        <f t="shared" si="373"/>
        <v>54298103.739955537</v>
      </c>
      <c r="AO527" s="24">
        <f t="shared" si="373"/>
        <v>23302993.742338546</v>
      </c>
      <c r="AP527" s="24">
        <f t="shared" si="373"/>
        <v>17726722.387677182</v>
      </c>
      <c r="AQ527" s="24">
        <f t="shared" si="373"/>
        <v>6899991.2057704069</v>
      </c>
      <c r="AR527" s="2">
        <v>54647173.725696005</v>
      </c>
      <c r="AS527" s="24">
        <f t="shared" ref="AS527:AU527" si="374">AS526*(1+AS$2)^(1/252)</f>
        <v>105529712.68077499</v>
      </c>
      <c r="AT527" s="24">
        <f t="shared" si="374"/>
        <v>5360481.1060463609</v>
      </c>
      <c r="AU527" s="24">
        <f t="shared" si="374"/>
        <v>6022248.9852447305</v>
      </c>
      <c r="AV527" s="24">
        <f t="shared" ref="AV527:AY527" si="375">AV526*(1+AV$2)^(1/252)</f>
        <v>53535096.702517912</v>
      </c>
      <c r="AW527" s="24">
        <f t="shared" si="375"/>
        <v>2764278.5658272416</v>
      </c>
      <c r="AX527" s="24">
        <f t="shared" si="375"/>
        <v>3340344.7120388686</v>
      </c>
      <c r="AY527" s="24">
        <f t="shared" si="375"/>
        <v>54794526.980760507</v>
      </c>
      <c r="AZ527" s="24">
        <v>0</v>
      </c>
      <c r="BA527" s="24">
        <f>BA526*(1+VLOOKUP(A527,'SELIC Hist'!$A:$C,3,0)-0.01%)^(1/252)</f>
        <v>6096063.5942301014</v>
      </c>
      <c r="BB527" s="24">
        <f t="shared" si="307"/>
        <v>2030992059.7897301</v>
      </c>
      <c r="BC527" s="24">
        <v>0</v>
      </c>
      <c r="BD527" s="24">
        <v>0</v>
      </c>
      <c r="BE527" s="24">
        <f t="shared" si="308"/>
        <v>822582.18906116486</v>
      </c>
      <c r="BF527" s="24">
        <f t="shared" si="309"/>
        <v>15522638.008457661</v>
      </c>
      <c r="BG527" s="24">
        <f t="shared" si="310"/>
        <v>104100583.69892406</v>
      </c>
      <c r="BH527" s="46">
        <f t="shared" si="311"/>
        <v>1.2198836772705615</v>
      </c>
      <c r="BI527" s="47">
        <f t="shared" si="312"/>
        <v>4.0517907403136988E-4</v>
      </c>
      <c r="BJ527" s="47">
        <f t="shared" si="313"/>
        <v>8.047464237844304E-3</v>
      </c>
      <c r="BK527" s="47">
        <f t="shared" si="314"/>
        <v>5.9266697385324862E-2</v>
      </c>
      <c r="BL527" s="48">
        <f t="shared" si="315"/>
        <v>0.21988367727056146</v>
      </c>
      <c r="BM527" s="49">
        <f t="shared" si="316"/>
        <v>5.3044730020803676E-2</v>
      </c>
      <c r="BN527" s="49">
        <f t="shared" si="317"/>
        <v>0.10278455760212468</v>
      </c>
      <c r="BO527" s="49">
        <f t="shared" si="318"/>
        <v>0.21250622912464356</v>
      </c>
    </row>
    <row r="528" spans="1:67" x14ac:dyDescent="0.25">
      <c r="A528" s="1">
        <v>45867</v>
      </c>
      <c r="B528" s="1" t="str">
        <f t="shared" si="223"/>
        <v>202507</v>
      </c>
      <c r="C528" s="24">
        <v>0</v>
      </c>
      <c r="D528" s="24">
        <v>0</v>
      </c>
      <c r="E528" s="24">
        <v>0</v>
      </c>
      <c r="F528" s="24">
        <v>0</v>
      </c>
      <c r="G528" s="24">
        <v>0</v>
      </c>
      <c r="H528" s="24">
        <v>0</v>
      </c>
      <c r="I528" s="24">
        <v>0</v>
      </c>
      <c r="J528" s="24">
        <v>0</v>
      </c>
      <c r="K528" s="24">
        <v>0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f>Q527*(1+((1+VLOOKUP($B528,'IPCA Hist'!$B:$C,2,0))^12 - 1)+$Q$2)^(1/252)</f>
        <v>47448259.714375824</v>
      </c>
      <c r="R528" s="24">
        <f>R527*(1+((1+VLOOKUP($B528,'IPCA Hist'!$B:$C,2,0))^12 - 1)+$R$2)^(1/252)</f>
        <v>47435822.09462779</v>
      </c>
      <c r="S528" s="24">
        <f>S527*(1+((1+VLOOKUP($B528,'IPCA Hist'!$B:$C,2,0))^12 - 1)+$S$2)^(1/252)</f>
        <v>48464121.316886194</v>
      </c>
      <c r="T528" s="24">
        <f>T527*(1+((1+VLOOKUP($B528,'IPCA Hist'!$B:$C,2,0))^12 - 1)+$T$2)^(1/252)</f>
        <v>244760699.42662692</v>
      </c>
      <c r="U528" s="24">
        <f>U527*(1+((1+VLOOKUP($B528,'IPCA Hist'!$B:$C,2,0))^12 - 1)+$U$2)^(1/252)</f>
        <v>21586363.610715929</v>
      </c>
      <c r="V528" s="24">
        <f>V527*(1+((1+VLOOKUP($B528,'IPCA Hist'!$B:$C,2,0))^12 - 1)+$V$2)^(1/252)</f>
        <v>84027685.351276621</v>
      </c>
      <c r="W528" s="24">
        <f>W527*(1+((1+VLOOKUP($B528,'IPCA Hist'!$B:$C,2,0))^12 - 1)+$W$2)^(1/252)</f>
        <v>44253880.837184407</v>
      </c>
      <c r="X528" s="24">
        <f>X527*(1+((1+VLOOKUP($B528,'IPCA Hist'!$B:$C,2,0))^12 - 1)+$X$2)^(1/252)</f>
        <v>15142016.373507189</v>
      </c>
      <c r="Y528" s="24">
        <f>Y527*(1+((1+VLOOKUP($B528,'IPCA Hist'!$B:$C,2,0))^12 - 1)+$Y$2)^(1/252)</f>
        <v>123522689.46624555</v>
      </c>
      <c r="Z528" s="24">
        <f>Z527*(1+((1+VLOOKUP($B528,'IPCA Hist'!$B:$C,2,0))^12 - 1)+$Z$2)^(1/252)</f>
        <v>84110994.441289634</v>
      </c>
      <c r="AA528" s="24">
        <f>AA527*(1+((1+VLOOKUP($B528,'IPCA Hist'!$B:$C,2,0))^12 - 1)+$AA$2)^(1/252)</f>
        <v>42401451.891897902</v>
      </c>
      <c r="AB528" s="24">
        <f>AB527*(1+((1+VLOOKUP($B528,'IPCA Hist'!$B:$C,2,0))^12 - 1)+$AB$2)^(1/252)</f>
        <v>42414724.766218521</v>
      </c>
      <c r="AC528" s="24">
        <f>AC527*(1+((1+VLOOKUP($B528,'IPCA Hist'!$B:$C,2,0))^12 - 1)+$AC$2)^(1/252)</f>
        <v>5261951.1388593921</v>
      </c>
      <c r="AD528" s="24">
        <f>AD527*(1+((1+VLOOKUP($B528,'IPCA Hist'!$B:$C,2,0))^12 - 1)+$AD$2)^(1/252)</f>
        <v>391382607.33358228</v>
      </c>
      <c r="AE528" s="24">
        <v>0</v>
      </c>
      <c r="AF528" s="24">
        <f>AF527*(1+((1+VLOOKUP($B528,'IGPM Hist'!$B:$C,2,0))^12 - 1)+$AF$2)^(1/252)</f>
        <v>1685883.3203993158</v>
      </c>
      <c r="AG528" s="24">
        <v>0</v>
      </c>
      <c r="AH528" s="24">
        <v>0</v>
      </c>
      <c r="AI528" s="24">
        <v>0</v>
      </c>
      <c r="AJ528" s="24">
        <f t="shared" ref="AJ528:AQ528" si="376">AJ527*(1+AJ$2)^(1/252)</f>
        <v>53806931.969697326</v>
      </c>
      <c r="AK528" s="24">
        <f t="shared" si="376"/>
        <v>176603285.91510957</v>
      </c>
      <c r="AL528" s="24">
        <f t="shared" si="376"/>
        <v>36219594.188576318</v>
      </c>
      <c r="AM528" s="24">
        <f t="shared" si="376"/>
        <v>126803866.46654752</v>
      </c>
      <c r="AN528" s="24">
        <f t="shared" si="376"/>
        <v>54324351.652556881</v>
      </c>
      <c r="AO528" s="24">
        <f t="shared" si="376"/>
        <v>23316359.783011053</v>
      </c>
      <c r="AP528" s="24">
        <f t="shared" si="376"/>
        <v>17735579.143350422</v>
      </c>
      <c r="AQ528" s="24">
        <f t="shared" si="376"/>
        <v>6903451.3084209198</v>
      </c>
      <c r="AR528" s="2">
        <v>54647173.725696005</v>
      </c>
      <c r="AS528" s="24">
        <f t="shared" ref="AS528:AU528" si="377">AS527*(1+AS$2)^(1/252)</f>
        <v>105576728.99320212</v>
      </c>
      <c r="AT528" s="24">
        <f t="shared" si="377"/>
        <v>5363513.8690905785</v>
      </c>
      <c r="AU528" s="24">
        <f t="shared" si="377"/>
        <v>6025247.3224296374</v>
      </c>
      <c r="AV528" s="24">
        <f t="shared" ref="AV528:AY528" si="378">AV527*(1+AV$2)^(1/252)</f>
        <v>53559460.322481312</v>
      </c>
      <c r="AW528" s="24">
        <f t="shared" si="378"/>
        <v>2765822.48792277</v>
      </c>
      <c r="AX528" s="24">
        <f t="shared" si="378"/>
        <v>3342019.7773030223</v>
      </c>
      <c r="AY528" s="24">
        <f t="shared" si="378"/>
        <v>54823032.624020599</v>
      </c>
      <c r="AZ528" s="24">
        <v>0</v>
      </c>
      <c r="BA528" s="24">
        <v>6053501.0999999996</v>
      </c>
      <c r="BB528" s="24">
        <f t="shared" si="307"/>
        <v>2031769071.7331092</v>
      </c>
      <c r="BC528" s="24">
        <v>0</v>
      </c>
      <c r="BD528" s="24">
        <v>0</v>
      </c>
      <c r="BE528" s="24">
        <f t="shared" si="308"/>
        <v>777011.94337916374</v>
      </c>
      <c r="BF528" s="24">
        <f t="shared" si="309"/>
        <v>16299649.951836824</v>
      </c>
      <c r="BG528" s="24">
        <f t="shared" si="310"/>
        <v>104877595.64230323</v>
      </c>
      <c r="BH528" s="46">
        <f t="shared" si="311"/>
        <v>1.2203503773653273</v>
      </c>
      <c r="BI528" s="47">
        <f t="shared" si="312"/>
        <v>3.825775387125141E-4</v>
      </c>
      <c r="BJ528" s="47">
        <f t="shared" si="313"/>
        <v>8.4331205556178457E-3</v>
      </c>
      <c r="BK528" s="47">
        <f t="shared" si="314"/>
        <v>5.9671949031250726E-2</v>
      </c>
      <c r="BL528" s="48">
        <f t="shared" si="315"/>
        <v>0.22035037736532725</v>
      </c>
      <c r="BM528" s="49">
        <f t="shared" si="316"/>
        <v>5.305958143566003E-2</v>
      </c>
      <c r="BN528" s="49">
        <f t="shared" si="317"/>
        <v>0.10328141308168415</v>
      </c>
      <c r="BO528" s="49">
        <f t="shared" si="318"/>
        <v>0.21258810036038267</v>
      </c>
    </row>
    <row r="529" spans="1:67" x14ac:dyDescent="0.25">
      <c r="A529" s="1">
        <v>45868</v>
      </c>
      <c r="B529" s="1" t="str">
        <f t="shared" si="223"/>
        <v>202507</v>
      </c>
      <c r="C529" s="24">
        <v>0</v>
      </c>
      <c r="D529" s="24">
        <v>0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</v>
      </c>
      <c r="L529" s="24">
        <v>0</v>
      </c>
      <c r="M529" s="24">
        <v>0</v>
      </c>
      <c r="N529" s="24">
        <v>0</v>
      </c>
      <c r="O529" s="24">
        <v>0</v>
      </c>
      <c r="P529" s="24">
        <v>0</v>
      </c>
      <c r="Q529" s="24">
        <f>Q528*(1+((1+VLOOKUP($B529,'IPCA Hist'!$B:$C,2,0))^12 - 1)+$Q$2)^(1/252)</f>
        <v>47463334.256653003</v>
      </c>
      <c r="R529" s="24">
        <f>R528*(1+((1+VLOOKUP($B529,'IPCA Hist'!$B:$C,2,0))^12 - 1)+$R$2)^(1/252)</f>
        <v>47450910.065785483</v>
      </c>
      <c r="S529" s="24">
        <f>S528*(1+((1+VLOOKUP($B529,'IPCA Hist'!$B:$C,2,0))^12 - 1)+$S$2)^(1/252)</f>
        <v>48479323.166969679</v>
      </c>
      <c r="T529" s="24">
        <f>T528*(1+((1+VLOOKUP($B529,'IPCA Hist'!$B:$C,2,0))^12 - 1)+$T$2)^(1/252)</f>
        <v>244837384.28767455</v>
      </c>
      <c r="U529" s="24">
        <f>U528*(1+((1+VLOOKUP($B529,'IPCA Hist'!$B:$C,2,0))^12 - 1)+$U$2)^(1/252)</f>
        <v>21594189.118750997</v>
      </c>
      <c r="V529" s="24">
        <f>V528*(1+((1+VLOOKUP($B529,'IPCA Hist'!$B:$C,2,0))^12 - 1)+$V$2)^(1/252)</f>
        <v>84062592.872051433</v>
      </c>
      <c r="W529" s="24">
        <f>W528*(1+((1+VLOOKUP($B529,'IPCA Hist'!$B:$C,2,0))^12 - 1)+$W$2)^(1/252)</f>
        <v>44272409.099989049</v>
      </c>
      <c r="X529" s="24">
        <f>X528*(1+((1+VLOOKUP($B529,'IPCA Hist'!$B:$C,2,0))^12 - 1)+$X$2)^(1/252)</f>
        <v>15148068.121767487</v>
      </c>
      <c r="Y529" s="24">
        <f>Y528*(1+((1+VLOOKUP($B529,'IPCA Hist'!$B:$C,2,0))^12 - 1)+$Y$2)^(1/252)</f>
        <v>123574670.77780378</v>
      </c>
      <c r="Z529" s="24">
        <f>Z528*(1+((1+VLOOKUP($B529,'IPCA Hist'!$B:$C,2,0))^12 - 1)+$Z$2)^(1/252)</f>
        <v>84143918.626822084</v>
      </c>
      <c r="AA529" s="24">
        <f>AA528*(1+((1+VLOOKUP($B529,'IPCA Hist'!$B:$C,2,0))^12 - 1)+$AA$2)^(1/252)</f>
        <v>42419899.945016704</v>
      </c>
      <c r="AB529" s="24">
        <f>AB528*(1+((1+VLOOKUP($B529,'IPCA Hist'!$B:$C,2,0))^12 - 1)+$AB$2)^(1/252)</f>
        <v>42433163.50308951</v>
      </c>
      <c r="AC529" s="24">
        <f>AC528*(1+((1+VLOOKUP($B529,'IPCA Hist'!$B:$C,2,0))^12 - 1)+$AC$2)^(1/252)</f>
        <v>5264061.7154044844</v>
      </c>
      <c r="AD529" s="24">
        <f>AD528*(1+((1+VLOOKUP($B529,'IPCA Hist'!$B:$C,2,0))^12 - 1)+$AD$2)^(1/252)</f>
        <v>391539442.61617869</v>
      </c>
      <c r="AE529" s="24">
        <v>0</v>
      </c>
      <c r="AF529" s="24">
        <f>AF528*(1+((1+VLOOKUP($B529,'IGPM Hist'!$B:$C,2,0))^12 - 1)+$AF$2)^(1/252)</f>
        <v>1685706.4316158185</v>
      </c>
      <c r="AG529" s="24">
        <v>0</v>
      </c>
      <c r="AH529" s="24">
        <v>0</v>
      </c>
      <c r="AI529" s="24">
        <v>0</v>
      </c>
      <c r="AJ529" s="24">
        <f t="shared" ref="AJ529:AQ529" si="379">AJ528*(1+AJ$2)^(1/252)</f>
        <v>53831704.824469037</v>
      </c>
      <c r="AK529" s="24">
        <f t="shared" si="379"/>
        <v>176688610.06638783</v>
      </c>
      <c r="AL529" s="24">
        <f t="shared" si="379"/>
        <v>36237099.697216354</v>
      </c>
      <c r="AM529" s="24">
        <f t="shared" si="379"/>
        <v>126865119.37156788</v>
      </c>
      <c r="AN529" s="24">
        <f t="shared" si="379"/>
        <v>54350612.253500335</v>
      </c>
      <c r="AO529" s="24">
        <f t="shared" si="379"/>
        <v>23329733.490125272</v>
      </c>
      <c r="AP529" s="24">
        <f t="shared" si="379"/>
        <v>17744440.324101202</v>
      </c>
      <c r="AQ529" s="24">
        <f t="shared" si="379"/>
        <v>6906913.1461910866</v>
      </c>
      <c r="AR529" s="2">
        <v>54647173.725696005</v>
      </c>
      <c r="AS529" s="24">
        <f t="shared" ref="AS529:AU529" si="380">AS528*(1+AS$2)^(1/252)</f>
        <v>105623766.25265525</v>
      </c>
      <c r="AT529" s="24">
        <f t="shared" si="380"/>
        <v>5366548.3479605783</v>
      </c>
      <c r="AU529" s="24">
        <f t="shared" si="380"/>
        <v>6028247.1524166353</v>
      </c>
      <c r="AV529" s="24">
        <f t="shared" ref="AV529:AY529" si="381">AV528*(1+AV$2)^(1/252)</f>
        <v>53583835.030235983</v>
      </c>
      <c r="AW529" s="24">
        <f t="shared" si="381"/>
        <v>2767367.2723392909</v>
      </c>
      <c r="AX529" s="24">
        <f t="shared" si="381"/>
        <v>3343695.6825534292</v>
      </c>
      <c r="AY529" s="24">
        <f t="shared" si="381"/>
        <v>54851553.096712425</v>
      </c>
      <c r="AZ529" s="24">
        <v>0</v>
      </c>
      <c r="BA529" s="24">
        <f>BA528*(1+VLOOKUP(A529,'SELIC Hist'!$A:$C,3,0)-0.01%)^(1/252)</f>
        <v>6056836.3676589848</v>
      </c>
      <c r="BB529" s="24">
        <f t="shared" si="307"/>
        <v>2032592330.7073607</v>
      </c>
      <c r="BC529" s="24">
        <v>0</v>
      </c>
      <c r="BD529" s="24">
        <v>0</v>
      </c>
      <c r="BE529" s="24">
        <f t="shared" si="308"/>
        <v>823258.97425150871</v>
      </c>
      <c r="BF529" s="24">
        <f t="shared" si="309"/>
        <v>17122908.926088333</v>
      </c>
      <c r="BG529" s="24">
        <f t="shared" si="310"/>
        <v>105700854.61655474</v>
      </c>
      <c r="BH529" s="46">
        <f t="shared" si="311"/>
        <v>1.2208448550172781</v>
      </c>
      <c r="BI529" s="47">
        <f t="shared" si="312"/>
        <v>4.0519318150122885E-4</v>
      </c>
      <c r="BJ529" s="47">
        <f t="shared" si="313"/>
        <v>8.8417307800670031E-3</v>
      </c>
      <c r="BK529" s="47">
        <f t="shared" si="314"/>
        <v>6.0101320879626385E-2</v>
      </c>
      <c r="BL529" s="48">
        <f t="shared" si="315"/>
        <v>0.22084485501727813</v>
      </c>
      <c r="BM529" s="49">
        <f t="shared" si="316"/>
        <v>5.3098231071749602E-2</v>
      </c>
      <c r="BN529" s="49">
        <f t="shared" si="317"/>
        <v>0.10289438440622511</v>
      </c>
      <c r="BO529" s="49">
        <f t="shared" si="318"/>
        <v>0.21269737998410165</v>
      </c>
    </row>
    <row r="530" spans="1:67" x14ac:dyDescent="0.25">
      <c r="A530" s="1">
        <v>45869</v>
      </c>
      <c r="B530" s="1" t="str">
        <f t="shared" si="223"/>
        <v>202507</v>
      </c>
      <c r="C530" s="24">
        <v>0</v>
      </c>
      <c r="D530" s="24">
        <v>0</v>
      </c>
      <c r="E530" s="24">
        <v>0</v>
      </c>
      <c r="F530" s="24">
        <v>0</v>
      </c>
      <c r="G530" s="24">
        <v>0</v>
      </c>
      <c r="H530" s="24">
        <v>0</v>
      </c>
      <c r="I530" s="24">
        <v>0</v>
      </c>
      <c r="J530" s="24">
        <v>0</v>
      </c>
      <c r="K530" s="24">
        <v>0</v>
      </c>
      <c r="L530" s="24">
        <v>0</v>
      </c>
      <c r="M530" s="24">
        <v>0</v>
      </c>
      <c r="N530" s="24">
        <v>0</v>
      </c>
      <c r="O530" s="24">
        <v>0</v>
      </c>
      <c r="P530" s="24">
        <v>0</v>
      </c>
      <c r="Q530" s="24">
        <f>Q529*(1+((1+VLOOKUP($B530,'IPCA Hist'!$B:$C,2,0))^12 - 1)+$Q$2)^(1/252)</f>
        <v>47478413.588185385</v>
      </c>
      <c r="R530" s="24">
        <f>R529*(1+((1+VLOOKUP($B530,'IPCA Hist'!$B:$C,2,0))^12 - 1)+$R$2)^(1/252)</f>
        <v>47466002.835992999</v>
      </c>
      <c r="S530" s="24">
        <f>S529*(1+((1+VLOOKUP($B530,'IPCA Hist'!$B:$C,2,0))^12 - 1)+$S$2)^(1/252)</f>
        <v>48494529.785451718</v>
      </c>
      <c r="T530" s="24">
        <f>T529*(1+((1+VLOOKUP($B530,'IPCA Hist'!$B:$C,2,0))^12 - 1)+$T$2)^(1/252)</f>
        <v>244914093.17450708</v>
      </c>
      <c r="U530" s="24">
        <f>U529*(1+((1+VLOOKUP($B530,'IPCA Hist'!$B:$C,2,0))^12 - 1)+$U$2)^(1/252)</f>
        <v>21602017.463696305</v>
      </c>
      <c r="V530" s="24">
        <f>V529*(1+((1+VLOOKUP($B530,'IPCA Hist'!$B:$C,2,0))^12 - 1)+$V$2)^(1/252)</f>
        <v>84097514.894415826</v>
      </c>
      <c r="W530" s="24">
        <f>W529*(1+((1+VLOOKUP($B530,'IPCA Hist'!$B:$C,2,0))^12 - 1)+$W$2)^(1/252)</f>
        <v>44290945.120226853</v>
      </c>
      <c r="X530" s="24">
        <f>X529*(1+((1+VLOOKUP($B530,'IPCA Hist'!$B:$C,2,0))^12 - 1)+$X$2)^(1/252)</f>
        <v>15154122.288705464</v>
      </c>
      <c r="Y530" s="24">
        <f>Y529*(1+((1+VLOOKUP($B530,'IPCA Hist'!$B:$C,2,0))^12 - 1)+$Y$2)^(1/252)</f>
        <v>123626673.96434517</v>
      </c>
      <c r="Z530" s="24">
        <f>Z529*(1+((1+VLOOKUP($B530,'IPCA Hist'!$B:$C,2,0))^12 - 1)+$Z$2)^(1/252)</f>
        <v>84176855.700110763</v>
      </c>
      <c r="AA530" s="24">
        <f>AA529*(1+((1+VLOOKUP($B530,'IPCA Hist'!$B:$C,2,0))^12 - 1)+$AA$2)^(1/252)</f>
        <v>42438356.024527259</v>
      </c>
      <c r="AB530" s="24">
        <f>AB529*(1+((1+VLOOKUP($B530,'IPCA Hist'!$B:$C,2,0))^12 - 1)+$AB$2)^(1/252)</f>
        <v>42451610.255738489</v>
      </c>
      <c r="AC530" s="24">
        <f>AC529*(1+((1+VLOOKUP($B530,'IPCA Hist'!$B:$C,2,0))^12 - 1)+$AC$2)^(1/252)</f>
        <v>5266173.1385050155</v>
      </c>
      <c r="AD530" s="24">
        <f>AD529*(1+((1+VLOOKUP($B530,'IPCA Hist'!$B:$C,2,0))^12 - 1)+$AD$2)^(1/252)</f>
        <v>391696340.74598753</v>
      </c>
      <c r="AE530" s="24">
        <v>0</v>
      </c>
      <c r="AF530" s="24">
        <f>AF529*(1+((1+VLOOKUP($B530,'IGPM Hist'!$B:$C,2,0))^12 - 1)+$AF$2)^(1/252)</f>
        <v>1685529.5613921119</v>
      </c>
      <c r="AG530" s="24">
        <v>0</v>
      </c>
      <c r="AH530" s="24">
        <v>0</v>
      </c>
      <c r="AI530" s="24">
        <v>0</v>
      </c>
      <c r="AJ530" s="24">
        <f t="shared" ref="AJ530:AQ530" si="382">AJ529*(1+AJ$2)^(1/252)</f>
        <v>53856489.084729061</v>
      </c>
      <c r="AK530" s="24">
        <f t="shared" si="382"/>
        <v>176773975.44119573</v>
      </c>
      <c r="AL530" s="24">
        <f t="shared" si="382"/>
        <v>36254613.666548438</v>
      </c>
      <c r="AM530" s="24">
        <f t="shared" si="382"/>
        <v>126926401.86494762</v>
      </c>
      <c r="AN530" s="24">
        <f t="shared" si="382"/>
        <v>54376885.548919484</v>
      </c>
      <c r="AO530" s="24">
        <f t="shared" si="382"/>
        <v>23343114.868078493</v>
      </c>
      <c r="AP530" s="24">
        <f t="shared" si="382"/>
        <v>17753305.93214041</v>
      </c>
      <c r="AQ530" s="24">
        <f t="shared" si="382"/>
        <v>6910376.7199510084</v>
      </c>
      <c r="AR530" s="2">
        <v>54647173.725696005</v>
      </c>
      <c r="AS530" s="24">
        <f t="shared" ref="AS530:AU530" si="383">AS529*(1+AS$2)^(1/252)</f>
        <v>105670824.46846683</v>
      </c>
      <c r="AT530" s="24">
        <f t="shared" si="383"/>
        <v>5369584.5436271103</v>
      </c>
      <c r="AU530" s="24">
        <f t="shared" si="383"/>
        <v>6031248.4759489549</v>
      </c>
      <c r="AV530" s="24">
        <f t="shared" ref="AV530:AY530" si="384">AV529*(1+AV$2)^(1/252)</f>
        <v>53608220.830827929</v>
      </c>
      <c r="AW530" s="24">
        <f t="shared" si="384"/>
        <v>2768912.9195584338</v>
      </c>
      <c r="AX530" s="24">
        <f t="shared" si="384"/>
        <v>3345372.4282113127</v>
      </c>
      <c r="AY530" s="24">
        <f t="shared" si="384"/>
        <v>54880088.406550683</v>
      </c>
      <c r="AZ530" s="24">
        <v>0</v>
      </c>
      <c r="BA530" s="24">
        <f>BA529*(1+VLOOKUP(A530,'SELIC Hist'!$A:$C,3,0)-0.01%)^(1/252)</f>
        <v>6060173.4729339499</v>
      </c>
      <c r="BB530" s="24">
        <f t="shared" si="307"/>
        <v>2033415940.940119</v>
      </c>
      <c r="BC530" s="24">
        <v>0</v>
      </c>
      <c r="BD530" s="24">
        <v>0</v>
      </c>
      <c r="BE530" s="24">
        <f t="shared" si="308"/>
        <v>823610.23275828362</v>
      </c>
      <c r="BF530" s="24">
        <f t="shared" si="309"/>
        <v>17946519.158846617</v>
      </c>
      <c r="BG530" s="24">
        <f t="shared" si="310"/>
        <v>106524464.84931302</v>
      </c>
      <c r="BH530" s="46">
        <f t="shared" si="311"/>
        <v>1.2213395436471681</v>
      </c>
      <c r="BI530" s="47">
        <f t="shared" si="312"/>
        <v>4.0520187954840026E-4</v>
      </c>
      <c r="BJ530" s="47">
        <f t="shared" si="313"/>
        <v>9.2505153455459954E-3</v>
      </c>
      <c r="BK530" s="47">
        <f t="shared" si="314"/>
        <v>6.0530875927358618E-2</v>
      </c>
      <c r="BL530" s="48">
        <f t="shared" si="315"/>
        <v>0.22133954364716812</v>
      </c>
      <c r="BM530" s="49">
        <f t="shared" si="316"/>
        <v>5.313688244686765E-2</v>
      </c>
      <c r="BN530" s="49">
        <f t="shared" si="317"/>
        <v>0.10305113340371652</v>
      </c>
      <c r="BO530" s="49">
        <f t="shared" si="318"/>
        <v>0.21280666803567772</v>
      </c>
    </row>
    <row r="531" spans="1:67" x14ac:dyDescent="0.25">
      <c r="A531" s="1">
        <v>45870</v>
      </c>
      <c r="B531" s="1" t="str">
        <f t="shared" si="223"/>
        <v>202508</v>
      </c>
      <c r="C531" s="24">
        <v>0</v>
      </c>
      <c r="D531" s="24">
        <v>0</v>
      </c>
      <c r="E531" s="24">
        <v>0</v>
      </c>
      <c r="F531" s="24">
        <v>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0</v>
      </c>
      <c r="M531" s="24">
        <v>0</v>
      </c>
      <c r="N531" s="24">
        <v>0</v>
      </c>
      <c r="O531" s="24">
        <v>0</v>
      </c>
      <c r="P531" s="24">
        <v>0</v>
      </c>
      <c r="Q531" s="24">
        <f>Q530*(1+((1+VLOOKUP($B531,'IPCA Hist'!$B:$C,2,0))^12 - 1)+$Q$2)^(1/252)</f>
        <v>47485329.133693412</v>
      </c>
      <c r="R531" s="24">
        <f>R530*(1+((1+VLOOKUP($B531,'IPCA Hist'!$B:$C,2,0))^12 - 1)+$R$2)^(1/252)</f>
        <v>47472934.732490614</v>
      </c>
      <c r="S531" s="24">
        <f>S530*(1+((1+VLOOKUP($B531,'IPCA Hist'!$B:$C,2,0))^12 - 1)+$S$2)^(1/252)</f>
        <v>48501389.14346429</v>
      </c>
      <c r="T531" s="24">
        <f>T530*(1+((1+VLOOKUP($B531,'IPCA Hist'!$B:$C,2,0))^12 - 1)+$T$2)^(1/252)</f>
        <v>244948641.4941881</v>
      </c>
      <c r="U531" s="24">
        <f>U530*(1+((1+VLOOKUP($B531,'IPCA Hist'!$B:$C,2,0))^12 - 1)+$U$2)^(1/252)</f>
        <v>21606174.520068716</v>
      </c>
      <c r="V531" s="24">
        <f>V530*(1+((1+VLOOKUP($B531,'IPCA Hist'!$B:$C,2,0))^12 - 1)+$V$2)^(1/252)</f>
        <v>84118340.567573339</v>
      </c>
      <c r="W531" s="24">
        <f>W530*(1+((1+VLOOKUP($B531,'IPCA Hist'!$B:$C,2,0))^12 - 1)+$W$2)^(1/252)</f>
        <v>44302063.443913117</v>
      </c>
      <c r="X531" s="24">
        <f>X530*(1+((1+VLOOKUP($B531,'IPCA Hist'!$B:$C,2,0))^12 - 1)+$X$2)^(1/252)</f>
        <v>15157625.84786908</v>
      </c>
      <c r="Y531" s="24">
        <f>Y530*(1+((1+VLOOKUP($B531,'IPCA Hist'!$B:$C,2,0))^12 - 1)+$Y$2)^(1/252)</f>
        <v>123657984.17791244</v>
      </c>
      <c r="Z531" s="24">
        <f>Z530*(1+((1+VLOOKUP($B531,'IPCA Hist'!$B:$C,2,0))^12 - 1)+$Z$2)^(1/252)</f>
        <v>84195594.381623358</v>
      </c>
      <c r="AA531" s="24">
        <f>AA530*(1+((1+VLOOKUP($B531,'IPCA Hist'!$B:$C,2,0))^12 - 1)+$AA$2)^(1/252)</f>
        <v>42449735.103945009</v>
      </c>
      <c r="AB531" s="24">
        <f>AB530*(1+((1+VLOOKUP($B531,'IPCA Hist'!$B:$C,2,0))^12 - 1)+$AB$2)^(1/252)</f>
        <v>42462977.138723731</v>
      </c>
      <c r="AC531" s="24">
        <f>AC530*(1+((1+VLOOKUP($B531,'IPCA Hist'!$B:$C,2,0))^12 - 1)+$AC$2)^(1/252)</f>
        <v>5267398.5383595759</v>
      </c>
      <c r="AD531" s="24">
        <f>AD530*(1+((1+VLOOKUP($B531,'IPCA Hist'!$B:$C,2,0))^12 - 1)+$AD$2)^(1/252)</f>
        <v>391787330.18827277</v>
      </c>
      <c r="AE531" s="24">
        <v>0</v>
      </c>
      <c r="AF531" s="24">
        <f>AF530*(1+((1+VLOOKUP($B531,'IGPM Hist'!$B:$C,2,0))^12 - 1)+$AF$2)^(1/252)</f>
        <v>1686184.2863180635</v>
      </c>
      <c r="AG531" s="24">
        <v>0</v>
      </c>
      <c r="AH531" s="24">
        <v>0</v>
      </c>
      <c r="AI531" s="24">
        <v>0</v>
      </c>
      <c r="AJ531" s="24">
        <f t="shared" ref="AJ531:AQ531" si="385">AJ530*(1+AJ$2)^(1/252)</f>
        <v>53881284.755728506</v>
      </c>
      <c r="AK531" s="24">
        <f t="shared" si="385"/>
        <v>176859382.05945003</v>
      </c>
      <c r="AL531" s="24">
        <f t="shared" si="385"/>
        <v>36272136.10066177</v>
      </c>
      <c r="AM531" s="24">
        <f t="shared" si="385"/>
        <v>126987713.96097948</v>
      </c>
      <c r="AN531" s="24">
        <f t="shared" si="385"/>
        <v>54403171.544950895</v>
      </c>
      <c r="AO531" s="24">
        <f t="shared" si="385"/>
        <v>23356503.921270523</v>
      </c>
      <c r="AP531" s="24">
        <f t="shared" si="385"/>
        <v>17762175.969680041</v>
      </c>
      <c r="AQ531" s="24">
        <f t="shared" si="385"/>
        <v>6913842.0305712232</v>
      </c>
      <c r="AR531" s="2">
        <v>54647174.725695997</v>
      </c>
      <c r="AS531" s="24">
        <f t="shared" ref="AS531:AY531" si="386">AS530*(1+AS$2)^(1/252)</f>
        <v>105717903.64997348</v>
      </c>
      <c r="AT531" s="24">
        <f t="shared" si="386"/>
        <v>5372622.4570614751</v>
      </c>
      <c r="AU531" s="24">
        <f t="shared" si="386"/>
        <v>6034251.2937701978</v>
      </c>
      <c r="AV531" s="24">
        <f t="shared" si="386"/>
        <v>53632617.729305461</v>
      </c>
      <c r="AW531" s="24">
        <f t="shared" si="386"/>
        <v>2770459.4300620961</v>
      </c>
      <c r="AX531" s="24">
        <f t="shared" si="386"/>
        <v>3347050.0146981077</v>
      </c>
      <c r="AY531" s="24">
        <f t="shared" si="386"/>
        <v>54908638.561254062</v>
      </c>
      <c r="AZ531" s="24">
        <v>0</v>
      </c>
      <c r="BA531" s="24">
        <f>BA530*(1+VLOOKUP(A531,'SELIC Hist'!$A:$C,3,0)-0.01%)^(1/252)</f>
        <v>6063512.4168373579</v>
      </c>
      <c r="BB531" s="24">
        <f t="shared" ref="BB531:BB533" si="387">SUM(C531:BA531)</f>
        <v>2034030143.3203666</v>
      </c>
      <c r="BC531" s="24">
        <v>0</v>
      </c>
      <c r="BD531" s="24">
        <v>0</v>
      </c>
      <c r="BE531" s="24">
        <f t="shared" ref="BE531:BE533" si="388">BB531-BB530-BC531+BD531</f>
        <v>614202.38024759293</v>
      </c>
      <c r="BF531" s="24">
        <f t="shared" ref="BF531:BF533" si="389">IF(MONTH(A531)=MONTH(A530),BE531+BF530,BE531)</f>
        <v>614202.38024759293</v>
      </c>
      <c r="BG531" s="24">
        <f t="shared" ref="BG531:BG533" si="390">IF(YEAR(A531)=YEAR(A530),BE531+BG530,BE531)</f>
        <v>107138667.22956061</v>
      </c>
      <c r="BH531" s="46">
        <f t="shared" ref="BH531:BH533" si="391">(1+(BB531-BB530-BC531+BD531)/BB530)*BH530</f>
        <v>1.2217084547192687</v>
      </c>
      <c r="BI531" s="47">
        <f t="shared" ref="BI531:BI533" si="392">BH531/BH530 - 1</f>
        <v>3.0205447290998499E-4</v>
      </c>
      <c r="BJ531" s="47">
        <f t="shared" ref="BJ531:BJ533" si="393">IF(MONTH(A531)=MONTH(A530),(1+BI531)*(1+BJ530) - 1,BI531)</f>
        <v>3.0205447290998499E-4</v>
      </c>
      <c r="BK531" s="47">
        <f t="shared" ref="BK531:BK533" si="394">IF(YEAR(A531)=YEAR(A530),(1+BI531)*(1+BK530) - 1,BI531)</f>
        <v>6.0851214022091593E-2</v>
      </c>
      <c r="BL531" s="48">
        <f t="shared" ref="BL531:BL533" si="395">(1+BI531)*(1+BL530) - 1</f>
        <v>0.2217084547192687</v>
      </c>
      <c r="BM531" s="49">
        <f t="shared" ref="BM531:BM533" si="396">BH531/BH405 - 1</f>
        <v>5.306688176436869E-2</v>
      </c>
      <c r="BN531" s="49">
        <f t="shared" ref="BN531:BN533" si="397">BH531/BH279 - 1</f>
        <v>0.10327696703491829</v>
      </c>
      <c r="BO531" s="49">
        <f t="shared" ref="BO531:BO533" si="398">BH531/BH27 - 1</f>
        <v>0.21279089550734342</v>
      </c>
    </row>
    <row r="532" spans="1:67" x14ac:dyDescent="0.25">
      <c r="A532" s="1">
        <v>45873</v>
      </c>
      <c r="B532" s="1" t="str">
        <f t="shared" si="223"/>
        <v>202508</v>
      </c>
      <c r="C532" s="24">
        <v>0</v>
      </c>
      <c r="D532" s="24">
        <v>0</v>
      </c>
      <c r="E532" s="24">
        <v>0</v>
      </c>
      <c r="F532" s="24">
        <v>0</v>
      </c>
      <c r="G532" s="24">
        <v>0</v>
      </c>
      <c r="H532" s="24">
        <v>0</v>
      </c>
      <c r="I532" s="24">
        <v>0</v>
      </c>
      <c r="J532" s="24">
        <v>0</v>
      </c>
      <c r="K532" s="24">
        <v>0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f>Q531*(1+((1+VLOOKUP($B532,'IPCA Hist'!$B:$C,2,0))^12 - 1)+$Q$2)^(1/252)</f>
        <v>47492245.686496459</v>
      </c>
      <c r="R532" s="24">
        <f>R531*(1+((1+VLOOKUP($B532,'IPCA Hist'!$B:$C,2,0))^12 - 1)+$R$2)^(1/252)</f>
        <v>47479867.641316764</v>
      </c>
      <c r="S532" s="24">
        <f>S531*(1+((1+VLOOKUP($B532,'IPCA Hist'!$B:$C,2,0))^12 - 1)+$S$2)^(1/252)</f>
        <v>48508249.47170572</v>
      </c>
      <c r="T532" s="24">
        <f>T531*(1+((1+VLOOKUP($B532,'IPCA Hist'!$B:$C,2,0))^12 - 1)+$T$2)^(1/252)</f>
        <v>244983194.68735918</v>
      </c>
      <c r="U532" s="24">
        <f>U531*(1+((1+VLOOKUP($B532,'IPCA Hist'!$B:$C,2,0))^12 - 1)+$U$2)^(1/252)</f>
        <v>21610332.376418151</v>
      </c>
      <c r="V532" s="24">
        <f>V531*(1+((1+VLOOKUP($B532,'IPCA Hist'!$B:$C,2,0))^12 - 1)+$V$2)^(1/252)</f>
        <v>84139171.39794226</v>
      </c>
      <c r="W532" s="24">
        <f>W531*(1+((1+VLOOKUP($B532,'IPCA Hist'!$B:$C,2,0))^12 - 1)+$W$2)^(1/252)</f>
        <v>44313184.558624074</v>
      </c>
      <c r="X532" s="24">
        <f>X531*(1+((1+VLOOKUP($B532,'IPCA Hist'!$B:$C,2,0))^12 - 1)+$X$2)^(1/252)</f>
        <v>15161130.217038486</v>
      </c>
      <c r="Y532" s="24">
        <f>Y531*(1+((1+VLOOKUP($B532,'IPCA Hist'!$B:$C,2,0))^12 - 1)+$Y$2)^(1/252)</f>
        <v>123689302.32123664</v>
      </c>
      <c r="Z532" s="24">
        <f>Z531*(1+((1+VLOOKUP($B532,'IPCA Hist'!$B:$C,2,0))^12 - 1)+$Z$2)^(1/252)</f>
        <v>84214337.234569788</v>
      </c>
      <c r="AA532" s="24">
        <f>AA531*(1+((1+VLOOKUP($B532,'IPCA Hist'!$B:$C,2,0))^12 - 1)+$AA$2)^(1/252)</f>
        <v>42461117.234457582</v>
      </c>
      <c r="AB532" s="24">
        <f>AB531*(1+((1+VLOOKUP($B532,'IPCA Hist'!$B:$C,2,0))^12 - 1)+$AB$2)^(1/252)</f>
        <v>42474347.065316223</v>
      </c>
      <c r="AC532" s="24">
        <f>AC531*(1+((1+VLOOKUP($B532,'IPCA Hist'!$B:$C,2,0))^12 - 1)+$AC$2)^(1/252)</f>
        <v>5268624.2233556919</v>
      </c>
      <c r="AD532" s="24">
        <f>AD531*(1+((1+VLOOKUP($B532,'IPCA Hist'!$B:$C,2,0))^12 - 1)+$AD$2)^(1/252)</f>
        <v>391878340.7670297</v>
      </c>
      <c r="AE532" s="24">
        <v>0</v>
      </c>
      <c r="AF532" s="24">
        <f>AF531*(1+((1+VLOOKUP($B532,'IGPM Hist'!$B:$C,2,0))^12 - 1)+$AF$2)^(1/252)</f>
        <v>1686839.2655645197</v>
      </c>
      <c r="AG532" s="24">
        <v>0</v>
      </c>
      <c r="AH532" s="24">
        <v>0</v>
      </c>
      <c r="AI532" s="24">
        <v>0</v>
      </c>
      <c r="AJ532" s="24">
        <f t="shared" ref="AJ532:AQ532" si="399">AJ531*(1+AJ$2)^(1/252)</f>
        <v>53906091.842720918</v>
      </c>
      <c r="AK532" s="24">
        <f t="shared" si="399"/>
        <v>176944829.94107708</v>
      </c>
      <c r="AL532" s="24">
        <f t="shared" si="399"/>
        <v>36289667.003647506</v>
      </c>
      <c r="AM532" s="24">
        <f t="shared" si="399"/>
        <v>127049055.6739631</v>
      </c>
      <c r="AN532" s="24">
        <f t="shared" si="399"/>
        <v>54429470.247734085</v>
      </c>
      <c r="AO532" s="24">
        <f t="shared" si="399"/>
        <v>23369900.6541037</v>
      </c>
      <c r="AP532" s="24">
        <f t="shared" si="399"/>
        <v>17771050.438933194</v>
      </c>
      <c r="AQ532" s="24">
        <f t="shared" si="399"/>
        <v>6917309.0789227048</v>
      </c>
      <c r="AR532" s="2">
        <v>54647175.725695997</v>
      </c>
      <c r="AS532" s="24">
        <f t="shared" ref="AS532:AY532" si="400">AS531*(1+AS$2)^(1/252)</f>
        <v>105765003.80651598</v>
      </c>
      <c r="AT532" s="24">
        <f t="shared" si="400"/>
        <v>5375662.0892355228</v>
      </c>
      <c r="AU532" s="24">
        <f t="shared" si="400"/>
        <v>6037255.6066243351</v>
      </c>
      <c r="AV532" s="24">
        <f t="shared" si="400"/>
        <v>53657025.730719186</v>
      </c>
      <c r="AW532" s="24">
        <f t="shared" si="400"/>
        <v>2772006.8043324449</v>
      </c>
      <c r="AX532" s="24">
        <f t="shared" si="400"/>
        <v>3348728.4424354606</v>
      </c>
      <c r="AY532" s="24">
        <f t="shared" si="400"/>
        <v>54937203.568545282</v>
      </c>
      <c r="AZ532" s="24">
        <v>0</v>
      </c>
      <c r="BA532" s="24">
        <f>BA531*(1+VLOOKUP(A532,'SELIC Hist'!$A:$C,3,0)-0.01%)^(1/252)</f>
        <v>6066853.200382228</v>
      </c>
      <c r="BB532" s="24">
        <f t="shared" si="387"/>
        <v>2034644574.00402</v>
      </c>
      <c r="BC532" s="24">
        <v>0</v>
      </c>
      <c r="BD532" s="24">
        <v>0</v>
      </c>
      <c r="BE532" s="24">
        <f t="shared" si="388"/>
        <v>614430.68365335464</v>
      </c>
      <c r="BF532" s="24">
        <f t="shared" si="389"/>
        <v>1228633.0639009476</v>
      </c>
      <c r="BG532" s="24">
        <f t="shared" si="390"/>
        <v>107753097.91321397</v>
      </c>
      <c r="BH532" s="46">
        <f t="shared" si="391"/>
        <v>1.2220775029182462</v>
      </c>
      <c r="BI532" s="47">
        <f t="shared" si="392"/>
        <v>3.0207550545457984E-4</v>
      </c>
      <c r="BJ532" s="47">
        <f t="shared" si="393"/>
        <v>6.0422122162218095E-4</v>
      </c>
      <c r="BK532" s="47">
        <f t="shared" si="394"/>
        <v>6.1171671188779531E-2</v>
      </c>
      <c r="BL532" s="48">
        <f t="shared" si="395"/>
        <v>0.22207750291824624</v>
      </c>
      <c r="BM532" s="49">
        <f t="shared" si="396"/>
        <v>5.2996899028192601E-2</v>
      </c>
      <c r="BN532" s="49">
        <f t="shared" si="397"/>
        <v>0.10296792962865453</v>
      </c>
      <c r="BO532" s="49">
        <f t="shared" si="398"/>
        <v>0.21277513671648918</v>
      </c>
    </row>
    <row r="533" spans="1:67" x14ac:dyDescent="0.25">
      <c r="A533" s="1">
        <v>45874</v>
      </c>
      <c r="B533" s="1" t="str">
        <f t="shared" si="223"/>
        <v>202508</v>
      </c>
      <c r="C533" s="24">
        <v>0</v>
      </c>
      <c r="D533" s="24">
        <v>0</v>
      </c>
      <c r="E533" s="24">
        <v>0</v>
      </c>
      <c r="F533" s="24">
        <v>0</v>
      </c>
      <c r="G533" s="24">
        <v>0</v>
      </c>
      <c r="H533" s="24">
        <v>0</v>
      </c>
      <c r="I533" s="24">
        <v>0</v>
      </c>
      <c r="J533" s="24">
        <v>0</v>
      </c>
      <c r="K533" s="24">
        <v>0</v>
      </c>
      <c r="L533" s="24">
        <v>0</v>
      </c>
      <c r="M533" s="24">
        <v>0</v>
      </c>
      <c r="N533" s="24">
        <v>0</v>
      </c>
      <c r="O533" s="24">
        <v>0</v>
      </c>
      <c r="P533" s="24">
        <v>0</v>
      </c>
      <c r="Q533" s="24">
        <f>Q532*(1+((1+VLOOKUP($B533,'IPCA Hist'!$B:$C,2,0))^12 - 1)+$Q$2)^(1/252)</f>
        <v>47499163.24674125</v>
      </c>
      <c r="R533" s="24">
        <f>R532*(1+((1+VLOOKUP($B533,'IPCA Hist'!$B:$C,2,0))^12 - 1)+$R$2)^(1/252)</f>
        <v>47486801.562619291</v>
      </c>
      <c r="S533" s="24">
        <f>S532*(1+((1+VLOOKUP($B533,'IPCA Hist'!$B:$C,2,0))^12 - 1)+$S$2)^(1/252)</f>
        <v>48515110.770313248</v>
      </c>
      <c r="T533" s="24">
        <f>T532*(1+((1+VLOOKUP($B533,'IPCA Hist'!$B:$C,2,0))^12 - 1)+$T$2)^(1/252)</f>
        <v>245017752.75470775</v>
      </c>
      <c r="U533" s="24">
        <f>U532*(1+((1+VLOOKUP($B533,'IPCA Hist'!$B:$C,2,0))^12 - 1)+$U$2)^(1/252)</f>
        <v>21614491.03289856</v>
      </c>
      <c r="V533" s="24">
        <f>V532*(1+((1+VLOOKUP($B533,'IPCA Hist'!$B:$C,2,0))^12 - 1)+$V$2)^(1/252)</f>
        <v>84160007.386799693</v>
      </c>
      <c r="W533" s="24">
        <f>W532*(1+((1+VLOOKUP($B533,'IPCA Hist'!$B:$C,2,0))^12 - 1)+$W$2)^(1/252)</f>
        <v>44324308.465060353</v>
      </c>
      <c r="X533" s="24">
        <f>X532*(1+((1+VLOOKUP($B533,'IPCA Hist'!$B:$C,2,0))^12 - 1)+$X$2)^(1/252)</f>
        <v>15164635.396400953</v>
      </c>
      <c r="Y533" s="24">
        <f>Y532*(1+((1+VLOOKUP($B533,'IPCA Hist'!$B:$C,2,0))^12 - 1)+$Y$2)^(1/252)</f>
        <v>123720628.39632608</v>
      </c>
      <c r="Z533" s="24">
        <f>Z532*(1+((1+VLOOKUP($B533,'IPCA Hist'!$B:$C,2,0))^12 - 1)+$Z$2)^(1/252)</f>
        <v>84233084.25987868</v>
      </c>
      <c r="AA533" s="24">
        <f>AA532*(1+((1+VLOOKUP($B533,'IPCA Hist'!$B:$C,2,0))^12 - 1)+$AA$2)^(1/252)</f>
        <v>42472502.416883074</v>
      </c>
      <c r="AB533" s="24">
        <f>AB532*(1+((1+VLOOKUP($B533,'IPCA Hist'!$B:$C,2,0))^12 - 1)+$AB$2)^(1/252)</f>
        <v>42485720.036330923</v>
      </c>
      <c r="AC533" s="24">
        <f>AC532*(1+((1+VLOOKUP($B533,'IPCA Hist'!$B:$C,2,0))^12 - 1)+$AC$2)^(1/252)</f>
        <v>5269850.1935597146</v>
      </c>
      <c r="AD533" s="24">
        <f>AD532*(1+((1+VLOOKUP($B533,'IPCA Hist'!$B:$C,2,0))^12 - 1)+$AD$2)^(1/252)</f>
        <v>391969372.48716819</v>
      </c>
      <c r="AE533" s="24">
        <v>0</v>
      </c>
      <c r="AF533" s="24">
        <f>AF532*(1+((1+VLOOKUP($B533,'IGPM Hist'!$B:$C,2,0))^12 - 1)+$AF$2)^(1/252)</f>
        <v>1687494.4992302684</v>
      </c>
      <c r="AG533" s="24">
        <v>0</v>
      </c>
      <c r="AH533" s="24">
        <v>0</v>
      </c>
      <c r="AI533" s="24">
        <v>0</v>
      </c>
      <c r="AJ533" s="24">
        <f t="shared" ref="AJ533:AQ533" si="401">AJ532*(1+AJ$2)^(1/252)</f>
        <v>53930910.350962244</v>
      </c>
      <c r="AK533" s="24">
        <f t="shared" si="401"/>
        <v>177030319.10601288</v>
      </c>
      <c r="AL533" s="24">
        <f t="shared" si="401"/>
        <v>36307206.379598789</v>
      </c>
      <c r="AM533" s="24">
        <f t="shared" si="401"/>
        <v>127110427.018205</v>
      </c>
      <c r="AN533" s="24">
        <f t="shared" si="401"/>
        <v>54455781.66341155</v>
      </c>
      <c r="AO533" s="24">
        <f t="shared" si="401"/>
        <v>23383305.070982881</v>
      </c>
      <c r="AP533" s="24">
        <f t="shared" si="401"/>
        <v>17779929.342114072</v>
      </c>
      <c r="AQ533" s="24">
        <f t="shared" si="401"/>
        <v>6920777.8658768646</v>
      </c>
      <c r="AR533" s="2">
        <v>54647176.725695997</v>
      </c>
      <c r="AS533" s="24">
        <f t="shared" ref="AS533:AY533" si="402">AS532*(1+AS$2)^(1/252)</f>
        <v>105812124.94743927</v>
      </c>
      <c r="AT533" s="24">
        <f t="shared" si="402"/>
        <v>5378703.4411216527</v>
      </c>
      <c r="AU533" s="24">
        <f t="shared" si="402"/>
        <v>6040261.4152557096</v>
      </c>
      <c r="AV533" s="24">
        <f t="shared" si="402"/>
        <v>53681444.840122014</v>
      </c>
      <c r="AW533" s="24">
        <f t="shared" si="402"/>
        <v>2773555.0428519165</v>
      </c>
      <c r="AX533" s="24">
        <f t="shared" si="402"/>
        <v>3350407.7118452284</v>
      </c>
      <c r="AY533" s="24">
        <f t="shared" si="402"/>
        <v>54965783.436151065</v>
      </c>
      <c r="AZ533" s="24">
        <v>0</v>
      </c>
      <c r="BA533" s="24">
        <f>BA532*(1+VLOOKUP(A533,'SELIC Hist'!$A:$C,3,0)-0.01%)^(1/252)</f>
        <v>6070195.824582139</v>
      </c>
      <c r="BB533" s="24">
        <f t="shared" si="387"/>
        <v>2035259233.0871472</v>
      </c>
      <c r="BC533" s="24">
        <v>0</v>
      </c>
      <c r="BD533" s="24">
        <v>0</v>
      </c>
      <c r="BE533" s="24">
        <f t="shared" si="388"/>
        <v>614659.08312726021</v>
      </c>
      <c r="BF533" s="24">
        <f t="shared" si="389"/>
        <v>1843292.1470282078</v>
      </c>
      <c r="BG533" s="24">
        <f t="shared" si="390"/>
        <v>108367756.99634123</v>
      </c>
      <c r="BH533" s="46">
        <f t="shared" si="391"/>
        <v>1.2224466883018024</v>
      </c>
      <c r="BI533" s="47">
        <f t="shared" si="392"/>
        <v>3.0209653861934527E-4</v>
      </c>
      <c r="BJ533" s="47">
        <f t="shared" si="393"/>
        <v>9.065002933812405E-4</v>
      </c>
      <c r="BK533" s="47">
        <f t="shared" si="394"/>
        <v>6.1492247477526574E-2</v>
      </c>
      <c r="BL533" s="48">
        <f t="shared" si="395"/>
        <v>0.22244668830180236</v>
      </c>
      <c r="BM533" s="49">
        <f t="shared" si="396"/>
        <v>5.2926934235796752E-2</v>
      </c>
      <c r="BN533" s="49">
        <f t="shared" si="397"/>
        <v>0.10321333922500586</v>
      </c>
      <c r="BO533" s="49">
        <f t="shared" si="398"/>
        <v>0.21273908460832769</v>
      </c>
    </row>
    <row r="534" spans="1:67" x14ac:dyDescent="0.25">
      <c r="A534" s="1">
        <v>45875</v>
      </c>
      <c r="B534" s="1" t="str">
        <f t="shared" si="223"/>
        <v>202508</v>
      </c>
      <c r="C534" s="24">
        <v>0</v>
      </c>
      <c r="D534" s="24">
        <v>0</v>
      </c>
      <c r="E534" s="24">
        <v>0</v>
      </c>
      <c r="F534" s="24">
        <v>0</v>
      </c>
      <c r="G534" s="24">
        <v>0</v>
      </c>
      <c r="H534" s="24">
        <v>0</v>
      </c>
      <c r="I534" s="24">
        <v>0</v>
      </c>
      <c r="J534" s="24">
        <v>0</v>
      </c>
      <c r="K534" s="24">
        <v>0</v>
      </c>
      <c r="L534" s="24">
        <v>0</v>
      </c>
      <c r="M534" s="24">
        <v>0</v>
      </c>
      <c r="N534" s="24">
        <v>0</v>
      </c>
      <c r="O534" s="24">
        <v>0</v>
      </c>
      <c r="P534" s="24">
        <v>0</v>
      </c>
      <c r="Q534" s="24">
        <f>Q533*(1+((1+VLOOKUP($B534,'IPCA Hist'!$B:$C,2,0))^12 - 1)+$Q$2)^(1/252)</f>
        <v>47506081.814574517</v>
      </c>
      <c r="R534" s="24">
        <f>R533*(1+((1+VLOOKUP($B534,'IPCA Hist'!$B:$C,2,0))^12 - 1)+$R$2)^(1/252)</f>
        <v>47493736.496546052</v>
      </c>
      <c r="S534" s="24">
        <f>S533*(1+((1+VLOOKUP($B534,'IPCA Hist'!$B:$C,2,0))^12 - 1)+$S$2)^(1/252)</f>
        <v>48521973.039424121</v>
      </c>
      <c r="T534" s="24">
        <f>T533*(1+((1+VLOOKUP($B534,'IPCA Hist'!$B:$C,2,0))^12 - 1)+$T$2)^(1/252)</f>
        <v>245052315.69692141</v>
      </c>
      <c r="U534" s="24">
        <f>U533*(1+((1+VLOOKUP($B534,'IPCA Hist'!$B:$C,2,0))^12 - 1)+$U$2)^(1/252)</f>
        <v>21618650.489663918</v>
      </c>
      <c r="V534" s="24">
        <f>V533*(1+((1+VLOOKUP($B534,'IPCA Hist'!$B:$C,2,0))^12 - 1)+$V$2)^(1/252)</f>
        <v>84180848.535423085</v>
      </c>
      <c r="W534" s="24">
        <f>W533*(1+((1+VLOOKUP($B534,'IPCA Hist'!$B:$C,2,0))^12 - 1)+$W$2)^(1/252)</f>
        <v>44335435.163922764</v>
      </c>
      <c r="X534" s="24">
        <f>X533*(1+((1+VLOOKUP($B534,'IPCA Hist'!$B:$C,2,0))^12 - 1)+$X$2)^(1/252)</f>
        <v>15168141.386143792</v>
      </c>
      <c r="Y534" s="24">
        <f>Y533*(1+((1+VLOOKUP($B534,'IPCA Hist'!$B:$C,2,0))^12 - 1)+$Y$2)^(1/252)</f>
        <v>123751962.4051896</v>
      </c>
      <c r="Z534" s="24">
        <f>Z533*(1+((1+VLOOKUP($B534,'IPCA Hist'!$B:$C,2,0))^12 - 1)+$Z$2)^(1/252)</f>
        <v>84251835.458478838</v>
      </c>
      <c r="AA534" s="24">
        <f>AA533*(1+((1+VLOOKUP($B534,'IPCA Hist'!$B:$C,2,0))^12 - 1)+$AA$2)^(1/252)</f>
        <v>42483890.652039796</v>
      </c>
      <c r="AB534" s="24">
        <f>AB533*(1+((1+VLOOKUP($B534,'IPCA Hist'!$B:$C,2,0))^12 - 1)+$AB$2)^(1/252)</f>
        <v>42497096.052583009</v>
      </c>
      <c r="AC534" s="24">
        <f>AC533*(1+((1+VLOOKUP($B534,'IPCA Hist'!$B:$C,2,0))^12 - 1)+$AC$2)^(1/252)</f>
        <v>5271076.4490380101</v>
      </c>
      <c r="AD534" s="24">
        <f>AD533*(1+((1+VLOOKUP($B534,'IPCA Hist'!$B:$C,2,0))^12 - 1)+$AD$2)^(1/252)</f>
        <v>392060425.35359931</v>
      </c>
      <c r="AE534" s="24">
        <v>0</v>
      </c>
      <c r="AF534" s="24">
        <f>AF533*(1+((1+VLOOKUP($B534,'IGPM Hist'!$B:$C,2,0))^12 - 1)+$AF$2)^(1/252)</f>
        <v>1688149.9874141361</v>
      </c>
      <c r="AG534" s="24">
        <v>0</v>
      </c>
      <c r="AH534" s="24">
        <v>0</v>
      </c>
      <c r="AI534" s="24">
        <v>0</v>
      </c>
      <c r="AJ534" s="24">
        <f t="shared" ref="AJ534:AQ534" si="403">AJ533*(1+AJ$2)^(1/252)</f>
        <v>53955740.285710856</v>
      </c>
      <c r="AK534" s="24">
        <f t="shared" si="403"/>
        <v>177115849.57420304</v>
      </c>
      <c r="AL534" s="24">
        <f t="shared" si="403"/>
        <v>36324754.23261074</v>
      </c>
      <c r="AM534" s="24">
        <f t="shared" si="403"/>
        <v>127171828.00801864</v>
      </c>
      <c r="AN534" s="24">
        <f t="shared" si="403"/>
        <v>54482105.798128754</v>
      </c>
      <c r="AO534" s="24">
        <f t="shared" si="403"/>
        <v>23396717.176315449</v>
      </c>
      <c r="AP534" s="24">
        <f t="shared" si="403"/>
        <v>17788812.681437988</v>
      </c>
      <c r="AQ534" s="24">
        <f t="shared" si="403"/>
        <v>6924248.3923055511</v>
      </c>
      <c r="AR534" s="2">
        <v>54647177.725695997</v>
      </c>
      <c r="AS534" s="24">
        <f t="shared" ref="AS534:AY534" si="404">AS533*(1+AS$2)^(1/252)</f>
        <v>105859267.08209245</v>
      </c>
      <c r="AT534" s="24">
        <f t="shared" si="404"/>
        <v>5381746.5136928149</v>
      </c>
      <c r="AU534" s="24">
        <f t="shared" si="404"/>
        <v>6043268.7204090329</v>
      </c>
      <c r="AV534" s="24">
        <f t="shared" si="404"/>
        <v>53705875.062569141</v>
      </c>
      <c r="AW534" s="24">
        <f t="shared" si="404"/>
        <v>2775104.1461032168</v>
      </c>
      <c r="AX534" s="24">
        <f t="shared" si="404"/>
        <v>3352087.8233494805</v>
      </c>
      <c r="AY534" s="24">
        <f t="shared" si="404"/>
        <v>54994378.171802171</v>
      </c>
      <c r="AZ534" s="24">
        <v>0</v>
      </c>
      <c r="BA534" s="24">
        <f>BA533*(1+VLOOKUP(A534,'SELIC Hist'!$A:$C,3,0)-0.01%)^(1/252)</f>
        <v>6073540.2904512268</v>
      </c>
      <c r="BB534" s="24">
        <f t="shared" ref="BB534:BB538" si="405">SUM(C534:BA534)</f>
        <v>2035874120.6658592</v>
      </c>
      <c r="BC534" s="24">
        <v>0</v>
      </c>
      <c r="BD534" s="24">
        <v>0</v>
      </c>
      <c r="BE534" s="24">
        <f t="shared" ref="BE534:BE538" si="406">BB534-BB533-BC534+BD534</f>
        <v>614887.57871198654</v>
      </c>
      <c r="BF534" s="24">
        <f t="shared" ref="BF534:BF538" si="407">IF(MONTH(A534)=MONTH(A533),BE534+BF533,BE534)</f>
        <v>2458179.7257401943</v>
      </c>
      <c r="BG534" s="24">
        <f t="shared" ref="BG534:BG538" si="408">IF(YEAR(A534)=YEAR(A533),BE534+BG533,BE534)</f>
        <v>108982644.57505322</v>
      </c>
      <c r="BH534" s="46">
        <f t="shared" ref="BH534:BH538" si="409">(1+(BB534-BB533-BC534+BD534)/BB533)*BH533</f>
        <v>1.2228160109276647</v>
      </c>
      <c r="BI534" s="47">
        <f t="shared" ref="BI534:BI538" si="410">BH534/BH533 - 1</f>
        <v>3.021175724033931E-4</v>
      </c>
      <c r="BJ534" s="47">
        <f t="shared" ref="BJ534:BJ538" si="411">IF(MONTH(A534)=MONTH(A533),(1+BI534)*(1+BJ533) - 1,BI534)</f>
        <v>1.2088917354526885E-3</v>
      </c>
      <c r="BK534" s="47">
        <f t="shared" ref="BK534:BK538" si="412">IF(YEAR(A534)=YEAR(A533),(1+BI534)*(1+BK533) - 1,BI534)</f>
        <v>6.1812942938459514E-2</v>
      </c>
      <c r="BL534" s="48">
        <f t="shared" ref="BL534:BL538" si="413">(1+BI534)*(1+BL533) - 1</f>
        <v>0.22281601092766468</v>
      </c>
      <c r="BM534" s="49">
        <f t="shared" ref="BM534:BM538" si="414">BH534/BH408 - 1</f>
        <v>5.2516901287167572E-2</v>
      </c>
      <c r="BN534" s="49">
        <f t="shared" ref="BN534:BN538" si="415">BH534/BH282 - 1</f>
        <v>0.10326034235978465</v>
      </c>
      <c r="BO534" s="49">
        <f t="shared" ref="BO534:BO538" si="416">BH534/BH30 - 1</f>
        <v>0.2127037335232147</v>
      </c>
    </row>
    <row r="535" spans="1:67" x14ac:dyDescent="0.25">
      <c r="A535" s="1">
        <v>45876</v>
      </c>
      <c r="B535" s="1" t="str">
        <f t="shared" ref="B535:B551" si="417">_xlfn.CONCAT(TEXT(YEAR(A535),"0000"),TEXT(MONTH(A535),"00"))</f>
        <v>202508</v>
      </c>
      <c r="C535" s="24">
        <v>0</v>
      </c>
      <c r="D535" s="24">
        <v>0</v>
      </c>
      <c r="E535" s="24">
        <v>0</v>
      </c>
      <c r="F535" s="24">
        <v>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0</v>
      </c>
      <c r="N535" s="24">
        <v>0</v>
      </c>
      <c r="O535" s="24">
        <v>0</v>
      </c>
      <c r="P535" s="24">
        <v>0</v>
      </c>
      <c r="Q535" s="24">
        <f>Q534*(1+((1+VLOOKUP($B535,'IPCA Hist'!$B:$C,2,0))^12 - 1)+$Q$2)^(1/252)</f>
        <v>47513001.390143029</v>
      </c>
      <c r="R535" s="24">
        <f>R534*(1+((1+VLOOKUP($B535,'IPCA Hist'!$B:$C,2,0))^12 - 1)+$R$2)^(1/252)</f>
        <v>47500672.443244927</v>
      </c>
      <c r="S535" s="24">
        <f>S534*(1+((1+VLOOKUP($B535,'IPCA Hist'!$B:$C,2,0))^12 - 1)+$S$2)^(1/252)</f>
        <v>48528836.279175624</v>
      </c>
      <c r="T535" s="24">
        <f>T534*(1+((1+VLOOKUP($B535,'IPCA Hist'!$B:$C,2,0))^12 - 1)+$T$2)^(1/252)</f>
        <v>245086883.51468778</v>
      </c>
      <c r="U535" s="24">
        <f>U534*(1+((1+VLOOKUP($B535,'IPCA Hist'!$B:$C,2,0))^12 - 1)+$U$2)^(1/252)</f>
        <v>21622810.746868227</v>
      </c>
      <c r="V535" s="24">
        <f>V534*(1+((1+VLOOKUP($B535,'IPCA Hist'!$B:$C,2,0))^12 - 1)+$V$2)^(1/252)</f>
        <v>84201694.845090166</v>
      </c>
      <c r="W535" s="24">
        <f>W534*(1+((1+VLOOKUP($B535,'IPCA Hist'!$B:$C,2,0))^12 - 1)+$W$2)^(1/252)</f>
        <v>44346564.655912288</v>
      </c>
      <c r="X535" s="24">
        <f>X534*(1+((1+VLOOKUP($B535,'IPCA Hist'!$B:$C,2,0))^12 - 1)+$X$2)^(1/252)</f>
        <v>15171648.186454361</v>
      </c>
      <c r="Y535" s="24">
        <f>Y534*(1+((1+VLOOKUP($B535,'IPCA Hist'!$B:$C,2,0))^12 - 1)+$Y$2)^(1/252)</f>
        <v>123783304.34983654</v>
      </c>
      <c r="Z535" s="24">
        <f>Z534*(1+((1+VLOOKUP($B535,'IPCA Hist'!$B:$C,2,0))^12 - 1)+$Z$2)^(1/252)</f>
        <v>84270590.831299275</v>
      </c>
      <c r="AA535" s="24">
        <f>AA534*(1+((1+VLOOKUP($B535,'IPCA Hist'!$B:$C,2,0))^12 - 1)+$AA$2)^(1/252)</f>
        <v>42495281.940746292</v>
      </c>
      <c r="AB535" s="24">
        <f>AB534*(1+((1+VLOOKUP($B535,'IPCA Hist'!$B:$C,2,0))^12 - 1)+$AB$2)^(1/252)</f>
        <v>42508475.114887878</v>
      </c>
      <c r="AC535" s="24">
        <f>AC534*(1+((1+VLOOKUP($B535,'IPCA Hist'!$B:$C,2,0))^12 - 1)+$AC$2)^(1/252)</f>
        <v>5272302.9898569584</v>
      </c>
      <c r="AD535" s="24">
        <f>AD534*(1+((1+VLOOKUP($B535,'IPCA Hist'!$B:$C,2,0))^12 - 1)+$AD$2)^(1/252)</f>
        <v>392151499.37123531</v>
      </c>
      <c r="AE535" s="24">
        <v>0</v>
      </c>
      <c r="AF535" s="24">
        <f>AF534*(1+((1+VLOOKUP($B535,'IGPM Hist'!$B:$C,2,0))^12 - 1)+$AF$2)^(1/252)</f>
        <v>1688805.7302149874</v>
      </c>
      <c r="AG535" s="24">
        <v>0</v>
      </c>
      <c r="AH535" s="24">
        <v>0</v>
      </c>
      <c r="AI535" s="24">
        <v>0</v>
      </c>
      <c r="AJ535" s="24">
        <f t="shared" ref="AJ535:AQ535" si="418">AJ534*(1+AJ$2)^(1/252)</f>
        <v>53980581.652227551</v>
      </c>
      <c r="AK535" s="24">
        <f t="shared" si="418"/>
        <v>177201421.36560285</v>
      </c>
      <c r="AL535" s="24">
        <f t="shared" si="418"/>
        <v>36342310.566780455</v>
      </c>
      <c r="AM535" s="24">
        <f t="shared" si="418"/>
        <v>127233258.65772438</v>
      </c>
      <c r="AN535" s="24">
        <f t="shared" si="418"/>
        <v>54508442.658034123</v>
      </c>
      <c r="AO535" s="24">
        <f t="shared" si="418"/>
        <v>23410136.974511318</v>
      </c>
      <c r="AP535" s="24">
        <f t="shared" si="418"/>
        <v>17797700.459121361</v>
      </c>
      <c r="AQ535" s="24">
        <f t="shared" si="418"/>
        <v>6927720.6590810493</v>
      </c>
      <c r="AR535" s="2">
        <v>54647178.725695997</v>
      </c>
      <c r="AS535" s="24">
        <f t="shared" ref="AS535:AY535" si="419">AS534*(1+AS$2)^(1/252)</f>
        <v>105906430.21982878</v>
      </c>
      <c r="AT535" s="24">
        <f t="shared" si="419"/>
        <v>5384791.3079225095</v>
      </c>
      <c r="AU535" s="24">
        <f t="shared" si="419"/>
        <v>6046277.5228293892</v>
      </c>
      <c r="AV535" s="24">
        <f t="shared" si="419"/>
        <v>53730316.403118074</v>
      </c>
      <c r="AW535" s="24">
        <f t="shared" si="419"/>
        <v>2776654.1145693213</v>
      </c>
      <c r="AX535" s="24">
        <f t="shared" si="419"/>
        <v>3353768.7773704976</v>
      </c>
      <c r="AY535" s="24">
        <f t="shared" si="419"/>
        <v>55022987.783233367</v>
      </c>
      <c r="AZ535" s="24">
        <v>0</v>
      </c>
      <c r="BA535" s="24">
        <f>BA534*(1+VLOOKUP(A535,'SELIC Hist'!$A:$C,3,0)-0.01%)^(1/252)</f>
        <v>6076886.5990041876</v>
      </c>
      <c r="BB535" s="24">
        <f t="shared" si="405"/>
        <v>2036489236.8363099</v>
      </c>
      <c r="BC535" s="24">
        <v>0</v>
      </c>
      <c r="BD535" s="24">
        <v>0</v>
      </c>
      <c r="BE535" s="24">
        <f t="shared" si="406"/>
        <v>615116.17045068741</v>
      </c>
      <c r="BF535" s="24">
        <f t="shared" si="407"/>
        <v>3073295.8961908817</v>
      </c>
      <c r="BG535" s="24">
        <f t="shared" si="408"/>
        <v>109597760.7455039</v>
      </c>
      <c r="BH535" s="46">
        <f t="shared" si="409"/>
        <v>1.2231854708535865</v>
      </c>
      <c r="BI535" s="47">
        <f t="shared" si="410"/>
        <v>3.021386068060572E-4</v>
      </c>
      <c r="BJ535" s="47">
        <f t="shared" si="411"/>
        <v>1.511395595123366E-3</v>
      </c>
      <c r="BK535" s="47">
        <f t="shared" si="412"/>
        <v>6.213375762172757E-2</v>
      </c>
      <c r="BL535" s="48">
        <f t="shared" si="413"/>
        <v>0.22318547085358653</v>
      </c>
      <c r="BM535" s="49">
        <f t="shared" si="414"/>
        <v>5.2107020113002722E-2</v>
      </c>
      <c r="BN535" s="49">
        <f t="shared" si="415"/>
        <v>0.10322997463783112</v>
      </c>
      <c r="BO535" s="49">
        <f t="shared" si="416"/>
        <v>0.21266840719092728</v>
      </c>
    </row>
    <row r="536" spans="1:67" x14ac:dyDescent="0.25">
      <c r="A536" s="1">
        <v>45877</v>
      </c>
      <c r="B536" s="1" t="str">
        <f t="shared" si="417"/>
        <v>202508</v>
      </c>
      <c r="C536" s="24">
        <v>0</v>
      </c>
      <c r="D536" s="24">
        <v>0</v>
      </c>
      <c r="E536" s="24">
        <v>0</v>
      </c>
      <c r="F536" s="24">
        <v>0</v>
      </c>
      <c r="G536" s="24">
        <v>0</v>
      </c>
      <c r="H536" s="24">
        <v>0</v>
      </c>
      <c r="I536" s="24">
        <v>0</v>
      </c>
      <c r="J536" s="24">
        <v>0</v>
      </c>
      <c r="K536" s="24">
        <v>0</v>
      </c>
      <c r="L536" s="24">
        <v>0</v>
      </c>
      <c r="M536" s="24">
        <v>0</v>
      </c>
      <c r="N536" s="24">
        <v>0</v>
      </c>
      <c r="O536" s="24">
        <v>0</v>
      </c>
      <c r="P536" s="24">
        <v>0</v>
      </c>
      <c r="Q536" s="24">
        <f>Q535*(1+((1+VLOOKUP($B536,'IPCA Hist'!$B:$C,2,0))^12 - 1)+$Q$2)^(1/252)</f>
        <v>47519921.97359357</v>
      </c>
      <c r="R536" s="24">
        <f>R535*(1+((1+VLOOKUP($B536,'IPCA Hist'!$B:$C,2,0))^12 - 1)+$R$2)^(1/252)</f>
        <v>47507609.402863823</v>
      </c>
      <c r="S536" s="24">
        <f>S535*(1+((1+VLOOKUP($B536,'IPCA Hist'!$B:$C,2,0))^12 - 1)+$S$2)^(1/252)</f>
        <v>48535700.489705041</v>
      </c>
      <c r="T536" s="24">
        <f>T535*(1+((1+VLOOKUP($B536,'IPCA Hist'!$B:$C,2,0))^12 - 1)+$T$2)^(1/252)</f>
        <v>245121456.20869467</v>
      </c>
      <c r="U536" s="24">
        <f>U535*(1+((1+VLOOKUP($B536,'IPCA Hist'!$B:$C,2,0))^12 - 1)+$U$2)^(1/252)</f>
        <v>21626971.804665525</v>
      </c>
      <c r="V536" s="24">
        <f>V535*(1+((1+VLOOKUP($B536,'IPCA Hist'!$B:$C,2,0))^12 - 1)+$V$2)^(1/252)</f>
        <v>84222546.317079023</v>
      </c>
      <c r="W536" s="24">
        <f>W535*(1+((1+VLOOKUP($B536,'IPCA Hist'!$B:$C,2,0))^12 - 1)+$W$2)^(1/252)</f>
        <v>44357696.941730075</v>
      </c>
      <c r="X536" s="24">
        <f>X535*(1+((1+VLOOKUP($B536,'IPCA Hist'!$B:$C,2,0))^12 - 1)+$X$2)^(1/252)</f>
        <v>15175155.797520058</v>
      </c>
      <c r="Y536" s="24">
        <f>Y535*(1+((1+VLOOKUP($B536,'IPCA Hist'!$B:$C,2,0))^12 - 1)+$Y$2)^(1/252)</f>
        <v>123814654.23227675</v>
      </c>
      <c r="Z536" s="24">
        <f>Z535*(1+((1+VLOOKUP($B536,'IPCA Hist'!$B:$C,2,0))^12 - 1)+$Z$2)^(1/252)</f>
        <v>84289350.379269227</v>
      </c>
      <c r="AA536" s="24">
        <f>AA535*(1+((1+VLOOKUP($B536,'IPCA Hist'!$B:$C,2,0))^12 - 1)+$AA$2)^(1/252)</f>
        <v>42506676.283821315</v>
      </c>
      <c r="AB536" s="24">
        <f>AB535*(1+((1+VLOOKUP($B536,'IPCA Hist'!$B:$C,2,0))^12 - 1)+$AB$2)^(1/252)</f>
        <v>42519857.224061146</v>
      </c>
      <c r="AC536" s="24">
        <f>AC535*(1+((1+VLOOKUP($B536,'IPCA Hist'!$B:$C,2,0))^12 - 1)+$AC$2)^(1/252)</f>
        <v>5273529.8160829572</v>
      </c>
      <c r="AD536" s="24">
        <f>AD535*(1+((1+VLOOKUP($B536,'IPCA Hist'!$B:$C,2,0))^12 - 1)+$AD$2)^(1/252)</f>
        <v>392242594.54498947</v>
      </c>
      <c r="AE536" s="24">
        <v>0</v>
      </c>
      <c r="AF536" s="24">
        <f>AF535*(1+((1+VLOOKUP($B536,'IGPM Hist'!$B:$C,2,0))^12 - 1)+$AF$2)^(1/252)</f>
        <v>1689461.7277317254</v>
      </c>
      <c r="AG536" s="24">
        <v>0</v>
      </c>
      <c r="AH536" s="24">
        <v>0</v>
      </c>
      <c r="AI536" s="24">
        <v>0</v>
      </c>
      <c r="AJ536" s="24">
        <f t="shared" ref="AJ536:AQ536" si="420">AJ535*(1+AJ$2)^(1/252)</f>
        <v>54005434.455775544</v>
      </c>
      <c r="AK536" s="24">
        <f t="shared" si="420"/>
        <v>177287034.5001772</v>
      </c>
      <c r="AL536" s="24">
        <f t="shared" si="420"/>
        <v>36359875.386207014</v>
      </c>
      <c r="AM536" s="24">
        <f t="shared" si="420"/>
        <v>127294718.9816495</v>
      </c>
      <c r="AN536" s="24">
        <f t="shared" si="420"/>
        <v>54534792.249279074</v>
      </c>
      <c r="AO536" s="24">
        <f t="shared" si="420"/>
        <v>23423564.469982933</v>
      </c>
      <c r="AP536" s="24">
        <f t="shared" si="420"/>
        <v>17806592.67738172</v>
      </c>
      <c r="AQ536" s="24">
        <f t="shared" si="420"/>
        <v>6931194.667076081</v>
      </c>
      <c r="AR536" s="2">
        <v>54647179.725695997</v>
      </c>
      <c r="AS536" s="24">
        <f t="shared" ref="AS536:AY536" si="421">AS535*(1+AS$2)^(1/252)</f>
        <v>105953614.37000571</v>
      </c>
      <c r="AT536" s="24">
        <f t="shared" si="421"/>
        <v>5387837.8247847874</v>
      </c>
      <c r="AU536" s="24">
        <f t="shared" si="421"/>
        <v>6049287.8232622324</v>
      </c>
      <c r="AV536" s="24">
        <f t="shared" si="421"/>
        <v>53754768.86682862</v>
      </c>
      <c r="AW536" s="24">
        <f t="shared" si="421"/>
        <v>2778204.9487334751</v>
      </c>
      <c r="AX536" s="24">
        <f t="shared" si="421"/>
        <v>3355450.5743307723</v>
      </c>
      <c r="AY536" s="24">
        <f t="shared" si="421"/>
        <v>55051612.278183453</v>
      </c>
      <c r="AZ536" s="24">
        <v>0</v>
      </c>
      <c r="BA536" s="24">
        <f>BA535*(1+VLOOKUP(A536,'SELIC Hist'!$A:$C,3,0)-0.01%)^(1/252)</f>
        <v>6080234.751256275</v>
      </c>
      <c r="BB536" s="24">
        <f t="shared" si="405"/>
        <v>2037104581.6946948</v>
      </c>
      <c r="BC536" s="24">
        <v>0</v>
      </c>
      <c r="BD536" s="24">
        <v>0</v>
      </c>
      <c r="BE536" s="24">
        <f t="shared" si="406"/>
        <v>615344.85838484764</v>
      </c>
      <c r="BF536" s="24">
        <f t="shared" si="407"/>
        <v>3688640.7545757294</v>
      </c>
      <c r="BG536" s="24">
        <f t="shared" si="408"/>
        <v>110213105.60388875</v>
      </c>
      <c r="BH536" s="46">
        <f t="shared" si="409"/>
        <v>1.2235550681373464</v>
      </c>
      <c r="BI536" s="47">
        <f t="shared" si="410"/>
        <v>3.021596418260053E-4</v>
      </c>
      <c r="BJ536" s="47">
        <f t="shared" si="411"/>
        <v>1.8140119197009863E-3</v>
      </c>
      <c r="BK536" s="47">
        <f t="shared" si="412"/>
        <v>6.2454691577501942E-2</v>
      </c>
      <c r="BL536" s="48">
        <f t="shared" si="413"/>
        <v>0.22355506813734638</v>
      </c>
      <c r="BM536" s="49">
        <f t="shared" si="414"/>
        <v>5.1697290663271556E-2</v>
      </c>
      <c r="BN536" s="49">
        <f t="shared" si="415"/>
        <v>0.10333661382288262</v>
      </c>
      <c r="BO536" s="49">
        <f t="shared" si="416"/>
        <v>0.21263310560996951</v>
      </c>
    </row>
    <row r="537" spans="1:67" x14ac:dyDescent="0.25">
      <c r="A537" s="1">
        <v>45880</v>
      </c>
      <c r="B537" s="1" t="str">
        <f t="shared" si="417"/>
        <v>202508</v>
      </c>
      <c r="C537" s="24">
        <v>0</v>
      </c>
      <c r="D537" s="24">
        <v>0</v>
      </c>
      <c r="E537" s="24">
        <v>0</v>
      </c>
      <c r="F537" s="24">
        <v>0</v>
      </c>
      <c r="G537" s="24">
        <v>0</v>
      </c>
      <c r="H537" s="24">
        <v>0</v>
      </c>
      <c r="I537" s="24">
        <v>0</v>
      </c>
      <c r="J537" s="24">
        <v>0</v>
      </c>
      <c r="K537" s="24">
        <v>0</v>
      </c>
      <c r="L537" s="24">
        <v>0</v>
      </c>
      <c r="M537" s="24">
        <v>0</v>
      </c>
      <c r="N537" s="24">
        <v>0</v>
      </c>
      <c r="O537" s="24">
        <v>0</v>
      </c>
      <c r="P537" s="24">
        <v>0</v>
      </c>
      <c r="Q537" s="24">
        <f>Q536*(1+((1+VLOOKUP($B537,'IPCA Hist'!$B:$C,2,0))^12 - 1)+$Q$2)^(1/252)</f>
        <v>47526843.565072946</v>
      </c>
      <c r="R537" s="24">
        <f>R536*(1+((1+VLOOKUP($B537,'IPCA Hist'!$B:$C,2,0))^12 - 1)+$R$2)^(1/252)</f>
        <v>47514547.375550665</v>
      </c>
      <c r="S537" s="24">
        <f>S536*(1+((1+VLOOKUP($B537,'IPCA Hist'!$B:$C,2,0))^12 - 1)+$S$2)^(1/252)</f>
        <v>48542565.671149686</v>
      </c>
      <c r="T537" s="24">
        <f>T536*(1+((1+VLOOKUP($B537,'IPCA Hist'!$B:$C,2,0))^12 - 1)+$T$2)^(1/252)</f>
        <v>245156033.77962989</v>
      </c>
      <c r="U537" s="24">
        <f>U536*(1+((1+VLOOKUP($B537,'IPCA Hist'!$B:$C,2,0))^12 - 1)+$U$2)^(1/252)</f>
        <v>21631133.663209878</v>
      </c>
      <c r="V537" s="24">
        <f>V536*(1+((1+VLOOKUP($B537,'IPCA Hist'!$B:$C,2,0))^12 - 1)+$V$2)^(1/252)</f>
        <v>84243402.952668026</v>
      </c>
      <c r="W537" s="24">
        <f>W536*(1+((1+VLOOKUP($B537,'IPCA Hist'!$B:$C,2,0))^12 - 1)+$W$2)^(1/252)</f>
        <v>44368832.022077464</v>
      </c>
      <c r="X537" s="24">
        <f>X536*(1+((1+VLOOKUP($B537,'IPCA Hist'!$B:$C,2,0))^12 - 1)+$X$2)^(1/252)</f>
        <v>15178664.219528327</v>
      </c>
      <c r="Y537" s="24">
        <f>Y536*(1+((1+VLOOKUP($B537,'IPCA Hist'!$B:$C,2,0))^12 - 1)+$Y$2)^(1/252)</f>
        <v>123846012.05452059</v>
      </c>
      <c r="Z537" s="24">
        <f>Z536*(1+((1+VLOOKUP($B537,'IPCA Hist'!$B:$C,2,0))^12 - 1)+$Z$2)^(1/252)</f>
        <v>84308114.103318125</v>
      </c>
      <c r="AA537" s="24">
        <f>AA536*(1+((1+VLOOKUP($B537,'IPCA Hist'!$B:$C,2,0))^12 - 1)+$AA$2)^(1/252)</f>
        <v>42518073.68208383</v>
      </c>
      <c r="AB537" s="24">
        <f>AB536*(1+((1+VLOOKUP($B537,'IPCA Hist'!$B:$C,2,0))^12 - 1)+$AB$2)^(1/252)</f>
        <v>42531242.380918644</v>
      </c>
      <c r="AC537" s="24">
        <f>AC536*(1+((1+VLOOKUP($B537,'IPCA Hist'!$B:$C,2,0))^12 - 1)+$AC$2)^(1/252)</f>
        <v>5274756.9277824182</v>
      </c>
      <c r="AD537" s="24">
        <f>AD536*(1+((1+VLOOKUP($B537,'IPCA Hist'!$B:$C,2,0))^12 - 1)+$AD$2)^(1/252)</f>
        <v>392333710.87977624</v>
      </c>
      <c r="AE537" s="24">
        <v>0</v>
      </c>
      <c r="AF537" s="24">
        <f>AF536*(1+((1+VLOOKUP($B537,'IGPM Hist'!$B:$C,2,0))^12 - 1)+$AF$2)^(1/252)</f>
        <v>1690117.9800632915</v>
      </c>
      <c r="AG537" s="24">
        <v>0</v>
      </c>
      <c r="AH537" s="24">
        <v>0</v>
      </c>
      <c r="AI537" s="24">
        <v>0</v>
      </c>
      <c r="AJ537" s="24">
        <f t="shared" ref="AJ537:AQ537" si="422">AJ536*(1+AJ$2)^(1/252)</f>
        <v>54030298.701620474</v>
      </c>
      <c r="AK537" s="24">
        <f t="shared" si="422"/>
        <v>177372688.99790064</v>
      </c>
      <c r="AL537" s="24">
        <f t="shared" si="422"/>
        <v>36377448.694991477</v>
      </c>
      <c r="AM537" s="24">
        <f t="shared" si="422"/>
        <v>127356208.99412821</v>
      </c>
      <c r="AN537" s="24">
        <f t="shared" si="422"/>
        <v>54561154.578017972</v>
      </c>
      <c r="AO537" s="24">
        <f t="shared" si="422"/>
        <v>23436999.667145263</v>
      </c>
      <c r="AP537" s="24">
        <f t="shared" si="422"/>
        <v>17815489.338437695</v>
      </c>
      <c r="AQ537" s="24">
        <f t="shared" si="422"/>
        <v>6934670.4171638079</v>
      </c>
      <c r="AR537" s="2">
        <v>54647180.725695997</v>
      </c>
      <c r="AS537" s="24">
        <f t="shared" ref="AS537:AY537" si="423">AS536*(1+AS$2)^(1/252)</f>
        <v>106000819.54198484</v>
      </c>
      <c r="AT537" s="24">
        <f t="shared" si="423"/>
        <v>5390886.0652542515</v>
      </c>
      <c r="AU537" s="24">
        <f t="shared" si="423"/>
        <v>6052299.6224533878</v>
      </c>
      <c r="AV537" s="24">
        <f t="shared" si="423"/>
        <v>53779232.458762884</v>
      </c>
      <c r="AW537" s="24">
        <f t="shared" si="423"/>
        <v>2779756.6490791934</v>
      </c>
      <c r="AX537" s="24">
        <f t="shared" si="423"/>
        <v>3357133.2146530086</v>
      </c>
      <c r="AY537" s="24">
        <f t="shared" si="423"/>
        <v>55080251.66439525</v>
      </c>
      <c r="AZ537" s="24">
        <v>0</v>
      </c>
      <c r="BA537" s="24">
        <f>BA536*(1+VLOOKUP(A537,'SELIC Hist'!$A:$C,3,0)-0.01%)^(1/252)</f>
        <v>6083584.7482233038</v>
      </c>
      <c r="BB537" s="24">
        <f t="shared" si="405"/>
        <v>2037720155.3372579</v>
      </c>
      <c r="BC537" s="24">
        <v>0</v>
      </c>
      <c r="BD537" s="24">
        <v>0</v>
      </c>
      <c r="BE537" s="24">
        <f t="shared" si="406"/>
        <v>615573.64256310463</v>
      </c>
      <c r="BF537" s="24">
        <f t="shared" si="407"/>
        <v>4304214.397138834</v>
      </c>
      <c r="BG537" s="24">
        <f t="shared" si="408"/>
        <v>110828679.24645185</v>
      </c>
      <c r="BH537" s="46">
        <f t="shared" si="409"/>
        <v>1.2239248028367515</v>
      </c>
      <c r="BI537" s="47">
        <f t="shared" si="410"/>
        <v>3.0218067746479171E-4</v>
      </c>
      <c r="BJ537" s="47">
        <f t="shared" si="411"/>
        <v>2.1167407565165774E-3</v>
      </c>
      <c r="BK537" s="47">
        <f t="shared" si="412"/>
        <v>6.2775744855978477E-2</v>
      </c>
      <c r="BL537" s="48">
        <f t="shared" si="413"/>
        <v>0.22392480283675154</v>
      </c>
      <c r="BM537" s="49">
        <f t="shared" si="414"/>
        <v>5.1287712887957859E-2</v>
      </c>
      <c r="BN537" s="49">
        <f t="shared" si="415"/>
        <v>0.10346640663782392</v>
      </c>
      <c r="BO537" s="49">
        <f t="shared" si="416"/>
        <v>0.21259782877884903</v>
      </c>
    </row>
    <row r="538" spans="1:67" x14ac:dyDescent="0.25">
      <c r="A538" s="1">
        <v>45881</v>
      </c>
      <c r="B538" s="1" t="str">
        <f t="shared" si="417"/>
        <v>202508</v>
      </c>
      <c r="C538" s="24">
        <v>0</v>
      </c>
      <c r="D538" s="24">
        <v>0</v>
      </c>
      <c r="E538" s="24">
        <v>0</v>
      </c>
      <c r="F538" s="24">
        <v>0</v>
      </c>
      <c r="G538" s="24">
        <v>0</v>
      </c>
      <c r="H538" s="24">
        <v>0</v>
      </c>
      <c r="I538" s="24">
        <v>0</v>
      </c>
      <c r="J538" s="24">
        <v>0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f>Q537*(1+((1+VLOOKUP($B538,'IPCA Hist'!$B:$C,2,0))^12 - 1)+$Q$2)^(1/252)</f>
        <v>47533766.164727978</v>
      </c>
      <c r="R538" s="24">
        <f>R537*(1+((1+VLOOKUP($B538,'IPCA Hist'!$B:$C,2,0))^12 - 1)+$R$2)^(1/252)</f>
        <v>47521486.361453407</v>
      </c>
      <c r="S538" s="24">
        <f>S537*(1+((1+VLOOKUP($B538,'IPCA Hist'!$B:$C,2,0))^12 - 1)+$S$2)^(1/252)</f>
        <v>48549431.823646896</v>
      </c>
      <c r="T538" s="24">
        <f>T537*(1+((1+VLOOKUP($B538,'IPCA Hist'!$B:$C,2,0))^12 - 1)+$T$2)^(1/252)</f>
        <v>245190616.22818142</v>
      </c>
      <c r="U538" s="24">
        <f>U537*(1+((1+VLOOKUP($B538,'IPCA Hist'!$B:$C,2,0))^12 - 1)+$U$2)^(1/252)</f>
        <v>21635296.322655376</v>
      </c>
      <c r="V538" s="24">
        <f>V537*(1+((1+VLOOKUP($B538,'IPCA Hist'!$B:$C,2,0))^12 - 1)+$V$2)^(1/252)</f>
        <v>84264264.753135875</v>
      </c>
      <c r="W538" s="24">
        <f>W537*(1+((1+VLOOKUP($B538,'IPCA Hist'!$B:$C,2,0))^12 - 1)+$W$2)^(1/252)</f>
        <v>44379969.897655956</v>
      </c>
      <c r="X538" s="24">
        <f>X537*(1+((1+VLOOKUP($B538,'IPCA Hist'!$B:$C,2,0))^12 - 1)+$X$2)^(1/252)</f>
        <v>15182173.452666653</v>
      </c>
      <c r="Y538" s="24">
        <f>Y537*(1+((1+VLOOKUP($B538,'IPCA Hist'!$B:$C,2,0))^12 - 1)+$Y$2)^(1/252)</f>
        <v>123877377.81857893</v>
      </c>
      <c r="Z538" s="24">
        <f>Z537*(1+((1+VLOOKUP($B538,'IPCA Hist'!$B:$C,2,0))^12 - 1)+$Z$2)^(1/252)</f>
        <v>84326882.004375607</v>
      </c>
      <c r="AA538" s="24">
        <f>AA537*(1+((1+VLOOKUP($B538,'IPCA Hist'!$B:$C,2,0))^12 - 1)+$AA$2)^(1/252)</f>
        <v>42529474.136353038</v>
      </c>
      <c r="AB538" s="24">
        <f>AB537*(1+((1+VLOOKUP($B538,'IPCA Hist'!$B:$C,2,0))^12 - 1)+$AB$2)^(1/252)</f>
        <v>42542630.586276419</v>
      </c>
      <c r="AC538" s="24">
        <f>AC537*(1+((1+VLOOKUP($B538,'IPCA Hist'!$B:$C,2,0))^12 - 1)+$AC$2)^(1/252)</f>
        <v>5275984.3250217689</v>
      </c>
      <c r="AD538" s="24">
        <f>AD537*(1+((1+VLOOKUP($B538,'IPCA Hist'!$B:$C,2,0))^12 - 1)+$AD$2)^(1/252)</f>
        <v>392424848.38051128</v>
      </c>
      <c r="AE538" s="24">
        <v>0</v>
      </c>
      <c r="AF538" s="24">
        <f>AF537*(1+((1+VLOOKUP($B538,'IGPM Hist'!$B:$C,2,0))^12 - 1)+$AF$2)^(1/252)</f>
        <v>1690774.4873086656</v>
      </c>
      <c r="AG538" s="24">
        <v>0</v>
      </c>
      <c r="AH538" s="24">
        <v>0</v>
      </c>
      <c r="AI538" s="24">
        <v>0</v>
      </c>
      <c r="AJ538" s="24">
        <f t="shared" ref="AJ538:AQ538" si="424">AJ537*(1+AJ$2)^(1/252)</f>
        <v>54055174.395030409</v>
      </c>
      <c r="AK538" s="24">
        <f t="shared" si="424"/>
        <v>177458384.87875739</v>
      </c>
      <c r="AL538" s="24">
        <f t="shared" si="424"/>
        <v>36395030.497236885</v>
      </c>
      <c r="AM538" s="24">
        <f t="shared" si="424"/>
        <v>127417728.70950162</v>
      </c>
      <c r="AN538" s="24">
        <f t="shared" si="424"/>
        <v>54587529.650408179</v>
      </c>
      <c r="AO538" s="24">
        <f t="shared" si="424"/>
        <v>23450442.570415817</v>
      </c>
      <c r="AP538" s="24">
        <f t="shared" si="424"/>
        <v>17824390.444509029</v>
      </c>
      <c r="AQ538" s="24">
        <f t="shared" si="424"/>
        <v>6938147.9102178272</v>
      </c>
      <c r="AR538" s="2">
        <v>54647181.725695997</v>
      </c>
      <c r="AS538" s="24">
        <f t="shared" ref="AS538:AY538" si="425">AS537*(1+AS$2)^(1/252)</f>
        <v>106048045.74513195</v>
      </c>
      <c r="AT538" s="24">
        <f t="shared" si="425"/>
        <v>5393936.0303060543</v>
      </c>
      <c r="AU538" s="24">
        <f t="shared" si="425"/>
        <v>6055312.9211490517</v>
      </c>
      <c r="AV538" s="24">
        <f t="shared" si="425"/>
        <v>53803707.183985285</v>
      </c>
      <c r="AW538" s="24">
        <f t="shared" si="425"/>
        <v>2781309.216090261</v>
      </c>
      <c r="AX538" s="24">
        <f t="shared" si="425"/>
        <v>3358816.698760123</v>
      </c>
      <c r="AY538" s="24">
        <f t="shared" si="425"/>
        <v>55108905.949615605</v>
      </c>
      <c r="AZ538" s="24">
        <v>0</v>
      </c>
      <c r="BA538" s="24">
        <f>BA537*(1+VLOOKUP(A538,'SELIC Hist'!$A:$C,3,0)-0.01%)^(1/252)</f>
        <v>6086936.5909216469</v>
      </c>
      <c r="BB538" s="24">
        <f t="shared" si="405"/>
        <v>2038335957.8602827</v>
      </c>
      <c r="BC538" s="24">
        <v>0</v>
      </c>
      <c r="BD538" s="24">
        <v>0</v>
      </c>
      <c r="BE538" s="24">
        <f t="shared" si="406"/>
        <v>615802.52302479744</v>
      </c>
      <c r="BF538" s="24">
        <f t="shared" si="407"/>
        <v>4920016.9201636314</v>
      </c>
      <c r="BG538" s="24">
        <f t="shared" si="408"/>
        <v>111444481.76947665</v>
      </c>
      <c r="BH538" s="46">
        <f t="shared" si="409"/>
        <v>1.2242946750096333</v>
      </c>
      <c r="BI538" s="47">
        <f t="shared" si="410"/>
        <v>3.0220171371997395E-4</v>
      </c>
      <c r="BJ538" s="47">
        <f t="shared" si="411"/>
        <v>2.4195821529207073E-3</v>
      </c>
      <c r="BK538" s="47">
        <f t="shared" si="412"/>
        <v>6.3096917507373895E-2</v>
      </c>
      <c r="BL538" s="48">
        <f t="shared" si="413"/>
        <v>0.22429467500963329</v>
      </c>
      <c r="BM538" s="49">
        <f t="shared" si="414"/>
        <v>5.0878286737058298E-2</v>
      </c>
      <c r="BN538" s="49">
        <f t="shared" si="415"/>
        <v>0.10380684443739785</v>
      </c>
      <c r="BO538" s="49">
        <f t="shared" si="416"/>
        <v>0.21256257669607148</v>
      </c>
    </row>
    <row r="539" spans="1:67" x14ac:dyDescent="0.25">
      <c r="A539" s="1">
        <v>45882</v>
      </c>
      <c r="B539" s="1" t="str">
        <f t="shared" si="417"/>
        <v>202508</v>
      </c>
      <c r="C539" s="24">
        <v>0</v>
      </c>
      <c r="D539" s="24">
        <v>0</v>
      </c>
      <c r="E539" s="24">
        <v>0</v>
      </c>
      <c r="F539" s="24">
        <v>0</v>
      </c>
      <c r="G539" s="24">
        <v>0</v>
      </c>
      <c r="H539" s="24">
        <v>0</v>
      </c>
      <c r="I539" s="24">
        <v>0</v>
      </c>
      <c r="J539" s="24">
        <v>0</v>
      </c>
      <c r="K539" s="24">
        <v>0</v>
      </c>
      <c r="L539" s="24">
        <v>0</v>
      </c>
      <c r="M539" s="24">
        <v>0</v>
      </c>
      <c r="N539" s="24">
        <v>0</v>
      </c>
      <c r="O539" s="24">
        <v>0</v>
      </c>
      <c r="P539" s="24">
        <v>0</v>
      </c>
      <c r="Q539" s="24">
        <f>Q538*(1+((1+VLOOKUP($B539,'IPCA Hist'!$B:$C,2,0))^12 - 1)+$Q$2)^(1/252)</f>
        <v>47540689.772705518</v>
      </c>
      <c r="R539" s="24">
        <f>R538*(1+((1+VLOOKUP($B539,'IPCA Hist'!$B:$C,2,0))^12 - 1)+$R$2)^(1/252)</f>
        <v>47528426.360720009</v>
      </c>
      <c r="S539" s="24">
        <f>S538*(1+((1+VLOOKUP($B539,'IPCA Hist'!$B:$C,2,0))^12 - 1)+$S$2)^(1/252)</f>
        <v>48556298.947334014</v>
      </c>
      <c r="T539" s="24">
        <f>T538*(1+((1+VLOOKUP($B539,'IPCA Hist'!$B:$C,2,0))^12 - 1)+$T$2)^(1/252)</f>
        <v>245225203.55503732</v>
      </c>
      <c r="U539" s="24">
        <f>U538*(1+((1+VLOOKUP($B539,'IPCA Hist'!$B:$C,2,0))^12 - 1)+$U$2)^(1/252)</f>
        <v>21639459.783156149</v>
      </c>
      <c r="V539" s="24">
        <f>V538*(1+((1+VLOOKUP($B539,'IPCA Hist'!$B:$C,2,0))^12 - 1)+$V$2)^(1/252)</f>
        <v>84285131.719761595</v>
      </c>
      <c r="W539" s="24">
        <f>W538*(1+((1+VLOOKUP($B539,'IPCA Hist'!$B:$C,2,0))^12 - 1)+$W$2)^(1/252)</f>
        <v>44391110.569167241</v>
      </c>
      <c r="X539" s="24">
        <f>X538*(1+((1+VLOOKUP($B539,'IPCA Hist'!$B:$C,2,0))^12 - 1)+$X$2)^(1/252)</f>
        <v>15185683.497122565</v>
      </c>
      <c r="Y539" s="24">
        <f>Y538*(1+((1+VLOOKUP($B539,'IPCA Hist'!$B:$C,2,0))^12 - 1)+$Y$2)^(1/252)</f>
        <v>123908751.52646314</v>
      </c>
      <c r="Z539" s="24">
        <f>Z538*(1+((1+VLOOKUP($B539,'IPCA Hist'!$B:$C,2,0))^12 - 1)+$Z$2)^(1/252)</f>
        <v>84345654.08337152</v>
      </c>
      <c r="AA539" s="24">
        <f>AA538*(1+((1+VLOOKUP($B539,'IPCA Hist'!$B:$C,2,0))^12 - 1)+$AA$2)^(1/252)</f>
        <v>42540877.647448353</v>
      </c>
      <c r="AB539" s="24">
        <f>AB538*(1+((1+VLOOKUP($B539,'IPCA Hist'!$B:$C,2,0))^12 - 1)+$AB$2)^(1/252)</f>
        <v>42554021.84095075</v>
      </c>
      <c r="AC539" s="24">
        <f>AC538*(1+((1+VLOOKUP($B539,'IPCA Hist'!$B:$C,2,0))^12 - 1)+$AC$2)^(1/252)</f>
        <v>5277212.0078674527</v>
      </c>
      <c r="AD539" s="24">
        <f>AD538*(1+((1+VLOOKUP($B539,'IPCA Hist'!$B:$C,2,0))^12 - 1)+$AD$2)^(1/252)</f>
        <v>392516007.05211139</v>
      </c>
      <c r="AE539" s="24">
        <v>0</v>
      </c>
      <c r="AF539" s="24">
        <f>AF538*(1+((1+VLOOKUP($B539,'IGPM Hist'!$B:$C,2,0))^12 - 1)+$AF$2)^(1/252)</f>
        <v>1691431.2495668663</v>
      </c>
      <c r="AG539" s="24">
        <v>0</v>
      </c>
      <c r="AH539" s="24">
        <v>0</v>
      </c>
      <c r="AI539" s="24">
        <v>0</v>
      </c>
      <c r="AJ539" s="24">
        <f t="shared" ref="AJ539:AQ539" si="426">AJ538*(1+AJ$2)^(1/252)</f>
        <v>54080061.541275837</v>
      </c>
      <c r="AK539" s="24">
        <f t="shared" si="426"/>
        <v>177544122.16274127</v>
      </c>
      <c r="AL539" s="24">
        <f t="shared" si="426"/>
        <v>36412620.797048263</v>
      </c>
      <c r="AM539" s="24">
        <f t="shared" si="426"/>
        <v>127479278.1421178</v>
      </c>
      <c r="AN539" s="24">
        <f t="shared" si="426"/>
        <v>54613917.472610027</v>
      </c>
      <c r="AO539" s="24">
        <f t="shared" si="426"/>
        <v>23463893.184214637</v>
      </c>
      <c r="AP539" s="24">
        <f t="shared" si="426"/>
        <v>17833295.997816574</v>
      </c>
      <c r="AQ539" s="24">
        <f t="shared" si="426"/>
        <v>6941627.1471121749</v>
      </c>
      <c r="AR539" s="2">
        <v>54647182.725695997</v>
      </c>
      <c r="AS539" s="24">
        <f t="shared" ref="AS539:AY539" si="427">AS538*(1+AS$2)^(1/252)</f>
        <v>106095292.98881699</v>
      </c>
      <c r="AT539" s="24">
        <f t="shared" si="427"/>
        <v>5396987.7209159024</v>
      </c>
      <c r="AU539" s="24">
        <f t="shared" si="427"/>
        <v>6058327.7200957937</v>
      </c>
      <c r="AV539" s="24">
        <f t="shared" si="427"/>
        <v>53828193.047562532</v>
      </c>
      <c r="AW539" s="24">
        <f t="shared" si="427"/>
        <v>2782862.6502507338</v>
      </c>
      <c r="AX539" s="24">
        <f t="shared" si="427"/>
        <v>3360501.0270752441</v>
      </c>
      <c r="AY539" s="24">
        <f t="shared" si="427"/>
        <v>55137575.141595401</v>
      </c>
      <c r="AZ539" s="24">
        <v>0</v>
      </c>
      <c r="BA539" s="24">
        <f>BA538*(1+VLOOKUP(A539,'SELIC Hist'!$A:$C,3,0)-0.01%)^(1/252)</f>
        <v>6090290.2803682378</v>
      </c>
      <c r="BB539" s="24">
        <f t="shared" ref="BB539:BB551" si="428">SUM(C539:BA539)</f>
        <v>2038951989.3600969</v>
      </c>
      <c r="BC539" s="24">
        <v>0</v>
      </c>
      <c r="BD539" s="24">
        <v>0</v>
      </c>
      <c r="BE539" s="24">
        <f t="shared" ref="BE539:BE551" si="429">BB539-BB538-BC539+BD539</f>
        <v>616031.49981427193</v>
      </c>
      <c r="BF539" s="24">
        <f t="shared" ref="BF539:BF551" si="430">IF(MONTH(A539)=MONTH(A538),BE539+BF538,BE539)</f>
        <v>5536048.4199779034</v>
      </c>
      <c r="BG539" s="24">
        <f t="shared" ref="BG539:BG551" si="431">IF(YEAR(A539)=YEAR(A538),BE539+BG538,BE539)</f>
        <v>112060513.26929092</v>
      </c>
      <c r="BH539" s="46">
        <f t="shared" ref="BH539:BH551" si="432">(1+(BB539-BB538-BC539+BD539)/BB538)*BH538</f>
        <v>1.2246646847138494</v>
      </c>
      <c r="BI539" s="47">
        <f t="shared" ref="BI539:BI551" si="433">BH539/BH538 - 1</f>
        <v>3.0222275059155201E-4</v>
      </c>
      <c r="BJ539" s="47">
        <f t="shared" ref="BJ539:BJ551" si="434">IF(MONTH(A539)=MONTH(A538),(1+BI539)*(1+BJ538) - 1,BI539)</f>
        <v>2.7225361562857042E-3</v>
      </c>
      <c r="BK539" s="47">
        <f t="shared" ref="BK539:BK551" si="435">IF(YEAR(A539)=YEAR(A538),(1+BI539)*(1+BK538) - 1,BI539)</f>
        <v>6.3418209581928453E-2</v>
      </c>
      <c r="BL539" s="48">
        <f t="shared" ref="BL539:BL551" si="436">(1+BI539)*(1+BL538) - 1</f>
        <v>0.22466468471384937</v>
      </c>
      <c r="BM539" s="49">
        <f t="shared" ref="BM539:BM551" si="437">BH539/BH413 - 1</f>
        <v>5.0469012160582416E-2</v>
      </c>
      <c r="BN539" s="49">
        <f t="shared" ref="BN539:BN551" si="438">BH539/BH287 - 1</f>
        <v>0.10413166418265662</v>
      </c>
      <c r="BO539" s="49">
        <f t="shared" ref="BO539:BO551" si="439">BH539/BH35 - 1</f>
        <v>0.21252734936014539</v>
      </c>
    </row>
    <row r="540" spans="1:67" x14ac:dyDescent="0.25">
      <c r="A540" s="1">
        <v>45883</v>
      </c>
      <c r="B540" s="1" t="str">
        <f t="shared" si="417"/>
        <v>202508</v>
      </c>
      <c r="C540" s="24">
        <v>0</v>
      </c>
      <c r="D540" s="24">
        <v>0</v>
      </c>
      <c r="E540" s="24">
        <v>0</v>
      </c>
      <c r="F540" s="24">
        <v>0</v>
      </c>
      <c r="G540" s="24">
        <v>0</v>
      </c>
      <c r="H540" s="24">
        <v>0</v>
      </c>
      <c r="I540" s="24">
        <v>0</v>
      </c>
      <c r="J540" s="24">
        <v>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f>Q539*(1+((1+VLOOKUP($B540,'IPCA Hist'!$B:$C,2,0))^12 - 1)+$Q$2)^(1/252)</f>
        <v>47547614.38915243</v>
      </c>
      <c r="R540" s="24">
        <f>R539*(1+((1+VLOOKUP($B540,'IPCA Hist'!$B:$C,2,0))^12 - 1)+$R$2)^(1/252)</f>
        <v>47535367.37349847</v>
      </c>
      <c r="S540" s="24">
        <f>S539*(1+((1+VLOOKUP($B540,'IPCA Hist'!$B:$C,2,0))^12 - 1)+$S$2)^(1/252)</f>
        <v>48563167.042348415</v>
      </c>
      <c r="T540" s="24">
        <f>T539*(1+((1+VLOOKUP($B540,'IPCA Hist'!$B:$C,2,0))^12 - 1)+$T$2)^(1/252)</f>
        <v>245259795.76088572</v>
      </c>
      <c r="U540" s="24">
        <f>U539*(1+((1+VLOOKUP($B540,'IPCA Hist'!$B:$C,2,0))^12 - 1)+$U$2)^(1/252)</f>
        <v>21643624.044866346</v>
      </c>
      <c r="V540" s="24">
        <f>V539*(1+((1+VLOOKUP($B540,'IPCA Hist'!$B:$C,2,0))^12 - 1)+$V$2)^(1/252)</f>
        <v>84306003.853824511</v>
      </c>
      <c r="W540" s="24">
        <f>W539*(1+((1+VLOOKUP($B540,'IPCA Hist'!$B:$C,2,0))^12 - 1)+$W$2)^(1/252)</f>
        <v>44402254.037313178</v>
      </c>
      <c r="X540" s="24">
        <f>X539*(1+((1+VLOOKUP($B540,'IPCA Hist'!$B:$C,2,0))^12 - 1)+$X$2)^(1/252)</f>
        <v>15189194.353083637</v>
      </c>
      <c r="Y540" s="24">
        <f>Y539*(1+((1+VLOOKUP($B540,'IPCA Hist'!$B:$C,2,0))^12 - 1)+$Y$2)^(1/252)</f>
        <v>123940133.18018511</v>
      </c>
      <c r="Z540" s="24">
        <f>Z539*(1+((1+VLOOKUP($B540,'IPCA Hist'!$B:$C,2,0))^12 - 1)+$Z$2)^(1/252)</f>
        <v>84364430.341235921</v>
      </c>
      <c r="AA540" s="24">
        <f>AA539*(1+((1+VLOOKUP($B540,'IPCA Hist'!$B:$C,2,0))^12 - 1)+$AA$2)^(1/252)</f>
        <v>42552284.216189407</v>
      </c>
      <c r="AB540" s="24">
        <f>AB539*(1+((1+VLOOKUP($B540,'IPCA Hist'!$B:$C,2,0))^12 - 1)+$AB$2)^(1/252)</f>
        <v>42565416.145758115</v>
      </c>
      <c r="AC540" s="24">
        <f>AC539*(1+((1+VLOOKUP($B540,'IPCA Hist'!$B:$C,2,0))^12 - 1)+$AC$2)^(1/252)</f>
        <v>5278439.9763859278</v>
      </c>
      <c r="AD540" s="24">
        <f>AD539*(1+((1+VLOOKUP($B540,'IPCA Hist'!$B:$C,2,0))^12 - 1)+$AD$2)^(1/252)</f>
        <v>392607186.89949441</v>
      </c>
      <c r="AE540" s="24">
        <v>0</v>
      </c>
      <c r="AF540" s="24">
        <f>AF539*(1+((1+VLOOKUP($B540,'IGPM Hist'!$B:$C,2,0))^12 - 1)+$AF$2)^(1/252)</f>
        <v>1692088.2669369504</v>
      </c>
      <c r="AG540" s="24">
        <v>0</v>
      </c>
      <c r="AH540" s="24">
        <v>0</v>
      </c>
      <c r="AI540" s="24">
        <v>0</v>
      </c>
      <c r="AJ540" s="24">
        <f t="shared" ref="AJ540:AQ540" si="440">AJ539*(1+AJ$2)^(1/252)</f>
        <v>54104960.145629674</v>
      </c>
      <c r="AK540" s="24">
        <f t="shared" si="440"/>
        <v>177629900.86985582</v>
      </c>
      <c r="AL540" s="24">
        <f t="shared" si="440"/>
        <v>36430219.598532625</v>
      </c>
      <c r="AM540" s="24">
        <f t="shared" si="440"/>
        <v>127540857.30633171</v>
      </c>
      <c r="AN540" s="24">
        <f t="shared" si="440"/>
        <v>54640318.050786816</v>
      </c>
      <c r="AO540" s="24">
        <f t="shared" si="440"/>
        <v>23477351.512964293</v>
      </c>
      <c r="AP540" s="24">
        <f t="shared" si="440"/>
        <v>17842206.000582289</v>
      </c>
      <c r="AQ540" s="24">
        <f t="shared" si="440"/>
        <v>6945108.1287213266</v>
      </c>
      <c r="AR540" s="2">
        <v>54647183.725695997</v>
      </c>
      <c r="AS540" s="24">
        <f t="shared" ref="AS540:AY540" si="441">AS539*(1+AS$2)^(1/252)</f>
        <v>106142561.28241408</v>
      </c>
      <c r="AT540" s="24">
        <f t="shared" si="441"/>
        <v>5400041.1380600519</v>
      </c>
      <c r="AU540" s="24">
        <f t="shared" si="441"/>
        <v>6061344.0200405531</v>
      </c>
      <c r="AV540" s="24">
        <f t="shared" si="441"/>
        <v>53852690.054563656</v>
      </c>
      <c r="AW540" s="24">
        <f t="shared" si="441"/>
        <v>2784416.9520449368</v>
      </c>
      <c r="AX540" s="24">
        <f t="shared" si="441"/>
        <v>3362186.2000217126</v>
      </c>
      <c r="AY540" s="24">
        <f t="shared" si="441"/>
        <v>55166259.248089552</v>
      </c>
      <c r="AZ540" s="24">
        <v>0</v>
      </c>
      <c r="BA540" s="24">
        <f>BA539*(1+VLOOKUP(A540,'SELIC Hist'!$A:$C,3,0)-0.01%)^(1/252)</f>
        <v>6093645.8175805695</v>
      </c>
      <c r="BB540" s="24">
        <f t="shared" si="428"/>
        <v>2039568249.9330742</v>
      </c>
      <c r="BC540" s="24">
        <v>0</v>
      </c>
      <c r="BD540" s="24">
        <v>0</v>
      </c>
      <c r="BE540" s="24">
        <f t="shared" si="429"/>
        <v>616260.57297730446</v>
      </c>
      <c r="BF540" s="24">
        <f t="shared" si="430"/>
        <v>6152308.9929552078</v>
      </c>
      <c r="BG540" s="24">
        <f t="shared" si="431"/>
        <v>112676773.84226823</v>
      </c>
      <c r="BH540" s="46">
        <f t="shared" si="432"/>
        <v>1.225034832007285</v>
      </c>
      <c r="BI540" s="47">
        <f t="shared" si="433"/>
        <v>3.0224378807996999E-4</v>
      </c>
      <c r="BJ540" s="47">
        <f t="shared" si="434"/>
        <v>3.025602814006767E-3</v>
      </c>
      <c r="BK540" s="47">
        <f t="shared" si="435"/>
        <v>6.3739621129905721E-2</v>
      </c>
      <c r="BL540" s="48">
        <f t="shared" si="436"/>
        <v>0.22503483200728502</v>
      </c>
      <c r="BM540" s="49">
        <f t="shared" si="437"/>
        <v>5.005988910855419E-2</v>
      </c>
      <c r="BN540" s="49">
        <f t="shared" si="438"/>
        <v>0.10383244446648399</v>
      </c>
      <c r="BO540" s="49">
        <f t="shared" si="439"/>
        <v>0.21249214676957862</v>
      </c>
    </row>
    <row r="541" spans="1:67" x14ac:dyDescent="0.25">
      <c r="A541" s="1">
        <v>45884</v>
      </c>
      <c r="B541" s="1" t="str">
        <f t="shared" si="417"/>
        <v>202508</v>
      </c>
      <c r="C541" s="24">
        <v>0</v>
      </c>
      <c r="D541" s="24">
        <v>0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0</v>
      </c>
      <c r="K541" s="24">
        <v>0</v>
      </c>
      <c r="L541" s="24">
        <v>0</v>
      </c>
      <c r="M541" s="24">
        <v>0</v>
      </c>
      <c r="N541" s="24">
        <v>0</v>
      </c>
      <c r="O541" s="24">
        <v>0</v>
      </c>
      <c r="P541" s="24">
        <v>0</v>
      </c>
      <c r="Q541" s="24">
        <f>Q540*(1+((1+VLOOKUP($B541,'IPCA Hist'!$B:$C,2,0))^12 - 1)+$Q$2)^(1/252)</f>
        <v>47554540.014215603</v>
      </c>
      <c r="R541" s="24">
        <f>R540*(1+((1+VLOOKUP($B541,'IPCA Hist'!$B:$C,2,0))^12 - 1)+$R$2)^(1/252)</f>
        <v>47542309.399936795</v>
      </c>
      <c r="S541" s="24">
        <f>S540*(1+((1+VLOOKUP($B541,'IPCA Hist'!$B:$C,2,0))^12 - 1)+$S$2)^(1/252)</f>
        <v>48570036.108827494</v>
      </c>
      <c r="T541" s="24">
        <f>T540*(1+((1+VLOOKUP($B541,'IPCA Hist'!$B:$C,2,0))^12 - 1)+$T$2)^(1/252)</f>
        <v>245294392.84641486</v>
      </c>
      <c r="U541" s="24">
        <f>U540*(1+((1+VLOOKUP($B541,'IPCA Hist'!$B:$C,2,0))^12 - 1)+$U$2)^(1/252)</f>
        <v>21647789.107940152</v>
      </c>
      <c r="V541" s="24">
        <f>V540*(1+((1+VLOOKUP($B541,'IPCA Hist'!$B:$C,2,0))^12 - 1)+$V$2)^(1/252)</f>
        <v>84326881.156604275</v>
      </c>
      <c r="W541" s="24">
        <f>W540*(1+((1+VLOOKUP($B541,'IPCA Hist'!$B:$C,2,0))^12 - 1)+$W$2)^(1/252)</f>
        <v>44413400.302795805</v>
      </c>
      <c r="X541" s="24">
        <f>X540*(1+((1+VLOOKUP($B541,'IPCA Hist'!$B:$C,2,0))^12 - 1)+$X$2)^(1/252)</f>
        <v>15192706.020737482</v>
      </c>
      <c r="Y541" s="24">
        <f>Y540*(1+((1+VLOOKUP($B541,'IPCA Hist'!$B:$C,2,0))^12 - 1)+$Y$2)^(1/252)</f>
        <v>123971522.78175724</v>
      </c>
      <c r="Z541" s="24">
        <f>Z540*(1+((1+VLOOKUP($B541,'IPCA Hist'!$B:$C,2,0))^12 - 1)+$Z$2)^(1/252)</f>
        <v>84383210.778899074</v>
      </c>
      <c r="AA541" s="24">
        <f>AA540*(1+((1+VLOOKUP($B541,'IPCA Hist'!$B:$C,2,0))^12 - 1)+$AA$2)^(1/252)</f>
        <v>42563693.843396045</v>
      </c>
      <c r="AB541" s="24">
        <f>AB540*(1+((1+VLOOKUP($B541,'IPCA Hist'!$B:$C,2,0))^12 - 1)+$AB$2)^(1/252)</f>
        <v>42576813.501515225</v>
      </c>
      <c r="AC541" s="24">
        <f>AC540*(1+((1+VLOOKUP($B541,'IPCA Hist'!$B:$C,2,0))^12 - 1)+$AC$2)^(1/252)</f>
        <v>5279668.2306436682</v>
      </c>
      <c r="AD541" s="24">
        <f>AD540*(1+((1+VLOOKUP($B541,'IPCA Hist'!$B:$C,2,0))^12 - 1)+$AD$2)^(1/252)</f>
        <v>392698387.9275794</v>
      </c>
      <c r="AE541" s="24">
        <v>0</v>
      </c>
      <c r="AF541" s="24">
        <f>AF540*(1+((1+VLOOKUP($B541,'IGPM Hist'!$B:$C,2,0))^12 - 1)+$AF$2)^(1/252)</f>
        <v>1692745.5395180131</v>
      </c>
      <c r="AG541" s="24">
        <v>0</v>
      </c>
      <c r="AH541" s="24">
        <v>0</v>
      </c>
      <c r="AI541" s="24">
        <v>0</v>
      </c>
      <c r="AJ541" s="24">
        <f t="shared" ref="AJ541:AQ541" si="442">AJ540*(1+AJ$2)^(1/252)</f>
        <v>54129870.213367261</v>
      </c>
      <c r="AK541" s="24">
        <f t="shared" si="442"/>
        <v>177715721.02011424</v>
      </c>
      <c r="AL541" s="24">
        <f t="shared" si="442"/>
        <v>36447826.905798964</v>
      </c>
      <c r="AM541" s="24">
        <f t="shared" si="442"/>
        <v>127602466.21650529</v>
      </c>
      <c r="AN541" s="24">
        <f t="shared" si="442"/>
        <v>54666731.39110484</v>
      </c>
      <c r="AO541" s="24">
        <f t="shared" si="442"/>
        <v>23490817.561089899</v>
      </c>
      <c r="AP541" s="24">
        <f t="shared" si="442"/>
        <v>17851120.455029245</v>
      </c>
      <c r="AQ541" s="24">
        <f t="shared" si="442"/>
        <v>6948590.8559201946</v>
      </c>
      <c r="AR541" s="2">
        <v>54647184.725695997</v>
      </c>
      <c r="AS541" s="24">
        <f t="shared" ref="AS541:AY541" si="443">AS540*(1+AS$2)^(1/252)</f>
        <v>106189850.63530152</v>
      </c>
      <c r="AT541" s="24">
        <f t="shared" si="443"/>
        <v>5403096.2827153131</v>
      </c>
      <c r="AU541" s="24">
        <f t="shared" si="443"/>
        <v>6064361.8217306416</v>
      </c>
      <c r="AV541" s="24">
        <f t="shared" si="443"/>
        <v>53877198.210059986</v>
      </c>
      <c r="AW541" s="24">
        <f t="shared" si="443"/>
        <v>2785972.1219574665</v>
      </c>
      <c r="AX541" s="24">
        <f t="shared" si="443"/>
        <v>3363872.2180230808</v>
      </c>
      <c r="AY541" s="24">
        <f t="shared" si="443"/>
        <v>55194958.276857004</v>
      </c>
      <c r="AZ541" s="24">
        <v>0</v>
      </c>
      <c r="BA541" s="24">
        <f>BA540*(1+VLOOKUP(A541,'SELIC Hist'!$A:$C,3,0)-0.01%)^(1/252)</f>
        <v>6097003.203576698</v>
      </c>
      <c r="BB541" s="24">
        <f t="shared" si="428"/>
        <v>2040184739.6756289</v>
      </c>
      <c r="BC541" s="24">
        <v>0</v>
      </c>
      <c r="BD541" s="24">
        <v>0</v>
      </c>
      <c r="BE541" s="24">
        <f t="shared" si="429"/>
        <v>616489.74255466461</v>
      </c>
      <c r="BF541" s="24">
        <f t="shared" si="430"/>
        <v>6768798.7355098724</v>
      </c>
      <c r="BG541" s="24">
        <f t="shared" si="431"/>
        <v>113293263.58482289</v>
      </c>
      <c r="BH541" s="46">
        <f t="shared" si="432"/>
        <v>1.2254051169478501</v>
      </c>
      <c r="BI541" s="47">
        <f t="shared" si="433"/>
        <v>3.0226482618322947E-4</v>
      </c>
      <c r="BJ541" s="47">
        <f t="shared" si="434"/>
        <v>3.3287821734986345E-3</v>
      </c>
      <c r="BK541" s="47">
        <f t="shared" si="435"/>
        <v>6.406115220159081E-2</v>
      </c>
      <c r="BL541" s="48">
        <f t="shared" si="436"/>
        <v>0.22540511694785015</v>
      </c>
      <c r="BM541" s="49">
        <f t="shared" si="437"/>
        <v>4.9650917531010474E-2</v>
      </c>
      <c r="BN541" s="49">
        <f t="shared" si="438"/>
        <v>0.10390992811608868</v>
      </c>
      <c r="BO541" s="49">
        <f t="shared" si="439"/>
        <v>0.21245696892287969</v>
      </c>
    </row>
    <row r="542" spans="1:67" x14ac:dyDescent="0.25">
      <c r="A542" s="1">
        <v>45887</v>
      </c>
      <c r="B542" s="1" t="str">
        <f t="shared" si="417"/>
        <v>202508</v>
      </c>
      <c r="C542" s="24">
        <v>0</v>
      </c>
      <c r="D542" s="24">
        <v>0</v>
      </c>
      <c r="E542" s="24">
        <v>0</v>
      </c>
      <c r="F542" s="24">
        <v>0</v>
      </c>
      <c r="G542" s="24">
        <v>0</v>
      </c>
      <c r="H542" s="24">
        <v>0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f>Q541*(1+((1+VLOOKUP($B542,'IPCA Hist'!$B:$C,2,0))^12 - 1)+$Q$2)^(1/252)</f>
        <v>47561466.648041956</v>
      </c>
      <c r="R542" s="24">
        <f>R541*(1+((1+VLOOKUP($B542,'IPCA Hist'!$B:$C,2,0))^12 - 1)+$R$2)^(1/252)</f>
        <v>47549252.440183029</v>
      </c>
      <c r="S542" s="24">
        <f>S541*(1+((1+VLOOKUP($B542,'IPCA Hist'!$B:$C,2,0))^12 - 1)+$S$2)^(1/252)</f>
        <v>48576906.146908656</v>
      </c>
      <c r="T542" s="24">
        <f>T541*(1+((1+VLOOKUP($B542,'IPCA Hist'!$B:$C,2,0))^12 - 1)+$T$2)^(1/252)</f>
        <v>245328994.81231311</v>
      </c>
      <c r="U542" s="24">
        <f>U541*(1+((1+VLOOKUP($B542,'IPCA Hist'!$B:$C,2,0))^12 - 1)+$U$2)^(1/252)</f>
        <v>21651954.972531781</v>
      </c>
      <c r="V542" s="24">
        <f>V541*(1+((1+VLOOKUP($B542,'IPCA Hist'!$B:$C,2,0))^12 - 1)+$V$2)^(1/252)</f>
        <v>84347763.629380852</v>
      </c>
      <c r="W542" s="24">
        <f>W541*(1+((1+VLOOKUP($B542,'IPCA Hist'!$B:$C,2,0))^12 - 1)+$W$2)^(1/252)</f>
        <v>44424549.366317339</v>
      </c>
      <c r="X542" s="24">
        <f>X541*(1+((1+VLOOKUP($B542,'IPCA Hist'!$B:$C,2,0))^12 - 1)+$X$2)^(1/252)</f>
        <v>15196218.500271764</v>
      </c>
      <c r="Y542" s="24">
        <f>Y541*(1+((1+VLOOKUP($B542,'IPCA Hist'!$B:$C,2,0))^12 - 1)+$Y$2)^(1/252)</f>
        <v>124002920.33319242</v>
      </c>
      <c r="Z542" s="24">
        <f>Z541*(1+((1+VLOOKUP($B542,'IPCA Hist'!$B:$C,2,0))^12 - 1)+$Z$2)^(1/252)</f>
        <v>84401995.397291437</v>
      </c>
      <c r="AA542" s="24">
        <f>AA541*(1+((1+VLOOKUP($B542,'IPCA Hist'!$B:$C,2,0))^12 - 1)+$AA$2)^(1/252)</f>
        <v>42575106.529888347</v>
      </c>
      <c r="AB542" s="24">
        <f>AB541*(1+((1+VLOOKUP($B542,'IPCA Hist'!$B:$C,2,0))^12 - 1)+$AB$2)^(1/252)</f>
        <v>42588213.909039006</v>
      </c>
      <c r="AC542" s="24">
        <f>AC541*(1+((1+VLOOKUP($B542,'IPCA Hist'!$B:$C,2,0))^12 - 1)+$AC$2)^(1/252)</f>
        <v>5280896.770707164</v>
      </c>
      <c r="AD542" s="24">
        <f>AD541*(1+((1+VLOOKUP($B542,'IPCA Hist'!$B:$C,2,0))^12 - 1)+$AD$2)^(1/252)</f>
        <v>392789610.14128661</v>
      </c>
      <c r="AE542" s="24">
        <v>0</v>
      </c>
      <c r="AF542" s="24">
        <f>AF541*(1+((1+VLOOKUP($B542,'IGPM Hist'!$B:$C,2,0))^12 - 1)+$AF$2)^(1/252)</f>
        <v>1693403.0674091885</v>
      </c>
      <c r="AG542" s="24">
        <v>0</v>
      </c>
      <c r="AH542" s="24">
        <v>0</v>
      </c>
      <c r="AI542" s="24">
        <v>0</v>
      </c>
      <c r="AJ542" s="24">
        <f t="shared" ref="AJ542:AQ542" si="444">AJ541*(1+AJ$2)^(1/252)</f>
        <v>54154791.749766372</v>
      </c>
      <c r="AK542" s="24">
        <f t="shared" si="444"/>
        <v>177801582.63353935</v>
      </c>
      <c r="AL542" s="24">
        <f t="shared" si="444"/>
        <v>36465442.722958259</v>
      </c>
      <c r="AM542" s="24">
        <f t="shared" si="444"/>
        <v>127664104.88700739</v>
      </c>
      <c r="AN542" s="24">
        <f t="shared" si="444"/>
        <v>54693157.499733366</v>
      </c>
      <c r="AO542" s="24">
        <f t="shared" si="444"/>
        <v>23504291.333019104</v>
      </c>
      <c r="AP542" s="24">
        <f t="shared" si="444"/>
        <v>17860039.363381628</v>
      </c>
      <c r="AQ542" s="24">
        <f t="shared" si="444"/>
        <v>6952075.329584131</v>
      </c>
      <c r="AR542" s="2">
        <v>54647185.725695997</v>
      </c>
      <c r="AS542" s="24">
        <f t="shared" ref="AS542:AY542" si="445">AS541*(1+AS$2)^(1/252)</f>
        <v>106237161.05686177</v>
      </c>
      <c r="AT542" s="24">
        <f t="shared" si="445"/>
        <v>5406153.1558590475</v>
      </c>
      <c r="AU542" s="24">
        <f t="shared" si="445"/>
        <v>6067381.1259137429</v>
      </c>
      <c r="AV542" s="24">
        <f t="shared" si="445"/>
        <v>53901717.519125156</v>
      </c>
      <c r="AW542" s="24">
        <f t="shared" si="445"/>
        <v>2787528.1604731898</v>
      </c>
      <c r="AX542" s="24">
        <f t="shared" si="445"/>
        <v>3365559.0815031147</v>
      </c>
      <c r="AY542" s="24">
        <f t="shared" si="445"/>
        <v>55223672.235660739</v>
      </c>
      <c r="AZ542" s="24">
        <v>0</v>
      </c>
      <c r="BA542" s="24">
        <f>BA541*(1+VLOOKUP(A542,'SELIC Hist'!$A:$C,3,0)-0.01%)^(1/252)</f>
        <v>6100362.4393752376</v>
      </c>
      <c r="BB542" s="24">
        <f t="shared" si="428"/>
        <v>2040801458.6842208</v>
      </c>
      <c r="BC542" s="24">
        <v>0</v>
      </c>
      <c r="BD542" s="24">
        <v>0</v>
      </c>
      <c r="BE542" s="24">
        <f t="shared" si="429"/>
        <v>616719.00859189034</v>
      </c>
      <c r="BF542" s="24">
        <f t="shared" si="430"/>
        <v>7385517.7441017628</v>
      </c>
      <c r="BG542" s="24">
        <f t="shared" si="431"/>
        <v>113909982.59341478</v>
      </c>
      <c r="BH542" s="46">
        <f t="shared" si="432"/>
        <v>1.2257755395934815</v>
      </c>
      <c r="BI542" s="47">
        <f t="shared" si="433"/>
        <v>3.0228586490155251E-4</v>
      </c>
      <c r="BJ542" s="47">
        <f t="shared" si="434"/>
        <v>3.6320742821984719E-3</v>
      </c>
      <c r="BK542" s="47">
        <f t="shared" si="435"/>
        <v>6.4382802847292142E-2</v>
      </c>
      <c r="BL542" s="48">
        <f t="shared" si="436"/>
        <v>0.22577553959348151</v>
      </c>
      <c r="BM542" s="49">
        <f t="shared" si="437"/>
        <v>4.9242097378002558E-2</v>
      </c>
      <c r="BN542" s="49">
        <f t="shared" si="438"/>
        <v>0.10420534636162637</v>
      </c>
      <c r="BO542" s="49">
        <f t="shared" si="439"/>
        <v>0.21242181581855868</v>
      </c>
    </row>
    <row r="543" spans="1:67" x14ac:dyDescent="0.25">
      <c r="A543" s="1">
        <v>45888</v>
      </c>
      <c r="B543" s="1" t="str">
        <f t="shared" si="417"/>
        <v>202508</v>
      </c>
      <c r="C543" s="24">
        <v>0</v>
      </c>
      <c r="D543" s="24">
        <v>0</v>
      </c>
      <c r="E543" s="24">
        <v>0</v>
      </c>
      <c r="F543" s="24">
        <v>0</v>
      </c>
      <c r="G543" s="24">
        <v>0</v>
      </c>
      <c r="H543" s="24">
        <v>0</v>
      </c>
      <c r="I543" s="24">
        <v>0</v>
      </c>
      <c r="J543" s="24">
        <v>0</v>
      </c>
      <c r="K543" s="24">
        <v>0</v>
      </c>
      <c r="L543" s="24">
        <v>0</v>
      </c>
      <c r="M543" s="24">
        <v>0</v>
      </c>
      <c r="N543" s="24">
        <v>0</v>
      </c>
      <c r="O543" s="24">
        <v>0</v>
      </c>
      <c r="P543" s="24">
        <v>0</v>
      </c>
      <c r="Q543" s="24">
        <f>Q542*(1+((1+VLOOKUP($B543,'IPCA Hist'!$B:$C,2,0))^12 - 1)+$Q$2)^(1/252)</f>
        <v>47568394.290778421</v>
      </c>
      <c r="R543" s="24">
        <f>R542*(1+((1+VLOOKUP($B543,'IPCA Hist'!$B:$C,2,0))^12 - 1)+$R$2)^(1/252)</f>
        <v>47556196.49438522</v>
      </c>
      <c r="S543" s="24">
        <f>S542*(1+((1+VLOOKUP($B543,'IPCA Hist'!$B:$C,2,0))^12 - 1)+$S$2)^(1/252)</f>
        <v>48583777.156729326</v>
      </c>
      <c r="T543" s="24">
        <f>T542*(1+((1+VLOOKUP($B543,'IPCA Hist'!$B:$C,2,0))^12 - 1)+$T$2)^(1/252)</f>
        <v>245363601.65926889</v>
      </c>
      <c r="U543" s="24">
        <f>U542*(1+((1+VLOOKUP($B543,'IPCA Hist'!$B:$C,2,0))^12 - 1)+$U$2)^(1/252)</f>
        <v>21656121.638795473</v>
      </c>
      <c r="V543" s="24">
        <f>V542*(1+((1+VLOOKUP($B543,'IPCA Hist'!$B:$C,2,0))^12 - 1)+$V$2)^(1/252)</f>
        <v>84368651.27343452</v>
      </c>
      <c r="W543" s="24">
        <f>W542*(1+((1+VLOOKUP($B543,'IPCA Hist'!$B:$C,2,0))^12 - 1)+$W$2)^(1/252)</f>
        <v>44435701.228580162</v>
      </c>
      <c r="X543" s="24">
        <f>X542*(1+((1+VLOOKUP($B543,'IPCA Hist'!$B:$C,2,0))^12 - 1)+$X$2)^(1/252)</f>
        <v>15199731.791874181</v>
      </c>
      <c r="Y543" s="24">
        <f>Y542*(1+((1+VLOOKUP($B543,'IPCA Hist'!$B:$C,2,0))^12 - 1)+$Y$2)^(1/252)</f>
        <v>124034325.83650409</v>
      </c>
      <c r="Z543" s="24">
        <f>Z542*(1+((1+VLOOKUP($B543,'IPCA Hist'!$B:$C,2,0))^12 - 1)+$Z$2)^(1/252)</f>
        <v>84420784.197343692</v>
      </c>
      <c r="AA543" s="24">
        <f>AA542*(1+((1+VLOOKUP($B543,'IPCA Hist'!$B:$C,2,0))^12 - 1)+$AA$2)^(1/252)</f>
        <v>42586522.276486605</v>
      </c>
      <c r="AB543" s="24">
        <f>AB542*(1+((1+VLOOKUP($B543,'IPCA Hist'!$B:$C,2,0))^12 - 1)+$AB$2)^(1/252)</f>
        <v>42599617.3691466</v>
      </c>
      <c r="AC543" s="24">
        <f>AC542*(1+((1+VLOOKUP($B543,'IPCA Hist'!$B:$C,2,0))^12 - 1)+$AC$2)^(1/252)</f>
        <v>5282125.5966429189</v>
      </c>
      <c r="AD543" s="24">
        <f>AD542*(1+((1+VLOOKUP($B543,'IPCA Hist'!$B:$C,2,0))^12 - 1)+$AD$2)^(1/252)</f>
        <v>392880853.54553729</v>
      </c>
      <c r="AE543" s="24">
        <v>0</v>
      </c>
      <c r="AF543" s="24">
        <f>AF542*(1+((1+VLOOKUP($B543,'IGPM Hist'!$B:$C,2,0))^12 - 1)+$AF$2)^(1/252)</f>
        <v>1694060.8507096486</v>
      </c>
      <c r="AG543" s="24">
        <v>0</v>
      </c>
      <c r="AH543" s="24">
        <v>0</v>
      </c>
      <c r="AI543" s="24">
        <v>0</v>
      </c>
      <c r="AJ543" s="24">
        <f t="shared" ref="AJ543:AQ543" si="446">AJ542*(1+AJ$2)^(1/252)</f>
        <v>54179724.760107212</v>
      </c>
      <c r="AK543" s="24">
        <f t="shared" si="446"/>
        <v>177887485.73016366</v>
      </c>
      <c r="AL543" s="24">
        <f t="shared" si="446"/>
        <v>36483067.054123484</v>
      </c>
      <c r="AM543" s="24">
        <f t="shared" si="446"/>
        <v>127725773.33221379</v>
      </c>
      <c r="AN543" s="24">
        <f t="shared" si="446"/>
        <v>54719596.382844642</v>
      </c>
      <c r="AO543" s="24">
        <f t="shared" si="446"/>
        <v>23517772.8331821</v>
      </c>
      <c r="AP543" s="24">
        <f t="shared" si="446"/>
        <v>17868962.727864727</v>
      </c>
      <c r="AQ543" s="24">
        <f t="shared" si="446"/>
        <v>6955561.5505889263</v>
      </c>
      <c r="AR543" s="2">
        <v>54647186.725695997</v>
      </c>
      <c r="AS543" s="24">
        <f t="shared" ref="AS543:AY543" si="447">AS542*(1+AS$2)^(1/252)</f>
        <v>106284492.55648151</v>
      </c>
      <c r="AT543" s="24">
        <f t="shared" si="447"/>
        <v>5409211.7584691709</v>
      </c>
      <c r="AU543" s="24">
        <f t="shared" si="447"/>
        <v>6070401.9333379138</v>
      </c>
      <c r="AV543" s="24">
        <f t="shared" si="447"/>
        <v>53926247.986835115</v>
      </c>
      <c r="AW543" s="24">
        <f t="shared" si="447"/>
        <v>2789085.0680772443</v>
      </c>
      <c r="AX543" s="24">
        <f t="shared" si="447"/>
        <v>3367246.7908857916</v>
      </c>
      <c r="AY543" s="24">
        <f t="shared" si="447"/>
        <v>55252401.132267773</v>
      </c>
      <c r="AZ543" s="24">
        <v>0</v>
      </c>
      <c r="BA543" s="24">
        <f>BA542*(1+VLOOKUP(A543,'SELIC Hist'!$A:$C,3,0)-0.01%)^(1/252)</f>
        <v>6103723.5259953653</v>
      </c>
      <c r="BB543" s="24">
        <f t="shared" si="428"/>
        <v>2041418407.0553513</v>
      </c>
      <c r="BC543" s="24">
        <v>0</v>
      </c>
      <c r="BD543" s="24">
        <v>0</v>
      </c>
      <c r="BE543" s="24">
        <f t="shared" si="429"/>
        <v>616948.37113046646</v>
      </c>
      <c r="BF543" s="24">
        <f t="shared" si="430"/>
        <v>8002466.1152322292</v>
      </c>
      <c r="BG543" s="24">
        <f t="shared" si="431"/>
        <v>114526930.96454525</v>
      </c>
      <c r="BH543" s="46">
        <f t="shared" si="432"/>
        <v>1.2261461000021412</v>
      </c>
      <c r="BI543" s="47">
        <f t="shared" si="433"/>
        <v>3.0230690423360684E-4</v>
      </c>
      <c r="BJ543" s="47">
        <f t="shared" si="434"/>
        <v>3.9354791875643169E-3</v>
      </c>
      <c r="BK543" s="47">
        <f t="shared" si="435"/>
        <v>6.4704573117340347E-2</v>
      </c>
      <c r="BL543" s="48">
        <f t="shared" si="436"/>
        <v>0.22614610000214119</v>
      </c>
      <c r="BM543" s="49">
        <f t="shared" si="437"/>
        <v>4.8833428599592166E-2</v>
      </c>
      <c r="BN543" s="49">
        <f t="shared" si="438"/>
        <v>0.10484925882645757</v>
      </c>
      <c r="BO543" s="49">
        <f t="shared" si="439"/>
        <v>0.2123866874551259</v>
      </c>
    </row>
    <row r="544" spans="1:67" x14ac:dyDescent="0.25">
      <c r="A544" s="1">
        <v>45889</v>
      </c>
      <c r="B544" s="1" t="str">
        <f t="shared" si="417"/>
        <v>202508</v>
      </c>
      <c r="C544" s="24">
        <v>0</v>
      </c>
      <c r="D544" s="24">
        <v>0</v>
      </c>
      <c r="E544" s="24">
        <v>0</v>
      </c>
      <c r="F544" s="24">
        <v>0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4">
        <f>Q543*(1+((1+VLOOKUP($B544,'IPCA Hist'!$B:$C,2,0))^12 - 1)+$Q$2)^(1/252)</f>
        <v>47575322.942571945</v>
      </c>
      <c r="R544" s="24">
        <f>R543*(1+((1+VLOOKUP($B544,'IPCA Hist'!$B:$C,2,0))^12 - 1)+$R$2)^(1/252)</f>
        <v>47563141.562691443</v>
      </c>
      <c r="S544" s="24">
        <f>S543*(1+((1+VLOOKUP($B544,'IPCA Hist'!$B:$C,2,0))^12 - 1)+$S$2)^(1/252)</f>
        <v>48590649.13842696</v>
      </c>
      <c r="T544" s="24">
        <f>T543*(1+((1+VLOOKUP($B544,'IPCA Hist'!$B:$C,2,0))^12 - 1)+$T$2)^(1/252)</f>
        <v>245398213.38797072</v>
      </c>
      <c r="U544" s="24">
        <f>U543*(1+((1+VLOOKUP($B544,'IPCA Hist'!$B:$C,2,0))^12 - 1)+$U$2)^(1/252)</f>
        <v>21660289.106885504</v>
      </c>
      <c r="V544" s="24">
        <f>V543*(1+((1+VLOOKUP($B544,'IPCA Hist'!$B:$C,2,0))^12 - 1)+$V$2)^(1/252)</f>
        <v>84389544.090045899</v>
      </c>
      <c r="W544" s="24">
        <f>W543*(1+((1+VLOOKUP($B544,'IPCA Hist'!$B:$C,2,0))^12 - 1)+$W$2)^(1/252)</f>
        <v>44446855.890286848</v>
      </c>
      <c r="X544" s="24">
        <f>X543*(1+((1+VLOOKUP($B544,'IPCA Hist'!$B:$C,2,0))^12 - 1)+$X$2)^(1/252)</f>
        <v>15203245.895732483</v>
      </c>
      <c r="Y544" s="24">
        <f>Y543*(1+((1+VLOOKUP($B544,'IPCA Hist'!$B:$C,2,0))^12 - 1)+$Y$2)^(1/252)</f>
        <v>124065739.29370616</v>
      </c>
      <c r="Z544" s="24">
        <f>Z543*(1+((1+VLOOKUP($B544,'IPCA Hist'!$B:$C,2,0))^12 - 1)+$Z$2)^(1/252)</f>
        <v>84439577.17998673</v>
      </c>
      <c r="AA544" s="24">
        <f>AA543*(1+((1+VLOOKUP($B544,'IPCA Hist'!$B:$C,2,0))^12 - 1)+$AA$2)^(1/252)</f>
        <v>42597941.084011331</v>
      </c>
      <c r="AB544" s="24">
        <f>AB543*(1+((1+VLOOKUP($B544,'IPCA Hist'!$B:$C,2,0))^12 - 1)+$AB$2)^(1/252)</f>
        <v>42611023.882655367</v>
      </c>
      <c r="AC544" s="24">
        <f>AC543*(1+((1+VLOOKUP($B544,'IPCA Hist'!$B:$C,2,0))^12 - 1)+$AC$2)^(1/252)</f>
        <v>5283354.7085174536</v>
      </c>
      <c r="AD544" s="24">
        <f>AD543*(1+((1+VLOOKUP($B544,'IPCA Hist'!$B:$C,2,0))^12 - 1)+$AD$2)^(1/252)</f>
        <v>392972118.14525396</v>
      </c>
      <c r="AE544" s="24">
        <v>0</v>
      </c>
      <c r="AF544" s="24">
        <f>AF543*(1+((1+VLOOKUP($B544,'IGPM Hist'!$B:$C,2,0))^12 - 1)+$AF$2)^(1/252)</f>
        <v>1694718.8895186044</v>
      </c>
      <c r="AG544" s="24">
        <v>0</v>
      </c>
      <c r="AH544" s="24">
        <v>0</v>
      </c>
      <c r="AI544" s="24">
        <v>0</v>
      </c>
      <c r="AJ544" s="24">
        <f t="shared" ref="AJ544:AQ544" si="448">AJ543*(1+AJ$2)^(1/252)</f>
        <v>54204669.249672413</v>
      </c>
      <c r="AK544" s="24">
        <f t="shared" si="448"/>
        <v>177973430.33002943</v>
      </c>
      <c r="AL544" s="24">
        <f t="shared" si="448"/>
        <v>36500699.903409585</v>
      </c>
      <c r="AM544" s="24">
        <f t="shared" si="448"/>
        <v>127787471.56650725</v>
      </c>
      <c r="AN544" s="24">
        <f t="shared" si="448"/>
        <v>54746048.046613902</v>
      </c>
      <c r="AO544" s="24">
        <f t="shared" si="448"/>
        <v>23531262.066011615</v>
      </c>
      <c r="AP544" s="24">
        <f t="shared" si="448"/>
        <v>17877890.550704949</v>
      </c>
      <c r="AQ544" s="24">
        <f t="shared" si="448"/>
        <v>6959049.5198108098</v>
      </c>
      <c r="AR544" s="2">
        <v>54647187.725695997</v>
      </c>
      <c r="AS544" s="24">
        <f t="shared" ref="AS544:AY544" si="449">AS543*(1+AS$2)^(1/252)</f>
        <v>106331845.14355157</v>
      </c>
      <c r="AT544" s="24">
        <f t="shared" si="449"/>
        <v>5412272.0915241521</v>
      </c>
      <c r="AU544" s="24">
        <f t="shared" si="449"/>
        <v>6073424.2447515829</v>
      </c>
      <c r="AV544" s="24">
        <f t="shared" si="449"/>
        <v>53950789.618268117</v>
      </c>
      <c r="AW544" s="24">
        <f t="shared" si="449"/>
        <v>2790642.8452550392</v>
      </c>
      <c r="AX544" s="24">
        <f t="shared" si="449"/>
        <v>3368935.3465953018</v>
      </c>
      <c r="AY544" s="24">
        <f t="shared" si="449"/>
        <v>55281144.97444918</v>
      </c>
      <c r="AZ544" s="24">
        <v>0</v>
      </c>
      <c r="BA544" s="24">
        <f>BA543*(1+VLOOKUP(A544,'SELIC Hist'!$A:$C,3,0)-0.01%)^(1/252)</f>
        <v>6107086.464456819</v>
      </c>
      <c r="BB544" s="24">
        <f t="shared" si="428"/>
        <v>2042035584.8855693</v>
      </c>
      <c r="BC544" s="24">
        <v>0</v>
      </c>
      <c r="BD544" s="24">
        <v>0</v>
      </c>
      <c r="BE544" s="24">
        <f t="shared" si="429"/>
        <v>617177.83021807671</v>
      </c>
      <c r="BF544" s="24">
        <f t="shared" si="430"/>
        <v>8619643.9454503059</v>
      </c>
      <c r="BG544" s="24">
        <f t="shared" si="431"/>
        <v>115144108.79476333</v>
      </c>
      <c r="BH544" s="46">
        <f t="shared" si="432"/>
        <v>1.2265167982318204</v>
      </c>
      <c r="BI544" s="47">
        <f t="shared" si="433"/>
        <v>3.0232794418094677E-4</v>
      </c>
      <c r="BJ544" s="47">
        <f t="shared" si="434"/>
        <v>4.2389969370772995E-3</v>
      </c>
      <c r="BK544" s="47">
        <f t="shared" si="435"/>
        <v>6.5026463062090922E-2</v>
      </c>
      <c r="BL544" s="48">
        <f t="shared" si="436"/>
        <v>0.22651679823182036</v>
      </c>
      <c r="BM544" s="49">
        <f t="shared" si="437"/>
        <v>4.8424911145859451E-2</v>
      </c>
      <c r="BN544" s="49">
        <f t="shared" si="438"/>
        <v>0.10485148772608177</v>
      </c>
      <c r="BO544" s="49">
        <f t="shared" si="439"/>
        <v>0.21234761588875029</v>
      </c>
    </row>
    <row r="545" spans="1:67" x14ac:dyDescent="0.25">
      <c r="A545" s="1">
        <v>45890</v>
      </c>
      <c r="B545" s="1" t="str">
        <f t="shared" si="417"/>
        <v>202508</v>
      </c>
      <c r="C545" s="24">
        <v>0</v>
      </c>
      <c r="D545" s="24">
        <v>0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4">
        <f>Q544*(1+((1+VLOOKUP($B545,'IPCA Hist'!$B:$C,2,0))^12 - 1)+$Q$2)^(1/252)</f>
        <v>47582252.603569508</v>
      </c>
      <c r="R545" s="24">
        <f>R544*(1+((1+VLOOKUP($B545,'IPCA Hist'!$B:$C,2,0))^12 - 1)+$R$2)^(1/252)</f>
        <v>47570087.645249799</v>
      </c>
      <c r="S545" s="24">
        <f>S544*(1+((1+VLOOKUP($B545,'IPCA Hist'!$B:$C,2,0))^12 - 1)+$S$2)^(1/252)</f>
        <v>48597522.092139021</v>
      </c>
      <c r="T545" s="24">
        <f>T544*(1+((1+VLOOKUP($B545,'IPCA Hist'!$B:$C,2,0))^12 - 1)+$T$2)^(1/252)</f>
        <v>245432829.99910727</v>
      </c>
      <c r="U545" s="24">
        <f>U544*(1+((1+VLOOKUP($B545,'IPCA Hist'!$B:$C,2,0))^12 - 1)+$U$2)^(1/252)</f>
        <v>21664457.376956176</v>
      </c>
      <c r="V545" s="24">
        <f>V544*(1+((1+VLOOKUP($B545,'IPCA Hist'!$B:$C,2,0))^12 - 1)+$V$2)^(1/252)</f>
        <v>84410442.080495894</v>
      </c>
      <c r="W545" s="24">
        <f>W544*(1+((1+VLOOKUP($B545,'IPCA Hist'!$B:$C,2,0))^12 - 1)+$W$2)^(1/252)</f>
        <v>44458013.352140136</v>
      </c>
      <c r="X545" s="24">
        <f>X544*(1+((1+VLOOKUP($B545,'IPCA Hist'!$B:$C,2,0))^12 - 1)+$X$2)^(1/252)</f>
        <v>15206760.812034458</v>
      </c>
      <c r="Y545" s="24">
        <f>Y544*(1+((1+VLOOKUP($B545,'IPCA Hist'!$B:$C,2,0))^12 - 1)+$Y$2)^(1/252)</f>
        <v>124097160.70681308</v>
      </c>
      <c r="Z545" s="24">
        <f>Z544*(1+((1+VLOOKUP($B545,'IPCA Hist'!$B:$C,2,0))^12 - 1)+$Z$2)^(1/252)</f>
        <v>84458374.346151635</v>
      </c>
      <c r="AA545" s="24">
        <f>AA544*(1+((1+VLOOKUP($B545,'IPCA Hist'!$B:$C,2,0))^12 - 1)+$AA$2)^(1/252)</f>
        <v>42609362.95328325</v>
      </c>
      <c r="AB545" s="24">
        <f>AB544*(1+((1+VLOOKUP($B545,'IPCA Hist'!$B:$C,2,0))^12 - 1)+$AB$2)^(1/252)</f>
        <v>42622433.450382896</v>
      </c>
      <c r="AC545" s="24">
        <f>AC544*(1+((1+VLOOKUP($B545,'IPCA Hist'!$B:$C,2,0))^12 - 1)+$AC$2)^(1/252)</f>
        <v>5284584.1063973047</v>
      </c>
      <c r="AD545" s="24">
        <f>AD544*(1+((1+VLOOKUP($B545,'IPCA Hist'!$B:$C,2,0))^12 - 1)+$AD$2)^(1/252)</f>
        <v>393063403.94536024</v>
      </c>
      <c r="AE545" s="24">
        <v>0</v>
      </c>
      <c r="AF545" s="24">
        <f>AF544*(1+((1+VLOOKUP($B545,'IGPM Hist'!$B:$C,2,0))^12 - 1)+$AF$2)^(1/252)</f>
        <v>1695377.1839353053</v>
      </c>
      <c r="AG545" s="24">
        <v>0</v>
      </c>
      <c r="AH545" s="24">
        <v>0</v>
      </c>
      <c r="AI545" s="24">
        <v>0</v>
      </c>
      <c r="AJ545" s="24">
        <f t="shared" ref="AJ545:AQ545" si="450">AJ544*(1+AJ$2)^(1/252)</f>
        <v>54229625.223747037</v>
      </c>
      <c r="AK545" s="24">
        <f t="shared" si="450"/>
        <v>178059416.45318848</v>
      </c>
      <c r="AL545" s="24">
        <f t="shared" si="450"/>
        <v>36518341.27493351</v>
      </c>
      <c r="AM545" s="24">
        <f t="shared" si="450"/>
        <v>127849199.60427745</v>
      </c>
      <c r="AN545" s="24">
        <f t="shared" si="450"/>
        <v>54772512.497219369</v>
      </c>
      <c r="AO545" s="24">
        <f t="shared" si="450"/>
        <v>23544759.03594292</v>
      </c>
      <c r="AP545" s="24">
        <f t="shared" si="450"/>
        <v>17886822.83412981</v>
      </c>
      <c r="AQ545" s="24">
        <f t="shared" si="450"/>
        <v>6962539.2381264521</v>
      </c>
      <c r="AR545" s="2">
        <v>54647188.725695997</v>
      </c>
      <c r="AS545" s="24">
        <f t="shared" ref="AS545:AY545" si="451">AS544*(1+AS$2)^(1/252)</f>
        <v>106379218.82746698</v>
      </c>
      <c r="AT545" s="24">
        <f t="shared" si="451"/>
        <v>5415334.1560030123</v>
      </c>
      <c r="AU545" s="24">
        <f t="shared" si="451"/>
        <v>6076448.0609035511</v>
      </c>
      <c r="AV545" s="24">
        <f t="shared" si="451"/>
        <v>53975342.418504737</v>
      </c>
      <c r="AW545" s="24">
        <f t="shared" si="451"/>
        <v>2792201.4924922534</v>
      </c>
      <c r="AX545" s="24">
        <f t="shared" si="451"/>
        <v>3370624.7490560487</v>
      </c>
      <c r="AY545" s="24">
        <f t="shared" si="451"/>
        <v>55309903.769980058</v>
      </c>
      <c r="AZ545" s="24">
        <v>0</v>
      </c>
      <c r="BA545" s="24">
        <f>BA544*(1+VLOOKUP(A545,'SELIC Hist'!$A:$C,3,0)-0.01%)^(1/252)</f>
        <v>6110451.2557798978</v>
      </c>
      <c r="BB545" s="24">
        <f t="shared" si="428"/>
        <v>2042652992.2714639</v>
      </c>
      <c r="BC545" s="24">
        <v>0</v>
      </c>
      <c r="BD545" s="24">
        <v>0</v>
      </c>
      <c r="BE545" s="24">
        <f t="shared" si="429"/>
        <v>617407.38589453697</v>
      </c>
      <c r="BF545" s="24">
        <f t="shared" si="430"/>
        <v>9237051.3313448429</v>
      </c>
      <c r="BG545" s="24">
        <f t="shared" si="431"/>
        <v>115761516.18065786</v>
      </c>
      <c r="BH545" s="46">
        <f t="shared" si="432"/>
        <v>1.2268876343405331</v>
      </c>
      <c r="BI545" s="47">
        <f t="shared" si="433"/>
        <v>3.0234898474068572E-4</v>
      </c>
      <c r="BJ545" s="47">
        <f t="shared" si="434"/>
        <v>4.5426275782383119E-3</v>
      </c>
      <c r="BK545" s="47">
        <f t="shared" si="435"/>
        <v>6.5348472731919793E-2</v>
      </c>
      <c r="BL545" s="48">
        <f t="shared" si="436"/>
        <v>0.22688763434053305</v>
      </c>
      <c r="BM545" s="49">
        <f t="shared" si="437"/>
        <v>4.7086239641000116E-2</v>
      </c>
      <c r="BN545" s="49">
        <f t="shared" si="438"/>
        <v>0.10498497666774487</v>
      </c>
      <c r="BO545" s="49">
        <f t="shared" si="439"/>
        <v>0.2123085687422821</v>
      </c>
    </row>
    <row r="546" spans="1:67" x14ac:dyDescent="0.25">
      <c r="A546" s="1">
        <v>45891</v>
      </c>
      <c r="B546" s="1" t="str">
        <f t="shared" si="417"/>
        <v>202508</v>
      </c>
      <c r="C546" s="24">
        <v>0</v>
      </c>
      <c r="D546" s="24">
        <v>0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f>Q545*(1+((1+VLOOKUP($B546,'IPCA Hist'!$B:$C,2,0))^12 - 1)+$Q$2)^(1/252)</f>
        <v>47589183.273918107</v>
      </c>
      <c r="R546" s="24">
        <f>R545*(1+((1+VLOOKUP($B546,'IPCA Hist'!$B:$C,2,0))^12 - 1)+$R$2)^(1/252)</f>
        <v>47577034.742208414</v>
      </c>
      <c r="S546" s="24">
        <f>S545*(1+((1+VLOOKUP($B546,'IPCA Hist'!$B:$C,2,0))^12 - 1)+$S$2)^(1/252)</f>
        <v>48604396.018003002</v>
      </c>
      <c r="T546" s="24">
        <f>T545*(1+((1+VLOOKUP($B546,'IPCA Hist'!$B:$C,2,0))^12 - 1)+$T$2)^(1/252)</f>
        <v>245467451.49336725</v>
      </c>
      <c r="U546" s="24">
        <f>U545*(1+((1+VLOOKUP($B546,'IPCA Hist'!$B:$C,2,0))^12 - 1)+$U$2)^(1/252)</f>
        <v>21668626.449161816</v>
      </c>
      <c r="V546" s="24">
        <f>V545*(1+((1+VLOOKUP($B546,'IPCA Hist'!$B:$C,2,0))^12 - 1)+$V$2)^(1/252)</f>
        <v>84431345.246065736</v>
      </c>
      <c r="W546" s="24">
        <f>W545*(1+((1+VLOOKUP($B546,'IPCA Hist'!$B:$C,2,0))^12 - 1)+$W$2)^(1/252)</f>
        <v>44469173.614842944</v>
      </c>
      <c r="X546" s="24">
        <f>X545*(1+((1+VLOOKUP($B546,'IPCA Hist'!$B:$C,2,0))^12 - 1)+$X$2)^(1/252)</f>
        <v>15210276.540967939</v>
      </c>
      <c r="Y546" s="24">
        <f>Y545*(1+((1+VLOOKUP($B546,'IPCA Hist'!$B:$C,2,0))^12 - 1)+$Y$2)^(1/252)</f>
        <v>124128590.07783978</v>
      </c>
      <c r="Z546" s="24">
        <f>Z545*(1+((1+VLOOKUP($B546,'IPCA Hist'!$B:$C,2,0))^12 - 1)+$Z$2)^(1/252)</f>
        <v>84477175.696769699</v>
      </c>
      <c r="AA546" s="24">
        <f>AA545*(1+((1+VLOOKUP($B546,'IPCA Hist'!$B:$C,2,0))^12 - 1)+$AA$2)^(1/252)</f>
        <v>42620787.885123327</v>
      </c>
      <c r="AB546" s="24">
        <f>AB545*(1+((1+VLOOKUP($B546,'IPCA Hist'!$B:$C,2,0))^12 - 1)+$AB$2)^(1/252)</f>
        <v>42633846.073146977</v>
      </c>
      <c r="AC546" s="24">
        <f>AC545*(1+((1+VLOOKUP($B546,'IPCA Hist'!$B:$C,2,0))^12 - 1)+$AC$2)^(1/252)</f>
        <v>5285813.7903490234</v>
      </c>
      <c r="AD546" s="24">
        <f>AD545*(1+((1+VLOOKUP($B546,'IPCA Hist'!$B:$C,2,0))^12 - 1)+$AD$2)^(1/252)</f>
        <v>393154710.95078087</v>
      </c>
      <c r="AE546" s="24">
        <v>0</v>
      </c>
      <c r="AF546" s="24">
        <f>AF545*(1+((1+VLOOKUP($B546,'IGPM Hist'!$B:$C,2,0))^12 - 1)+$AF$2)^(1/252)</f>
        <v>1696035.7340590393</v>
      </c>
      <c r="AG546" s="24">
        <v>0</v>
      </c>
      <c r="AH546" s="24">
        <v>0</v>
      </c>
      <c r="AI546" s="24">
        <v>0</v>
      </c>
      <c r="AJ546" s="24">
        <f t="shared" ref="AJ546:AQ546" si="452">AJ545*(1+AJ$2)^(1/252)</f>
        <v>54254592.687618583</v>
      </c>
      <c r="AK546" s="24">
        <f t="shared" si="452"/>
        <v>178145444.11970243</v>
      </c>
      <c r="AL546" s="24">
        <f t="shared" si="452"/>
        <v>36535991.17281419</v>
      </c>
      <c r="AM546" s="24">
        <f t="shared" si="452"/>
        <v>127910957.45992103</v>
      </c>
      <c r="AN546" s="24">
        <f t="shared" si="452"/>
        <v>54798989.740842246</v>
      </c>
      <c r="AO546" s="24">
        <f t="shared" si="452"/>
        <v>23558263.747413833</v>
      </c>
      <c r="AP546" s="24">
        <f t="shared" si="452"/>
        <v>17895759.580367941</v>
      </c>
      <c r="AQ546" s="24">
        <f t="shared" si="452"/>
        <v>6966030.7064129617</v>
      </c>
      <c r="AR546" s="2">
        <v>54647189.725695997</v>
      </c>
      <c r="AS546" s="24">
        <f t="shared" ref="AS546:AY546" si="453">AS545*(1+AS$2)^(1/252)</f>
        <v>106426613.61762695</v>
      </c>
      <c r="AT546" s="24">
        <f t="shared" si="453"/>
        <v>5418397.9528853279</v>
      </c>
      <c r="AU546" s="24">
        <f t="shared" si="453"/>
        <v>6079473.3825429929</v>
      </c>
      <c r="AV546" s="24">
        <f t="shared" si="453"/>
        <v>53999906.39262785</v>
      </c>
      <c r="AW546" s="24">
        <f t="shared" si="453"/>
        <v>2793761.0102748382</v>
      </c>
      <c r="AX546" s="24">
        <f t="shared" si="453"/>
        <v>3372314.998692648</v>
      </c>
      <c r="AY546" s="24">
        <f t="shared" si="453"/>
        <v>55338677.526639558</v>
      </c>
      <c r="AZ546" s="24">
        <v>0</v>
      </c>
      <c r="BA546" s="24">
        <f>BA545*(1+VLOOKUP(A546,'SELIC Hist'!$A:$C,3,0)-0.01%)^(1/252)</f>
        <v>6113817.9009854645</v>
      </c>
      <c r="BB546" s="24">
        <f t="shared" si="428"/>
        <v>2043270629.3096693</v>
      </c>
      <c r="BC546" s="24">
        <v>0</v>
      </c>
      <c r="BD546" s="24">
        <v>0</v>
      </c>
      <c r="BE546" s="24">
        <f t="shared" si="429"/>
        <v>617637.03820538521</v>
      </c>
      <c r="BF546" s="24">
        <f t="shared" si="430"/>
        <v>9854688.3695502281</v>
      </c>
      <c r="BG546" s="24">
        <f t="shared" si="431"/>
        <v>116379153.21886325</v>
      </c>
      <c r="BH546" s="46">
        <f t="shared" si="432"/>
        <v>1.2272586083863215</v>
      </c>
      <c r="BI546" s="47">
        <f t="shared" si="433"/>
        <v>3.0237002591348983E-4</v>
      </c>
      <c r="BJ546" s="47">
        <f t="shared" si="434"/>
        <v>4.8463711585704505E-3</v>
      </c>
      <c r="BK546" s="47">
        <f t="shared" si="435"/>
        <v>6.5670602177226645E-2</v>
      </c>
      <c r="BL546" s="48">
        <f t="shared" si="436"/>
        <v>0.2272586083863215</v>
      </c>
      <c r="BM546" s="49">
        <f t="shared" si="437"/>
        <v>4.6677697604936341E-2</v>
      </c>
      <c r="BN546" s="49">
        <f t="shared" si="438"/>
        <v>0.10510391834815547</v>
      </c>
      <c r="BO546" s="49">
        <f t="shared" si="439"/>
        <v>0.20997516857203058</v>
      </c>
    </row>
    <row r="547" spans="1:67" x14ac:dyDescent="0.25">
      <c r="A547" s="1">
        <v>45894</v>
      </c>
      <c r="B547" s="1" t="str">
        <f t="shared" si="417"/>
        <v>202508</v>
      </c>
      <c r="C547" s="24">
        <v>0</v>
      </c>
      <c r="D547" s="24">
        <v>0</v>
      </c>
      <c r="E547" s="24">
        <v>0</v>
      </c>
      <c r="F547" s="24">
        <v>0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f>Q546*(1+((1+VLOOKUP($B547,'IPCA Hist'!$B:$C,2,0))^12 - 1)+$Q$2)^(1/252)</f>
        <v>47596114.953764766</v>
      </c>
      <c r="R547" s="24">
        <f>R546*(1+((1+VLOOKUP($B547,'IPCA Hist'!$B:$C,2,0))^12 - 1)+$R$2)^(1/252)</f>
        <v>47583982.85371542</v>
      </c>
      <c r="S547" s="24">
        <f>S546*(1+((1+VLOOKUP($B547,'IPCA Hist'!$B:$C,2,0))^12 - 1)+$S$2)^(1/252)</f>
        <v>48611270.916156411</v>
      </c>
      <c r="T547" s="24">
        <f>T546*(1+((1+VLOOKUP($B547,'IPCA Hist'!$B:$C,2,0))^12 - 1)+$T$2)^(1/252)</f>
        <v>245502077.87143949</v>
      </c>
      <c r="U547" s="24">
        <f>U546*(1+((1+VLOOKUP($B547,'IPCA Hist'!$B:$C,2,0))^12 - 1)+$U$2)^(1/252)</f>
        <v>21672796.32365679</v>
      </c>
      <c r="V547" s="24">
        <f>V546*(1+((1+VLOOKUP($B547,'IPCA Hist'!$B:$C,2,0))^12 - 1)+$V$2)^(1/252)</f>
        <v>84452253.588036984</v>
      </c>
      <c r="W547" s="24">
        <f>W546*(1+((1+VLOOKUP($B547,'IPCA Hist'!$B:$C,2,0))^12 - 1)+$W$2)^(1/252)</f>
        <v>44480336.679098368</v>
      </c>
      <c r="X547" s="24">
        <f>X546*(1+((1+VLOOKUP($B547,'IPCA Hist'!$B:$C,2,0))^12 - 1)+$X$2)^(1/252)</f>
        <v>15213793.082720803</v>
      </c>
      <c r="Y547" s="24">
        <f>Y546*(1+((1+VLOOKUP($B547,'IPCA Hist'!$B:$C,2,0))^12 - 1)+$Y$2)^(1/252)</f>
        <v>124160027.40880172</v>
      </c>
      <c r="Z547" s="24">
        <f>Z546*(1+((1+VLOOKUP($B547,'IPCA Hist'!$B:$C,2,0))^12 - 1)+$Z$2)^(1/252)</f>
        <v>84495981.232772425</v>
      </c>
      <c r="AA547" s="24">
        <f>AA546*(1+((1+VLOOKUP($B547,'IPCA Hist'!$B:$C,2,0))^12 - 1)+$AA$2)^(1/252)</f>
        <v>42632215.880352728</v>
      </c>
      <c r="AB547" s="24">
        <f>AB546*(1+((1+VLOOKUP($B547,'IPCA Hist'!$B:$C,2,0))^12 - 1)+$AB$2)^(1/252)</f>
        <v>42645261.751765639</v>
      </c>
      <c r="AC547" s="24">
        <f>AC546*(1+((1+VLOOKUP($B547,'IPCA Hist'!$B:$C,2,0))^12 - 1)+$AC$2)^(1/252)</f>
        <v>5287043.7604391761</v>
      </c>
      <c r="AD547" s="24">
        <f>AD546*(1+((1+VLOOKUP($B547,'IPCA Hist'!$B:$C,2,0))^12 - 1)+$AD$2)^(1/252)</f>
        <v>393246039.1664418</v>
      </c>
      <c r="AE547" s="24">
        <v>0</v>
      </c>
      <c r="AF547" s="24">
        <f>AF546*(1+((1+VLOOKUP($B547,'IGPM Hist'!$B:$C,2,0))^12 - 1)+$AF$2)^(1/252)</f>
        <v>1696694.5399891327</v>
      </c>
      <c r="AG547" s="24">
        <v>0</v>
      </c>
      <c r="AH547" s="24">
        <v>0</v>
      </c>
      <c r="AI547" s="24">
        <v>0</v>
      </c>
      <c r="AJ547" s="24">
        <f t="shared" ref="AJ547:AQ547" si="454">AJ546*(1+AJ$2)^(1/252)</f>
        <v>54279571.646576986</v>
      </c>
      <c r="AK547" s="24">
        <f t="shared" si="454"/>
        <v>178231513.34964252</v>
      </c>
      <c r="AL547" s="24">
        <f t="shared" si="454"/>
        <v>36553649.601172552</v>
      </c>
      <c r="AM547" s="24">
        <f t="shared" si="454"/>
        <v>127972745.14784159</v>
      </c>
      <c r="AN547" s="24">
        <f t="shared" si="454"/>
        <v>54825479.78366673</v>
      </c>
      <c r="AO547" s="24">
        <f t="shared" si="454"/>
        <v>23571776.204864718</v>
      </c>
      <c r="AP547" s="24">
        <f t="shared" si="454"/>
        <v>17904700.791649085</v>
      </c>
      <c r="AQ547" s="24">
        <f t="shared" si="454"/>
        <v>6969523.9255478866</v>
      </c>
      <c r="AR547" s="2">
        <v>54647190.725695997</v>
      </c>
      <c r="AS547" s="24">
        <f t="shared" ref="AS547:AY547" si="455">AS546*(1+AS$2)^(1/252)</f>
        <v>106474029.52343488</v>
      </c>
      <c r="AT547" s="24">
        <f t="shared" si="455"/>
        <v>5421463.4831512291</v>
      </c>
      <c r="AU547" s="24">
        <f t="shared" si="455"/>
        <v>6082500.2104194546</v>
      </c>
      <c r="AV547" s="24">
        <f t="shared" si="455"/>
        <v>54024481.545722649</v>
      </c>
      <c r="AW547" s="24">
        <f t="shared" si="455"/>
        <v>2795321.399089016</v>
      </c>
      <c r="AX547" s="24">
        <f t="shared" si="455"/>
        <v>3374006.0959299286</v>
      </c>
      <c r="AY547" s="24">
        <f t="shared" si="455"/>
        <v>55367466.252210878</v>
      </c>
      <c r="AZ547" s="24">
        <v>0</v>
      </c>
      <c r="BA547" s="24">
        <f>BA546*(1+VLOOKUP(A547,'SELIC Hist'!$A:$C,3,0)-0.01%)^(1/252)</f>
        <v>6117186.4010949433</v>
      </c>
      <c r="BB547" s="24">
        <f t="shared" si="428"/>
        <v>2043888496.0968628</v>
      </c>
      <c r="BC547" s="24">
        <v>0</v>
      </c>
      <c r="BD547" s="24">
        <v>0</v>
      </c>
      <c r="BE547" s="24">
        <f t="shared" si="429"/>
        <v>617866.78719353676</v>
      </c>
      <c r="BF547" s="24">
        <f t="shared" si="430"/>
        <v>10472555.156743765</v>
      </c>
      <c r="BG547" s="24">
        <f t="shared" si="431"/>
        <v>116997020.00605679</v>
      </c>
      <c r="BH547" s="46">
        <f t="shared" si="432"/>
        <v>1.2276297204272533</v>
      </c>
      <c r="BI547" s="47">
        <f t="shared" si="433"/>
        <v>3.0239106769824886E-4</v>
      </c>
      <c r="BJ547" s="47">
        <f t="shared" si="434"/>
        <v>5.1502277256179063E-3</v>
      </c>
      <c r="BK547" s="47">
        <f t="shared" si="435"/>
        <v>6.5992851448433587E-2</v>
      </c>
      <c r="BL547" s="48">
        <f t="shared" si="436"/>
        <v>0.22762972042725327</v>
      </c>
      <c r="BM547" s="49">
        <f t="shared" si="437"/>
        <v>4.6269306894481943E-2</v>
      </c>
      <c r="BN547" s="49">
        <f t="shared" si="438"/>
        <v>0.1050887005284491</v>
      </c>
      <c r="BO547" s="49">
        <f t="shared" si="439"/>
        <v>0.20996364856307603</v>
      </c>
    </row>
    <row r="548" spans="1:67" x14ac:dyDescent="0.25">
      <c r="A548" s="1">
        <v>45895</v>
      </c>
      <c r="B548" s="1" t="str">
        <f t="shared" si="417"/>
        <v>202508</v>
      </c>
      <c r="C548" s="24">
        <v>0</v>
      </c>
      <c r="D548" s="24">
        <v>0</v>
      </c>
      <c r="E548" s="24">
        <v>0</v>
      </c>
      <c r="F548" s="24">
        <v>0</v>
      </c>
      <c r="G548" s="24">
        <v>0</v>
      </c>
      <c r="H548" s="24">
        <v>0</v>
      </c>
      <c r="I548" s="24">
        <v>0</v>
      </c>
      <c r="J548" s="24">
        <v>0</v>
      </c>
      <c r="K548" s="24">
        <v>0</v>
      </c>
      <c r="L548" s="24">
        <v>0</v>
      </c>
      <c r="M548" s="24">
        <v>0</v>
      </c>
      <c r="N548" s="24">
        <v>0</v>
      </c>
      <c r="O548" s="24">
        <v>0</v>
      </c>
      <c r="P548" s="24">
        <v>0</v>
      </c>
      <c r="Q548" s="24">
        <f>Q547*(1+((1+VLOOKUP($B548,'IPCA Hist'!$B:$C,2,0))^12 - 1)+$Q$2)^(1/252)</f>
        <v>47603047.643256523</v>
      </c>
      <c r="R548" s="24">
        <f>R547*(1+((1+VLOOKUP($B548,'IPCA Hist'!$B:$C,2,0))^12 - 1)+$R$2)^(1/252)</f>
        <v>47590931.979918987</v>
      </c>
      <c r="S548" s="24">
        <f>S547*(1+((1+VLOOKUP($B548,'IPCA Hist'!$B:$C,2,0))^12 - 1)+$S$2)^(1/252)</f>
        <v>48618146.786736771</v>
      </c>
      <c r="T548" s="24">
        <f>T547*(1+((1+VLOOKUP($B548,'IPCA Hist'!$B:$C,2,0))^12 - 1)+$T$2)^(1/252)</f>
        <v>245536709.13401291</v>
      </c>
      <c r="U548" s="24">
        <f>U547*(1+((1+VLOOKUP($B548,'IPCA Hist'!$B:$C,2,0))^12 - 1)+$U$2)^(1/252)</f>
        <v>21676967.000595488</v>
      </c>
      <c r="V548" s="24">
        <f>V547*(1+((1+VLOOKUP($B548,'IPCA Hist'!$B:$C,2,0))^12 - 1)+$V$2)^(1/252)</f>
        <v>84473167.107691497</v>
      </c>
      <c r="W548" s="24">
        <f>W547*(1+((1+VLOOKUP($B548,'IPCA Hist'!$B:$C,2,0))^12 - 1)+$W$2)^(1/252)</f>
        <v>44491502.545609675</v>
      </c>
      <c r="X548" s="24">
        <f>X547*(1+((1+VLOOKUP($B548,'IPCA Hist'!$B:$C,2,0))^12 - 1)+$X$2)^(1/252)</f>
        <v>15217310.437480969</v>
      </c>
      <c r="Y548" s="24">
        <f>Y547*(1+((1+VLOOKUP($B548,'IPCA Hist'!$B:$C,2,0))^12 - 1)+$Y$2)^(1/252)</f>
        <v>124191472.70171487</v>
      </c>
      <c r="Z548" s="24">
        <f>Z547*(1+((1+VLOOKUP($B548,'IPCA Hist'!$B:$C,2,0))^12 - 1)+$Z$2)^(1/252)</f>
        <v>84514790.955091536</v>
      </c>
      <c r="AA548" s="24">
        <f>AA547*(1+((1+VLOOKUP($B548,'IPCA Hist'!$B:$C,2,0))^12 - 1)+$AA$2)^(1/252)</f>
        <v>42643646.939792842</v>
      </c>
      <c r="AB548" s="24">
        <f>AB547*(1+((1+VLOOKUP($B548,'IPCA Hist'!$B:$C,2,0))^12 - 1)+$AB$2)^(1/252)</f>
        <v>42656680.487057112</v>
      </c>
      <c r="AC548" s="24">
        <f>AC547*(1+((1+VLOOKUP($B548,'IPCA Hist'!$B:$C,2,0))^12 - 1)+$AC$2)^(1/252)</f>
        <v>5288274.0167343449</v>
      </c>
      <c r="AD548" s="24">
        <f>AD547*(1+((1+VLOOKUP($B548,'IPCA Hist'!$B:$C,2,0))^12 - 1)+$AD$2)^(1/252)</f>
        <v>393337388.59727001</v>
      </c>
      <c r="AE548" s="24">
        <v>0</v>
      </c>
      <c r="AF548" s="24">
        <f>AF547*(1+((1+VLOOKUP($B548,'IGPM Hist'!$B:$C,2,0))^12 - 1)+$AF$2)^(1/252)</f>
        <v>1697353.6018249509</v>
      </c>
      <c r="AG548" s="24">
        <v>0</v>
      </c>
      <c r="AH548" s="24">
        <v>0</v>
      </c>
      <c r="AI548" s="24">
        <v>0</v>
      </c>
      <c r="AJ548" s="24">
        <f t="shared" ref="AJ548:AQ548" si="456">AJ547*(1+AJ$2)^(1/252)</f>
        <v>54304562.105914615</v>
      </c>
      <c r="AK548" s="24">
        <f t="shared" si="456"/>
        <v>178317624.16308972</v>
      </c>
      <c r="AL548" s="24">
        <f t="shared" si="456"/>
        <v>36571316.564131506</v>
      </c>
      <c r="AM548" s="24">
        <f t="shared" si="456"/>
        <v>128034562.68244967</v>
      </c>
      <c r="AN548" s="24">
        <f t="shared" si="456"/>
        <v>54851982.63188</v>
      </c>
      <c r="AO548" s="24">
        <f t="shared" si="456"/>
        <v>23585296.412738483</v>
      </c>
      <c r="AP548" s="24">
        <f t="shared" si="456"/>
        <v>17913646.4702041</v>
      </c>
      <c r="AQ548" s="24">
        <f t="shared" si="456"/>
        <v>6973018.8964092163</v>
      </c>
      <c r="AR548" s="2">
        <v>54647191.725695997</v>
      </c>
      <c r="AS548" s="24">
        <f t="shared" ref="AS548:AY548" si="457">AS547*(1+AS$2)^(1/252)</f>
        <v>106521466.55429834</v>
      </c>
      <c r="AT548" s="24">
        <f t="shared" si="457"/>
        <v>5424530.7477814006</v>
      </c>
      <c r="AU548" s="24">
        <f t="shared" si="457"/>
        <v>6085528.5452828575</v>
      </c>
      <c r="AV548" s="24">
        <f t="shared" si="457"/>
        <v>54049067.882876642</v>
      </c>
      <c r="AW548" s="24">
        <f t="shared" si="457"/>
        <v>2796882.659421281</v>
      </c>
      <c r="AX548" s="24">
        <f t="shared" si="457"/>
        <v>3375698.0411929325</v>
      </c>
      <c r="AY548" s="24">
        <f t="shared" si="457"/>
        <v>55396269.954481266</v>
      </c>
      <c r="AZ548" s="24">
        <v>0</v>
      </c>
      <c r="BA548" s="24">
        <f>BA547*(1+VLOOKUP(A548,'SELIC Hist'!$A:$C,3,0)-0.01%)^(1/252)</f>
        <v>6120556.757130322</v>
      </c>
      <c r="BB548" s="24">
        <f t="shared" si="428"/>
        <v>2044506592.7297673</v>
      </c>
      <c r="BC548" s="24">
        <v>0</v>
      </c>
      <c r="BD548" s="24">
        <v>0</v>
      </c>
      <c r="BE548" s="24">
        <f t="shared" si="429"/>
        <v>618096.63290452957</v>
      </c>
      <c r="BF548" s="24">
        <f t="shared" si="430"/>
        <v>11090651.789648294</v>
      </c>
      <c r="BG548" s="24">
        <f t="shared" si="431"/>
        <v>117615116.63896132</v>
      </c>
      <c r="BH548" s="46">
        <f t="shared" si="432"/>
        <v>1.2280009705214234</v>
      </c>
      <c r="BI548" s="47">
        <f t="shared" si="433"/>
        <v>3.0241211009540692E-4</v>
      </c>
      <c r="BJ548" s="47">
        <f t="shared" si="434"/>
        <v>5.4541973269472965E-3</v>
      </c>
      <c r="BK548" s="47">
        <f t="shared" si="435"/>
        <v>6.6315220595986712E-2</v>
      </c>
      <c r="BL548" s="48">
        <f t="shared" si="436"/>
        <v>0.22800097052142343</v>
      </c>
      <c r="BM548" s="49">
        <f t="shared" si="437"/>
        <v>4.5861067459824545E-2</v>
      </c>
      <c r="BN548" s="49">
        <f t="shared" si="438"/>
        <v>0.10539813114102503</v>
      </c>
      <c r="BO548" s="49">
        <f t="shared" si="439"/>
        <v>0.20995215197221295</v>
      </c>
    </row>
    <row r="549" spans="1:67" x14ac:dyDescent="0.25">
      <c r="A549" s="1">
        <v>45896</v>
      </c>
      <c r="B549" s="1" t="str">
        <f t="shared" si="417"/>
        <v>202508</v>
      </c>
      <c r="C549" s="24">
        <v>0</v>
      </c>
      <c r="D549" s="24">
        <v>0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f>Q548*(1+((1+VLOOKUP($B549,'IPCA Hist'!$B:$C,2,0))^12 - 1)+$Q$2)^(1/252)</f>
        <v>47609981.342540435</v>
      </c>
      <c r="R549" s="24">
        <f>R548*(1+((1+VLOOKUP($B549,'IPCA Hist'!$B:$C,2,0))^12 - 1)+$R$2)^(1/252)</f>
        <v>47597882.120967299</v>
      </c>
      <c r="S549" s="24">
        <f>S548*(1+((1+VLOOKUP($B549,'IPCA Hist'!$B:$C,2,0))^12 - 1)+$S$2)^(1/252)</f>
        <v>48625023.629881628</v>
      </c>
      <c r="T549" s="24">
        <f>T548*(1+((1+VLOOKUP($B549,'IPCA Hist'!$B:$C,2,0))^12 - 1)+$T$2)^(1/252)</f>
        <v>245571345.28177655</v>
      </c>
      <c r="U549" s="24">
        <f>U548*(1+((1+VLOOKUP($B549,'IPCA Hist'!$B:$C,2,0))^12 - 1)+$U$2)^(1/252)</f>
        <v>21681138.48013233</v>
      </c>
      <c r="V549" s="24">
        <f>V548*(1+((1+VLOOKUP($B549,'IPCA Hist'!$B:$C,2,0))^12 - 1)+$V$2)^(1/252)</f>
        <v>84494085.806311473</v>
      </c>
      <c r="W549" s="24">
        <f>W548*(1+((1+VLOOKUP($B549,'IPCA Hist'!$B:$C,2,0))^12 - 1)+$W$2)^(1/252)</f>
        <v>44502671.215080321</v>
      </c>
      <c r="X549" s="24">
        <f>X548*(1+((1+VLOOKUP($B549,'IPCA Hist'!$B:$C,2,0))^12 - 1)+$X$2)^(1/252)</f>
        <v>15220828.605436401</v>
      </c>
      <c r="Y549" s="24">
        <f>Y548*(1+((1+VLOOKUP($B549,'IPCA Hist'!$B:$C,2,0))^12 - 1)+$Y$2)^(1/252)</f>
        <v>124222925.95859571</v>
      </c>
      <c r="Z549" s="24">
        <f>Z548*(1+((1+VLOOKUP($B549,'IPCA Hist'!$B:$C,2,0))^12 - 1)+$Z$2)^(1/252)</f>
        <v>84533604.864658952</v>
      </c>
      <c r="AA549" s="24">
        <f>AA548*(1+((1+VLOOKUP($B549,'IPCA Hist'!$B:$C,2,0))^12 - 1)+$AA$2)^(1/252)</f>
        <v>42655081.064265281</v>
      </c>
      <c r="AB549" s="24">
        <f>AB548*(1+((1+VLOOKUP($B549,'IPCA Hist'!$B:$C,2,0))^12 - 1)+$AB$2)^(1/252)</f>
        <v>42668102.279839858</v>
      </c>
      <c r="AC549" s="24">
        <f>AC548*(1+((1+VLOOKUP($B549,'IPCA Hist'!$B:$C,2,0))^12 - 1)+$AC$2)^(1/252)</f>
        <v>5289504.5593011277</v>
      </c>
      <c r="AD549" s="24">
        <f>AD548*(1+((1+VLOOKUP($B549,'IPCA Hist'!$B:$C,2,0))^12 - 1)+$AD$2)^(1/252)</f>
        <v>393428759.24819374</v>
      </c>
      <c r="AE549" s="24">
        <v>0</v>
      </c>
      <c r="AF549" s="24">
        <f>AF548*(1+((1+VLOOKUP($B549,'IGPM Hist'!$B:$C,2,0))^12 - 1)+$AF$2)^(1/252)</f>
        <v>1698012.9196658973</v>
      </c>
      <c r="AG549" s="24">
        <v>0</v>
      </c>
      <c r="AH549" s="24">
        <v>0</v>
      </c>
      <c r="AI549" s="24">
        <v>0</v>
      </c>
      <c r="AJ549" s="24">
        <f t="shared" ref="AJ549:AQ549" si="458">AJ548*(1+AJ$2)^(1/252)</f>
        <v>54329564.070926279</v>
      </c>
      <c r="AK549" s="24">
        <f t="shared" si="458"/>
        <v>178403776.58013472</v>
      </c>
      <c r="AL549" s="24">
        <f t="shared" si="458"/>
        <v>36588992.06581597</v>
      </c>
      <c r="AM549" s="24">
        <f t="shared" si="458"/>
        <v>128096410.07816279</v>
      </c>
      <c r="AN549" s="24">
        <f t="shared" si="458"/>
        <v>54878498.291672237</v>
      </c>
      <c r="AO549" s="24">
        <f t="shared" si="458"/>
        <v>23598824.375480585</v>
      </c>
      <c r="AP549" s="24">
        <f t="shared" si="458"/>
        <v>17922596.618264958</v>
      </c>
      <c r="AQ549" s="24">
        <f t="shared" si="458"/>
        <v>6976515.6198753798</v>
      </c>
      <c r="AR549" s="2">
        <v>54647192.725695997</v>
      </c>
      <c r="AS549" s="24">
        <f t="shared" ref="AS549:AY549" si="459">AS548*(1+AS$2)^(1/252)</f>
        <v>106568924.71962912</v>
      </c>
      <c r="AT549" s="24">
        <f t="shared" si="459"/>
        <v>5427599.7477570819</v>
      </c>
      <c r="AU549" s="24">
        <f t="shared" si="459"/>
        <v>6088558.3878834946</v>
      </c>
      <c r="AV549" s="24">
        <f t="shared" si="459"/>
        <v>54073665.40917965</v>
      </c>
      <c r="AW549" s="24">
        <f t="shared" si="459"/>
        <v>2798444.791758399</v>
      </c>
      <c r="AX549" s="24">
        <f t="shared" si="459"/>
        <v>3377390.8349069147</v>
      </c>
      <c r="AY549" s="24">
        <f t="shared" si="459"/>
        <v>55425088.64124202</v>
      </c>
      <c r="AZ549" s="24">
        <v>0</v>
      </c>
      <c r="BA549" s="24">
        <f>BA548*(1+VLOOKUP(A549,'SELIC Hist'!$A:$C,3,0)-0.01%)^(1/252)</f>
        <v>6123928.9701141501</v>
      </c>
      <c r="BB549" s="24">
        <f t="shared" si="428"/>
        <v>2045124919.3051467</v>
      </c>
      <c r="BC549" s="24">
        <v>0</v>
      </c>
      <c r="BD549" s="24">
        <v>0</v>
      </c>
      <c r="BE549" s="24">
        <f t="shared" si="429"/>
        <v>618326.57537937164</v>
      </c>
      <c r="BF549" s="24">
        <f t="shared" si="430"/>
        <v>11708978.365027666</v>
      </c>
      <c r="BG549" s="24">
        <f t="shared" si="431"/>
        <v>118233443.21434069</v>
      </c>
      <c r="BH549" s="46">
        <f t="shared" si="432"/>
        <v>1.2283723587269519</v>
      </c>
      <c r="BI549" s="47">
        <f t="shared" si="433"/>
        <v>3.0243315310318764E-4</v>
      </c>
      <c r="BJ549" s="47">
        <f t="shared" si="434"/>
        <v>5.7582800101456666E-3</v>
      </c>
      <c r="BK549" s="47">
        <f t="shared" si="435"/>
        <v>6.6637709670353429E-2</v>
      </c>
      <c r="BL549" s="48">
        <f t="shared" si="436"/>
        <v>0.22837235872695194</v>
      </c>
      <c r="BM549" s="49">
        <f t="shared" si="437"/>
        <v>4.5452979251161985E-2</v>
      </c>
      <c r="BN549" s="49">
        <f t="shared" si="438"/>
        <v>0.1060124593949936</v>
      </c>
      <c r="BO549" s="49">
        <f t="shared" si="439"/>
        <v>0.20994067879917444</v>
      </c>
    </row>
    <row r="550" spans="1:67" x14ac:dyDescent="0.25">
      <c r="A550" s="1">
        <v>45897</v>
      </c>
      <c r="B550" s="1" t="str">
        <f t="shared" si="417"/>
        <v>202508</v>
      </c>
      <c r="C550" s="24">
        <v>0</v>
      </c>
      <c r="D550" s="24">
        <v>0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0</v>
      </c>
      <c r="O550" s="24">
        <v>0</v>
      </c>
      <c r="P550" s="24">
        <v>0</v>
      </c>
      <c r="Q550" s="24">
        <f>Q549*(1+((1+VLOOKUP($B550,'IPCA Hist'!$B:$C,2,0))^12 - 1)+$Q$2)^(1/252)</f>
        <v>47616916.051763587</v>
      </c>
      <c r="R550" s="24">
        <f>R549*(1+((1+VLOOKUP($B550,'IPCA Hist'!$B:$C,2,0))^12 - 1)+$R$2)^(1/252)</f>
        <v>47604833.277008571</v>
      </c>
      <c r="S550" s="24">
        <f>S549*(1+((1+VLOOKUP($B550,'IPCA Hist'!$B:$C,2,0))^12 - 1)+$S$2)^(1/252)</f>
        <v>48631901.445728548</v>
      </c>
      <c r="T550" s="24">
        <f>T549*(1+((1+VLOOKUP($B550,'IPCA Hist'!$B:$C,2,0))^12 - 1)+$T$2)^(1/252)</f>
        <v>245605986.31541952</v>
      </c>
      <c r="U550" s="24">
        <f>U549*(1+((1+VLOOKUP($B550,'IPCA Hist'!$B:$C,2,0))^12 - 1)+$U$2)^(1/252)</f>
        <v>21685310.762421768</v>
      </c>
      <c r="V550" s="24">
        <f>V549*(1+((1+VLOOKUP($B550,'IPCA Hist'!$B:$C,2,0))^12 - 1)+$V$2)^(1/252)</f>
        <v>84515009.685179412</v>
      </c>
      <c r="W550" s="24">
        <f>W549*(1+((1+VLOOKUP($B550,'IPCA Hist'!$B:$C,2,0))^12 - 1)+$W$2)^(1/252)</f>
        <v>44513842.68821393</v>
      </c>
      <c r="X550" s="24">
        <f>X549*(1+((1+VLOOKUP($B550,'IPCA Hist'!$B:$C,2,0))^12 - 1)+$X$2)^(1/252)</f>
        <v>15224347.586775105</v>
      </c>
      <c r="Y550" s="24">
        <f>Y549*(1+((1+VLOOKUP($B550,'IPCA Hist'!$B:$C,2,0))^12 - 1)+$Y$2)^(1/252)</f>
        <v>124254387.18146123</v>
      </c>
      <c r="Z550" s="24">
        <f>Z549*(1+((1+VLOOKUP($B550,'IPCA Hist'!$B:$C,2,0))^12 - 1)+$Z$2)^(1/252)</f>
        <v>84552422.962406784</v>
      </c>
      <c r="AA550" s="24">
        <f>AA549*(1+((1+VLOOKUP($B550,'IPCA Hist'!$B:$C,2,0))^12 - 1)+$AA$2)^(1/252)</f>
        <v>42666518.254591882</v>
      </c>
      <c r="AB550" s="24">
        <f>AB549*(1+((1+VLOOKUP($B550,'IPCA Hist'!$B:$C,2,0))^12 - 1)+$AB$2)^(1/252)</f>
        <v>42679527.130932562</v>
      </c>
      <c r="AC550" s="24">
        <f>AC549*(1+((1+VLOOKUP($B550,'IPCA Hist'!$B:$C,2,0))^12 - 1)+$AC$2)^(1/252)</f>
        <v>5290735.3882061383</v>
      </c>
      <c r="AD550" s="24">
        <f>AD549*(1+((1+VLOOKUP($B550,'IPCA Hist'!$B:$C,2,0))^12 - 1)+$AD$2)^(1/252)</f>
        <v>393520151.12414235</v>
      </c>
      <c r="AE550" s="24">
        <v>0</v>
      </c>
      <c r="AF550" s="24">
        <f>AF549*(1+((1+VLOOKUP($B550,'IGPM Hist'!$B:$C,2,0))^12 - 1)+$AF$2)^(1/252)</f>
        <v>1698672.4936114142</v>
      </c>
      <c r="AG550" s="24">
        <v>0</v>
      </c>
      <c r="AH550" s="24">
        <v>0</v>
      </c>
      <c r="AI550" s="24">
        <v>0</v>
      </c>
      <c r="AJ550" s="24">
        <f t="shared" ref="AJ550:AQ550" si="460">AJ549*(1+AJ$2)^(1/252)</f>
        <v>54354577.546909213</v>
      </c>
      <c r="AK550" s="24">
        <f t="shared" si="460"/>
        <v>178489970.62087786</v>
      </c>
      <c r="AL550" s="24">
        <f t="shared" si="460"/>
        <v>36606676.110352844</v>
      </c>
      <c r="AM550" s="24">
        <f t="shared" si="460"/>
        <v>128158287.34940542</v>
      </c>
      <c r="AN550" s="24">
        <f t="shared" si="460"/>
        <v>54905026.769236602</v>
      </c>
      <c r="AO550" s="24">
        <f t="shared" si="460"/>
        <v>23612360.097539034</v>
      </c>
      <c r="AP550" s="24">
        <f t="shared" si="460"/>
        <v>17931551.238064747</v>
      </c>
      <c r="AQ550" s="24">
        <f t="shared" si="460"/>
        <v>6980014.0968252467</v>
      </c>
      <c r="AR550" s="2">
        <v>54647193.725695997</v>
      </c>
      <c r="AS550" s="24">
        <f t="shared" ref="AS550:AY550" si="461">AS549*(1+AS$2)^(1/252)</f>
        <v>106616404.02884319</v>
      </c>
      <c r="AT550" s="24">
        <f t="shared" si="461"/>
        <v>5430670.4840600677</v>
      </c>
      <c r="AU550" s="24">
        <f t="shared" si="461"/>
        <v>6091589.7389720334</v>
      </c>
      <c r="AV550" s="24">
        <f t="shared" si="461"/>
        <v>54098274.129723817</v>
      </c>
      <c r="AW550" s="24">
        <f t="shared" si="461"/>
        <v>2800007.7965874071</v>
      </c>
      <c r="AX550" s="24">
        <f t="shared" si="461"/>
        <v>3379084.4774973439</v>
      </c>
      <c r="AY550" s="24">
        <f t="shared" si="461"/>
        <v>55453922.320288479</v>
      </c>
      <c r="AZ550" s="24">
        <v>0</v>
      </c>
      <c r="BA550" s="24">
        <f>BA549*(1+VLOOKUP(A550,'SELIC Hist'!$A:$C,3,0)-0.01%)^(1/252)</f>
        <v>6127303.0410695421</v>
      </c>
      <c r="BB550" s="24">
        <f t="shared" si="428"/>
        <v>2045743475.919811</v>
      </c>
      <c r="BC550" s="24">
        <v>0</v>
      </c>
      <c r="BD550" s="24">
        <v>0</v>
      </c>
      <c r="BE550" s="24">
        <f t="shared" si="429"/>
        <v>618556.61466431618</v>
      </c>
      <c r="BF550" s="24">
        <f t="shared" si="430"/>
        <v>12327534.979691982</v>
      </c>
      <c r="BG550" s="24">
        <f t="shared" si="431"/>
        <v>118851999.829005</v>
      </c>
      <c r="BH550" s="46">
        <f t="shared" si="432"/>
        <v>1.2287438851019861</v>
      </c>
      <c r="BI550" s="47">
        <f t="shared" si="433"/>
        <v>3.0245419672181306E-4</v>
      </c>
      <c r="BJ550" s="47">
        <f t="shared" si="434"/>
        <v>6.0624758228224884E-3</v>
      </c>
      <c r="BK550" s="47">
        <f t="shared" si="435"/>
        <v>6.6960318722024903E-2</v>
      </c>
      <c r="BL550" s="48">
        <f t="shared" si="436"/>
        <v>0.22874388510198607</v>
      </c>
      <c r="BM550" s="49">
        <f t="shared" si="437"/>
        <v>4.5045042218708309E-2</v>
      </c>
      <c r="BN550" s="49">
        <f t="shared" si="438"/>
        <v>0.10643390498247829</v>
      </c>
      <c r="BO550" s="49">
        <f t="shared" si="439"/>
        <v>0.2099292290436936</v>
      </c>
    </row>
    <row r="551" spans="1:67" x14ac:dyDescent="0.25">
      <c r="A551" s="1">
        <v>45898</v>
      </c>
      <c r="B551" s="1" t="str">
        <f t="shared" si="417"/>
        <v>202508</v>
      </c>
      <c r="C551" s="24">
        <v>0</v>
      </c>
      <c r="D551" s="24">
        <v>0</v>
      </c>
      <c r="E551" s="24">
        <v>0</v>
      </c>
      <c r="F551" s="24">
        <v>0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0</v>
      </c>
      <c r="N551" s="24">
        <v>0</v>
      </c>
      <c r="O551" s="24">
        <v>0</v>
      </c>
      <c r="P551" s="24">
        <v>0</v>
      </c>
      <c r="Q551" s="24">
        <f>Q550*(1+((1+VLOOKUP($B551,'IPCA Hist'!$B:$C,2,0))^12 - 1)+$Q$2)^(1/252)</f>
        <v>47623851.771073081</v>
      </c>
      <c r="R551" s="24">
        <f>R550*(1+((1+VLOOKUP($B551,'IPCA Hist'!$B:$C,2,0))^12 - 1)+$R$2)^(1/252)</f>
        <v>47611785.448191024</v>
      </c>
      <c r="S551" s="24">
        <f>S550*(1+((1+VLOOKUP($B551,'IPCA Hist'!$B:$C,2,0))^12 - 1)+$S$2)^(1/252)</f>
        <v>48638780.234415114</v>
      </c>
      <c r="T551" s="24">
        <f>T550*(1+((1+VLOOKUP($B551,'IPCA Hist'!$B:$C,2,0))^12 - 1)+$T$2)^(1/252)</f>
        <v>245640632.23563105</v>
      </c>
      <c r="U551" s="24">
        <f>U550*(1+((1+VLOOKUP($B551,'IPCA Hist'!$B:$C,2,0))^12 - 1)+$U$2)^(1/252)</f>
        <v>21689483.847618286</v>
      </c>
      <c r="V551" s="24">
        <f>V550*(1+((1+VLOOKUP($B551,'IPCA Hist'!$B:$C,2,0))^12 - 1)+$V$2)^(1/252)</f>
        <v>84535938.74557814</v>
      </c>
      <c r="W551" s="24">
        <f>W550*(1+((1+VLOOKUP($B551,'IPCA Hist'!$B:$C,2,0))^12 - 1)+$W$2)^(1/252)</f>
        <v>44525016.965714298</v>
      </c>
      <c r="X551" s="24">
        <f>X550*(1+((1+VLOOKUP($B551,'IPCA Hist'!$B:$C,2,0))^12 - 1)+$X$2)^(1/252)</f>
        <v>15227867.381685132</v>
      </c>
      <c r="Y551" s="24">
        <f>Y550*(1+((1+VLOOKUP($B551,'IPCA Hist'!$B:$C,2,0))^12 - 1)+$Y$2)^(1/252)</f>
        <v>124285856.37232892</v>
      </c>
      <c r="Z551" s="24">
        <f>Z550*(1+((1+VLOOKUP($B551,'IPCA Hist'!$B:$C,2,0))^12 - 1)+$Z$2)^(1/252)</f>
        <v>84571245.249267384</v>
      </c>
      <c r="AA551" s="24">
        <f>AA550*(1+((1+VLOOKUP($B551,'IPCA Hist'!$B:$C,2,0))^12 - 1)+$AA$2)^(1/252)</f>
        <v>42677958.511594705</v>
      </c>
      <c r="AB551" s="24">
        <f>AB550*(1+((1+VLOOKUP($B551,'IPCA Hist'!$B:$C,2,0))^12 - 1)+$AB$2)^(1/252)</f>
        <v>42690955.041154109</v>
      </c>
      <c r="AC551" s="24">
        <f>AC550*(1+((1+VLOOKUP($B551,'IPCA Hist'!$B:$C,2,0))^12 - 1)+$AC$2)^(1/252)</f>
        <v>5291966.5035160054</v>
      </c>
      <c r="AD551" s="24">
        <f>AD550*(1+((1+VLOOKUP($B551,'IPCA Hist'!$B:$C,2,0))^12 - 1)+$AD$2)^(1/252)</f>
        <v>393611564.23004627</v>
      </c>
      <c r="AE551" s="24">
        <v>0</v>
      </c>
      <c r="AF551" s="24">
        <f>AF550*(1+((1+VLOOKUP($B551,'IGPM Hist'!$B:$C,2,0))^12 - 1)+$AF$2)^(1/252)</f>
        <v>1699332.3237609828</v>
      </c>
      <c r="AG551" s="24">
        <v>0</v>
      </c>
      <c r="AH551" s="24">
        <v>0</v>
      </c>
      <c r="AI551" s="24">
        <v>0</v>
      </c>
      <c r="AJ551" s="24">
        <f t="shared" ref="AJ551:AQ551" si="462">AJ550*(1+AJ$2)^(1/252)</f>
        <v>54379602.539163105</v>
      </c>
      <c r="AK551" s="24">
        <f t="shared" si="462"/>
        <v>178576206.30542922</v>
      </c>
      <c r="AL551" s="24">
        <f t="shared" si="462"/>
        <v>36624368.701871023</v>
      </c>
      <c r="AM551" s="24">
        <f t="shared" si="462"/>
        <v>128220194.51060903</v>
      </c>
      <c r="AN551" s="24">
        <f t="shared" si="462"/>
        <v>54931568.070769258</v>
      </c>
      <c r="AO551" s="24">
        <f t="shared" si="462"/>
        <v>23625903.583364386</v>
      </c>
      <c r="AP551" s="24">
        <f t="shared" si="462"/>
        <v>17940510.331837669</v>
      </c>
      <c r="AQ551" s="24">
        <f t="shared" si="462"/>
        <v>6983514.3281381279</v>
      </c>
      <c r="AR551" s="2">
        <v>54647194.725695997</v>
      </c>
      <c r="AS551" s="24">
        <f t="shared" ref="AS551:AY551" si="463">AS550*(1+AS$2)^(1/252)</f>
        <v>106663904.49136072</v>
      </c>
      <c r="AT551" s="24">
        <f t="shared" si="463"/>
        <v>5433742.9576727077</v>
      </c>
      <c r="AU551" s="24">
        <f t="shared" si="463"/>
        <v>6094622.5992995137</v>
      </c>
      <c r="AV551" s="24">
        <f t="shared" si="463"/>
        <v>54122894.049603604</v>
      </c>
      <c r="AW551" s="24">
        <f t="shared" si="463"/>
        <v>2801571.6743956152</v>
      </c>
      <c r="AX551" s="24">
        <f t="shared" si="463"/>
        <v>3380778.969389901</v>
      </c>
      <c r="AY551" s="24">
        <f t="shared" si="463"/>
        <v>55482770.999420062</v>
      </c>
      <c r="AZ551" s="24">
        <v>0</v>
      </c>
      <c r="BA551" s="24">
        <f>BA550*(1+VLOOKUP(A551,'SELIC Hist'!$A:$C,3,0)-0.01%)^(1/252)</f>
        <v>6130678.9710201751</v>
      </c>
      <c r="BB551" s="24">
        <f t="shared" si="428"/>
        <v>2046362262.6706147</v>
      </c>
      <c r="BC551" s="24">
        <v>0</v>
      </c>
      <c r="BD551" s="24">
        <v>0</v>
      </c>
      <c r="BE551" s="24">
        <f t="shared" si="429"/>
        <v>618786.75080370903</v>
      </c>
      <c r="BF551" s="24">
        <f t="shared" si="430"/>
        <v>12946321.730495691</v>
      </c>
      <c r="BG551" s="24">
        <f t="shared" si="431"/>
        <v>119470786.57980871</v>
      </c>
      <c r="BH551" s="46">
        <f t="shared" si="432"/>
        <v>1.2291155497046999</v>
      </c>
      <c r="BI551" s="47">
        <f t="shared" si="433"/>
        <v>3.0247524095150524E-4</v>
      </c>
      <c r="BJ551" s="47">
        <f t="shared" si="434"/>
        <v>6.3667848126092164E-3</v>
      </c>
      <c r="BK551" s="47">
        <f t="shared" si="435"/>
        <v>6.728304780151606E-2</v>
      </c>
      <c r="BL551" s="48">
        <f t="shared" si="436"/>
        <v>0.22911554970469994</v>
      </c>
      <c r="BM551" s="49">
        <f t="shared" si="437"/>
        <v>4.4637256312690221E-2</v>
      </c>
      <c r="BN551" s="49">
        <f t="shared" si="438"/>
        <v>0.106095520889679</v>
      </c>
      <c r="BO551" s="49">
        <f t="shared" si="439"/>
        <v>0.20991780270550664</v>
      </c>
    </row>
  </sheetData>
  <mergeCells count="20">
    <mergeCell ref="A1:A2"/>
    <mergeCell ref="BC1:BC2"/>
    <mergeCell ref="BD1:BD2"/>
    <mergeCell ref="BH1:BH2"/>
    <mergeCell ref="BB1:BB2"/>
    <mergeCell ref="AZ1:AZ2"/>
    <mergeCell ref="BA1:BA2"/>
    <mergeCell ref="AG1:AG2"/>
    <mergeCell ref="AH1:AH2"/>
    <mergeCell ref="AI1:AI2"/>
    <mergeCell ref="BE1:BE2"/>
    <mergeCell ref="BF1:BF2"/>
    <mergeCell ref="BG1:BG2"/>
    <mergeCell ref="BL1:BL2"/>
    <mergeCell ref="BM1:BM2"/>
    <mergeCell ref="BN1:BN2"/>
    <mergeCell ref="BO1:BO2"/>
    <mergeCell ref="BI1:BI2"/>
    <mergeCell ref="BJ1:BJ2"/>
    <mergeCell ref="BK1:BK2"/>
  </mergeCells>
  <phoneticPr fontId="3" type="noConversion"/>
  <pageMargins left="0.511811024" right="0.511811024" top="0.78740157499999996" bottom="0.78740157499999996" header="0.31496062000000002" footer="0.31496062000000002"/>
  <ignoredErrors>
    <ignoredError sqref="BA294 BA299 BA367 AZ71 BA8 BA28 BA42 BA125 BA316 BA39 AE39 D39 N39:R39 BA163 Q163:T163 I163:J163 BA290 I290:J290 Q290:T290 BA303 BA375 BA238 BA240 BA98 BA195 BA387 AJ386:AN386 AS386 AV386 I419:L419 Q419:W419 AF133 BA133 AF257 BA257 AF386 BA419 BA492 BA523" formula="1"/>
    <ignoredError sqref="AZ37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108B-2210-43B6-88A8-224E47A098FE}">
  <dimension ref="A1:C936"/>
  <sheetViews>
    <sheetView topLeftCell="A902" workbookViewId="0">
      <selection activeCell="D15" sqref="D15"/>
    </sheetView>
  </sheetViews>
  <sheetFormatPr defaultRowHeight="15" x14ac:dyDescent="0.25"/>
  <cols>
    <col min="1" max="1" width="9.42578125" bestFit="1" customWidth="1"/>
    <col min="2" max="2" width="10.85546875" bestFit="1" customWidth="1"/>
    <col min="3" max="3" width="20.5703125" bestFit="1" customWidth="1"/>
  </cols>
  <sheetData>
    <row r="1" spans="1:3" ht="15.75" thickBot="1" x14ac:dyDescent="0.3">
      <c r="A1" s="25">
        <v>36892</v>
      </c>
      <c r="B1" s="26" t="s">
        <v>62</v>
      </c>
      <c r="C1" s="27" t="s">
        <v>63</v>
      </c>
    </row>
    <row r="2" spans="1:3" ht="15.75" thickBot="1" x14ac:dyDescent="0.3">
      <c r="A2" s="25">
        <v>36948</v>
      </c>
      <c r="B2" s="26" t="s">
        <v>62</v>
      </c>
      <c r="C2" s="27" t="s">
        <v>64</v>
      </c>
    </row>
    <row r="3" spans="1:3" ht="15.75" thickBot="1" x14ac:dyDescent="0.3">
      <c r="A3" s="25">
        <v>36949</v>
      </c>
      <c r="B3" s="26" t="s">
        <v>65</v>
      </c>
      <c r="C3" s="27" t="s">
        <v>64</v>
      </c>
    </row>
    <row r="4" spans="1:3" ht="15.75" thickBot="1" x14ac:dyDescent="0.3">
      <c r="A4" s="25">
        <v>36994</v>
      </c>
      <c r="B4" s="26" t="s">
        <v>66</v>
      </c>
      <c r="C4" s="27" t="s">
        <v>67</v>
      </c>
    </row>
    <row r="5" spans="1:3" ht="15.75" thickBot="1" x14ac:dyDescent="0.3">
      <c r="A5" s="25">
        <v>37002</v>
      </c>
      <c r="B5" s="26" t="s">
        <v>68</v>
      </c>
      <c r="C5" s="27" t="s">
        <v>69</v>
      </c>
    </row>
    <row r="6" spans="1:3" ht="15.75" thickBot="1" x14ac:dyDescent="0.3">
      <c r="A6" s="25">
        <v>37012</v>
      </c>
      <c r="B6" s="26" t="s">
        <v>65</v>
      </c>
      <c r="C6" s="27" t="s">
        <v>70</v>
      </c>
    </row>
    <row r="7" spans="1:3" ht="15.75" thickBot="1" x14ac:dyDescent="0.3">
      <c r="A7" s="25">
        <v>37056</v>
      </c>
      <c r="B7" s="26" t="s">
        <v>71</v>
      </c>
      <c r="C7" s="27" t="s">
        <v>72</v>
      </c>
    </row>
    <row r="8" spans="1:3" ht="15.75" thickBot="1" x14ac:dyDescent="0.3">
      <c r="A8" s="25">
        <v>37141</v>
      </c>
      <c r="B8" s="26" t="s">
        <v>66</v>
      </c>
      <c r="C8" s="27" t="s">
        <v>73</v>
      </c>
    </row>
    <row r="9" spans="1:3" ht="15.75" thickBot="1" x14ac:dyDescent="0.3">
      <c r="A9" s="25">
        <v>37176</v>
      </c>
      <c r="B9" s="26" t="s">
        <v>66</v>
      </c>
      <c r="C9" s="27" t="s">
        <v>74</v>
      </c>
    </row>
    <row r="10" spans="1:3" ht="15.75" thickBot="1" x14ac:dyDescent="0.3">
      <c r="A10" s="25">
        <v>37197</v>
      </c>
      <c r="B10" s="26" t="s">
        <v>66</v>
      </c>
      <c r="C10" s="27" t="s">
        <v>75</v>
      </c>
    </row>
    <row r="11" spans="1:3" ht="15.75" thickBot="1" x14ac:dyDescent="0.3">
      <c r="A11" s="25">
        <v>37210</v>
      </c>
      <c r="B11" s="26" t="s">
        <v>71</v>
      </c>
      <c r="C11" s="27" t="s">
        <v>76</v>
      </c>
    </row>
    <row r="12" spans="1:3" ht="15.75" thickBot="1" x14ac:dyDescent="0.3">
      <c r="A12" s="25">
        <v>37250</v>
      </c>
      <c r="B12" s="26" t="s">
        <v>65</v>
      </c>
      <c r="C12" s="27" t="s">
        <v>77</v>
      </c>
    </row>
    <row r="13" spans="1:3" ht="15.75" thickBot="1" x14ac:dyDescent="0.3">
      <c r="A13" s="28">
        <v>37257</v>
      </c>
      <c r="B13" s="29" t="s">
        <v>65</v>
      </c>
      <c r="C13" s="30" t="s">
        <v>63</v>
      </c>
    </row>
    <row r="14" spans="1:3" ht="15.75" thickBot="1" x14ac:dyDescent="0.3">
      <c r="A14" s="31">
        <v>37298</v>
      </c>
      <c r="B14" s="32" t="s">
        <v>62</v>
      </c>
      <c r="C14" s="33" t="s">
        <v>64</v>
      </c>
    </row>
    <row r="15" spans="1:3" ht="15.75" thickBot="1" x14ac:dyDescent="0.3">
      <c r="A15" s="31">
        <v>37299</v>
      </c>
      <c r="B15" s="32" t="s">
        <v>65</v>
      </c>
      <c r="C15" s="33" t="s">
        <v>64</v>
      </c>
    </row>
    <row r="16" spans="1:3" ht="15.75" thickBot="1" x14ac:dyDescent="0.3">
      <c r="A16" s="31">
        <v>37344</v>
      </c>
      <c r="B16" s="32" t="s">
        <v>66</v>
      </c>
      <c r="C16" s="33" t="s">
        <v>67</v>
      </c>
    </row>
    <row r="17" spans="1:3" ht="15.75" thickBot="1" x14ac:dyDescent="0.3">
      <c r="A17" s="31">
        <v>37367</v>
      </c>
      <c r="B17" s="32" t="s">
        <v>78</v>
      </c>
      <c r="C17" s="33" t="s">
        <v>69</v>
      </c>
    </row>
    <row r="18" spans="1:3" ht="15.75" thickBot="1" x14ac:dyDescent="0.3">
      <c r="A18" s="31">
        <v>37377</v>
      </c>
      <c r="B18" s="32" t="s">
        <v>79</v>
      </c>
      <c r="C18" s="33" t="s">
        <v>70</v>
      </c>
    </row>
    <row r="19" spans="1:3" ht="15.75" thickBot="1" x14ac:dyDescent="0.3">
      <c r="A19" s="31">
        <v>37406</v>
      </c>
      <c r="B19" s="32" t="s">
        <v>71</v>
      </c>
      <c r="C19" s="33" t="s">
        <v>72</v>
      </c>
    </row>
    <row r="20" spans="1:3" ht="15.75" thickBot="1" x14ac:dyDescent="0.3">
      <c r="A20" s="31">
        <v>37506</v>
      </c>
      <c r="B20" s="32" t="s">
        <v>68</v>
      </c>
      <c r="C20" s="33" t="s">
        <v>73</v>
      </c>
    </row>
    <row r="21" spans="1:3" ht="15.75" thickBot="1" x14ac:dyDescent="0.3">
      <c r="A21" s="31">
        <v>37541</v>
      </c>
      <c r="B21" s="32" t="s">
        <v>68</v>
      </c>
      <c r="C21" s="33" t="s">
        <v>74</v>
      </c>
    </row>
    <row r="22" spans="1:3" ht="15.75" thickBot="1" x14ac:dyDescent="0.3">
      <c r="A22" s="31">
        <v>37562</v>
      </c>
      <c r="B22" s="32" t="s">
        <v>68</v>
      </c>
      <c r="C22" s="33" t="s">
        <v>75</v>
      </c>
    </row>
    <row r="23" spans="1:3" ht="15.75" thickBot="1" x14ac:dyDescent="0.3">
      <c r="A23" s="31">
        <v>37575</v>
      </c>
      <c r="B23" s="32" t="s">
        <v>66</v>
      </c>
      <c r="C23" s="33" t="s">
        <v>76</v>
      </c>
    </row>
    <row r="24" spans="1:3" ht="15.75" thickBot="1" x14ac:dyDescent="0.3">
      <c r="A24" s="31">
        <v>37615</v>
      </c>
      <c r="B24" s="32" t="s">
        <v>79</v>
      </c>
      <c r="C24" s="33" t="s">
        <v>77</v>
      </c>
    </row>
    <row r="25" spans="1:3" ht="15.75" thickBot="1" x14ac:dyDescent="0.3">
      <c r="A25" s="34">
        <v>37622</v>
      </c>
      <c r="B25" s="35" t="s">
        <v>79</v>
      </c>
      <c r="C25" s="36" t="s">
        <v>63</v>
      </c>
    </row>
    <row r="26" spans="1:3" ht="15.75" thickBot="1" x14ac:dyDescent="0.3">
      <c r="A26" s="25">
        <v>37683</v>
      </c>
      <c r="B26" s="26" t="s">
        <v>62</v>
      </c>
      <c r="C26" s="27" t="s">
        <v>64</v>
      </c>
    </row>
    <row r="27" spans="1:3" ht="15.75" thickBot="1" x14ac:dyDescent="0.3">
      <c r="A27" s="25">
        <v>37684</v>
      </c>
      <c r="B27" s="26" t="s">
        <v>65</v>
      </c>
      <c r="C27" s="27" t="s">
        <v>64</v>
      </c>
    </row>
    <row r="28" spans="1:3" ht="15.75" thickBot="1" x14ac:dyDescent="0.3">
      <c r="A28" s="25">
        <v>37729</v>
      </c>
      <c r="B28" s="26" t="s">
        <v>66</v>
      </c>
      <c r="C28" s="27" t="s">
        <v>67</v>
      </c>
    </row>
    <row r="29" spans="1:3" ht="15.75" thickBot="1" x14ac:dyDescent="0.3">
      <c r="A29" s="25">
        <v>37732</v>
      </c>
      <c r="B29" s="26" t="s">
        <v>62</v>
      </c>
      <c r="C29" s="27" t="s">
        <v>69</v>
      </c>
    </row>
    <row r="30" spans="1:3" ht="15.75" thickBot="1" x14ac:dyDescent="0.3">
      <c r="A30" s="25">
        <v>37742</v>
      </c>
      <c r="B30" s="26" t="s">
        <v>71</v>
      </c>
      <c r="C30" s="27" t="s">
        <v>70</v>
      </c>
    </row>
    <row r="31" spans="1:3" ht="15.75" thickBot="1" x14ac:dyDescent="0.3">
      <c r="A31" s="25">
        <v>37791</v>
      </c>
      <c r="B31" s="26" t="s">
        <v>71</v>
      </c>
      <c r="C31" s="27" t="s">
        <v>72</v>
      </c>
    </row>
    <row r="32" spans="1:3" ht="15.75" thickBot="1" x14ac:dyDescent="0.3">
      <c r="A32" s="25">
        <v>37871</v>
      </c>
      <c r="B32" s="26" t="s">
        <v>78</v>
      </c>
      <c r="C32" s="27" t="s">
        <v>73</v>
      </c>
    </row>
    <row r="33" spans="1:3" ht="15.75" thickBot="1" x14ac:dyDescent="0.3">
      <c r="A33" s="25">
        <v>37906</v>
      </c>
      <c r="B33" s="26" t="s">
        <v>78</v>
      </c>
      <c r="C33" s="27" t="s">
        <v>74</v>
      </c>
    </row>
    <row r="34" spans="1:3" ht="15.75" thickBot="1" x14ac:dyDescent="0.3">
      <c r="A34" s="25">
        <v>37927</v>
      </c>
      <c r="B34" s="26" t="s">
        <v>78</v>
      </c>
      <c r="C34" s="27" t="s">
        <v>75</v>
      </c>
    </row>
    <row r="35" spans="1:3" ht="15.75" thickBot="1" x14ac:dyDescent="0.3">
      <c r="A35" s="25">
        <v>37940</v>
      </c>
      <c r="B35" s="26" t="s">
        <v>68</v>
      </c>
      <c r="C35" s="27" t="s">
        <v>76</v>
      </c>
    </row>
    <row r="36" spans="1:3" ht="15.75" thickBot="1" x14ac:dyDescent="0.3">
      <c r="A36" s="25">
        <v>37980</v>
      </c>
      <c r="B36" s="26" t="s">
        <v>71</v>
      </c>
      <c r="C36" s="27" t="s">
        <v>77</v>
      </c>
    </row>
    <row r="37" spans="1:3" ht="15.75" thickBot="1" x14ac:dyDescent="0.3">
      <c r="A37" s="28">
        <v>37987</v>
      </c>
      <c r="B37" s="29" t="s">
        <v>71</v>
      </c>
      <c r="C37" s="30" t="s">
        <v>63</v>
      </c>
    </row>
    <row r="38" spans="1:3" ht="15.75" thickBot="1" x14ac:dyDescent="0.3">
      <c r="A38" s="31">
        <v>38040</v>
      </c>
      <c r="B38" s="32" t="s">
        <v>62</v>
      </c>
      <c r="C38" s="33" t="s">
        <v>64</v>
      </c>
    </row>
    <row r="39" spans="1:3" ht="15.75" thickBot="1" x14ac:dyDescent="0.3">
      <c r="A39" s="31">
        <v>38041</v>
      </c>
      <c r="B39" s="32" t="s">
        <v>65</v>
      </c>
      <c r="C39" s="33" t="s">
        <v>64</v>
      </c>
    </row>
    <row r="40" spans="1:3" ht="15.75" thickBot="1" x14ac:dyDescent="0.3">
      <c r="A40" s="31">
        <v>38086</v>
      </c>
      <c r="B40" s="32" t="s">
        <v>66</v>
      </c>
      <c r="C40" s="33" t="s">
        <v>67</v>
      </c>
    </row>
    <row r="41" spans="1:3" ht="15.75" thickBot="1" x14ac:dyDescent="0.3">
      <c r="A41" s="31">
        <v>38098</v>
      </c>
      <c r="B41" s="32" t="s">
        <v>79</v>
      </c>
      <c r="C41" s="33" t="s">
        <v>69</v>
      </c>
    </row>
    <row r="42" spans="1:3" ht="15.75" thickBot="1" x14ac:dyDescent="0.3">
      <c r="A42" s="31">
        <v>38108</v>
      </c>
      <c r="B42" s="32" t="s">
        <v>68</v>
      </c>
      <c r="C42" s="33" t="s">
        <v>70</v>
      </c>
    </row>
    <row r="43" spans="1:3" ht="15.75" thickBot="1" x14ac:dyDescent="0.3">
      <c r="A43" s="31">
        <v>38148</v>
      </c>
      <c r="B43" s="32" t="s">
        <v>71</v>
      </c>
      <c r="C43" s="33" t="s">
        <v>72</v>
      </c>
    </row>
    <row r="44" spans="1:3" ht="15.75" thickBot="1" x14ac:dyDescent="0.3">
      <c r="A44" s="31">
        <v>38237</v>
      </c>
      <c r="B44" s="32" t="s">
        <v>65</v>
      </c>
      <c r="C44" s="33" t="s">
        <v>73</v>
      </c>
    </row>
    <row r="45" spans="1:3" ht="15.75" thickBot="1" x14ac:dyDescent="0.3">
      <c r="A45" s="31">
        <v>38272</v>
      </c>
      <c r="B45" s="32" t="s">
        <v>65</v>
      </c>
      <c r="C45" s="33" t="s">
        <v>74</v>
      </c>
    </row>
    <row r="46" spans="1:3" ht="15.75" thickBot="1" x14ac:dyDescent="0.3">
      <c r="A46" s="31">
        <v>38293</v>
      </c>
      <c r="B46" s="32" t="s">
        <v>65</v>
      </c>
      <c r="C46" s="33" t="s">
        <v>75</v>
      </c>
    </row>
    <row r="47" spans="1:3" ht="15.75" thickBot="1" x14ac:dyDescent="0.3">
      <c r="A47" s="31">
        <v>38306</v>
      </c>
      <c r="B47" s="32" t="s">
        <v>62</v>
      </c>
      <c r="C47" s="33" t="s">
        <v>76</v>
      </c>
    </row>
    <row r="48" spans="1:3" ht="15.75" thickBot="1" x14ac:dyDescent="0.3">
      <c r="A48" s="31">
        <v>38346</v>
      </c>
      <c r="B48" s="32" t="s">
        <v>68</v>
      </c>
      <c r="C48" s="33" t="s">
        <v>77</v>
      </c>
    </row>
    <row r="49" spans="1:3" ht="15.75" thickBot="1" x14ac:dyDescent="0.3">
      <c r="A49" s="34">
        <v>38353</v>
      </c>
      <c r="B49" s="35" t="s">
        <v>68</v>
      </c>
      <c r="C49" s="36" t="s">
        <v>63</v>
      </c>
    </row>
    <row r="50" spans="1:3" ht="15.75" thickBot="1" x14ac:dyDescent="0.3">
      <c r="A50" s="25">
        <v>38390</v>
      </c>
      <c r="B50" s="26" t="s">
        <v>62</v>
      </c>
      <c r="C50" s="27" t="s">
        <v>64</v>
      </c>
    </row>
    <row r="51" spans="1:3" ht="15.75" thickBot="1" x14ac:dyDescent="0.3">
      <c r="A51" s="25">
        <v>38391</v>
      </c>
      <c r="B51" s="26" t="s">
        <v>65</v>
      </c>
      <c r="C51" s="27" t="s">
        <v>64</v>
      </c>
    </row>
    <row r="52" spans="1:3" ht="15.75" thickBot="1" x14ac:dyDescent="0.3">
      <c r="A52" s="25">
        <v>38436</v>
      </c>
      <c r="B52" s="26" t="s">
        <v>66</v>
      </c>
      <c r="C52" s="27" t="s">
        <v>67</v>
      </c>
    </row>
    <row r="53" spans="1:3" ht="15.75" thickBot="1" x14ac:dyDescent="0.3">
      <c r="A53" s="25">
        <v>38463</v>
      </c>
      <c r="B53" s="26" t="s">
        <v>71</v>
      </c>
      <c r="C53" s="27" t="s">
        <v>69</v>
      </c>
    </row>
    <row r="54" spans="1:3" ht="15.75" thickBot="1" x14ac:dyDescent="0.3">
      <c r="A54" s="25">
        <v>38473</v>
      </c>
      <c r="B54" s="26" t="s">
        <v>78</v>
      </c>
      <c r="C54" s="27" t="s">
        <v>70</v>
      </c>
    </row>
    <row r="55" spans="1:3" ht="15.75" thickBot="1" x14ac:dyDescent="0.3">
      <c r="A55" s="25">
        <v>38498</v>
      </c>
      <c r="B55" s="26" t="s">
        <v>71</v>
      </c>
      <c r="C55" s="27" t="s">
        <v>72</v>
      </c>
    </row>
    <row r="56" spans="1:3" ht="15.75" thickBot="1" x14ac:dyDescent="0.3">
      <c r="A56" s="25">
        <v>38602</v>
      </c>
      <c r="B56" s="26" t="s">
        <v>79</v>
      </c>
      <c r="C56" s="27" t="s">
        <v>73</v>
      </c>
    </row>
    <row r="57" spans="1:3" ht="15.75" thickBot="1" x14ac:dyDescent="0.3">
      <c r="A57" s="25">
        <v>38637</v>
      </c>
      <c r="B57" s="26" t="s">
        <v>79</v>
      </c>
      <c r="C57" s="27" t="s">
        <v>74</v>
      </c>
    </row>
    <row r="58" spans="1:3" ht="15.75" thickBot="1" x14ac:dyDescent="0.3">
      <c r="A58" s="25">
        <v>38658</v>
      </c>
      <c r="B58" s="26" t="s">
        <v>79</v>
      </c>
      <c r="C58" s="27" t="s">
        <v>75</v>
      </c>
    </row>
    <row r="59" spans="1:3" ht="15.75" thickBot="1" x14ac:dyDescent="0.3">
      <c r="A59" s="25">
        <v>38671</v>
      </c>
      <c r="B59" s="26" t="s">
        <v>65</v>
      </c>
      <c r="C59" s="27" t="s">
        <v>76</v>
      </c>
    </row>
    <row r="60" spans="1:3" ht="15.75" thickBot="1" x14ac:dyDescent="0.3">
      <c r="A60" s="25">
        <v>38711</v>
      </c>
      <c r="B60" s="26" t="s">
        <v>78</v>
      </c>
      <c r="C60" s="27" t="s">
        <v>77</v>
      </c>
    </row>
    <row r="61" spans="1:3" ht="15.75" thickBot="1" x14ac:dyDescent="0.3">
      <c r="A61" s="28">
        <v>38718</v>
      </c>
      <c r="B61" s="29" t="s">
        <v>78</v>
      </c>
      <c r="C61" s="30" t="s">
        <v>63</v>
      </c>
    </row>
    <row r="62" spans="1:3" ht="15.75" thickBot="1" x14ac:dyDescent="0.3">
      <c r="A62" s="31">
        <v>38775</v>
      </c>
      <c r="B62" s="32" t="s">
        <v>62</v>
      </c>
      <c r="C62" s="33" t="s">
        <v>64</v>
      </c>
    </row>
    <row r="63" spans="1:3" ht="15.75" thickBot="1" x14ac:dyDescent="0.3">
      <c r="A63" s="31">
        <v>38776</v>
      </c>
      <c r="B63" s="32" t="s">
        <v>65</v>
      </c>
      <c r="C63" s="33" t="s">
        <v>64</v>
      </c>
    </row>
    <row r="64" spans="1:3" ht="15.75" thickBot="1" x14ac:dyDescent="0.3">
      <c r="A64" s="31">
        <v>38821</v>
      </c>
      <c r="B64" s="32" t="s">
        <v>66</v>
      </c>
      <c r="C64" s="33" t="s">
        <v>67</v>
      </c>
    </row>
    <row r="65" spans="1:3" ht="15.75" thickBot="1" x14ac:dyDescent="0.3">
      <c r="A65" s="31">
        <v>38828</v>
      </c>
      <c r="B65" s="32" t="s">
        <v>66</v>
      </c>
      <c r="C65" s="33" t="s">
        <v>69</v>
      </c>
    </row>
    <row r="66" spans="1:3" ht="15.75" thickBot="1" x14ac:dyDescent="0.3">
      <c r="A66" s="31">
        <v>38838</v>
      </c>
      <c r="B66" s="32" t="s">
        <v>62</v>
      </c>
      <c r="C66" s="33" t="s">
        <v>70</v>
      </c>
    </row>
    <row r="67" spans="1:3" ht="15.75" thickBot="1" x14ac:dyDescent="0.3">
      <c r="A67" s="31">
        <v>38883</v>
      </c>
      <c r="B67" s="32" t="s">
        <v>71</v>
      </c>
      <c r="C67" s="33" t="s">
        <v>72</v>
      </c>
    </row>
    <row r="68" spans="1:3" ht="15.75" thickBot="1" x14ac:dyDescent="0.3">
      <c r="A68" s="31">
        <v>38967</v>
      </c>
      <c r="B68" s="32" t="s">
        <v>71</v>
      </c>
      <c r="C68" s="33" t="s">
        <v>73</v>
      </c>
    </row>
    <row r="69" spans="1:3" ht="15.75" thickBot="1" x14ac:dyDescent="0.3">
      <c r="A69" s="31">
        <v>39002</v>
      </c>
      <c r="B69" s="32" t="s">
        <v>71</v>
      </c>
      <c r="C69" s="33" t="s">
        <v>74</v>
      </c>
    </row>
    <row r="70" spans="1:3" ht="15.75" thickBot="1" x14ac:dyDescent="0.3">
      <c r="A70" s="31">
        <v>39023</v>
      </c>
      <c r="B70" s="32" t="s">
        <v>71</v>
      </c>
      <c r="C70" s="33" t="s">
        <v>75</v>
      </c>
    </row>
    <row r="71" spans="1:3" ht="15.75" thickBot="1" x14ac:dyDescent="0.3">
      <c r="A71" s="31">
        <v>39036</v>
      </c>
      <c r="B71" s="32" t="s">
        <v>79</v>
      </c>
      <c r="C71" s="33" t="s">
        <v>76</v>
      </c>
    </row>
    <row r="72" spans="1:3" ht="15.75" thickBot="1" x14ac:dyDescent="0.3">
      <c r="A72" s="31">
        <v>39076</v>
      </c>
      <c r="B72" s="32" t="s">
        <v>62</v>
      </c>
      <c r="C72" s="33" t="s">
        <v>77</v>
      </c>
    </row>
    <row r="73" spans="1:3" ht="15.75" thickBot="1" x14ac:dyDescent="0.3">
      <c r="A73" s="34">
        <v>39083</v>
      </c>
      <c r="B73" s="35" t="s">
        <v>62</v>
      </c>
      <c r="C73" s="36" t="s">
        <v>63</v>
      </c>
    </row>
    <row r="74" spans="1:3" ht="15.75" thickBot="1" x14ac:dyDescent="0.3">
      <c r="A74" s="25">
        <v>39132</v>
      </c>
      <c r="B74" s="26" t="s">
        <v>62</v>
      </c>
      <c r="C74" s="27" t="s">
        <v>64</v>
      </c>
    </row>
    <row r="75" spans="1:3" ht="15.75" thickBot="1" x14ac:dyDescent="0.3">
      <c r="A75" s="25">
        <v>39133</v>
      </c>
      <c r="B75" s="26" t="s">
        <v>65</v>
      </c>
      <c r="C75" s="27" t="s">
        <v>64</v>
      </c>
    </row>
    <row r="76" spans="1:3" ht="15.75" thickBot="1" x14ac:dyDescent="0.3">
      <c r="A76" s="25">
        <v>39178</v>
      </c>
      <c r="B76" s="26" t="s">
        <v>66</v>
      </c>
      <c r="C76" s="27" t="s">
        <v>67</v>
      </c>
    </row>
    <row r="77" spans="1:3" ht="15.75" thickBot="1" x14ac:dyDescent="0.3">
      <c r="A77" s="25">
        <v>39193</v>
      </c>
      <c r="B77" s="26" t="s">
        <v>68</v>
      </c>
      <c r="C77" s="27" t="s">
        <v>69</v>
      </c>
    </row>
    <row r="78" spans="1:3" ht="15.75" thickBot="1" x14ac:dyDescent="0.3">
      <c r="A78" s="25">
        <v>39203</v>
      </c>
      <c r="B78" s="26" t="s">
        <v>65</v>
      </c>
      <c r="C78" s="27" t="s">
        <v>70</v>
      </c>
    </row>
    <row r="79" spans="1:3" ht="15.75" thickBot="1" x14ac:dyDescent="0.3">
      <c r="A79" s="25">
        <v>39240</v>
      </c>
      <c r="B79" s="26" t="s">
        <v>71</v>
      </c>
      <c r="C79" s="27" t="s">
        <v>72</v>
      </c>
    </row>
    <row r="80" spans="1:3" ht="15.75" thickBot="1" x14ac:dyDescent="0.3">
      <c r="A80" s="25">
        <v>39332</v>
      </c>
      <c r="B80" s="26" t="s">
        <v>66</v>
      </c>
      <c r="C80" s="27" t="s">
        <v>73</v>
      </c>
    </row>
    <row r="81" spans="1:3" ht="15.75" thickBot="1" x14ac:dyDescent="0.3">
      <c r="A81" s="25">
        <v>39367</v>
      </c>
      <c r="B81" s="26" t="s">
        <v>66</v>
      </c>
      <c r="C81" s="27" t="s">
        <v>74</v>
      </c>
    </row>
    <row r="82" spans="1:3" ht="15.75" thickBot="1" x14ac:dyDescent="0.3">
      <c r="A82" s="25">
        <v>39388</v>
      </c>
      <c r="B82" s="26" t="s">
        <v>66</v>
      </c>
      <c r="C82" s="27" t="s">
        <v>75</v>
      </c>
    </row>
    <row r="83" spans="1:3" ht="15.75" thickBot="1" x14ac:dyDescent="0.3">
      <c r="A83" s="25">
        <v>39401</v>
      </c>
      <c r="B83" s="26" t="s">
        <v>71</v>
      </c>
      <c r="C83" s="27" t="s">
        <v>76</v>
      </c>
    </row>
    <row r="84" spans="1:3" ht="15.75" thickBot="1" x14ac:dyDescent="0.3">
      <c r="A84" s="25">
        <v>39441</v>
      </c>
      <c r="B84" s="26" t="s">
        <v>65</v>
      </c>
      <c r="C84" s="27" t="s">
        <v>77</v>
      </c>
    </row>
    <row r="85" spans="1:3" ht="15.75" thickBot="1" x14ac:dyDescent="0.3">
      <c r="A85" s="28">
        <v>39448</v>
      </c>
      <c r="B85" s="29" t="s">
        <v>65</v>
      </c>
      <c r="C85" s="30" t="s">
        <v>63</v>
      </c>
    </row>
    <row r="86" spans="1:3" ht="15.75" thickBot="1" x14ac:dyDescent="0.3">
      <c r="A86" s="31">
        <v>39482</v>
      </c>
      <c r="B86" s="32" t="s">
        <v>62</v>
      </c>
      <c r="C86" s="33" t="s">
        <v>64</v>
      </c>
    </row>
    <row r="87" spans="1:3" ht="15.75" thickBot="1" x14ac:dyDescent="0.3">
      <c r="A87" s="31">
        <v>39483</v>
      </c>
      <c r="B87" s="32" t="s">
        <v>65</v>
      </c>
      <c r="C87" s="33" t="s">
        <v>64</v>
      </c>
    </row>
    <row r="88" spans="1:3" ht="15.75" thickBot="1" x14ac:dyDescent="0.3">
      <c r="A88" s="31">
        <v>39528</v>
      </c>
      <c r="B88" s="32" t="s">
        <v>66</v>
      </c>
      <c r="C88" s="33" t="s">
        <v>67</v>
      </c>
    </row>
    <row r="89" spans="1:3" ht="15.75" thickBot="1" x14ac:dyDescent="0.3">
      <c r="A89" s="31">
        <v>39559</v>
      </c>
      <c r="B89" s="32" t="s">
        <v>62</v>
      </c>
      <c r="C89" s="33" t="s">
        <v>69</v>
      </c>
    </row>
    <row r="90" spans="1:3" ht="15.75" thickBot="1" x14ac:dyDescent="0.3">
      <c r="A90" s="31">
        <v>39569</v>
      </c>
      <c r="B90" s="32" t="s">
        <v>71</v>
      </c>
      <c r="C90" s="33" t="s">
        <v>70</v>
      </c>
    </row>
    <row r="91" spans="1:3" ht="15.75" thickBot="1" x14ac:dyDescent="0.3">
      <c r="A91" s="31">
        <v>39590</v>
      </c>
      <c r="B91" s="32" t="s">
        <v>71</v>
      </c>
      <c r="C91" s="33" t="s">
        <v>72</v>
      </c>
    </row>
    <row r="92" spans="1:3" ht="15.75" thickBot="1" x14ac:dyDescent="0.3">
      <c r="A92" s="31">
        <v>39698</v>
      </c>
      <c r="B92" s="32" t="s">
        <v>78</v>
      </c>
      <c r="C92" s="33" t="s">
        <v>73</v>
      </c>
    </row>
    <row r="93" spans="1:3" ht="15.75" thickBot="1" x14ac:dyDescent="0.3">
      <c r="A93" s="31">
        <v>39733</v>
      </c>
      <c r="B93" s="32" t="s">
        <v>78</v>
      </c>
      <c r="C93" s="33" t="s">
        <v>74</v>
      </c>
    </row>
    <row r="94" spans="1:3" ht="15.75" thickBot="1" x14ac:dyDescent="0.3">
      <c r="A94" s="31">
        <v>39754</v>
      </c>
      <c r="B94" s="32" t="s">
        <v>78</v>
      </c>
      <c r="C94" s="33" t="s">
        <v>75</v>
      </c>
    </row>
    <row r="95" spans="1:3" ht="15.75" thickBot="1" x14ac:dyDescent="0.3">
      <c r="A95" s="31">
        <v>39767</v>
      </c>
      <c r="B95" s="32" t="s">
        <v>68</v>
      </c>
      <c r="C95" s="33" t="s">
        <v>76</v>
      </c>
    </row>
    <row r="96" spans="1:3" ht="15.75" thickBot="1" x14ac:dyDescent="0.3">
      <c r="A96" s="31">
        <v>39807</v>
      </c>
      <c r="B96" s="32" t="s">
        <v>71</v>
      </c>
      <c r="C96" s="33" t="s">
        <v>77</v>
      </c>
    </row>
    <row r="97" spans="1:3" ht="15.75" thickBot="1" x14ac:dyDescent="0.3">
      <c r="A97" s="34">
        <v>39814</v>
      </c>
      <c r="B97" s="35" t="s">
        <v>71</v>
      </c>
      <c r="C97" s="36" t="s">
        <v>63</v>
      </c>
    </row>
    <row r="98" spans="1:3" ht="15.75" thickBot="1" x14ac:dyDescent="0.3">
      <c r="A98" s="25">
        <v>39867</v>
      </c>
      <c r="B98" s="26" t="s">
        <v>62</v>
      </c>
      <c r="C98" s="27" t="s">
        <v>64</v>
      </c>
    </row>
    <row r="99" spans="1:3" ht="15.75" thickBot="1" x14ac:dyDescent="0.3">
      <c r="A99" s="25">
        <v>39868</v>
      </c>
      <c r="B99" s="26" t="s">
        <v>65</v>
      </c>
      <c r="C99" s="27" t="s">
        <v>64</v>
      </c>
    </row>
    <row r="100" spans="1:3" ht="15.75" thickBot="1" x14ac:dyDescent="0.3">
      <c r="A100" s="25">
        <v>39913</v>
      </c>
      <c r="B100" s="26" t="s">
        <v>66</v>
      </c>
      <c r="C100" s="27" t="s">
        <v>67</v>
      </c>
    </row>
    <row r="101" spans="1:3" ht="15.75" thickBot="1" x14ac:dyDescent="0.3">
      <c r="A101" s="25">
        <v>39924</v>
      </c>
      <c r="B101" s="26" t="s">
        <v>65</v>
      </c>
      <c r="C101" s="27" t="s">
        <v>69</v>
      </c>
    </row>
    <row r="102" spans="1:3" ht="15.75" thickBot="1" x14ac:dyDescent="0.3">
      <c r="A102" s="25">
        <v>39934</v>
      </c>
      <c r="B102" s="26" t="s">
        <v>66</v>
      </c>
      <c r="C102" s="27" t="s">
        <v>70</v>
      </c>
    </row>
    <row r="103" spans="1:3" ht="15.75" thickBot="1" x14ac:dyDescent="0.3">
      <c r="A103" s="25">
        <v>39975</v>
      </c>
      <c r="B103" s="26" t="s">
        <v>71</v>
      </c>
      <c r="C103" s="27" t="s">
        <v>72</v>
      </c>
    </row>
    <row r="104" spans="1:3" ht="15.75" thickBot="1" x14ac:dyDescent="0.3">
      <c r="A104" s="25">
        <v>40063</v>
      </c>
      <c r="B104" s="26" t="s">
        <v>62</v>
      </c>
      <c r="C104" s="27" t="s">
        <v>73</v>
      </c>
    </row>
    <row r="105" spans="1:3" ht="15.75" thickBot="1" x14ac:dyDescent="0.3">
      <c r="A105" s="25">
        <v>40098</v>
      </c>
      <c r="B105" s="26" t="s">
        <v>62</v>
      </c>
      <c r="C105" s="27" t="s">
        <v>74</v>
      </c>
    </row>
    <row r="106" spans="1:3" ht="15.75" thickBot="1" x14ac:dyDescent="0.3">
      <c r="A106" s="25">
        <v>40119</v>
      </c>
      <c r="B106" s="26" t="s">
        <v>62</v>
      </c>
      <c r="C106" s="27" t="s">
        <v>75</v>
      </c>
    </row>
    <row r="107" spans="1:3" ht="15.75" thickBot="1" x14ac:dyDescent="0.3">
      <c r="A107" s="25">
        <v>40132</v>
      </c>
      <c r="B107" s="26" t="s">
        <v>78</v>
      </c>
      <c r="C107" s="27" t="s">
        <v>76</v>
      </c>
    </row>
    <row r="108" spans="1:3" ht="15.75" thickBot="1" x14ac:dyDescent="0.3">
      <c r="A108" s="25">
        <v>40172</v>
      </c>
      <c r="B108" s="26" t="s">
        <v>66</v>
      </c>
      <c r="C108" s="27" t="s">
        <v>77</v>
      </c>
    </row>
    <row r="109" spans="1:3" ht="15.75" thickBot="1" x14ac:dyDescent="0.3">
      <c r="A109" s="28">
        <v>40179</v>
      </c>
      <c r="B109" s="29" t="s">
        <v>66</v>
      </c>
      <c r="C109" s="30" t="s">
        <v>63</v>
      </c>
    </row>
    <row r="110" spans="1:3" ht="15.75" thickBot="1" x14ac:dyDescent="0.3">
      <c r="A110" s="31">
        <v>40224</v>
      </c>
      <c r="B110" s="32" t="s">
        <v>62</v>
      </c>
      <c r="C110" s="33" t="s">
        <v>64</v>
      </c>
    </row>
    <row r="111" spans="1:3" ht="15.75" thickBot="1" x14ac:dyDescent="0.3">
      <c r="A111" s="31">
        <v>40225</v>
      </c>
      <c r="B111" s="32" t="s">
        <v>65</v>
      </c>
      <c r="C111" s="33" t="s">
        <v>64</v>
      </c>
    </row>
    <row r="112" spans="1:3" ht="15.75" thickBot="1" x14ac:dyDescent="0.3">
      <c r="A112" s="31">
        <v>40270</v>
      </c>
      <c r="B112" s="32" t="s">
        <v>66</v>
      </c>
      <c r="C112" s="33" t="s">
        <v>67</v>
      </c>
    </row>
    <row r="113" spans="1:3" ht="15.75" thickBot="1" x14ac:dyDescent="0.3">
      <c r="A113" s="31">
        <v>40289</v>
      </c>
      <c r="B113" s="32" t="s">
        <v>79</v>
      </c>
      <c r="C113" s="33" t="s">
        <v>69</v>
      </c>
    </row>
    <row r="114" spans="1:3" ht="15.75" thickBot="1" x14ac:dyDescent="0.3">
      <c r="A114" s="31">
        <v>40299</v>
      </c>
      <c r="B114" s="32" t="s">
        <v>68</v>
      </c>
      <c r="C114" s="33" t="s">
        <v>70</v>
      </c>
    </row>
    <row r="115" spans="1:3" ht="15.75" thickBot="1" x14ac:dyDescent="0.3">
      <c r="A115" s="31">
        <v>40332</v>
      </c>
      <c r="B115" s="32" t="s">
        <v>71</v>
      </c>
      <c r="C115" s="33" t="s">
        <v>72</v>
      </c>
    </row>
    <row r="116" spans="1:3" ht="15.75" thickBot="1" x14ac:dyDescent="0.3">
      <c r="A116" s="31">
        <v>40428</v>
      </c>
      <c r="B116" s="32" t="s">
        <v>65</v>
      </c>
      <c r="C116" s="33" t="s">
        <v>73</v>
      </c>
    </row>
    <row r="117" spans="1:3" ht="15.75" thickBot="1" x14ac:dyDescent="0.3">
      <c r="A117" s="31">
        <v>40463</v>
      </c>
      <c r="B117" s="32" t="s">
        <v>65</v>
      </c>
      <c r="C117" s="33" t="s">
        <v>74</v>
      </c>
    </row>
    <row r="118" spans="1:3" ht="15.75" thickBot="1" x14ac:dyDescent="0.3">
      <c r="A118" s="31">
        <v>40484</v>
      </c>
      <c r="B118" s="32" t="s">
        <v>65</v>
      </c>
      <c r="C118" s="33" t="s">
        <v>75</v>
      </c>
    </row>
    <row r="119" spans="1:3" ht="15.75" thickBot="1" x14ac:dyDescent="0.3">
      <c r="A119" s="31">
        <v>40497</v>
      </c>
      <c r="B119" s="32" t="s">
        <v>62</v>
      </c>
      <c r="C119" s="33" t="s">
        <v>76</v>
      </c>
    </row>
    <row r="120" spans="1:3" ht="15.75" thickBot="1" x14ac:dyDescent="0.3">
      <c r="A120" s="31">
        <v>40537</v>
      </c>
      <c r="B120" s="32" t="s">
        <v>68</v>
      </c>
      <c r="C120" s="33" t="s">
        <v>77</v>
      </c>
    </row>
    <row r="121" spans="1:3" ht="15.75" thickBot="1" x14ac:dyDescent="0.3">
      <c r="A121" s="34">
        <v>40544</v>
      </c>
      <c r="B121" s="35" t="s">
        <v>68</v>
      </c>
      <c r="C121" s="36" t="s">
        <v>63</v>
      </c>
    </row>
    <row r="122" spans="1:3" ht="15.75" thickBot="1" x14ac:dyDescent="0.3">
      <c r="A122" s="25">
        <v>40609</v>
      </c>
      <c r="B122" s="26" t="s">
        <v>62</v>
      </c>
      <c r="C122" s="27" t="s">
        <v>64</v>
      </c>
    </row>
    <row r="123" spans="1:3" ht="15.75" thickBot="1" x14ac:dyDescent="0.3">
      <c r="A123" s="25">
        <v>40610</v>
      </c>
      <c r="B123" s="26" t="s">
        <v>65</v>
      </c>
      <c r="C123" s="27" t="s">
        <v>64</v>
      </c>
    </row>
    <row r="124" spans="1:3" ht="15.75" thickBot="1" x14ac:dyDescent="0.3">
      <c r="A124" s="25">
        <v>40654</v>
      </c>
      <c r="B124" s="26" t="s">
        <v>71</v>
      </c>
      <c r="C124" s="27" t="s">
        <v>67</v>
      </c>
    </row>
    <row r="125" spans="1:3" ht="15.75" thickBot="1" x14ac:dyDescent="0.3">
      <c r="A125" s="25">
        <v>40655</v>
      </c>
      <c r="B125" s="26" t="s">
        <v>66</v>
      </c>
      <c r="C125" s="27" t="s">
        <v>69</v>
      </c>
    </row>
    <row r="126" spans="1:3" ht="15.75" thickBot="1" x14ac:dyDescent="0.3">
      <c r="A126" s="25">
        <v>40664</v>
      </c>
      <c r="B126" s="26" t="s">
        <v>78</v>
      </c>
      <c r="C126" s="27" t="s">
        <v>70</v>
      </c>
    </row>
    <row r="127" spans="1:3" ht="15.75" thickBot="1" x14ac:dyDescent="0.3">
      <c r="A127" s="25">
        <v>40717</v>
      </c>
      <c r="B127" s="26" t="s">
        <v>71</v>
      </c>
      <c r="C127" s="27" t="s">
        <v>72</v>
      </c>
    </row>
    <row r="128" spans="1:3" ht="15.75" thickBot="1" x14ac:dyDescent="0.3">
      <c r="A128" s="25">
        <v>40793</v>
      </c>
      <c r="B128" s="26" t="s">
        <v>79</v>
      </c>
      <c r="C128" s="27" t="s">
        <v>73</v>
      </c>
    </row>
    <row r="129" spans="1:3" ht="15.75" thickBot="1" x14ac:dyDescent="0.3">
      <c r="A129" s="25">
        <v>40828</v>
      </c>
      <c r="B129" s="26" t="s">
        <v>79</v>
      </c>
      <c r="C129" s="27" t="s">
        <v>74</v>
      </c>
    </row>
    <row r="130" spans="1:3" ht="15.75" thickBot="1" x14ac:dyDescent="0.3">
      <c r="A130" s="25">
        <v>40849</v>
      </c>
      <c r="B130" s="26" t="s">
        <v>79</v>
      </c>
      <c r="C130" s="27" t="s">
        <v>75</v>
      </c>
    </row>
    <row r="131" spans="1:3" ht="15.75" thickBot="1" x14ac:dyDescent="0.3">
      <c r="A131" s="25">
        <v>40862</v>
      </c>
      <c r="B131" s="26" t="s">
        <v>65</v>
      </c>
      <c r="C131" s="27" t="s">
        <v>76</v>
      </c>
    </row>
    <row r="132" spans="1:3" ht="15.75" thickBot="1" x14ac:dyDescent="0.3">
      <c r="A132" s="25">
        <v>40902</v>
      </c>
      <c r="B132" s="26" t="s">
        <v>78</v>
      </c>
      <c r="C132" s="27" t="s">
        <v>77</v>
      </c>
    </row>
    <row r="133" spans="1:3" ht="15.75" thickBot="1" x14ac:dyDescent="0.3">
      <c r="A133" s="28">
        <v>40909</v>
      </c>
      <c r="B133" s="29" t="s">
        <v>78</v>
      </c>
      <c r="C133" s="30" t="s">
        <v>63</v>
      </c>
    </row>
    <row r="134" spans="1:3" ht="15.75" thickBot="1" x14ac:dyDescent="0.3">
      <c r="A134" s="31">
        <v>40959</v>
      </c>
      <c r="B134" s="32" t="s">
        <v>62</v>
      </c>
      <c r="C134" s="33" t="s">
        <v>64</v>
      </c>
    </row>
    <row r="135" spans="1:3" ht="15.75" thickBot="1" x14ac:dyDescent="0.3">
      <c r="A135" s="31">
        <v>40960</v>
      </c>
      <c r="B135" s="32" t="s">
        <v>65</v>
      </c>
      <c r="C135" s="33" t="s">
        <v>64</v>
      </c>
    </row>
    <row r="136" spans="1:3" ht="15.75" thickBot="1" x14ac:dyDescent="0.3">
      <c r="A136" s="31">
        <v>41005</v>
      </c>
      <c r="B136" s="32" t="s">
        <v>66</v>
      </c>
      <c r="C136" s="33" t="s">
        <v>67</v>
      </c>
    </row>
    <row r="137" spans="1:3" ht="15.75" thickBot="1" x14ac:dyDescent="0.3">
      <c r="A137" s="31">
        <v>41020</v>
      </c>
      <c r="B137" s="32" t="s">
        <v>68</v>
      </c>
      <c r="C137" s="33" t="s">
        <v>69</v>
      </c>
    </row>
    <row r="138" spans="1:3" ht="15.75" thickBot="1" x14ac:dyDescent="0.3">
      <c r="A138" s="31">
        <v>41030</v>
      </c>
      <c r="B138" s="32" t="s">
        <v>65</v>
      </c>
      <c r="C138" s="33" t="s">
        <v>70</v>
      </c>
    </row>
    <row r="139" spans="1:3" ht="15.75" thickBot="1" x14ac:dyDescent="0.3">
      <c r="A139" s="31">
        <v>41067</v>
      </c>
      <c r="B139" s="32" t="s">
        <v>71</v>
      </c>
      <c r="C139" s="33" t="s">
        <v>72</v>
      </c>
    </row>
    <row r="140" spans="1:3" ht="15.75" thickBot="1" x14ac:dyDescent="0.3">
      <c r="A140" s="31">
        <v>41159</v>
      </c>
      <c r="B140" s="32" t="s">
        <v>66</v>
      </c>
      <c r="C140" s="33" t="s">
        <v>73</v>
      </c>
    </row>
    <row r="141" spans="1:3" ht="15.75" thickBot="1" x14ac:dyDescent="0.3">
      <c r="A141" s="31">
        <v>41194</v>
      </c>
      <c r="B141" s="32" t="s">
        <v>66</v>
      </c>
      <c r="C141" s="33" t="s">
        <v>74</v>
      </c>
    </row>
    <row r="142" spans="1:3" ht="15.75" thickBot="1" x14ac:dyDescent="0.3">
      <c r="A142" s="31">
        <v>41215</v>
      </c>
      <c r="B142" s="32" t="s">
        <v>66</v>
      </c>
      <c r="C142" s="33" t="s">
        <v>75</v>
      </c>
    </row>
    <row r="143" spans="1:3" ht="15.75" thickBot="1" x14ac:dyDescent="0.3">
      <c r="A143" s="31">
        <v>41228</v>
      </c>
      <c r="B143" s="32" t="s">
        <v>71</v>
      </c>
      <c r="C143" s="33" t="s">
        <v>76</v>
      </c>
    </row>
    <row r="144" spans="1:3" ht="15.75" thickBot="1" x14ac:dyDescent="0.3">
      <c r="A144" s="31">
        <v>41268</v>
      </c>
      <c r="B144" s="32" t="s">
        <v>65</v>
      </c>
      <c r="C144" s="33" t="s">
        <v>77</v>
      </c>
    </row>
    <row r="145" spans="1:3" ht="15.75" thickBot="1" x14ac:dyDescent="0.3">
      <c r="A145" s="34">
        <v>41275</v>
      </c>
      <c r="B145" s="35" t="s">
        <v>65</v>
      </c>
      <c r="C145" s="36" t="s">
        <v>63</v>
      </c>
    </row>
    <row r="146" spans="1:3" ht="15.75" thickBot="1" x14ac:dyDescent="0.3">
      <c r="A146" s="25">
        <v>41316</v>
      </c>
      <c r="B146" s="26" t="s">
        <v>62</v>
      </c>
      <c r="C146" s="27" t="s">
        <v>64</v>
      </c>
    </row>
    <row r="147" spans="1:3" ht="15.75" thickBot="1" x14ac:dyDescent="0.3">
      <c r="A147" s="25">
        <v>41317</v>
      </c>
      <c r="B147" s="26" t="s">
        <v>65</v>
      </c>
      <c r="C147" s="27" t="s">
        <v>64</v>
      </c>
    </row>
    <row r="148" spans="1:3" ht="15.75" thickBot="1" x14ac:dyDescent="0.3">
      <c r="A148" s="25">
        <v>41362</v>
      </c>
      <c r="B148" s="26" t="s">
        <v>66</v>
      </c>
      <c r="C148" s="27" t="s">
        <v>67</v>
      </c>
    </row>
    <row r="149" spans="1:3" ht="15.75" thickBot="1" x14ac:dyDescent="0.3">
      <c r="A149" s="25">
        <v>41385</v>
      </c>
      <c r="B149" s="26" t="s">
        <v>78</v>
      </c>
      <c r="C149" s="27" t="s">
        <v>69</v>
      </c>
    </row>
    <row r="150" spans="1:3" ht="15.75" thickBot="1" x14ac:dyDescent="0.3">
      <c r="A150" s="25">
        <v>41395</v>
      </c>
      <c r="B150" s="26" t="s">
        <v>79</v>
      </c>
      <c r="C150" s="27" t="s">
        <v>70</v>
      </c>
    </row>
    <row r="151" spans="1:3" ht="15.75" thickBot="1" x14ac:dyDescent="0.3">
      <c r="A151" s="25">
        <v>41424</v>
      </c>
      <c r="B151" s="26" t="s">
        <v>71</v>
      </c>
      <c r="C151" s="27" t="s">
        <v>72</v>
      </c>
    </row>
    <row r="152" spans="1:3" ht="15.75" thickBot="1" x14ac:dyDescent="0.3">
      <c r="A152" s="25">
        <v>41524</v>
      </c>
      <c r="B152" s="26" t="s">
        <v>68</v>
      </c>
      <c r="C152" s="27" t="s">
        <v>73</v>
      </c>
    </row>
    <row r="153" spans="1:3" ht="15.75" thickBot="1" x14ac:dyDescent="0.3">
      <c r="A153" s="25">
        <v>41559</v>
      </c>
      <c r="B153" s="26" t="s">
        <v>68</v>
      </c>
      <c r="C153" s="27" t="s">
        <v>74</v>
      </c>
    </row>
    <row r="154" spans="1:3" ht="15.75" thickBot="1" x14ac:dyDescent="0.3">
      <c r="A154" s="25">
        <v>41580</v>
      </c>
      <c r="B154" s="26" t="s">
        <v>68</v>
      </c>
      <c r="C154" s="27" t="s">
        <v>75</v>
      </c>
    </row>
    <row r="155" spans="1:3" ht="15.75" thickBot="1" x14ac:dyDescent="0.3">
      <c r="A155" s="25">
        <v>41593</v>
      </c>
      <c r="B155" s="26" t="s">
        <v>66</v>
      </c>
      <c r="C155" s="27" t="s">
        <v>76</v>
      </c>
    </row>
    <row r="156" spans="1:3" ht="15.75" thickBot="1" x14ac:dyDescent="0.3">
      <c r="A156" s="25">
        <v>41633</v>
      </c>
      <c r="B156" s="26" t="s">
        <v>79</v>
      </c>
      <c r="C156" s="27" t="s">
        <v>77</v>
      </c>
    </row>
    <row r="157" spans="1:3" ht="15.75" thickBot="1" x14ac:dyDescent="0.3">
      <c r="A157" s="28">
        <v>41640</v>
      </c>
      <c r="B157" s="29" t="s">
        <v>79</v>
      </c>
      <c r="C157" s="30" t="s">
        <v>63</v>
      </c>
    </row>
    <row r="158" spans="1:3" ht="15.75" thickBot="1" x14ac:dyDescent="0.3">
      <c r="A158" s="31">
        <v>41701</v>
      </c>
      <c r="B158" s="32" t="s">
        <v>62</v>
      </c>
      <c r="C158" s="33" t="s">
        <v>64</v>
      </c>
    </row>
    <row r="159" spans="1:3" ht="15.75" thickBot="1" x14ac:dyDescent="0.3">
      <c r="A159" s="31">
        <v>41702</v>
      </c>
      <c r="B159" s="32" t="s">
        <v>65</v>
      </c>
      <c r="C159" s="33" t="s">
        <v>64</v>
      </c>
    </row>
    <row r="160" spans="1:3" ht="15.75" thickBot="1" x14ac:dyDescent="0.3">
      <c r="A160" s="31">
        <v>41747</v>
      </c>
      <c r="B160" s="32" t="s">
        <v>66</v>
      </c>
      <c r="C160" s="33" t="s">
        <v>67</v>
      </c>
    </row>
    <row r="161" spans="1:3" ht="15.75" thickBot="1" x14ac:dyDescent="0.3">
      <c r="A161" s="31">
        <v>41750</v>
      </c>
      <c r="B161" s="32" t="s">
        <v>62</v>
      </c>
      <c r="C161" s="33" t="s">
        <v>69</v>
      </c>
    </row>
    <row r="162" spans="1:3" ht="15.75" thickBot="1" x14ac:dyDescent="0.3">
      <c r="A162" s="31">
        <v>41760</v>
      </c>
      <c r="B162" s="32" t="s">
        <v>71</v>
      </c>
      <c r="C162" s="33" t="s">
        <v>70</v>
      </c>
    </row>
    <row r="163" spans="1:3" ht="15.75" thickBot="1" x14ac:dyDescent="0.3">
      <c r="A163" s="31">
        <v>41809</v>
      </c>
      <c r="B163" s="32" t="s">
        <v>71</v>
      </c>
      <c r="C163" s="33" t="s">
        <v>72</v>
      </c>
    </row>
    <row r="164" spans="1:3" ht="15.75" thickBot="1" x14ac:dyDescent="0.3">
      <c r="A164" s="31">
        <v>41889</v>
      </c>
      <c r="B164" s="32" t="s">
        <v>78</v>
      </c>
      <c r="C164" s="33" t="s">
        <v>73</v>
      </c>
    </row>
    <row r="165" spans="1:3" ht="15.75" thickBot="1" x14ac:dyDescent="0.3">
      <c r="A165" s="31">
        <v>41924</v>
      </c>
      <c r="B165" s="32" t="s">
        <v>78</v>
      </c>
      <c r="C165" s="33" t="s">
        <v>74</v>
      </c>
    </row>
    <row r="166" spans="1:3" ht="15.75" thickBot="1" x14ac:dyDescent="0.3">
      <c r="A166" s="31">
        <v>41945</v>
      </c>
      <c r="B166" s="32" t="s">
        <v>78</v>
      </c>
      <c r="C166" s="33" t="s">
        <v>75</v>
      </c>
    </row>
    <row r="167" spans="1:3" ht="15.75" thickBot="1" x14ac:dyDescent="0.3">
      <c r="A167" s="31">
        <v>41958</v>
      </c>
      <c r="B167" s="32" t="s">
        <v>68</v>
      </c>
      <c r="C167" s="33" t="s">
        <v>76</v>
      </c>
    </row>
    <row r="168" spans="1:3" ht="15.75" thickBot="1" x14ac:dyDescent="0.3">
      <c r="A168" s="31">
        <v>41998</v>
      </c>
      <c r="B168" s="32" t="s">
        <v>71</v>
      </c>
      <c r="C168" s="33" t="s">
        <v>77</v>
      </c>
    </row>
    <row r="169" spans="1:3" ht="15.75" thickBot="1" x14ac:dyDescent="0.3">
      <c r="A169" s="34">
        <v>42005</v>
      </c>
      <c r="B169" s="35" t="s">
        <v>71</v>
      </c>
      <c r="C169" s="36" t="s">
        <v>63</v>
      </c>
    </row>
    <row r="170" spans="1:3" ht="15.75" thickBot="1" x14ac:dyDescent="0.3">
      <c r="A170" s="25">
        <v>42051</v>
      </c>
      <c r="B170" s="26" t="s">
        <v>62</v>
      </c>
      <c r="C170" s="27" t="s">
        <v>64</v>
      </c>
    </row>
    <row r="171" spans="1:3" ht="15.75" thickBot="1" x14ac:dyDescent="0.3">
      <c r="A171" s="25">
        <v>42052</v>
      </c>
      <c r="B171" s="26" t="s">
        <v>65</v>
      </c>
      <c r="C171" s="27" t="s">
        <v>64</v>
      </c>
    </row>
    <row r="172" spans="1:3" ht="15.75" thickBot="1" x14ac:dyDescent="0.3">
      <c r="A172" s="25">
        <v>42097</v>
      </c>
      <c r="B172" s="26" t="s">
        <v>66</v>
      </c>
      <c r="C172" s="27" t="s">
        <v>67</v>
      </c>
    </row>
    <row r="173" spans="1:3" ht="15.75" thickBot="1" x14ac:dyDescent="0.3">
      <c r="A173" s="25">
        <v>42115</v>
      </c>
      <c r="B173" s="26" t="s">
        <v>65</v>
      </c>
      <c r="C173" s="27" t="s">
        <v>69</v>
      </c>
    </row>
    <row r="174" spans="1:3" ht="15.75" thickBot="1" x14ac:dyDescent="0.3">
      <c r="A174" s="25">
        <v>42125</v>
      </c>
      <c r="B174" s="26" t="s">
        <v>66</v>
      </c>
      <c r="C174" s="27" t="s">
        <v>70</v>
      </c>
    </row>
    <row r="175" spans="1:3" ht="15.75" thickBot="1" x14ac:dyDescent="0.3">
      <c r="A175" s="25">
        <v>42159</v>
      </c>
      <c r="B175" s="26" t="s">
        <v>71</v>
      </c>
      <c r="C175" s="27" t="s">
        <v>72</v>
      </c>
    </row>
    <row r="176" spans="1:3" ht="15.75" thickBot="1" x14ac:dyDescent="0.3">
      <c r="A176" s="25">
        <v>42254</v>
      </c>
      <c r="B176" s="26" t="s">
        <v>62</v>
      </c>
      <c r="C176" s="27" t="s">
        <v>73</v>
      </c>
    </row>
    <row r="177" spans="1:3" ht="15.75" thickBot="1" x14ac:dyDescent="0.3">
      <c r="A177" s="25">
        <v>42289</v>
      </c>
      <c r="B177" s="26" t="s">
        <v>62</v>
      </c>
      <c r="C177" s="27" t="s">
        <v>74</v>
      </c>
    </row>
    <row r="178" spans="1:3" ht="15.75" thickBot="1" x14ac:dyDescent="0.3">
      <c r="A178" s="25">
        <v>42310</v>
      </c>
      <c r="B178" s="26" t="s">
        <v>62</v>
      </c>
      <c r="C178" s="27" t="s">
        <v>75</v>
      </c>
    </row>
    <row r="179" spans="1:3" ht="15.75" thickBot="1" x14ac:dyDescent="0.3">
      <c r="A179" s="25">
        <v>42323</v>
      </c>
      <c r="B179" s="26" t="s">
        <v>78</v>
      </c>
      <c r="C179" s="27" t="s">
        <v>76</v>
      </c>
    </row>
    <row r="180" spans="1:3" ht="15.75" thickBot="1" x14ac:dyDescent="0.3">
      <c r="A180" s="25">
        <v>42363</v>
      </c>
      <c r="B180" s="26" t="s">
        <v>66</v>
      </c>
      <c r="C180" s="27" t="s">
        <v>77</v>
      </c>
    </row>
    <row r="181" spans="1:3" ht="15.75" thickBot="1" x14ac:dyDescent="0.3">
      <c r="A181" s="28">
        <v>42370</v>
      </c>
      <c r="B181" s="29" t="s">
        <v>66</v>
      </c>
      <c r="C181" s="30" t="s">
        <v>63</v>
      </c>
    </row>
    <row r="182" spans="1:3" ht="15.75" thickBot="1" x14ac:dyDescent="0.3">
      <c r="A182" s="31">
        <v>42408</v>
      </c>
      <c r="B182" s="32" t="s">
        <v>62</v>
      </c>
      <c r="C182" s="33" t="s">
        <v>64</v>
      </c>
    </row>
    <row r="183" spans="1:3" ht="15.75" thickBot="1" x14ac:dyDescent="0.3">
      <c r="A183" s="31">
        <v>42409</v>
      </c>
      <c r="B183" s="32" t="s">
        <v>65</v>
      </c>
      <c r="C183" s="33" t="s">
        <v>64</v>
      </c>
    </row>
    <row r="184" spans="1:3" ht="15.75" thickBot="1" x14ac:dyDescent="0.3">
      <c r="A184" s="31">
        <v>42454</v>
      </c>
      <c r="B184" s="32" t="s">
        <v>66</v>
      </c>
      <c r="C184" s="33" t="s">
        <v>67</v>
      </c>
    </row>
    <row r="185" spans="1:3" ht="15.75" thickBot="1" x14ac:dyDescent="0.3">
      <c r="A185" s="31">
        <v>42481</v>
      </c>
      <c r="B185" s="32" t="s">
        <v>71</v>
      </c>
      <c r="C185" s="33" t="s">
        <v>69</v>
      </c>
    </row>
    <row r="186" spans="1:3" ht="15.75" thickBot="1" x14ac:dyDescent="0.3">
      <c r="A186" s="31">
        <v>42491</v>
      </c>
      <c r="B186" s="32" t="s">
        <v>78</v>
      </c>
      <c r="C186" s="33" t="s">
        <v>70</v>
      </c>
    </row>
    <row r="187" spans="1:3" ht="15.75" thickBot="1" x14ac:dyDescent="0.3">
      <c r="A187" s="31">
        <v>42516</v>
      </c>
      <c r="B187" s="32" t="s">
        <v>71</v>
      </c>
      <c r="C187" s="33" t="s">
        <v>72</v>
      </c>
    </row>
    <row r="188" spans="1:3" ht="15.75" thickBot="1" x14ac:dyDescent="0.3">
      <c r="A188" s="31">
        <v>42620</v>
      </c>
      <c r="B188" s="32" t="s">
        <v>79</v>
      </c>
      <c r="C188" s="33" t="s">
        <v>73</v>
      </c>
    </row>
    <row r="189" spans="1:3" ht="15.75" thickBot="1" x14ac:dyDescent="0.3">
      <c r="A189" s="31">
        <v>42655</v>
      </c>
      <c r="B189" s="32" t="s">
        <v>79</v>
      </c>
      <c r="C189" s="33" t="s">
        <v>74</v>
      </c>
    </row>
    <row r="190" spans="1:3" ht="15.75" thickBot="1" x14ac:dyDescent="0.3">
      <c r="A190" s="31">
        <v>42676</v>
      </c>
      <c r="B190" s="32" t="s">
        <v>79</v>
      </c>
      <c r="C190" s="33" t="s">
        <v>75</v>
      </c>
    </row>
    <row r="191" spans="1:3" ht="15.75" thickBot="1" x14ac:dyDescent="0.3">
      <c r="A191" s="31">
        <v>42689</v>
      </c>
      <c r="B191" s="32" t="s">
        <v>65</v>
      </c>
      <c r="C191" s="33" t="s">
        <v>76</v>
      </c>
    </row>
    <row r="192" spans="1:3" ht="15.75" thickBot="1" x14ac:dyDescent="0.3">
      <c r="A192" s="31">
        <v>42729</v>
      </c>
      <c r="B192" s="32" t="s">
        <v>78</v>
      </c>
      <c r="C192" s="33" t="s">
        <v>77</v>
      </c>
    </row>
    <row r="193" spans="1:3" ht="15.75" thickBot="1" x14ac:dyDescent="0.3">
      <c r="A193" s="34">
        <v>42736</v>
      </c>
      <c r="B193" s="35" t="s">
        <v>78</v>
      </c>
      <c r="C193" s="36" t="s">
        <v>63</v>
      </c>
    </row>
    <row r="194" spans="1:3" ht="15.75" thickBot="1" x14ac:dyDescent="0.3">
      <c r="A194" s="25">
        <v>42793</v>
      </c>
      <c r="B194" s="26" t="s">
        <v>62</v>
      </c>
      <c r="C194" s="27" t="s">
        <v>64</v>
      </c>
    </row>
    <row r="195" spans="1:3" ht="15.75" thickBot="1" x14ac:dyDescent="0.3">
      <c r="A195" s="25">
        <v>42794</v>
      </c>
      <c r="B195" s="26" t="s">
        <v>65</v>
      </c>
      <c r="C195" s="27" t="s">
        <v>64</v>
      </c>
    </row>
    <row r="196" spans="1:3" ht="15.75" thickBot="1" x14ac:dyDescent="0.3">
      <c r="A196" s="25">
        <v>42839</v>
      </c>
      <c r="B196" s="26" t="s">
        <v>66</v>
      </c>
      <c r="C196" s="27" t="s">
        <v>67</v>
      </c>
    </row>
    <row r="197" spans="1:3" ht="15.75" thickBot="1" x14ac:dyDescent="0.3">
      <c r="A197" s="25">
        <v>42846</v>
      </c>
      <c r="B197" s="26" t="s">
        <v>66</v>
      </c>
      <c r="C197" s="27" t="s">
        <v>69</v>
      </c>
    </row>
    <row r="198" spans="1:3" ht="15.75" thickBot="1" x14ac:dyDescent="0.3">
      <c r="A198" s="25">
        <v>42856</v>
      </c>
      <c r="B198" s="26" t="s">
        <v>62</v>
      </c>
      <c r="C198" s="27" t="s">
        <v>70</v>
      </c>
    </row>
    <row r="199" spans="1:3" ht="15.75" thickBot="1" x14ac:dyDescent="0.3">
      <c r="A199" s="25">
        <v>42901</v>
      </c>
      <c r="B199" s="26" t="s">
        <v>71</v>
      </c>
      <c r="C199" s="27" t="s">
        <v>72</v>
      </c>
    </row>
    <row r="200" spans="1:3" ht="15.75" thickBot="1" x14ac:dyDescent="0.3">
      <c r="A200" s="25">
        <v>42985</v>
      </c>
      <c r="B200" s="26" t="s">
        <v>71</v>
      </c>
      <c r="C200" s="27" t="s">
        <v>73</v>
      </c>
    </row>
    <row r="201" spans="1:3" ht="15.75" thickBot="1" x14ac:dyDescent="0.3">
      <c r="A201" s="25">
        <v>43020</v>
      </c>
      <c r="B201" s="26" t="s">
        <v>71</v>
      </c>
      <c r="C201" s="27" t="s">
        <v>74</v>
      </c>
    </row>
    <row r="202" spans="1:3" ht="15.75" thickBot="1" x14ac:dyDescent="0.3">
      <c r="A202" s="25">
        <v>43041</v>
      </c>
      <c r="B202" s="26" t="s">
        <v>71</v>
      </c>
      <c r="C202" s="27" t="s">
        <v>75</v>
      </c>
    </row>
    <row r="203" spans="1:3" ht="15.75" thickBot="1" x14ac:dyDescent="0.3">
      <c r="A203" s="25">
        <v>43054</v>
      </c>
      <c r="B203" s="26" t="s">
        <v>79</v>
      </c>
      <c r="C203" s="27" t="s">
        <v>76</v>
      </c>
    </row>
    <row r="204" spans="1:3" ht="15.75" thickBot="1" x14ac:dyDescent="0.3">
      <c r="A204" s="25">
        <v>43094</v>
      </c>
      <c r="B204" s="26" t="s">
        <v>62</v>
      </c>
      <c r="C204" s="27" t="s">
        <v>77</v>
      </c>
    </row>
    <row r="205" spans="1:3" ht="15.75" thickBot="1" x14ac:dyDescent="0.3">
      <c r="A205" s="28">
        <v>43101</v>
      </c>
      <c r="B205" s="29" t="s">
        <v>62</v>
      </c>
      <c r="C205" s="30" t="s">
        <v>63</v>
      </c>
    </row>
    <row r="206" spans="1:3" ht="15.75" thickBot="1" x14ac:dyDescent="0.3">
      <c r="A206" s="31">
        <v>43143</v>
      </c>
      <c r="B206" s="32" t="s">
        <v>62</v>
      </c>
      <c r="C206" s="33" t="s">
        <v>64</v>
      </c>
    </row>
    <row r="207" spans="1:3" ht="15.75" thickBot="1" x14ac:dyDescent="0.3">
      <c r="A207" s="31">
        <v>43144</v>
      </c>
      <c r="B207" s="32" t="s">
        <v>65</v>
      </c>
      <c r="C207" s="33" t="s">
        <v>64</v>
      </c>
    </row>
    <row r="208" spans="1:3" ht="15.75" thickBot="1" x14ac:dyDescent="0.3">
      <c r="A208" s="31">
        <v>43189</v>
      </c>
      <c r="B208" s="32" t="s">
        <v>66</v>
      </c>
      <c r="C208" s="33" t="s">
        <v>67</v>
      </c>
    </row>
    <row r="209" spans="1:3" ht="15.75" thickBot="1" x14ac:dyDescent="0.3">
      <c r="A209" s="31">
        <v>43211</v>
      </c>
      <c r="B209" s="32" t="s">
        <v>68</v>
      </c>
      <c r="C209" s="33" t="s">
        <v>69</v>
      </c>
    </row>
    <row r="210" spans="1:3" ht="15.75" thickBot="1" x14ac:dyDescent="0.3">
      <c r="A210" s="31">
        <v>43221</v>
      </c>
      <c r="B210" s="32" t="s">
        <v>65</v>
      </c>
      <c r="C210" s="33" t="s">
        <v>70</v>
      </c>
    </row>
    <row r="211" spans="1:3" ht="15.75" thickBot="1" x14ac:dyDescent="0.3">
      <c r="A211" s="31">
        <v>43251</v>
      </c>
      <c r="B211" s="32" t="s">
        <v>71</v>
      </c>
      <c r="C211" s="33" t="s">
        <v>72</v>
      </c>
    </row>
    <row r="212" spans="1:3" ht="15.75" thickBot="1" x14ac:dyDescent="0.3">
      <c r="A212" s="31">
        <v>43350</v>
      </c>
      <c r="B212" s="32" t="s">
        <v>66</v>
      </c>
      <c r="C212" s="33" t="s">
        <v>73</v>
      </c>
    </row>
    <row r="213" spans="1:3" ht="15.75" thickBot="1" x14ac:dyDescent="0.3">
      <c r="A213" s="31">
        <v>43385</v>
      </c>
      <c r="B213" s="32" t="s">
        <v>66</v>
      </c>
      <c r="C213" s="33" t="s">
        <v>74</v>
      </c>
    </row>
    <row r="214" spans="1:3" ht="15.75" thickBot="1" x14ac:dyDescent="0.3">
      <c r="A214" s="31">
        <v>43406</v>
      </c>
      <c r="B214" s="32" t="s">
        <v>66</v>
      </c>
      <c r="C214" s="33" t="s">
        <v>75</v>
      </c>
    </row>
    <row r="215" spans="1:3" ht="15.75" thickBot="1" x14ac:dyDescent="0.3">
      <c r="A215" s="31">
        <v>43419</v>
      </c>
      <c r="B215" s="32" t="s">
        <v>71</v>
      </c>
      <c r="C215" s="33" t="s">
        <v>76</v>
      </c>
    </row>
    <row r="216" spans="1:3" ht="15.75" thickBot="1" x14ac:dyDescent="0.3">
      <c r="A216" s="31">
        <v>43459</v>
      </c>
      <c r="B216" s="32" t="s">
        <v>65</v>
      </c>
      <c r="C216" s="33" t="s">
        <v>77</v>
      </c>
    </row>
    <row r="217" spans="1:3" ht="15.75" thickBot="1" x14ac:dyDescent="0.3">
      <c r="A217" s="34">
        <v>43466</v>
      </c>
      <c r="B217" s="35" t="s">
        <v>65</v>
      </c>
      <c r="C217" s="36" t="s">
        <v>63</v>
      </c>
    </row>
    <row r="218" spans="1:3" ht="15.75" thickBot="1" x14ac:dyDescent="0.3">
      <c r="A218" s="25">
        <v>43528</v>
      </c>
      <c r="B218" s="26" t="s">
        <v>62</v>
      </c>
      <c r="C218" s="27" t="s">
        <v>64</v>
      </c>
    </row>
    <row r="219" spans="1:3" ht="15.75" thickBot="1" x14ac:dyDescent="0.3">
      <c r="A219" s="25">
        <v>43529</v>
      </c>
      <c r="B219" s="26" t="s">
        <v>65</v>
      </c>
      <c r="C219" s="27" t="s">
        <v>64</v>
      </c>
    </row>
    <row r="220" spans="1:3" ht="15.75" thickBot="1" x14ac:dyDescent="0.3">
      <c r="A220" s="25">
        <v>43574</v>
      </c>
      <c r="B220" s="26" t="s">
        <v>66</v>
      </c>
      <c r="C220" s="27" t="s">
        <v>67</v>
      </c>
    </row>
    <row r="221" spans="1:3" ht="15.75" thickBot="1" x14ac:dyDescent="0.3">
      <c r="A221" s="25">
        <v>43576</v>
      </c>
      <c r="B221" s="26" t="s">
        <v>78</v>
      </c>
      <c r="C221" s="27" t="s">
        <v>69</v>
      </c>
    </row>
    <row r="222" spans="1:3" ht="15.75" thickBot="1" x14ac:dyDescent="0.3">
      <c r="A222" s="25">
        <v>43586</v>
      </c>
      <c r="B222" s="26" t="s">
        <v>79</v>
      </c>
      <c r="C222" s="27" t="s">
        <v>70</v>
      </c>
    </row>
    <row r="223" spans="1:3" ht="15.75" thickBot="1" x14ac:dyDescent="0.3">
      <c r="A223" s="25">
        <v>43636</v>
      </c>
      <c r="B223" s="26" t="s">
        <v>71</v>
      </c>
      <c r="C223" s="27" t="s">
        <v>72</v>
      </c>
    </row>
    <row r="224" spans="1:3" ht="15.75" thickBot="1" x14ac:dyDescent="0.3">
      <c r="A224" s="25">
        <v>43715</v>
      </c>
      <c r="B224" s="26" t="s">
        <v>68</v>
      </c>
      <c r="C224" s="27" t="s">
        <v>73</v>
      </c>
    </row>
    <row r="225" spans="1:3" ht="15.75" thickBot="1" x14ac:dyDescent="0.3">
      <c r="A225" s="25">
        <v>43750</v>
      </c>
      <c r="B225" s="26" t="s">
        <v>68</v>
      </c>
      <c r="C225" s="27" t="s">
        <v>74</v>
      </c>
    </row>
    <row r="226" spans="1:3" ht="15.75" thickBot="1" x14ac:dyDescent="0.3">
      <c r="A226" s="25">
        <v>43771</v>
      </c>
      <c r="B226" s="26" t="s">
        <v>68</v>
      </c>
      <c r="C226" s="27" t="s">
        <v>75</v>
      </c>
    </row>
    <row r="227" spans="1:3" ht="15.75" thickBot="1" x14ac:dyDescent="0.3">
      <c r="A227" s="25">
        <v>43784</v>
      </c>
      <c r="B227" s="26" t="s">
        <v>66</v>
      </c>
      <c r="C227" s="27" t="s">
        <v>76</v>
      </c>
    </row>
    <row r="228" spans="1:3" ht="15.75" thickBot="1" x14ac:dyDescent="0.3">
      <c r="A228" s="25">
        <v>43824</v>
      </c>
      <c r="B228" s="26" t="s">
        <v>79</v>
      </c>
      <c r="C228" s="27" t="s">
        <v>77</v>
      </c>
    </row>
    <row r="229" spans="1:3" ht="15.75" thickBot="1" x14ac:dyDescent="0.3">
      <c r="A229" s="28">
        <v>43831</v>
      </c>
      <c r="B229" s="29" t="s">
        <v>79</v>
      </c>
      <c r="C229" s="30" t="s">
        <v>63</v>
      </c>
    </row>
    <row r="230" spans="1:3" ht="15.75" thickBot="1" x14ac:dyDescent="0.3">
      <c r="A230" s="31">
        <v>43885</v>
      </c>
      <c r="B230" s="32" t="s">
        <v>62</v>
      </c>
      <c r="C230" s="33" t="s">
        <v>64</v>
      </c>
    </row>
    <row r="231" spans="1:3" ht="15.75" thickBot="1" x14ac:dyDescent="0.3">
      <c r="A231" s="31">
        <v>43886</v>
      </c>
      <c r="B231" s="32" t="s">
        <v>65</v>
      </c>
      <c r="C231" s="33" t="s">
        <v>64</v>
      </c>
    </row>
    <row r="232" spans="1:3" ht="15.75" thickBot="1" x14ac:dyDescent="0.3">
      <c r="A232" s="31">
        <v>43931</v>
      </c>
      <c r="B232" s="32" t="s">
        <v>66</v>
      </c>
      <c r="C232" s="33" t="s">
        <v>67</v>
      </c>
    </row>
    <row r="233" spans="1:3" ht="15.75" thickBot="1" x14ac:dyDescent="0.3">
      <c r="A233" s="31">
        <v>43942</v>
      </c>
      <c r="B233" s="32" t="s">
        <v>65</v>
      </c>
      <c r="C233" s="33" t="s">
        <v>69</v>
      </c>
    </row>
    <row r="234" spans="1:3" ht="15.75" thickBot="1" x14ac:dyDescent="0.3">
      <c r="A234" s="31">
        <v>43952</v>
      </c>
      <c r="B234" s="32" t="s">
        <v>66</v>
      </c>
      <c r="C234" s="33" t="s">
        <v>70</v>
      </c>
    </row>
    <row r="235" spans="1:3" ht="15.75" thickBot="1" x14ac:dyDescent="0.3">
      <c r="A235" s="31">
        <v>43993</v>
      </c>
      <c r="B235" s="32" t="s">
        <v>71</v>
      </c>
      <c r="C235" s="33" t="s">
        <v>72</v>
      </c>
    </row>
    <row r="236" spans="1:3" ht="15.75" thickBot="1" x14ac:dyDescent="0.3">
      <c r="A236" s="31">
        <v>44081</v>
      </c>
      <c r="B236" s="32" t="s">
        <v>62</v>
      </c>
      <c r="C236" s="33" t="s">
        <v>73</v>
      </c>
    </row>
    <row r="237" spans="1:3" ht="15.75" thickBot="1" x14ac:dyDescent="0.3">
      <c r="A237" s="31">
        <v>44116</v>
      </c>
      <c r="B237" s="32" t="s">
        <v>62</v>
      </c>
      <c r="C237" s="33" t="s">
        <v>74</v>
      </c>
    </row>
    <row r="238" spans="1:3" ht="15.75" thickBot="1" x14ac:dyDescent="0.3">
      <c r="A238" s="31">
        <v>44137</v>
      </c>
      <c r="B238" s="32" t="s">
        <v>62</v>
      </c>
      <c r="C238" s="33" t="s">
        <v>75</v>
      </c>
    </row>
    <row r="239" spans="1:3" ht="15.75" thickBot="1" x14ac:dyDescent="0.3">
      <c r="A239" s="31">
        <v>44150</v>
      </c>
      <c r="B239" s="32" t="s">
        <v>78</v>
      </c>
      <c r="C239" s="33" t="s">
        <v>76</v>
      </c>
    </row>
    <row r="240" spans="1:3" ht="15.75" thickBot="1" x14ac:dyDescent="0.3">
      <c r="A240" s="31">
        <v>44190</v>
      </c>
      <c r="B240" s="32" t="s">
        <v>66</v>
      </c>
      <c r="C240" s="33" t="s">
        <v>77</v>
      </c>
    </row>
    <row r="241" spans="1:3" ht="15.75" thickBot="1" x14ac:dyDescent="0.3">
      <c r="A241" s="34">
        <v>44197</v>
      </c>
      <c r="B241" s="35" t="s">
        <v>66</v>
      </c>
      <c r="C241" s="36" t="s">
        <v>63</v>
      </c>
    </row>
    <row r="242" spans="1:3" ht="15.75" thickBot="1" x14ac:dyDescent="0.3">
      <c r="A242" s="25">
        <v>44242</v>
      </c>
      <c r="B242" s="26" t="s">
        <v>62</v>
      </c>
      <c r="C242" s="27" t="s">
        <v>64</v>
      </c>
    </row>
    <row r="243" spans="1:3" ht="15.75" thickBot="1" x14ac:dyDescent="0.3">
      <c r="A243" s="25">
        <v>44243</v>
      </c>
      <c r="B243" s="26" t="s">
        <v>65</v>
      </c>
      <c r="C243" s="27" t="s">
        <v>64</v>
      </c>
    </row>
    <row r="244" spans="1:3" ht="15.75" thickBot="1" x14ac:dyDescent="0.3">
      <c r="A244" s="25">
        <v>44288</v>
      </c>
      <c r="B244" s="26" t="s">
        <v>66</v>
      </c>
      <c r="C244" s="27" t="s">
        <v>67</v>
      </c>
    </row>
    <row r="245" spans="1:3" ht="15.75" thickBot="1" x14ac:dyDescent="0.3">
      <c r="A245" s="25">
        <v>44307</v>
      </c>
      <c r="B245" s="26" t="s">
        <v>79</v>
      </c>
      <c r="C245" s="27" t="s">
        <v>69</v>
      </c>
    </row>
    <row r="246" spans="1:3" ht="15.75" thickBot="1" x14ac:dyDescent="0.3">
      <c r="A246" s="25">
        <v>44317</v>
      </c>
      <c r="B246" s="26" t="s">
        <v>68</v>
      </c>
      <c r="C246" s="27" t="s">
        <v>70</v>
      </c>
    </row>
    <row r="247" spans="1:3" ht="15.75" thickBot="1" x14ac:dyDescent="0.3">
      <c r="A247" s="25">
        <v>44350</v>
      </c>
      <c r="B247" s="26" t="s">
        <v>71</v>
      </c>
      <c r="C247" s="27" t="s">
        <v>72</v>
      </c>
    </row>
    <row r="248" spans="1:3" ht="15.75" thickBot="1" x14ac:dyDescent="0.3">
      <c r="A248" s="25">
        <v>44446</v>
      </c>
      <c r="B248" s="26" t="s">
        <v>65</v>
      </c>
      <c r="C248" s="27" t="s">
        <v>73</v>
      </c>
    </row>
    <row r="249" spans="1:3" ht="15.75" thickBot="1" x14ac:dyDescent="0.3">
      <c r="A249" s="25">
        <v>44481</v>
      </c>
      <c r="B249" s="26" t="s">
        <v>65</v>
      </c>
      <c r="C249" s="27" t="s">
        <v>74</v>
      </c>
    </row>
    <row r="250" spans="1:3" ht="15.75" thickBot="1" x14ac:dyDescent="0.3">
      <c r="A250" s="25">
        <v>44502</v>
      </c>
      <c r="B250" s="26" t="s">
        <v>65</v>
      </c>
      <c r="C250" s="27" t="s">
        <v>75</v>
      </c>
    </row>
    <row r="251" spans="1:3" ht="15.75" thickBot="1" x14ac:dyDescent="0.3">
      <c r="A251" s="25">
        <v>44515</v>
      </c>
      <c r="B251" s="26" t="s">
        <v>62</v>
      </c>
      <c r="C251" s="27" t="s">
        <v>76</v>
      </c>
    </row>
    <row r="252" spans="1:3" ht="15.75" thickBot="1" x14ac:dyDescent="0.3">
      <c r="A252" s="25">
        <v>44555</v>
      </c>
      <c r="B252" s="26" t="s">
        <v>68</v>
      </c>
      <c r="C252" s="27" t="s">
        <v>77</v>
      </c>
    </row>
    <row r="253" spans="1:3" ht="15.75" thickBot="1" x14ac:dyDescent="0.3">
      <c r="A253" s="28">
        <v>44562</v>
      </c>
      <c r="B253" s="29" t="s">
        <v>68</v>
      </c>
      <c r="C253" s="30" t="s">
        <v>63</v>
      </c>
    </row>
    <row r="254" spans="1:3" ht="15.75" thickBot="1" x14ac:dyDescent="0.3">
      <c r="A254" s="31">
        <v>44620</v>
      </c>
      <c r="B254" s="32" t="s">
        <v>62</v>
      </c>
      <c r="C254" s="33" t="s">
        <v>64</v>
      </c>
    </row>
    <row r="255" spans="1:3" ht="15.75" thickBot="1" x14ac:dyDescent="0.3">
      <c r="A255" s="31">
        <v>44621</v>
      </c>
      <c r="B255" s="32" t="s">
        <v>65</v>
      </c>
      <c r="C255" s="33" t="s">
        <v>64</v>
      </c>
    </row>
    <row r="256" spans="1:3" ht="15.75" thickBot="1" x14ac:dyDescent="0.3">
      <c r="A256" s="31">
        <v>44666</v>
      </c>
      <c r="B256" s="32" t="s">
        <v>66</v>
      </c>
      <c r="C256" s="33" t="s">
        <v>67</v>
      </c>
    </row>
    <row r="257" spans="1:3" ht="15.75" thickBot="1" x14ac:dyDescent="0.3">
      <c r="A257" s="31">
        <v>44672</v>
      </c>
      <c r="B257" s="32" t="s">
        <v>71</v>
      </c>
      <c r="C257" s="33" t="s">
        <v>69</v>
      </c>
    </row>
    <row r="258" spans="1:3" ht="15.75" thickBot="1" x14ac:dyDescent="0.3">
      <c r="A258" s="31">
        <v>44682</v>
      </c>
      <c r="B258" s="32" t="s">
        <v>78</v>
      </c>
      <c r="C258" s="33" t="s">
        <v>70</v>
      </c>
    </row>
    <row r="259" spans="1:3" ht="15.75" thickBot="1" x14ac:dyDescent="0.3">
      <c r="A259" s="31">
        <v>44728</v>
      </c>
      <c r="B259" s="32" t="s">
        <v>71</v>
      </c>
      <c r="C259" s="33" t="s">
        <v>72</v>
      </c>
    </row>
    <row r="260" spans="1:3" ht="15.75" thickBot="1" x14ac:dyDescent="0.3">
      <c r="A260" s="31">
        <v>44811</v>
      </c>
      <c r="B260" s="32" t="s">
        <v>79</v>
      </c>
      <c r="C260" s="33" t="s">
        <v>73</v>
      </c>
    </row>
    <row r="261" spans="1:3" ht="15.75" thickBot="1" x14ac:dyDescent="0.3">
      <c r="A261" s="31">
        <v>44846</v>
      </c>
      <c r="B261" s="32" t="s">
        <v>79</v>
      </c>
      <c r="C261" s="33" t="s">
        <v>74</v>
      </c>
    </row>
    <row r="262" spans="1:3" ht="15.75" thickBot="1" x14ac:dyDescent="0.3">
      <c r="A262" s="31">
        <v>44867</v>
      </c>
      <c r="B262" s="32" t="s">
        <v>79</v>
      </c>
      <c r="C262" s="33" t="s">
        <v>75</v>
      </c>
    </row>
    <row r="263" spans="1:3" ht="15.75" thickBot="1" x14ac:dyDescent="0.3">
      <c r="A263" s="31">
        <v>44880</v>
      </c>
      <c r="B263" s="32" t="s">
        <v>65</v>
      </c>
      <c r="C263" s="33" t="s">
        <v>76</v>
      </c>
    </row>
    <row r="264" spans="1:3" ht="15.75" thickBot="1" x14ac:dyDescent="0.3">
      <c r="A264" s="31">
        <v>44920</v>
      </c>
      <c r="B264" s="32" t="s">
        <v>78</v>
      </c>
      <c r="C264" s="33" t="s">
        <v>77</v>
      </c>
    </row>
    <row r="265" spans="1:3" ht="15.75" thickBot="1" x14ac:dyDescent="0.3">
      <c r="A265" s="34">
        <v>44927</v>
      </c>
      <c r="B265" s="35" t="s">
        <v>78</v>
      </c>
      <c r="C265" s="36" t="s">
        <v>63</v>
      </c>
    </row>
    <row r="266" spans="1:3" ht="15.75" thickBot="1" x14ac:dyDescent="0.3">
      <c r="A266" s="25">
        <v>44977</v>
      </c>
      <c r="B266" s="26" t="s">
        <v>62</v>
      </c>
      <c r="C266" s="27" t="s">
        <v>64</v>
      </c>
    </row>
    <row r="267" spans="1:3" ht="15.75" thickBot="1" x14ac:dyDescent="0.3">
      <c r="A267" s="25">
        <v>44978</v>
      </c>
      <c r="B267" s="26" t="s">
        <v>65</v>
      </c>
      <c r="C267" s="27" t="s">
        <v>64</v>
      </c>
    </row>
    <row r="268" spans="1:3" ht="15.75" thickBot="1" x14ac:dyDescent="0.3">
      <c r="A268" s="25">
        <v>45023</v>
      </c>
      <c r="B268" s="26" t="s">
        <v>66</v>
      </c>
      <c r="C268" s="27" t="s">
        <v>67</v>
      </c>
    </row>
    <row r="269" spans="1:3" ht="15.75" thickBot="1" x14ac:dyDescent="0.3">
      <c r="A269" s="25">
        <v>45037</v>
      </c>
      <c r="B269" s="26" t="s">
        <v>66</v>
      </c>
      <c r="C269" s="27" t="s">
        <v>69</v>
      </c>
    </row>
    <row r="270" spans="1:3" ht="15.75" thickBot="1" x14ac:dyDescent="0.3">
      <c r="A270" s="25">
        <v>45047</v>
      </c>
      <c r="B270" s="26" t="s">
        <v>62</v>
      </c>
      <c r="C270" s="27" t="s">
        <v>70</v>
      </c>
    </row>
    <row r="271" spans="1:3" ht="15.75" thickBot="1" x14ac:dyDescent="0.3">
      <c r="A271" s="25">
        <v>45085</v>
      </c>
      <c r="B271" s="26" t="s">
        <v>71</v>
      </c>
      <c r="C271" s="27" t="s">
        <v>72</v>
      </c>
    </row>
    <row r="272" spans="1:3" ht="15.75" thickBot="1" x14ac:dyDescent="0.3">
      <c r="A272" s="25">
        <v>45176</v>
      </c>
      <c r="B272" s="26" t="s">
        <v>71</v>
      </c>
      <c r="C272" s="27" t="s">
        <v>73</v>
      </c>
    </row>
    <row r="273" spans="1:3" ht="15.75" thickBot="1" x14ac:dyDescent="0.3">
      <c r="A273" s="25">
        <v>45211</v>
      </c>
      <c r="B273" s="26" t="s">
        <v>71</v>
      </c>
      <c r="C273" s="27" t="s">
        <v>74</v>
      </c>
    </row>
    <row r="274" spans="1:3" ht="15.75" thickBot="1" x14ac:dyDescent="0.3">
      <c r="A274" s="25">
        <v>45232</v>
      </c>
      <c r="B274" s="26" t="s">
        <v>71</v>
      </c>
      <c r="C274" s="27" t="s">
        <v>75</v>
      </c>
    </row>
    <row r="275" spans="1:3" ht="15.75" thickBot="1" x14ac:dyDescent="0.3">
      <c r="A275" s="25">
        <v>45245</v>
      </c>
      <c r="B275" s="26" t="s">
        <v>79</v>
      </c>
      <c r="C275" s="27" t="s">
        <v>76</v>
      </c>
    </row>
    <row r="276" spans="1:3" ht="15.75" thickBot="1" x14ac:dyDescent="0.3">
      <c r="A276" s="25">
        <v>45285</v>
      </c>
      <c r="B276" s="26" t="s">
        <v>62</v>
      </c>
      <c r="C276" s="27" t="s">
        <v>77</v>
      </c>
    </row>
    <row r="277" spans="1:3" ht="15.75" thickBot="1" x14ac:dyDescent="0.3">
      <c r="A277" s="28">
        <v>45292</v>
      </c>
      <c r="B277" s="29" t="s">
        <v>62</v>
      </c>
      <c r="C277" s="30" t="s">
        <v>63</v>
      </c>
    </row>
    <row r="278" spans="1:3" ht="15.75" thickBot="1" x14ac:dyDescent="0.3">
      <c r="A278" s="31">
        <v>45334</v>
      </c>
      <c r="B278" s="32" t="s">
        <v>62</v>
      </c>
      <c r="C278" s="33" t="s">
        <v>64</v>
      </c>
    </row>
    <row r="279" spans="1:3" ht="15.75" thickBot="1" x14ac:dyDescent="0.3">
      <c r="A279" s="31">
        <v>45335</v>
      </c>
      <c r="B279" s="32" t="s">
        <v>65</v>
      </c>
      <c r="C279" s="33" t="s">
        <v>64</v>
      </c>
    </row>
    <row r="280" spans="1:3" ht="15.75" thickBot="1" x14ac:dyDescent="0.3">
      <c r="A280" s="31">
        <v>45380</v>
      </c>
      <c r="B280" s="32" t="s">
        <v>66</v>
      </c>
      <c r="C280" s="33" t="s">
        <v>67</v>
      </c>
    </row>
    <row r="281" spans="1:3" ht="15.75" thickBot="1" x14ac:dyDescent="0.3">
      <c r="A281" s="31">
        <v>45403</v>
      </c>
      <c r="B281" s="32" t="s">
        <v>78</v>
      </c>
      <c r="C281" s="33" t="s">
        <v>69</v>
      </c>
    </row>
    <row r="282" spans="1:3" ht="15.75" thickBot="1" x14ac:dyDescent="0.3">
      <c r="A282" s="31">
        <v>45413</v>
      </c>
      <c r="B282" s="32" t="s">
        <v>79</v>
      </c>
      <c r="C282" s="33" t="s">
        <v>70</v>
      </c>
    </row>
    <row r="283" spans="1:3" ht="15.75" thickBot="1" x14ac:dyDescent="0.3">
      <c r="A283" s="31">
        <v>45442</v>
      </c>
      <c r="B283" s="32" t="s">
        <v>71</v>
      </c>
      <c r="C283" s="33" t="s">
        <v>72</v>
      </c>
    </row>
    <row r="284" spans="1:3" ht="15.75" thickBot="1" x14ac:dyDescent="0.3">
      <c r="A284" s="31">
        <v>45542</v>
      </c>
      <c r="B284" s="32" t="s">
        <v>68</v>
      </c>
      <c r="C284" s="33" t="s">
        <v>73</v>
      </c>
    </row>
    <row r="285" spans="1:3" ht="15.75" thickBot="1" x14ac:dyDescent="0.3">
      <c r="A285" s="31">
        <v>45577</v>
      </c>
      <c r="B285" s="32" t="s">
        <v>68</v>
      </c>
      <c r="C285" s="33" t="s">
        <v>74</v>
      </c>
    </row>
    <row r="286" spans="1:3" ht="15.75" thickBot="1" x14ac:dyDescent="0.3">
      <c r="A286" s="31">
        <v>45598</v>
      </c>
      <c r="B286" s="32" t="s">
        <v>68</v>
      </c>
      <c r="C286" s="33" t="s">
        <v>75</v>
      </c>
    </row>
    <row r="287" spans="1:3" ht="15.75" thickBot="1" x14ac:dyDescent="0.3">
      <c r="A287" s="31">
        <v>45611</v>
      </c>
      <c r="B287" s="32" t="s">
        <v>66</v>
      </c>
      <c r="C287" s="33" t="s">
        <v>76</v>
      </c>
    </row>
    <row r="288" spans="1:3" ht="15.75" thickBot="1" x14ac:dyDescent="0.3">
      <c r="A288" s="31">
        <v>45651</v>
      </c>
      <c r="B288" s="32" t="s">
        <v>79</v>
      </c>
      <c r="C288" s="33" t="s">
        <v>77</v>
      </c>
    </row>
    <row r="289" spans="1:3" ht="15.75" thickBot="1" x14ac:dyDescent="0.3">
      <c r="A289" s="34">
        <v>45658</v>
      </c>
      <c r="B289" s="35" t="s">
        <v>79</v>
      </c>
      <c r="C289" s="36" t="s">
        <v>63</v>
      </c>
    </row>
    <row r="290" spans="1:3" ht="15.75" thickBot="1" x14ac:dyDescent="0.3">
      <c r="A290" s="25">
        <v>45719</v>
      </c>
      <c r="B290" s="26" t="s">
        <v>62</v>
      </c>
      <c r="C290" s="27" t="s">
        <v>64</v>
      </c>
    </row>
    <row r="291" spans="1:3" ht="15.75" thickBot="1" x14ac:dyDescent="0.3">
      <c r="A291" s="25">
        <v>45720</v>
      </c>
      <c r="B291" s="26" t="s">
        <v>65</v>
      </c>
      <c r="C291" s="27" t="s">
        <v>64</v>
      </c>
    </row>
    <row r="292" spans="1:3" ht="15.75" thickBot="1" x14ac:dyDescent="0.3">
      <c r="A292" s="25">
        <v>45765</v>
      </c>
      <c r="B292" s="26" t="s">
        <v>66</v>
      </c>
      <c r="C292" s="27" t="s">
        <v>67</v>
      </c>
    </row>
    <row r="293" spans="1:3" ht="15.75" thickBot="1" x14ac:dyDescent="0.3">
      <c r="A293" s="25">
        <v>45768</v>
      </c>
      <c r="B293" s="26" t="s">
        <v>62</v>
      </c>
      <c r="C293" s="27" t="s">
        <v>69</v>
      </c>
    </row>
    <row r="294" spans="1:3" ht="15.75" thickBot="1" x14ac:dyDescent="0.3">
      <c r="A294" s="25">
        <v>45778</v>
      </c>
      <c r="B294" s="26" t="s">
        <v>71</v>
      </c>
      <c r="C294" s="27" t="s">
        <v>70</v>
      </c>
    </row>
    <row r="295" spans="1:3" ht="15.75" thickBot="1" x14ac:dyDescent="0.3">
      <c r="A295" s="25">
        <v>45827</v>
      </c>
      <c r="B295" s="26" t="s">
        <v>71</v>
      </c>
      <c r="C295" s="27" t="s">
        <v>72</v>
      </c>
    </row>
    <row r="296" spans="1:3" ht="15.75" thickBot="1" x14ac:dyDescent="0.3">
      <c r="A296" s="25">
        <v>45907</v>
      </c>
      <c r="B296" s="26" t="s">
        <v>78</v>
      </c>
      <c r="C296" s="27" t="s">
        <v>73</v>
      </c>
    </row>
    <row r="297" spans="1:3" ht="15.75" thickBot="1" x14ac:dyDescent="0.3">
      <c r="A297" s="25">
        <v>45942</v>
      </c>
      <c r="B297" s="26" t="s">
        <v>78</v>
      </c>
      <c r="C297" s="27" t="s">
        <v>74</v>
      </c>
    </row>
    <row r="298" spans="1:3" ht="15.75" thickBot="1" x14ac:dyDescent="0.3">
      <c r="A298" s="25">
        <v>45963</v>
      </c>
      <c r="B298" s="26" t="s">
        <v>78</v>
      </c>
      <c r="C298" s="27" t="s">
        <v>75</v>
      </c>
    </row>
    <row r="299" spans="1:3" ht="15.75" thickBot="1" x14ac:dyDescent="0.3">
      <c r="A299" s="25">
        <v>45976</v>
      </c>
      <c r="B299" s="26" t="s">
        <v>68</v>
      </c>
      <c r="C299" s="27" t="s">
        <v>76</v>
      </c>
    </row>
    <row r="300" spans="1:3" ht="15.75" thickBot="1" x14ac:dyDescent="0.3">
      <c r="A300" s="25">
        <v>46016</v>
      </c>
      <c r="B300" s="26" t="s">
        <v>71</v>
      </c>
      <c r="C300" s="27" t="s">
        <v>77</v>
      </c>
    </row>
    <row r="301" spans="1:3" ht="15.75" thickBot="1" x14ac:dyDescent="0.3">
      <c r="A301" s="28">
        <v>46023</v>
      </c>
      <c r="B301" s="29" t="s">
        <v>71</v>
      </c>
      <c r="C301" s="30" t="s">
        <v>63</v>
      </c>
    </row>
    <row r="302" spans="1:3" ht="15.75" thickBot="1" x14ac:dyDescent="0.3">
      <c r="A302" s="31">
        <v>46069</v>
      </c>
      <c r="B302" s="32" t="s">
        <v>62</v>
      </c>
      <c r="C302" s="33" t="s">
        <v>64</v>
      </c>
    </row>
    <row r="303" spans="1:3" ht="15.75" thickBot="1" x14ac:dyDescent="0.3">
      <c r="A303" s="31">
        <v>46070</v>
      </c>
      <c r="B303" s="32" t="s">
        <v>65</v>
      </c>
      <c r="C303" s="33" t="s">
        <v>64</v>
      </c>
    </row>
    <row r="304" spans="1:3" ht="15.75" thickBot="1" x14ac:dyDescent="0.3">
      <c r="A304" s="31">
        <v>46115</v>
      </c>
      <c r="B304" s="32" t="s">
        <v>66</v>
      </c>
      <c r="C304" s="33" t="s">
        <v>67</v>
      </c>
    </row>
    <row r="305" spans="1:3" ht="15.75" thickBot="1" x14ac:dyDescent="0.3">
      <c r="A305" s="31">
        <v>46133</v>
      </c>
      <c r="B305" s="32" t="s">
        <v>65</v>
      </c>
      <c r="C305" s="33" t="s">
        <v>69</v>
      </c>
    </row>
    <row r="306" spans="1:3" ht="15.75" thickBot="1" x14ac:dyDescent="0.3">
      <c r="A306" s="31">
        <v>46143</v>
      </c>
      <c r="B306" s="32" t="s">
        <v>66</v>
      </c>
      <c r="C306" s="33" t="s">
        <v>70</v>
      </c>
    </row>
    <row r="307" spans="1:3" ht="15.75" thickBot="1" x14ac:dyDescent="0.3">
      <c r="A307" s="31">
        <v>46177</v>
      </c>
      <c r="B307" s="32" t="s">
        <v>71</v>
      </c>
      <c r="C307" s="33" t="s">
        <v>72</v>
      </c>
    </row>
    <row r="308" spans="1:3" ht="15.75" thickBot="1" x14ac:dyDescent="0.3">
      <c r="A308" s="31">
        <v>46272</v>
      </c>
      <c r="B308" s="32" t="s">
        <v>62</v>
      </c>
      <c r="C308" s="33" t="s">
        <v>73</v>
      </c>
    </row>
    <row r="309" spans="1:3" ht="15.75" thickBot="1" x14ac:dyDescent="0.3">
      <c r="A309" s="31">
        <v>46307</v>
      </c>
      <c r="B309" s="32" t="s">
        <v>62</v>
      </c>
      <c r="C309" s="33" t="s">
        <v>74</v>
      </c>
    </row>
    <row r="310" spans="1:3" ht="15.75" thickBot="1" x14ac:dyDescent="0.3">
      <c r="A310" s="31">
        <v>46328</v>
      </c>
      <c r="B310" s="32" t="s">
        <v>62</v>
      </c>
      <c r="C310" s="33" t="s">
        <v>75</v>
      </c>
    </row>
    <row r="311" spans="1:3" ht="15.75" thickBot="1" x14ac:dyDescent="0.3">
      <c r="A311" s="31">
        <v>46341</v>
      </c>
      <c r="B311" s="32" t="s">
        <v>78</v>
      </c>
      <c r="C311" s="33" t="s">
        <v>76</v>
      </c>
    </row>
    <row r="312" spans="1:3" ht="15.75" thickBot="1" x14ac:dyDescent="0.3">
      <c r="A312" s="31">
        <v>46381</v>
      </c>
      <c r="B312" s="32" t="s">
        <v>66</v>
      </c>
      <c r="C312" s="33" t="s">
        <v>77</v>
      </c>
    </row>
    <row r="313" spans="1:3" ht="15.75" thickBot="1" x14ac:dyDescent="0.3">
      <c r="A313" s="34">
        <v>46388</v>
      </c>
      <c r="B313" s="35" t="s">
        <v>66</v>
      </c>
      <c r="C313" s="36" t="s">
        <v>63</v>
      </c>
    </row>
    <row r="314" spans="1:3" ht="15.75" thickBot="1" x14ac:dyDescent="0.3">
      <c r="A314" s="25">
        <v>46426</v>
      </c>
      <c r="B314" s="26" t="s">
        <v>62</v>
      </c>
      <c r="C314" s="27" t="s">
        <v>64</v>
      </c>
    </row>
    <row r="315" spans="1:3" ht="15.75" thickBot="1" x14ac:dyDescent="0.3">
      <c r="A315" s="25">
        <v>46427</v>
      </c>
      <c r="B315" s="26" t="s">
        <v>65</v>
      </c>
      <c r="C315" s="27" t="s">
        <v>64</v>
      </c>
    </row>
    <row r="316" spans="1:3" ht="15.75" thickBot="1" x14ac:dyDescent="0.3">
      <c r="A316" s="25">
        <v>46472</v>
      </c>
      <c r="B316" s="26" t="s">
        <v>66</v>
      </c>
      <c r="C316" s="27" t="s">
        <v>67</v>
      </c>
    </row>
    <row r="317" spans="1:3" ht="15.75" thickBot="1" x14ac:dyDescent="0.3">
      <c r="A317" s="25">
        <v>46498</v>
      </c>
      <c r="B317" s="26" t="s">
        <v>79</v>
      </c>
      <c r="C317" s="27" t="s">
        <v>69</v>
      </c>
    </row>
    <row r="318" spans="1:3" ht="15.75" thickBot="1" x14ac:dyDescent="0.3">
      <c r="A318" s="25">
        <v>46508</v>
      </c>
      <c r="B318" s="26" t="s">
        <v>68</v>
      </c>
      <c r="C318" s="27" t="s">
        <v>70</v>
      </c>
    </row>
    <row r="319" spans="1:3" ht="15.75" thickBot="1" x14ac:dyDescent="0.3">
      <c r="A319" s="25">
        <v>46534</v>
      </c>
      <c r="B319" s="26" t="s">
        <v>71</v>
      </c>
      <c r="C319" s="27" t="s">
        <v>72</v>
      </c>
    </row>
    <row r="320" spans="1:3" ht="15.75" thickBot="1" x14ac:dyDescent="0.3">
      <c r="A320" s="25">
        <v>46637</v>
      </c>
      <c r="B320" s="26" t="s">
        <v>65</v>
      </c>
      <c r="C320" s="27" t="s">
        <v>73</v>
      </c>
    </row>
    <row r="321" spans="1:3" ht="15.75" thickBot="1" x14ac:dyDescent="0.3">
      <c r="A321" s="25">
        <v>46672</v>
      </c>
      <c r="B321" s="26" t="s">
        <v>65</v>
      </c>
      <c r="C321" s="27" t="s">
        <v>74</v>
      </c>
    </row>
    <row r="322" spans="1:3" ht="15.75" thickBot="1" x14ac:dyDescent="0.3">
      <c r="A322" s="25">
        <v>46693</v>
      </c>
      <c r="B322" s="26" t="s">
        <v>65</v>
      </c>
      <c r="C322" s="27" t="s">
        <v>75</v>
      </c>
    </row>
    <row r="323" spans="1:3" ht="15.75" thickBot="1" x14ac:dyDescent="0.3">
      <c r="A323" s="25">
        <v>46706</v>
      </c>
      <c r="B323" s="26" t="s">
        <v>62</v>
      </c>
      <c r="C323" s="27" t="s">
        <v>76</v>
      </c>
    </row>
    <row r="324" spans="1:3" ht="15.75" thickBot="1" x14ac:dyDescent="0.3">
      <c r="A324" s="25">
        <v>46746</v>
      </c>
      <c r="B324" s="26" t="s">
        <v>68</v>
      </c>
      <c r="C324" s="27" t="s">
        <v>77</v>
      </c>
    </row>
    <row r="325" spans="1:3" ht="15.75" thickBot="1" x14ac:dyDescent="0.3">
      <c r="A325" s="28">
        <v>46753</v>
      </c>
      <c r="B325" s="29" t="s">
        <v>68</v>
      </c>
      <c r="C325" s="30" t="s">
        <v>63</v>
      </c>
    </row>
    <row r="326" spans="1:3" ht="15.75" thickBot="1" x14ac:dyDescent="0.3">
      <c r="A326" s="31">
        <v>46811</v>
      </c>
      <c r="B326" s="32" t="s">
        <v>62</v>
      </c>
      <c r="C326" s="33" t="s">
        <v>64</v>
      </c>
    </row>
    <row r="327" spans="1:3" ht="15.75" thickBot="1" x14ac:dyDescent="0.3">
      <c r="A327" s="31">
        <v>46812</v>
      </c>
      <c r="B327" s="32" t="s">
        <v>65</v>
      </c>
      <c r="C327" s="33" t="s">
        <v>64</v>
      </c>
    </row>
    <row r="328" spans="1:3" ht="15.75" thickBot="1" x14ac:dyDescent="0.3">
      <c r="A328" s="31">
        <v>46857</v>
      </c>
      <c r="B328" s="32" t="s">
        <v>66</v>
      </c>
      <c r="C328" s="33" t="s">
        <v>67</v>
      </c>
    </row>
    <row r="329" spans="1:3" ht="15.75" thickBot="1" x14ac:dyDescent="0.3">
      <c r="A329" s="31">
        <v>46864</v>
      </c>
      <c r="B329" s="32" t="s">
        <v>66</v>
      </c>
      <c r="C329" s="33" t="s">
        <v>69</v>
      </c>
    </row>
    <row r="330" spans="1:3" ht="15.75" thickBot="1" x14ac:dyDescent="0.3">
      <c r="A330" s="31">
        <v>46874</v>
      </c>
      <c r="B330" s="32" t="s">
        <v>62</v>
      </c>
      <c r="C330" s="33" t="s">
        <v>70</v>
      </c>
    </row>
    <row r="331" spans="1:3" ht="15.75" thickBot="1" x14ac:dyDescent="0.3">
      <c r="A331" s="31">
        <v>46919</v>
      </c>
      <c r="B331" s="32" t="s">
        <v>71</v>
      </c>
      <c r="C331" s="33" t="s">
        <v>72</v>
      </c>
    </row>
    <row r="332" spans="1:3" ht="15.75" thickBot="1" x14ac:dyDescent="0.3">
      <c r="A332" s="31">
        <v>47003</v>
      </c>
      <c r="B332" s="32" t="s">
        <v>71</v>
      </c>
      <c r="C332" s="33" t="s">
        <v>73</v>
      </c>
    </row>
    <row r="333" spans="1:3" ht="15.75" thickBot="1" x14ac:dyDescent="0.3">
      <c r="A333" s="31">
        <v>47038</v>
      </c>
      <c r="B333" s="32" t="s">
        <v>71</v>
      </c>
      <c r="C333" s="33" t="s">
        <v>74</v>
      </c>
    </row>
    <row r="334" spans="1:3" ht="15.75" thickBot="1" x14ac:dyDescent="0.3">
      <c r="A334" s="31">
        <v>47059</v>
      </c>
      <c r="B334" s="32" t="s">
        <v>71</v>
      </c>
      <c r="C334" s="33" t="s">
        <v>75</v>
      </c>
    </row>
    <row r="335" spans="1:3" ht="15.75" thickBot="1" x14ac:dyDescent="0.3">
      <c r="A335" s="31">
        <v>47072</v>
      </c>
      <c r="B335" s="32" t="s">
        <v>79</v>
      </c>
      <c r="C335" s="33" t="s">
        <v>76</v>
      </c>
    </row>
    <row r="336" spans="1:3" ht="15.75" thickBot="1" x14ac:dyDescent="0.3">
      <c r="A336" s="31">
        <v>47112</v>
      </c>
      <c r="B336" s="32" t="s">
        <v>62</v>
      </c>
      <c r="C336" s="33" t="s">
        <v>77</v>
      </c>
    </row>
    <row r="337" spans="1:3" ht="15.75" thickBot="1" x14ac:dyDescent="0.3">
      <c r="A337" s="34">
        <v>47119</v>
      </c>
      <c r="B337" s="35" t="s">
        <v>62</v>
      </c>
      <c r="C337" s="36" t="s">
        <v>63</v>
      </c>
    </row>
    <row r="338" spans="1:3" ht="15.75" thickBot="1" x14ac:dyDescent="0.3">
      <c r="A338" s="25">
        <v>47161</v>
      </c>
      <c r="B338" s="26" t="s">
        <v>62</v>
      </c>
      <c r="C338" s="27" t="s">
        <v>64</v>
      </c>
    </row>
    <row r="339" spans="1:3" ht="15.75" thickBot="1" x14ac:dyDescent="0.3">
      <c r="A339" s="25">
        <v>47162</v>
      </c>
      <c r="B339" s="26" t="s">
        <v>65</v>
      </c>
      <c r="C339" s="27" t="s">
        <v>64</v>
      </c>
    </row>
    <row r="340" spans="1:3" ht="15.75" thickBot="1" x14ac:dyDescent="0.3">
      <c r="A340" s="25">
        <v>47207</v>
      </c>
      <c r="B340" s="26" t="s">
        <v>66</v>
      </c>
      <c r="C340" s="27" t="s">
        <v>67</v>
      </c>
    </row>
    <row r="341" spans="1:3" ht="15.75" thickBot="1" x14ac:dyDescent="0.3">
      <c r="A341" s="25">
        <v>47229</v>
      </c>
      <c r="B341" s="26" t="s">
        <v>68</v>
      </c>
      <c r="C341" s="27" t="s">
        <v>69</v>
      </c>
    </row>
    <row r="342" spans="1:3" ht="15.75" thickBot="1" x14ac:dyDescent="0.3">
      <c r="A342" s="25">
        <v>47239</v>
      </c>
      <c r="B342" s="26" t="s">
        <v>65</v>
      </c>
      <c r="C342" s="27" t="s">
        <v>70</v>
      </c>
    </row>
    <row r="343" spans="1:3" ht="15.75" thickBot="1" x14ac:dyDescent="0.3">
      <c r="A343" s="25">
        <v>47269</v>
      </c>
      <c r="B343" s="26" t="s">
        <v>71</v>
      </c>
      <c r="C343" s="27" t="s">
        <v>72</v>
      </c>
    </row>
    <row r="344" spans="1:3" ht="15.75" thickBot="1" x14ac:dyDescent="0.3">
      <c r="A344" s="25">
        <v>47368</v>
      </c>
      <c r="B344" s="26" t="s">
        <v>66</v>
      </c>
      <c r="C344" s="27" t="s">
        <v>73</v>
      </c>
    </row>
    <row r="345" spans="1:3" ht="15.75" thickBot="1" x14ac:dyDescent="0.3">
      <c r="A345" s="25">
        <v>47403</v>
      </c>
      <c r="B345" s="26" t="s">
        <v>66</v>
      </c>
      <c r="C345" s="27" t="s">
        <v>74</v>
      </c>
    </row>
    <row r="346" spans="1:3" ht="15.75" thickBot="1" x14ac:dyDescent="0.3">
      <c r="A346" s="25">
        <v>47424</v>
      </c>
      <c r="B346" s="26" t="s">
        <v>66</v>
      </c>
      <c r="C346" s="27" t="s">
        <v>75</v>
      </c>
    </row>
    <row r="347" spans="1:3" ht="15.75" thickBot="1" x14ac:dyDescent="0.3">
      <c r="A347" s="25">
        <v>47437</v>
      </c>
      <c r="B347" s="26" t="s">
        <v>71</v>
      </c>
      <c r="C347" s="27" t="s">
        <v>76</v>
      </c>
    </row>
    <row r="348" spans="1:3" ht="15.75" thickBot="1" x14ac:dyDescent="0.3">
      <c r="A348" s="25">
        <v>47477</v>
      </c>
      <c r="B348" s="26" t="s">
        <v>65</v>
      </c>
      <c r="C348" s="27" t="s">
        <v>77</v>
      </c>
    </row>
    <row r="349" spans="1:3" ht="15.75" thickBot="1" x14ac:dyDescent="0.3">
      <c r="A349" s="28">
        <v>47484</v>
      </c>
      <c r="B349" s="29" t="s">
        <v>65</v>
      </c>
      <c r="C349" s="30" t="s">
        <v>63</v>
      </c>
    </row>
    <row r="350" spans="1:3" ht="15.75" thickBot="1" x14ac:dyDescent="0.3">
      <c r="A350" s="31">
        <v>47546</v>
      </c>
      <c r="B350" s="32" t="s">
        <v>62</v>
      </c>
      <c r="C350" s="33" t="s">
        <v>64</v>
      </c>
    </row>
    <row r="351" spans="1:3" ht="15.75" thickBot="1" x14ac:dyDescent="0.3">
      <c r="A351" s="31">
        <v>47547</v>
      </c>
      <c r="B351" s="32" t="s">
        <v>65</v>
      </c>
      <c r="C351" s="33" t="s">
        <v>64</v>
      </c>
    </row>
    <row r="352" spans="1:3" ht="15.75" thickBot="1" x14ac:dyDescent="0.3">
      <c r="A352" s="31">
        <v>47592</v>
      </c>
      <c r="B352" s="32" t="s">
        <v>66</v>
      </c>
      <c r="C352" s="33" t="s">
        <v>67</v>
      </c>
    </row>
    <row r="353" spans="1:3" ht="15.75" thickBot="1" x14ac:dyDescent="0.3">
      <c r="A353" s="31">
        <v>47594</v>
      </c>
      <c r="B353" s="32" t="s">
        <v>78</v>
      </c>
      <c r="C353" s="33" t="s">
        <v>69</v>
      </c>
    </row>
    <row r="354" spans="1:3" ht="15.75" thickBot="1" x14ac:dyDescent="0.3">
      <c r="A354" s="31">
        <v>47604</v>
      </c>
      <c r="B354" s="32" t="s">
        <v>79</v>
      </c>
      <c r="C354" s="33" t="s">
        <v>70</v>
      </c>
    </row>
    <row r="355" spans="1:3" ht="15.75" thickBot="1" x14ac:dyDescent="0.3">
      <c r="A355" s="31">
        <v>47654</v>
      </c>
      <c r="B355" s="32" t="s">
        <v>71</v>
      </c>
      <c r="C355" s="33" t="s">
        <v>72</v>
      </c>
    </row>
    <row r="356" spans="1:3" ht="15.75" thickBot="1" x14ac:dyDescent="0.3">
      <c r="A356" s="31">
        <v>47733</v>
      </c>
      <c r="B356" s="32" t="s">
        <v>68</v>
      </c>
      <c r="C356" s="33" t="s">
        <v>73</v>
      </c>
    </row>
    <row r="357" spans="1:3" ht="15.75" thickBot="1" x14ac:dyDescent="0.3">
      <c r="A357" s="31">
        <v>47768</v>
      </c>
      <c r="B357" s="32" t="s">
        <v>68</v>
      </c>
      <c r="C357" s="33" t="s">
        <v>74</v>
      </c>
    </row>
    <row r="358" spans="1:3" ht="15.75" thickBot="1" x14ac:dyDescent="0.3">
      <c r="A358" s="31">
        <v>47789</v>
      </c>
      <c r="B358" s="32" t="s">
        <v>68</v>
      </c>
      <c r="C358" s="33" t="s">
        <v>75</v>
      </c>
    </row>
    <row r="359" spans="1:3" ht="15.75" thickBot="1" x14ac:dyDescent="0.3">
      <c r="A359" s="31">
        <v>47802</v>
      </c>
      <c r="B359" s="32" t="s">
        <v>66</v>
      </c>
      <c r="C359" s="33" t="s">
        <v>76</v>
      </c>
    </row>
    <row r="360" spans="1:3" ht="15.75" thickBot="1" x14ac:dyDescent="0.3">
      <c r="A360" s="31">
        <v>47842</v>
      </c>
      <c r="B360" s="32" t="s">
        <v>79</v>
      </c>
      <c r="C360" s="33" t="s">
        <v>77</v>
      </c>
    </row>
    <row r="361" spans="1:3" ht="15.75" thickBot="1" x14ac:dyDescent="0.3">
      <c r="A361" s="34">
        <v>47849</v>
      </c>
      <c r="B361" s="35" t="s">
        <v>79</v>
      </c>
      <c r="C361" s="36" t="s">
        <v>63</v>
      </c>
    </row>
    <row r="362" spans="1:3" ht="15.75" thickBot="1" x14ac:dyDescent="0.3">
      <c r="A362" s="25">
        <v>47903</v>
      </c>
      <c r="B362" s="26" t="s">
        <v>62</v>
      </c>
      <c r="C362" s="27" t="s">
        <v>64</v>
      </c>
    </row>
    <row r="363" spans="1:3" ht="15.75" thickBot="1" x14ac:dyDescent="0.3">
      <c r="A363" s="25">
        <v>47904</v>
      </c>
      <c r="B363" s="26" t="s">
        <v>65</v>
      </c>
      <c r="C363" s="27" t="s">
        <v>64</v>
      </c>
    </row>
    <row r="364" spans="1:3" ht="15.75" thickBot="1" x14ac:dyDescent="0.3">
      <c r="A364" s="25">
        <v>47949</v>
      </c>
      <c r="B364" s="26" t="s">
        <v>66</v>
      </c>
      <c r="C364" s="27" t="s">
        <v>67</v>
      </c>
    </row>
    <row r="365" spans="1:3" ht="15.75" thickBot="1" x14ac:dyDescent="0.3">
      <c r="A365" s="25">
        <v>47959</v>
      </c>
      <c r="B365" s="26" t="s">
        <v>62</v>
      </c>
      <c r="C365" s="27" t="s">
        <v>69</v>
      </c>
    </row>
    <row r="366" spans="1:3" ht="15.75" thickBot="1" x14ac:dyDescent="0.3">
      <c r="A366" s="25">
        <v>47969</v>
      </c>
      <c r="B366" s="26" t="s">
        <v>71</v>
      </c>
      <c r="C366" s="27" t="s">
        <v>70</v>
      </c>
    </row>
    <row r="367" spans="1:3" ht="15.75" thickBot="1" x14ac:dyDescent="0.3">
      <c r="A367" s="25">
        <v>48011</v>
      </c>
      <c r="B367" s="26" t="s">
        <v>71</v>
      </c>
      <c r="C367" s="27" t="s">
        <v>72</v>
      </c>
    </row>
    <row r="368" spans="1:3" ht="15.75" thickBot="1" x14ac:dyDescent="0.3">
      <c r="A368" s="25">
        <v>48098</v>
      </c>
      <c r="B368" s="26" t="s">
        <v>78</v>
      </c>
      <c r="C368" s="27" t="s">
        <v>73</v>
      </c>
    </row>
    <row r="369" spans="1:3" ht="15.75" thickBot="1" x14ac:dyDescent="0.3">
      <c r="A369" s="25">
        <v>48133</v>
      </c>
      <c r="B369" s="26" t="s">
        <v>78</v>
      </c>
      <c r="C369" s="27" t="s">
        <v>74</v>
      </c>
    </row>
    <row r="370" spans="1:3" ht="15.75" thickBot="1" x14ac:dyDescent="0.3">
      <c r="A370" s="25">
        <v>48154</v>
      </c>
      <c r="B370" s="26" t="s">
        <v>78</v>
      </c>
      <c r="C370" s="27" t="s">
        <v>75</v>
      </c>
    </row>
    <row r="371" spans="1:3" ht="15.75" thickBot="1" x14ac:dyDescent="0.3">
      <c r="A371" s="25">
        <v>48167</v>
      </c>
      <c r="B371" s="26" t="s">
        <v>68</v>
      </c>
      <c r="C371" s="27" t="s">
        <v>76</v>
      </c>
    </row>
    <row r="372" spans="1:3" ht="15.75" thickBot="1" x14ac:dyDescent="0.3">
      <c r="A372" s="25">
        <v>48207</v>
      </c>
      <c r="B372" s="26" t="s">
        <v>71</v>
      </c>
      <c r="C372" s="27" t="s">
        <v>77</v>
      </c>
    </row>
    <row r="373" spans="1:3" ht="15.75" thickBot="1" x14ac:dyDescent="0.3">
      <c r="A373" s="28">
        <v>48214</v>
      </c>
      <c r="B373" s="29" t="s">
        <v>71</v>
      </c>
      <c r="C373" s="30" t="s">
        <v>63</v>
      </c>
    </row>
    <row r="374" spans="1:3" ht="15.75" thickBot="1" x14ac:dyDescent="0.3">
      <c r="A374" s="31">
        <v>48253</v>
      </c>
      <c r="B374" s="32" t="s">
        <v>62</v>
      </c>
      <c r="C374" s="33" t="s">
        <v>64</v>
      </c>
    </row>
    <row r="375" spans="1:3" ht="15.75" thickBot="1" x14ac:dyDescent="0.3">
      <c r="A375" s="31">
        <v>48254</v>
      </c>
      <c r="B375" s="32" t="s">
        <v>65</v>
      </c>
      <c r="C375" s="33" t="s">
        <v>64</v>
      </c>
    </row>
    <row r="376" spans="1:3" ht="15.75" thickBot="1" x14ac:dyDescent="0.3">
      <c r="A376" s="31">
        <v>48299</v>
      </c>
      <c r="B376" s="32" t="s">
        <v>66</v>
      </c>
      <c r="C376" s="33" t="s">
        <v>67</v>
      </c>
    </row>
    <row r="377" spans="1:3" ht="15.75" thickBot="1" x14ac:dyDescent="0.3">
      <c r="A377" s="31">
        <v>48325</v>
      </c>
      <c r="B377" s="32" t="s">
        <v>79</v>
      </c>
      <c r="C377" s="33" t="s">
        <v>69</v>
      </c>
    </row>
    <row r="378" spans="1:3" ht="15.75" thickBot="1" x14ac:dyDescent="0.3">
      <c r="A378" s="31">
        <v>48335</v>
      </c>
      <c r="B378" s="32" t="s">
        <v>68</v>
      </c>
      <c r="C378" s="33" t="s">
        <v>70</v>
      </c>
    </row>
    <row r="379" spans="1:3" ht="15.75" thickBot="1" x14ac:dyDescent="0.3">
      <c r="A379" s="31">
        <v>48361</v>
      </c>
      <c r="B379" s="32" t="s">
        <v>71</v>
      </c>
      <c r="C379" s="33" t="s">
        <v>72</v>
      </c>
    </row>
    <row r="380" spans="1:3" ht="15.75" thickBot="1" x14ac:dyDescent="0.3">
      <c r="A380" s="31">
        <v>48464</v>
      </c>
      <c r="B380" s="32" t="s">
        <v>65</v>
      </c>
      <c r="C380" s="33" t="s">
        <v>73</v>
      </c>
    </row>
    <row r="381" spans="1:3" ht="15.75" thickBot="1" x14ac:dyDescent="0.3">
      <c r="A381" s="31">
        <v>48499</v>
      </c>
      <c r="B381" s="32" t="s">
        <v>65</v>
      </c>
      <c r="C381" s="33" t="s">
        <v>74</v>
      </c>
    </row>
    <row r="382" spans="1:3" ht="15.75" thickBot="1" x14ac:dyDescent="0.3">
      <c r="A382" s="31">
        <v>48520</v>
      </c>
      <c r="B382" s="32" t="s">
        <v>65</v>
      </c>
      <c r="C382" s="33" t="s">
        <v>75</v>
      </c>
    </row>
    <row r="383" spans="1:3" ht="15.75" thickBot="1" x14ac:dyDescent="0.3">
      <c r="A383" s="31">
        <v>48533</v>
      </c>
      <c r="B383" s="32" t="s">
        <v>62</v>
      </c>
      <c r="C383" s="33" t="s">
        <v>76</v>
      </c>
    </row>
    <row r="384" spans="1:3" ht="15.75" thickBot="1" x14ac:dyDescent="0.3">
      <c r="A384" s="31">
        <v>48573</v>
      </c>
      <c r="B384" s="32" t="s">
        <v>68</v>
      </c>
      <c r="C384" s="33" t="s">
        <v>77</v>
      </c>
    </row>
    <row r="385" spans="1:3" ht="15.75" thickBot="1" x14ac:dyDescent="0.3">
      <c r="A385" s="28">
        <v>48580</v>
      </c>
      <c r="B385" s="29" t="s">
        <v>68</v>
      </c>
      <c r="C385" s="30" t="s">
        <v>63</v>
      </c>
    </row>
    <row r="386" spans="1:3" ht="15.75" thickBot="1" x14ac:dyDescent="0.3">
      <c r="A386" s="25">
        <v>48638</v>
      </c>
      <c r="B386" s="26" t="s">
        <v>62</v>
      </c>
      <c r="C386" s="27" t="s">
        <v>64</v>
      </c>
    </row>
    <row r="387" spans="1:3" ht="15.75" thickBot="1" x14ac:dyDescent="0.3">
      <c r="A387" s="25">
        <v>48639</v>
      </c>
      <c r="B387" s="26" t="s">
        <v>65</v>
      </c>
      <c r="C387" s="27" t="s">
        <v>64</v>
      </c>
    </row>
    <row r="388" spans="1:3" ht="15.75" thickBot="1" x14ac:dyDescent="0.3">
      <c r="A388" s="25">
        <v>48684</v>
      </c>
      <c r="B388" s="26" t="s">
        <v>66</v>
      </c>
      <c r="C388" s="27" t="s">
        <v>67</v>
      </c>
    </row>
    <row r="389" spans="1:3" ht="15.75" thickBot="1" x14ac:dyDescent="0.3">
      <c r="A389" s="25">
        <v>48690</v>
      </c>
      <c r="B389" s="26" t="s">
        <v>71</v>
      </c>
      <c r="C389" s="27" t="s">
        <v>69</v>
      </c>
    </row>
    <row r="390" spans="1:3" ht="15.75" thickBot="1" x14ac:dyDescent="0.3">
      <c r="A390" s="25">
        <v>48700</v>
      </c>
      <c r="B390" s="26" t="s">
        <v>78</v>
      </c>
      <c r="C390" s="27" t="s">
        <v>70</v>
      </c>
    </row>
    <row r="391" spans="1:3" ht="15.75" thickBot="1" x14ac:dyDescent="0.3">
      <c r="A391" s="25">
        <v>48746</v>
      </c>
      <c r="B391" s="26" t="s">
        <v>71</v>
      </c>
      <c r="C391" s="27" t="s">
        <v>72</v>
      </c>
    </row>
    <row r="392" spans="1:3" ht="15.75" thickBot="1" x14ac:dyDescent="0.3">
      <c r="A392" s="25">
        <v>48829</v>
      </c>
      <c r="B392" s="26" t="s">
        <v>79</v>
      </c>
      <c r="C392" s="27" t="s">
        <v>73</v>
      </c>
    </row>
    <row r="393" spans="1:3" ht="15.75" thickBot="1" x14ac:dyDescent="0.3">
      <c r="A393" s="25">
        <v>48864</v>
      </c>
      <c r="B393" s="26" t="s">
        <v>79</v>
      </c>
      <c r="C393" s="27" t="s">
        <v>74</v>
      </c>
    </row>
    <row r="394" spans="1:3" ht="15.75" thickBot="1" x14ac:dyDescent="0.3">
      <c r="A394" s="25">
        <v>48885</v>
      </c>
      <c r="B394" s="26" t="s">
        <v>79</v>
      </c>
      <c r="C394" s="27" t="s">
        <v>75</v>
      </c>
    </row>
    <row r="395" spans="1:3" ht="15.75" thickBot="1" x14ac:dyDescent="0.3">
      <c r="A395" s="25">
        <v>48898</v>
      </c>
      <c r="B395" s="26" t="s">
        <v>65</v>
      </c>
      <c r="C395" s="27" t="s">
        <v>76</v>
      </c>
    </row>
    <row r="396" spans="1:3" ht="15.75" thickBot="1" x14ac:dyDescent="0.3">
      <c r="A396" s="25">
        <v>48938</v>
      </c>
      <c r="B396" s="26" t="s">
        <v>78</v>
      </c>
      <c r="C396" s="27" t="s">
        <v>77</v>
      </c>
    </row>
    <row r="397" spans="1:3" ht="15.75" thickBot="1" x14ac:dyDescent="0.3">
      <c r="A397" s="28">
        <v>48945</v>
      </c>
      <c r="B397" s="29" t="s">
        <v>78</v>
      </c>
      <c r="C397" s="30" t="s">
        <v>63</v>
      </c>
    </row>
    <row r="398" spans="1:3" ht="15.75" thickBot="1" x14ac:dyDescent="0.3">
      <c r="A398" s="31">
        <v>48995</v>
      </c>
      <c r="B398" s="32" t="s">
        <v>62</v>
      </c>
      <c r="C398" s="33" t="s">
        <v>64</v>
      </c>
    </row>
    <row r="399" spans="1:3" ht="15.75" thickBot="1" x14ac:dyDescent="0.3">
      <c r="A399" s="31">
        <v>48996</v>
      </c>
      <c r="B399" s="32" t="s">
        <v>65</v>
      </c>
      <c r="C399" s="33" t="s">
        <v>64</v>
      </c>
    </row>
    <row r="400" spans="1:3" ht="15.75" thickBot="1" x14ac:dyDescent="0.3">
      <c r="A400" s="31">
        <v>49041</v>
      </c>
      <c r="B400" s="32" t="s">
        <v>66</v>
      </c>
      <c r="C400" s="33" t="s">
        <v>67</v>
      </c>
    </row>
    <row r="401" spans="1:3" ht="15.75" thickBot="1" x14ac:dyDescent="0.3">
      <c r="A401" s="31">
        <v>49055</v>
      </c>
      <c r="B401" s="32" t="s">
        <v>66</v>
      </c>
      <c r="C401" s="33" t="s">
        <v>69</v>
      </c>
    </row>
    <row r="402" spans="1:3" ht="15.75" thickBot="1" x14ac:dyDescent="0.3">
      <c r="A402" s="31">
        <v>49065</v>
      </c>
      <c r="B402" s="32" t="s">
        <v>62</v>
      </c>
      <c r="C402" s="33" t="s">
        <v>70</v>
      </c>
    </row>
    <row r="403" spans="1:3" ht="15.75" thickBot="1" x14ac:dyDescent="0.3">
      <c r="A403" s="31">
        <v>49103</v>
      </c>
      <c r="B403" s="32" t="s">
        <v>71</v>
      </c>
      <c r="C403" s="33" t="s">
        <v>72</v>
      </c>
    </row>
    <row r="404" spans="1:3" ht="15.75" thickBot="1" x14ac:dyDescent="0.3">
      <c r="A404" s="31">
        <v>49194</v>
      </c>
      <c r="B404" s="32" t="s">
        <v>71</v>
      </c>
      <c r="C404" s="33" t="s">
        <v>73</v>
      </c>
    </row>
    <row r="405" spans="1:3" ht="15.75" thickBot="1" x14ac:dyDescent="0.3">
      <c r="A405" s="31">
        <v>49229</v>
      </c>
      <c r="B405" s="32" t="s">
        <v>71</v>
      </c>
      <c r="C405" s="33" t="s">
        <v>74</v>
      </c>
    </row>
    <row r="406" spans="1:3" ht="15.75" thickBot="1" x14ac:dyDescent="0.3">
      <c r="A406" s="31">
        <v>49250</v>
      </c>
      <c r="B406" s="32" t="s">
        <v>71</v>
      </c>
      <c r="C406" s="33" t="s">
        <v>75</v>
      </c>
    </row>
    <row r="407" spans="1:3" ht="15.75" thickBot="1" x14ac:dyDescent="0.3">
      <c r="A407" s="31">
        <v>49263</v>
      </c>
      <c r="B407" s="32" t="s">
        <v>79</v>
      </c>
      <c r="C407" s="33" t="s">
        <v>76</v>
      </c>
    </row>
    <row r="408" spans="1:3" ht="15.75" thickBot="1" x14ac:dyDescent="0.3">
      <c r="A408" s="31">
        <v>49303</v>
      </c>
      <c r="B408" s="32" t="s">
        <v>62</v>
      </c>
      <c r="C408" s="33" t="s">
        <v>77</v>
      </c>
    </row>
    <row r="409" spans="1:3" ht="15.75" thickBot="1" x14ac:dyDescent="0.3">
      <c r="A409" s="34">
        <v>49310</v>
      </c>
      <c r="B409" s="35" t="s">
        <v>62</v>
      </c>
      <c r="C409" s="36" t="s">
        <v>63</v>
      </c>
    </row>
    <row r="410" spans="1:3" ht="15.75" thickBot="1" x14ac:dyDescent="0.3">
      <c r="A410" s="25">
        <v>49345</v>
      </c>
      <c r="B410" s="26" t="s">
        <v>62</v>
      </c>
      <c r="C410" s="27" t="s">
        <v>64</v>
      </c>
    </row>
    <row r="411" spans="1:3" ht="15.75" thickBot="1" x14ac:dyDescent="0.3">
      <c r="A411" s="25">
        <v>49346</v>
      </c>
      <c r="B411" s="26" t="s">
        <v>65</v>
      </c>
      <c r="C411" s="27" t="s">
        <v>64</v>
      </c>
    </row>
    <row r="412" spans="1:3" ht="15.75" thickBot="1" x14ac:dyDescent="0.3">
      <c r="A412" s="25">
        <v>49391</v>
      </c>
      <c r="B412" s="26" t="s">
        <v>66</v>
      </c>
      <c r="C412" s="27" t="s">
        <v>67</v>
      </c>
    </row>
    <row r="413" spans="1:3" ht="15.75" thickBot="1" x14ac:dyDescent="0.3">
      <c r="A413" s="25">
        <v>49420</v>
      </c>
      <c r="B413" s="26" t="s">
        <v>68</v>
      </c>
      <c r="C413" s="27" t="s">
        <v>69</v>
      </c>
    </row>
    <row r="414" spans="1:3" ht="15.75" thickBot="1" x14ac:dyDescent="0.3">
      <c r="A414" s="25">
        <v>49430</v>
      </c>
      <c r="B414" s="26" t="s">
        <v>65</v>
      </c>
      <c r="C414" s="27" t="s">
        <v>70</v>
      </c>
    </row>
    <row r="415" spans="1:3" ht="15.75" thickBot="1" x14ac:dyDescent="0.3">
      <c r="A415" s="25">
        <v>49453</v>
      </c>
      <c r="B415" s="26" t="s">
        <v>71</v>
      </c>
      <c r="C415" s="27" t="s">
        <v>72</v>
      </c>
    </row>
    <row r="416" spans="1:3" ht="15.75" thickBot="1" x14ac:dyDescent="0.3">
      <c r="A416" s="25">
        <v>49559</v>
      </c>
      <c r="B416" s="26" t="s">
        <v>66</v>
      </c>
      <c r="C416" s="27" t="s">
        <v>73</v>
      </c>
    </row>
    <row r="417" spans="1:3" ht="15.75" thickBot="1" x14ac:dyDescent="0.3">
      <c r="A417" s="25">
        <v>49594</v>
      </c>
      <c r="B417" s="26" t="s">
        <v>66</v>
      </c>
      <c r="C417" s="27" t="s">
        <v>74</v>
      </c>
    </row>
    <row r="418" spans="1:3" ht="15.75" thickBot="1" x14ac:dyDescent="0.3">
      <c r="A418" s="25">
        <v>49615</v>
      </c>
      <c r="B418" s="26" t="s">
        <v>66</v>
      </c>
      <c r="C418" s="27" t="s">
        <v>75</v>
      </c>
    </row>
    <row r="419" spans="1:3" ht="15.75" thickBot="1" x14ac:dyDescent="0.3">
      <c r="A419" s="25">
        <v>49628</v>
      </c>
      <c r="B419" s="26" t="s">
        <v>71</v>
      </c>
      <c r="C419" s="27" t="s">
        <v>76</v>
      </c>
    </row>
    <row r="420" spans="1:3" ht="15.75" thickBot="1" x14ac:dyDescent="0.3">
      <c r="A420" s="25">
        <v>49668</v>
      </c>
      <c r="B420" s="26" t="s">
        <v>65</v>
      </c>
      <c r="C420" s="27" t="s">
        <v>77</v>
      </c>
    </row>
    <row r="421" spans="1:3" ht="15.75" thickBot="1" x14ac:dyDescent="0.3">
      <c r="A421" s="28">
        <v>49675</v>
      </c>
      <c r="B421" s="29" t="s">
        <v>65</v>
      </c>
      <c r="C421" s="30" t="s">
        <v>63</v>
      </c>
    </row>
    <row r="422" spans="1:3" ht="15.75" thickBot="1" x14ac:dyDescent="0.3">
      <c r="A422" s="31">
        <v>49730</v>
      </c>
      <c r="B422" s="32" t="s">
        <v>62</v>
      </c>
      <c r="C422" s="33" t="s">
        <v>64</v>
      </c>
    </row>
    <row r="423" spans="1:3" ht="15.75" thickBot="1" x14ac:dyDescent="0.3">
      <c r="A423" s="31">
        <v>49731</v>
      </c>
      <c r="B423" s="32" t="s">
        <v>65</v>
      </c>
      <c r="C423" s="33" t="s">
        <v>64</v>
      </c>
    </row>
    <row r="424" spans="1:3" ht="15.75" thickBot="1" x14ac:dyDescent="0.3">
      <c r="A424" s="31">
        <v>49776</v>
      </c>
      <c r="B424" s="32" t="s">
        <v>66</v>
      </c>
      <c r="C424" s="33" t="s">
        <v>67</v>
      </c>
    </row>
    <row r="425" spans="1:3" ht="15.75" thickBot="1" x14ac:dyDescent="0.3">
      <c r="A425" s="31">
        <v>49786</v>
      </c>
      <c r="B425" s="32" t="s">
        <v>62</v>
      </c>
      <c r="C425" s="33" t="s">
        <v>69</v>
      </c>
    </row>
    <row r="426" spans="1:3" ht="15.75" thickBot="1" x14ac:dyDescent="0.3">
      <c r="A426" s="31">
        <v>49796</v>
      </c>
      <c r="B426" s="32" t="s">
        <v>71</v>
      </c>
      <c r="C426" s="33" t="s">
        <v>70</v>
      </c>
    </row>
    <row r="427" spans="1:3" ht="15.75" thickBot="1" x14ac:dyDescent="0.3">
      <c r="A427" s="31">
        <v>49838</v>
      </c>
      <c r="B427" s="32" t="s">
        <v>71</v>
      </c>
      <c r="C427" s="33" t="s">
        <v>72</v>
      </c>
    </row>
    <row r="428" spans="1:3" ht="15.75" thickBot="1" x14ac:dyDescent="0.3">
      <c r="A428" s="31">
        <v>49925</v>
      </c>
      <c r="B428" s="32" t="s">
        <v>78</v>
      </c>
      <c r="C428" s="33" t="s">
        <v>73</v>
      </c>
    </row>
    <row r="429" spans="1:3" ht="15.75" thickBot="1" x14ac:dyDescent="0.3">
      <c r="A429" s="31">
        <v>49960</v>
      </c>
      <c r="B429" s="32" t="s">
        <v>78</v>
      </c>
      <c r="C429" s="33" t="s">
        <v>74</v>
      </c>
    </row>
    <row r="430" spans="1:3" ht="15.75" thickBot="1" x14ac:dyDescent="0.3">
      <c r="A430" s="31">
        <v>49981</v>
      </c>
      <c r="B430" s="32" t="s">
        <v>78</v>
      </c>
      <c r="C430" s="33" t="s">
        <v>75</v>
      </c>
    </row>
    <row r="431" spans="1:3" ht="15.75" thickBot="1" x14ac:dyDescent="0.3">
      <c r="A431" s="31">
        <v>49994</v>
      </c>
      <c r="B431" s="32" t="s">
        <v>68</v>
      </c>
      <c r="C431" s="33" t="s">
        <v>76</v>
      </c>
    </row>
    <row r="432" spans="1:3" ht="15.75" thickBot="1" x14ac:dyDescent="0.3">
      <c r="A432" s="31">
        <v>50034</v>
      </c>
      <c r="B432" s="32" t="s">
        <v>71</v>
      </c>
      <c r="C432" s="33" t="s">
        <v>77</v>
      </c>
    </row>
    <row r="433" spans="1:3" ht="15.75" thickBot="1" x14ac:dyDescent="0.3">
      <c r="A433" s="34">
        <v>50041</v>
      </c>
      <c r="B433" s="35" t="s">
        <v>71</v>
      </c>
      <c r="C433" s="36" t="s">
        <v>63</v>
      </c>
    </row>
    <row r="434" spans="1:3" ht="15.75" thickBot="1" x14ac:dyDescent="0.3">
      <c r="A434" s="25">
        <v>50087</v>
      </c>
      <c r="B434" s="26" t="s">
        <v>62</v>
      </c>
      <c r="C434" s="27" t="s">
        <v>64</v>
      </c>
    </row>
    <row r="435" spans="1:3" ht="15.75" thickBot="1" x14ac:dyDescent="0.3">
      <c r="A435" s="25">
        <v>50088</v>
      </c>
      <c r="B435" s="26" t="s">
        <v>65</v>
      </c>
      <c r="C435" s="27" t="s">
        <v>64</v>
      </c>
    </row>
    <row r="436" spans="1:3" ht="15.75" thickBot="1" x14ac:dyDescent="0.3">
      <c r="A436" s="25">
        <v>50133</v>
      </c>
      <c r="B436" s="26" t="s">
        <v>66</v>
      </c>
      <c r="C436" s="27" t="s">
        <v>67</v>
      </c>
    </row>
    <row r="437" spans="1:3" ht="15.75" thickBot="1" x14ac:dyDescent="0.3">
      <c r="A437" s="25">
        <v>50151</v>
      </c>
      <c r="B437" s="26" t="s">
        <v>65</v>
      </c>
      <c r="C437" s="27" t="s">
        <v>69</v>
      </c>
    </row>
    <row r="438" spans="1:3" ht="15.75" thickBot="1" x14ac:dyDescent="0.3">
      <c r="A438" s="25">
        <v>50161</v>
      </c>
      <c r="B438" s="26" t="s">
        <v>66</v>
      </c>
      <c r="C438" s="27" t="s">
        <v>70</v>
      </c>
    </row>
    <row r="439" spans="1:3" ht="15.75" thickBot="1" x14ac:dyDescent="0.3">
      <c r="A439" s="25">
        <v>50195</v>
      </c>
      <c r="B439" s="26" t="s">
        <v>71</v>
      </c>
      <c r="C439" s="27" t="s">
        <v>72</v>
      </c>
    </row>
    <row r="440" spans="1:3" ht="15.75" thickBot="1" x14ac:dyDescent="0.3">
      <c r="A440" s="25">
        <v>50290</v>
      </c>
      <c r="B440" s="26" t="s">
        <v>62</v>
      </c>
      <c r="C440" s="27" t="s">
        <v>73</v>
      </c>
    </row>
    <row r="441" spans="1:3" ht="15.75" thickBot="1" x14ac:dyDescent="0.3">
      <c r="A441" s="25">
        <v>50325</v>
      </c>
      <c r="B441" s="26" t="s">
        <v>62</v>
      </c>
      <c r="C441" s="27" t="s">
        <v>74</v>
      </c>
    </row>
    <row r="442" spans="1:3" ht="15.75" thickBot="1" x14ac:dyDescent="0.3">
      <c r="A442" s="25">
        <v>50346</v>
      </c>
      <c r="B442" s="26" t="s">
        <v>62</v>
      </c>
      <c r="C442" s="27" t="s">
        <v>75</v>
      </c>
    </row>
    <row r="443" spans="1:3" ht="15.75" thickBot="1" x14ac:dyDescent="0.3">
      <c r="A443" s="25">
        <v>50359</v>
      </c>
      <c r="B443" s="26" t="s">
        <v>78</v>
      </c>
      <c r="C443" s="27" t="s">
        <v>76</v>
      </c>
    </row>
    <row r="444" spans="1:3" ht="15.75" thickBot="1" x14ac:dyDescent="0.3">
      <c r="A444" s="25">
        <v>50399</v>
      </c>
      <c r="B444" s="26" t="s">
        <v>66</v>
      </c>
      <c r="C444" s="27" t="s">
        <v>77</v>
      </c>
    </row>
    <row r="445" spans="1:3" ht="15.75" thickBot="1" x14ac:dyDescent="0.3">
      <c r="A445" s="28">
        <v>50406</v>
      </c>
      <c r="B445" s="29" t="s">
        <v>66</v>
      </c>
      <c r="C445" s="30" t="s">
        <v>63</v>
      </c>
    </row>
    <row r="446" spans="1:3" ht="15.75" thickBot="1" x14ac:dyDescent="0.3">
      <c r="A446" s="31">
        <v>50472</v>
      </c>
      <c r="B446" s="32" t="s">
        <v>62</v>
      </c>
      <c r="C446" s="33" t="s">
        <v>64</v>
      </c>
    </row>
    <row r="447" spans="1:3" ht="15.75" thickBot="1" x14ac:dyDescent="0.3">
      <c r="A447" s="31">
        <v>50473</v>
      </c>
      <c r="B447" s="32" t="s">
        <v>65</v>
      </c>
      <c r="C447" s="33" t="s">
        <v>64</v>
      </c>
    </row>
    <row r="448" spans="1:3" ht="15.75" thickBot="1" x14ac:dyDescent="0.3">
      <c r="A448" s="31">
        <v>50516</v>
      </c>
      <c r="B448" s="32" t="s">
        <v>79</v>
      </c>
      <c r="C448" s="33" t="s">
        <v>69</v>
      </c>
    </row>
    <row r="449" spans="1:3" ht="15.75" thickBot="1" x14ac:dyDescent="0.3">
      <c r="A449" s="31">
        <v>50518</v>
      </c>
      <c r="B449" s="32" t="s">
        <v>66</v>
      </c>
      <c r="C449" s="33" t="s">
        <v>67</v>
      </c>
    </row>
    <row r="450" spans="1:3" ht="15.75" thickBot="1" x14ac:dyDescent="0.3">
      <c r="A450" s="31">
        <v>50526</v>
      </c>
      <c r="B450" s="32" t="s">
        <v>68</v>
      </c>
      <c r="C450" s="33" t="s">
        <v>70</v>
      </c>
    </row>
    <row r="451" spans="1:3" ht="15.75" thickBot="1" x14ac:dyDescent="0.3">
      <c r="A451" s="31">
        <v>50580</v>
      </c>
      <c r="B451" s="32" t="s">
        <v>71</v>
      </c>
      <c r="C451" s="33" t="s">
        <v>72</v>
      </c>
    </row>
    <row r="452" spans="1:3" ht="15.75" thickBot="1" x14ac:dyDescent="0.3">
      <c r="A452" s="31">
        <v>50655</v>
      </c>
      <c r="B452" s="32" t="s">
        <v>65</v>
      </c>
      <c r="C452" s="33" t="s">
        <v>73</v>
      </c>
    </row>
    <row r="453" spans="1:3" ht="15.75" thickBot="1" x14ac:dyDescent="0.3">
      <c r="A453" s="31">
        <v>50690</v>
      </c>
      <c r="B453" s="32" t="s">
        <v>65</v>
      </c>
      <c r="C453" s="33" t="s">
        <v>74</v>
      </c>
    </row>
    <row r="454" spans="1:3" ht="15.75" thickBot="1" x14ac:dyDescent="0.3">
      <c r="A454" s="31">
        <v>50711</v>
      </c>
      <c r="B454" s="32" t="s">
        <v>65</v>
      </c>
      <c r="C454" s="33" t="s">
        <v>75</v>
      </c>
    </row>
    <row r="455" spans="1:3" ht="15.75" thickBot="1" x14ac:dyDescent="0.3">
      <c r="A455" s="31">
        <v>50724</v>
      </c>
      <c r="B455" s="32" t="s">
        <v>62</v>
      </c>
      <c r="C455" s="33" t="s">
        <v>76</v>
      </c>
    </row>
    <row r="456" spans="1:3" ht="15.75" thickBot="1" x14ac:dyDescent="0.3">
      <c r="A456" s="31">
        <v>50764</v>
      </c>
      <c r="B456" s="32" t="s">
        <v>68</v>
      </c>
      <c r="C456" s="33" t="s">
        <v>77</v>
      </c>
    </row>
    <row r="457" spans="1:3" ht="15.75" thickBot="1" x14ac:dyDescent="0.3">
      <c r="A457" s="34">
        <v>50771</v>
      </c>
      <c r="B457" s="35" t="s">
        <v>68</v>
      </c>
      <c r="C457" s="36" t="s">
        <v>63</v>
      </c>
    </row>
    <row r="458" spans="1:3" ht="15.75" thickBot="1" x14ac:dyDescent="0.3">
      <c r="A458" s="25">
        <v>50822</v>
      </c>
      <c r="B458" s="26" t="s">
        <v>62</v>
      </c>
      <c r="C458" s="27" t="s">
        <v>64</v>
      </c>
    </row>
    <row r="459" spans="1:3" ht="15.75" thickBot="1" x14ac:dyDescent="0.3">
      <c r="A459" s="25">
        <v>50823</v>
      </c>
      <c r="B459" s="26" t="s">
        <v>65</v>
      </c>
      <c r="C459" s="27" t="s">
        <v>64</v>
      </c>
    </row>
    <row r="460" spans="1:3" ht="15.75" thickBot="1" x14ac:dyDescent="0.3">
      <c r="A460" s="25">
        <v>50868</v>
      </c>
      <c r="B460" s="26" t="s">
        <v>66</v>
      </c>
      <c r="C460" s="27" t="s">
        <v>67</v>
      </c>
    </row>
    <row r="461" spans="1:3" ht="15.75" thickBot="1" x14ac:dyDescent="0.3">
      <c r="A461" s="25">
        <v>50881</v>
      </c>
      <c r="B461" s="26" t="s">
        <v>71</v>
      </c>
      <c r="C461" s="27" t="s">
        <v>69</v>
      </c>
    </row>
    <row r="462" spans="1:3" ht="15.75" thickBot="1" x14ac:dyDescent="0.3">
      <c r="A462" s="25">
        <v>50891</v>
      </c>
      <c r="B462" s="26" t="s">
        <v>78</v>
      </c>
      <c r="C462" s="27" t="s">
        <v>70</v>
      </c>
    </row>
    <row r="463" spans="1:3" ht="15.75" thickBot="1" x14ac:dyDescent="0.3">
      <c r="A463" s="25">
        <v>50930</v>
      </c>
      <c r="B463" s="26" t="s">
        <v>71</v>
      </c>
      <c r="C463" s="27" t="s">
        <v>72</v>
      </c>
    </row>
    <row r="464" spans="1:3" ht="15.75" thickBot="1" x14ac:dyDescent="0.3">
      <c r="A464" s="25">
        <v>51020</v>
      </c>
      <c r="B464" s="26" t="s">
        <v>79</v>
      </c>
      <c r="C464" s="27" t="s">
        <v>73</v>
      </c>
    </row>
    <row r="465" spans="1:3" ht="15.75" thickBot="1" x14ac:dyDescent="0.3">
      <c r="A465" s="25">
        <v>51055</v>
      </c>
      <c r="B465" s="26" t="s">
        <v>79</v>
      </c>
      <c r="C465" s="27" t="s">
        <v>74</v>
      </c>
    </row>
    <row r="466" spans="1:3" ht="15.75" thickBot="1" x14ac:dyDescent="0.3">
      <c r="A466" s="25">
        <v>51076</v>
      </c>
      <c r="B466" s="26" t="s">
        <v>79</v>
      </c>
      <c r="C466" s="27" t="s">
        <v>75</v>
      </c>
    </row>
    <row r="467" spans="1:3" ht="15.75" thickBot="1" x14ac:dyDescent="0.3">
      <c r="A467" s="25">
        <v>51089</v>
      </c>
      <c r="B467" s="26" t="s">
        <v>65</v>
      </c>
      <c r="C467" s="27" t="s">
        <v>76</v>
      </c>
    </row>
    <row r="468" spans="1:3" ht="15.75" thickBot="1" x14ac:dyDescent="0.3">
      <c r="A468" s="25">
        <v>51129</v>
      </c>
      <c r="B468" s="26" t="s">
        <v>78</v>
      </c>
      <c r="C468" s="27" t="s">
        <v>77</v>
      </c>
    </row>
    <row r="469" spans="1:3" ht="15.75" thickBot="1" x14ac:dyDescent="0.3">
      <c r="A469" s="28">
        <v>51136</v>
      </c>
      <c r="B469" s="29" t="s">
        <v>78</v>
      </c>
      <c r="C469" s="30" t="s">
        <v>63</v>
      </c>
    </row>
    <row r="470" spans="1:3" ht="15.75" thickBot="1" x14ac:dyDescent="0.3">
      <c r="A470" s="31">
        <v>51179</v>
      </c>
      <c r="B470" s="32" t="s">
        <v>62</v>
      </c>
      <c r="C470" s="33" t="s">
        <v>64</v>
      </c>
    </row>
    <row r="471" spans="1:3" ht="15.75" thickBot="1" x14ac:dyDescent="0.3">
      <c r="A471" s="31">
        <v>51180</v>
      </c>
      <c r="B471" s="32" t="s">
        <v>65</v>
      </c>
      <c r="C471" s="33" t="s">
        <v>64</v>
      </c>
    </row>
    <row r="472" spans="1:3" ht="15.75" thickBot="1" x14ac:dyDescent="0.3">
      <c r="A472" s="31">
        <v>51225</v>
      </c>
      <c r="B472" s="32" t="s">
        <v>66</v>
      </c>
      <c r="C472" s="33" t="s">
        <v>67</v>
      </c>
    </row>
    <row r="473" spans="1:3" ht="15.75" thickBot="1" x14ac:dyDescent="0.3">
      <c r="A473" s="31">
        <v>51247</v>
      </c>
      <c r="B473" s="32" t="s">
        <v>68</v>
      </c>
      <c r="C473" s="33" t="s">
        <v>69</v>
      </c>
    </row>
    <row r="474" spans="1:3" ht="15.75" thickBot="1" x14ac:dyDescent="0.3">
      <c r="A474" s="31">
        <v>51257</v>
      </c>
      <c r="B474" s="32" t="s">
        <v>65</v>
      </c>
      <c r="C474" s="33" t="s">
        <v>70</v>
      </c>
    </row>
    <row r="475" spans="1:3" ht="15.75" thickBot="1" x14ac:dyDescent="0.3">
      <c r="A475" s="31">
        <v>51287</v>
      </c>
      <c r="B475" s="32" t="s">
        <v>71</v>
      </c>
      <c r="C475" s="33" t="s">
        <v>72</v>
      </c>
    </row>
    <row r="476" spans="1:3" ht="15.75" thickBot="1" x14ac:dyDescent="0.3">
      <c r="A476" s="31">
        <v>51386</v>
      </c>
      <c r="B476" s="32" t="s">
        <v>66</v>
      </c>
      <c r="C476" s="33" t="s">
        <v>73</v>
      </c>
    </row>
    <row r="477" spans="1:3" ht="15.75" thickBot="1" x14ac:dyDescent="0.3">
      <c r="A477" s="31">
        <v>51421</v>
      </c>
      <c r="B477" s="32" t="s">
        <v>66</v>
      </c>
      <c r="C477" s="33" t="s">
        <v>74</v>
      </c>
    </row>
    <row r="478" spans="1:3" ht="15.75" thickBot="1" x14ac:dyDescent="0.3">
      <c r="A478" s="31">
        <v>51442</v>
      </c>
      <c r="B478" s="32" t="s">
        <v>66</v>
      </c>
      <c r="C478" s="33" t="s">
        <v>75</v>
      </c>
    </row>
    <row r="479" spans="1:3" ht="15.75" thickBot="1" x14ac:dyDescent="0.3">
      <c r="A479" s="31">
        <v>51455</v>
      </c>
      <c r="B479" s="32" t="s">
        <v>71</v>
      </c>
      <c r="C479" s="33" t="s">
        <v>76</v>
      </c>
    </row>
    <row r="480" spans="1:3" ht="15.75" thickBot="1" x14ac:dyDescent="0.3">
      <c r="A480" s="31">
        <v>51495</v>
      </c>
      <c r="B480" s="32" t="s">
        <v>65</v>
      </c>
      <c r="C480" s="33" t="s">
        <v>77</v>
      </c>
    </row>
    <row r="481" spans="1:3" ht="15.75" thickBot="1" x14ac:dyDescent="0.3">
      <c r="A481" s="34">
        <v>51502</v>
      </c>
      <c r="B481" s="35" t="s">
        <v>65</v>
      </c>
      <c r="C481" s="36" t="s">
        <v>63</v>
      </c>
    </row>
    <row r="482" spans="1:3" ht="15.75" thickBot="1" x14ac:dyDescent="0.3">
      <c r="A482" s="25">
        <v>51564</v>
      </c>
      <c r="B482" s="26" t="s">
        <v>62</v>
      </c>
      <c r="C482" s="27" t="s">
        <v>64</v>
      </c>
    </row>
    <row r="483" spans="1:3" ht="15.75" thickBot="1" x14ac:dyDescent="0.3">
      <c r="A483" s="25">
        <v>51565</v>
      </c>
      <c r="B483" s="26" t="s">
        <v>65</v>
      </c>
      <c r="C483" s="27" t="s">
        <v>64</v>
      </c>
    </row>
    <row r="484" spans="1:3" ht="15.75" thickBot="1" x14ac:dyDescent="0.3">
      <c r="A484" s="25">
        <v>51610</v>
      </c>
      <c r="B484" s="26" t="s">
        <v>66</v>
      </c>
      <c r="C484" s="27" t="s">
        <v>67</v>
      </c>
    </row>
    <row r="485" spans="1:3" ht="15.75" thickBot="1" x14ac:dyDescent="0.3">
      <c r="A485" s="25">
        <v>51612</v>
      </c>
      <c r="B485" s="26" t="s">
        <v>78</v>
      </c>
      <c r="C485" s="27" t="s">
        <v>69</v>
      </c>
    </row>
    <row r="486" spans="1:3" ht="15.75" thickBot="1" x14ac:dyDescent="0.3">
      <c r="A486" s="25">
        <v>51622</v>
      </c>
      <c r="B486" s="26" t="s">
        <v>79</v>
      </c>
      <c r="C486" s="27" t="s">
        <v>70</v>
      </c>
    </row>
    <row r="487" spans="1:3" ht="15.75" thickBot="1" x14ac:dyDescent="0.3">
      <c r="A487" s="25">
        <v>51672</v>
      </c>
      <c r="B487" s="26" t="s">
        <v>71</v>
      </c>
      <c r="C487" s="27" t="s">
        <v>72</v>
      </c>
    </row>
    <row r="488" spans="1:3" ht="15.75" thickBot="1" x14ac:dyDescent="0.3">
      <c r="A488" s="25">
        <v>51751</v>
      </c>
      <c r="B488" s="26" t="s">
        <v>68</v>
      </c>
      <c r="C488" s="27" t="s">
        <v>73</v>
      </c>
    </row>
    <row r="489" spans="1:3" ht="15.75" thickBot="1" x14ac:dyDescent="0.3">
      <c r="A489" s="25">
        <v>51786</v>
      </c>
      <c r="B489" s="26" t="s">
        <v>68</v>
      </c>
      <c r="C489" s="27" t="s">
        <v>74</v>
      </c>
    </row>
    <row r="490" spans="1:3" ht="15.75" thickBot="1" x14ac:dyDescent="0.3">
      <c r="A490" s="25">
        <v>51807</v>
      </c>
      <c r="B490" s="26" t="s">
        <v>68</v>
      </c>
      <c r="C490" s="27" t="s">
        <v>75</v>
      </c>
    </row>
    <row r="491" spans="1:3" ht="15.75" thickBot="1" x14ac:dyDescent="0.3">
      <c r="A491" s="25">
        <v>51820</v>
      </c>
      <c r="B491" s="26" t="s">
        <v>66</v>
      </c>
      <c r="C491" s="27" t="s">
        <v>76</v>
      </c>
    </row>
    <row r="492" spans="1:3" ht="15.75" thickBot="1" x14ac:dyDescent="0.3">
      <c r="A492" s="25">
        <v>51860</v>
      </c>
      <c r="B492" s="26" t="s">
        <v>79</v>
      </c>
      <c r="C492" s="27" t="s">
        <v>77</v>
      </c>
    </row>
    <row r="493" spans="1:3" ht="15.75" thickBot="1" x14ac:dyDescent="0.3">
      <c r="A493" s="28">
        <v>51867</v>
      </c>
      <c r="B493" s="29" t="s">
        <v>79</v>
      </c>
      <c r="C493" s="30" t="s">
        <v>63</v>
      </c>
    </row>
    <row r="494" spans="1:3" ht="15.75" thickBot="1" x14ac:dyDescent="0.3">
      <c r="A494" s="31">
        <v>51914</v>
      </c>
      <c r="B494" s="32" t="s">
        <v>62</v>
      </c>
      <c r="C494" s="33" t="s">
        <v>64</v>
      </c>
    </row>
    <row r="495" spans="1:3" ht="15.75" thickBot="1" x14ac:dyDescent="0.3">
      <c r="A495" s="31">
        <v>51915</v>
      </c>
      <c r="B495" s="32" t="s">
        <v>65</v>
      </c>
      <c r="C495" s="33" t="s">
        <v>64</v>
      </c>
    </row>
    <row r="496" spans="1:3" ht="15.75" thickBot="1" x14ac:dyDescent="0.3">
      <c r="A496" s="31">
        <v>51960</v>
      </c>
      <c r="B496" s="32" t="s">
        <v>66</v>
      </c>
      <c r="C496" s="33" t="s">
        <v>67</v>
      </c>
    </row>
    <row r="497" spans="1:3" ht="15.75" thickBot="1" x14ac:dyDescent="0.3">
      <c r="A497" s="31">
        <v>51977</v>
      </c>
      <c r="B497" s="32" t="s">
        <v>62</v>
      </c>
      <c r="C497" s="33" t="s">
        <v>69</v>
      </c>
    </row>
    <row r="498" spans="1:3" ht="15.75" thickBot="1" x14ac:dyDescent="0.3">
      <c r="A498" s="31">
        <v>51987</v>
      </c>
      <c r="B498" s="32" t="s">
        <v>71</v>
      </c>
      <c r="C498" s="33" t="s">
        <v>70</v>
      </c>
    </row>
    <row r="499" spans="1:3" ht="15.75" thickBot="1" x14ac:dyDescent="0.3">
      <c r="A499" s="31">
        <v>52022</v>
      </c>
      <c r="B499" s="32" t="s">
        <v>71</v>
      </c>
      <c r="C499" s="33" t="s">
        <v>72</v>
      </c>
    </row>
    <row r="500" spans="1:3" ht="15.75" thickBot="1" x14ac:dyDescent="0.3">
      <c r="A500" s="31">
        <v>52116</v>
      </c>
      <c r="B500" s="32" t="s">
        <v>78</v>
      </c>
      <c r="C500" s="33" t="s">
        <v>73</v>
      </c>
    </row>
    <row r="501" spans="1:3" ht="15.75" thickBot="1" x14ac:dyDescent="0.3">
      <c r="A501" s="31">
        <v>52151</v>
      </c>
      <c r="B501" s="32" t="s">
        <v>78</v>
      </c>
      <c r="C501" s="33" t="s">
        <v>74</v>
      </c>
    </row>
    <row r="502" spans="1:3" ht="15.75" thickBot="1" x14ac:dyDescent="0.3">
      <c r="A502" s="31">
        <v>52172</v>
      </c>
      <c r="B502" s="32" t="s">
        <v>78</v>
      </c>
      <c r="C502" s="33" t="s">
        <v>75</v>
      </c>
    </row>
    <row r="503" spans="1:3" ht="15.75" thickBot="1" x14ac:dyDescent="0.3">
      <c r="A503" s="31">
        <v>52185</v>
      </c>
      <c r="B503" s="32" t="s">
        <v>68</v>
      </c>
      <c r="C503" s="33" t="s">
        <v>76</v>
      </c>
    </row>
    <row r="504" spans="1:3" ht="15.75" thickBot="1" x14ac:dyDescent="0.3">
      <c r="A504" s="31">
        <v>52225</v>
      </c>
      <c r="B504" s="32" t="s">
        <v>71</v>
      </c>
      <c r="C504" s="33" t="s">
        <v>77</v>
      </c>
    </row>
    <row r="505" spans="1:3" ht="15.75" thickBot="1" x14ac:dyDescent="0.3">
      <c r="A505" s="34">
        <v>52232</v>
      </c>
      <c r="B505" s="35" t="s">
        <v>71</v>
      </c>
      <c r="C505" s="36" t="s">
        <v>63</v>
      </c>
    </row>
    <row r="506" spans="1:3" ht="15.75" thickBot="1" x14ac:dyDescent="0.3">
      <c r="A506" s="25">
        <v>52271</v>
      </c>
      <c r="B506" s="26" t="s">
        <v>62</v>
      </c>
      <c r="C506" s="27" t="s">
        <v>64</v>
      </c>
    </row>
    <row r="507" spans="1:3" ht="15.75" thickBot="1" x14ac:dyDescent="0.3">
      <c r="A507" s="25">
        <v>52272</v>
      </c>
      <c r="B507" s="26" t="s">
        <v>65</v>
      </c>
      <c r="C507" s="27" t="s">
        <v>64</v>
      </c>
    </row>
    <row r="508" spans="1:3" ht="15.75" thickBot="1" x14ac:dyDescent="0.3">
      <c r="A508" s="25">
        <v>52317</v>
      </c>
      <c r="B508" s="26" t="s">
        <v>66</v>
      </c>
      <c r="C508" s="27" t="s">
        <v>67</v>
      </c>
    </row>
    <row r="509" spans="1:3" ht="15.75" thickBot="1" x14ac:dyDescent="0.3">
      <c r="A509" s="25">
        <v>52342</v>
      </c>
      <c r="B509" s="26" t="s">
        <v>65</v>
      </c>
      <c r="C509" s="27" t="s">
        <v>69</v>
      </c>
    </row>
    <row r="510" spans="1:3" ht="15.75" thickBot="1" x14ac:dyDescent="0.3">
      <c r="A510" s="25">
        <v>52352</v>
      </c>
      <c r="B510" s="26" t="s">
        <v>66</v>
      </c>
      <c r="C510" s="27" t="s">
        <v>70</v>
      </c>
    </row>
    <row r="511" spans="1:3" ht="15.75" thickBot="1" x14ac:dyDescent="0.3">
      <c r="A511" s="25">
        <v>52379</v>
      </c>
      <c r="B511" s="26" t="s">
        <v>71</v>
      </c>
      <c r="C511" s="27" t="s">
        <v>72</v>
      </c>
    </row>
    <row r="512" spans="1:3" ht="15.75" thickBot="1" x14ac:dyDescent="0.3">
      <c r="A512" s="25">
        <v>52481</v>
      </c>
      <c r="B512" s="26" t="s">
        <v>62</v>
      </c>
      <c r="C512" s="27" t="s">
        <v>73</v>
      </c>
    </row>
    <row r="513" spans="1:3" ht="15.75" thickBot="1" x14ac:dyDescent="0.3">
      <c r="A513" s="25">
        <v>52516</v>
      </c>
      <c r="B513" s="26" t="s">
        <v>62</v>
      </c>
      <c r="C513" s="27" t="s">
        <v>74</v>
      </c>
    </row>
    <row r="514" spans="1:3" ht="15.75" thickBot="1" x14ac:dyDescent="0.3">
      <c r="A514" s="25">
        <v>52537</v>
      </c>
      <c r="B514" s="26" t="s">
        <v>62</v>
      </c>
      <c r="C514" s="27" t="s">
        <v>75</v>
      </c>
    </row>
    <row r="515" spans="1:3" ht="15.75" thickBot="1" x14ac:dyDescent="0.3">
      <c r="A515" s="25">
        <v>52550</v>
      </c>
      <c r="B515" s="26" t="s">
        <v>78</v>
      </c>
      <c r="C515" s="27" t="s">
        <v>76</v>
      </c>
    </row>
    <row r="516" spans="1:3" ht="15.75" thickBot="1" x14ac:dyDescent="0.3">
      <c r="A516" s="25">
        <v>52590</v>
      </c>
      <c r="B516" s="26" t="s">
        <v>66</v>
      </c>
      <c r="C516" s="27" t="s">
        <v>77</v>
      </c>
    </row>
    <row r="517" spans="1:3" ht="15.75" thickBot="1" x14ac:dyDescent="0.3">
      <c r="A517" s="28">
        <v>52597</v>
      </c>
      <c r="B517" s="29" t="s">
        <v>66</v>
      </c>
      <c r="C517" s="30" t="s">
        <v>63</v>
      </c>
    </row>
    <row r="518" spans="1:3" ht="15.75" thickBot="1" x14ac:dyDescent="0.3">
      <c r="A518" s="31">
        <v>52656</v>
      </c>
      <c r="B518" s="32" t="s">
        <v>62</v>
      </c>
      <c r="C518" s="33" t="s">
        <v>64</v>
      </c>
    </row>
    <row r="519" spans="1:3" ht="15.75" thickBot="1" x14ac:dyDescent="0.3">
      <c r="A519" s="31">
        <v>52657</v>
      </c>
      <c r="B519" s="32" t="s">
        <v>65</v>
      </c>
      <c r="C519" s="33" t="s">
        <v>64</v>
      </c>
    </row>
    <row r="520" spans="1:3" ht="15.75" thickBot="1" x14ac:dyDescent="0.3">
      <c r="A520" s="31">
        <v>52702</v>
      </c>
      <c r="B520" s="32" t="s">
        <v>66</v>
      </c>
      <c r="C520" s="33" t="s">
        <v>67</v>
      </c>
    </row>
    <row r="521" spans="1:3" ht="15.75" thickBot="1" x14ac:dyDescent="0.3">
      <c r="A521" s="31">
        <v>52708</v>
      </c>
      <c r="B521" s="32" t="s">
        <v>71</v>
      </c>
      <c r="C521" s="33" t="s">
        <v>69</v>
      </c>
    </row>
    <row r="522" spans="1:3" ht="15.75" thickBot="1" x14ac:dyDescent="0.3">
      <c r="A522" s="31">
        <v>52718</v>
      </c>
      <c r="B522" s="32" t="s">
        <v>78</v>
      </c>
      <c r="C522" s="33" t="s">
        <v>70</v>
      </c>
    </row>
    <row r="523" spans="1:3" ht="15.75" thickBot="1" x14ac:dyDescent="0.3">
      <c r="A523" s="31">
        <v>52764</v>
      </c>
      <c r="B523" s="32" t="s">
        <v>71</v>
      </c>
      <c r="C523" s="33" t="s">
        <v>72</v>
      </c>
    </row>
    <row r="524" spans="1:3" ht="15.75" thickBot="1" x14ac:dyDescent="0.3">
      <c r="A524" s="31">
        <v>52847</v>
      </c>
      <c r="B524" s="32" t="s">
        <v>79</v>
      </c>
      <c r="C524" s="33" t="s">
        <v>73</v>
      </c>
    </row>
    <row r="525" spans="1:3" ht="15.75" thickBot="1" x14ac:dyDescent="0.3">
      <c r="A525" s="31">
        <v>52882</v>
      </c>
      <c r="B525" s="32" t="s">
        <v>79</v>
      </c>
      <c r="C525" s="33" t="s">
        <v>74</v>
      </c>
    </row>
    <row r="526" spans="1:3" ht="15.75" thickBot="1" x14ac:dyDescent="0.3">
      <c r="A526" s="31">
        <v>52903</v>
      </c>
      <c r="B526" s="32" t="s">
        <v>79</v>
      </c>
      <c r="C526" s="33" t="s">
        <v>75</v>
      </c>
    </row>
    <row r="527" spans="1:3" ht="15.75" thickBot="1" x14ac:dyDescent="0.3">
      <c r="A527" s="31">
        <v>52916</v>
      </c>
      <c r="B527" s="32" t="s">
        <v>65</v>
      </c>
      <c r="C527" s="33" t="s">
        <v>76</v>
      </c>
    </row>
    <row r="528" spans="1:3" ht="15.75" thickBot="1" x14ac:dyDescent="0.3">
      <c r="A528" s="28">
        <v>52956</v>
      </c>
      <c r="B528" s="29" t="s">
        <v>78</v>
      </c>
      <c r="C528" s="30" t="s">
        <v>77</v>
      </c>
    </row>
    <row r="529" spans="1:3" ht="15.75" thickBot="1" x14ac:dyDescent="0.3">
      <c r="A529" s="34">
        <v>52963</v>
      </c>
      <c r="B529" s="35" t="s">
        <v>78</v>
      </c>
      <c r="C529" s="36" t="s">
        <v>63</v>
      </c>
    </row>
    <row r="530" spans="1:3" ht="15.75" thickBot="1" x14ac:dyDescent="0.3">
      <c r="A530" s="25">
        <v>53013</v>
      </c>
      <c r="B530" s="26" t="s">
        <v>62</v>
      </c>
      <c r="C530" s="27" t="s">
        <v>64</v>
      </c>
    </row>
    <row r="531" spans="1:3" ht="15.75" thickBot="1" x14ac:dyDescent="0.3">
      <c r="A531" s="25">
        <v>53014</v>
      </c>
      <c r="B531" s="26" t="s">
        <v>65</v>
      </c>
      <c r="C531" s="27" t="s">
        <v>64</v>
      </c>
    </row>
    <row r="532" spans="1:3" ht="15.75" thickBot="1" x14ac:dyDescent="0.3">
      <c r="A532" s="25">
        <v>53059</v>
      </c>
      <c r="B532" s="26" t="s">
        <v>66</v>
      </c>
      <c r="C532" s="27" t="s">
        <v>67</v>
      </c>
    </row>
    <row r="533" spans="1:3" ht="15.75" thickBot="1" x14ac:dyDescent="0.3">
      <c r="A533" s="25">
        <v>53073</v>
      </c>
      <c r="B533" s="26" t="s">
        <v>66</v>
      </c>
      <c r="C533" s="27" t="s">
        <v>69</v>
      </c>
    </row>
    <row r="534" spans="1:3" ht="15.75" thickBot="1" x14ac:dyDescent="0.3">
      <c r="A534" s="25">
        <v>53083</v>
      </c>
      <c r="B534" s="26" t="s">
        <v>62</v>
      </c>
      <c r="C534" s="27" t="s">
        <v>70</v>
      </c>
    </row>
    <row r="535" spans="1:3" ht="15.75" thickBot="1" x14ac:dyDescent="0.3">
      <c r="A535" s="25">
        <v>53121</v>
      </c>
      <c r="B535" s="26" t="s">
        <v>71</v>
      </c>
      <c r="C535" s="27" t="s">
        <v>72</v>
      </c>
    </row>
    <row r="536" spans="1:3" ht="15.75" thickBot="1" x14ac:dyDescent="0.3">
      <c r="A536" s="25">
        <v>53212</v>
      </c>
      <c r="B536" s="26" t="s">
        <v>71</v>
      </c>
      <c r="C536" s="27" t="s">
        <v>73</v>
      </c>
    </row>
    <row r="537" spans="1:3" ht="15.75" thickBot="1" x14ac:dyDescent="0.3">
      <c r="A537" s="25">
        <v>53247</v>
      </c>
      <c r="B537" s="26" t="s">
        <v>71</v>
      </c>
      <c r="C537" s="27" t="s">
        <v>74</v>
      </c>
    </row>
    <row r="538" spans="1:3" ht="15.75" thickBot="1" x14ac:dyDescent="0.3">
      <c r="A538" s="25">
        <v>53268</v>
      </c>
      <c r="B538" s="26" t="s">
        <v>71</v>
      </c>
      <c r="C538" s="27" t="s">
        <v>75</v>
      </c>
    </row>
    <row r="539" spans="1:3" ht="15.75" thickBot="1" x14ac:dyDescent="0.3">
      <c r="A539" s="25">
        <v>53281</v>
      </c>
      <c r="B539" s="26" t="s">
        <v>79</v>
      </c>
      <c r="C539" s="27" t="s">
        <v>76</v>
      </c>
    </row>
    <row r="540" spans="1:3" ht="15.75" thickBot="1" x14ac:dyDescent="0.3">
      <c r="A540" s="25">
        <v>53321</v>
      </c>
      <c r="B540" s="26" t="s">
        <v>62</v>
      </c>
      <c r="C540" s="27" t="s">
        <v>77</v>
      </c>
    </row>
    <row r="541" spans="1:3" ht="15.75" thickBot="1" x14ac:dyDescent="0.3">
      <c r="A541" s="28">
        <v>53328</v>
      </c>
      <c r="B541" s="29" t="s">
        <v>62</v>
      </c>
      <c r="C541" s="30" t="s">
        <v>63</v>
      </c>
    </row>
    <row r="542" spans="1:3" ht="15.75" thickBot="1" x14ac:dyDescent="0.3">
      <c r="A542" s="31">
        <v>53363</v>
      </c>
      <c r="B542" s="32" t="s">
        <v>62</v>
      </c>
      <c r="C542" s="33" t="s">
        <v>64</v>
      </c>
    </row>
    <row r="543" spans="1:3" ht="15.75" thickBot="1" x14ac:dyDescent="0.3">
      <c r="A543" s="31">
        <v>53364</v>
      </c>
      <c r="B543" s="32" t="s">
        <v>65</v>
      </c>
      <c r="C543" s="33" t="s">
        <v>64</v>
      </c>
    </row>
    <row r="544" spans="1:3" ht="15.75" thickBot="1" x14ac:dyDescent="0.3">
      <c r="A544" s="31">
        <v>53409</v>
      </c>
      <c r="B544" s="32" t="s">
        <v>66</v>
      </c>
      <c r="C544" s="33" t="s">
        <v>67</v>
      </c>
    </row>
    <row r="545" spans="1:3" ht="15.75" thickBot="1" x14ac:dyDescent="0.3">
      <c r="A545" s="31">
        <v>53438</v>
      </c>
      <c r="B545" s="32" t="s">
        <v>68</v>
      </c>
      <c r="C545" s="33" t="s">
        <v>69</v>
      </c>
    </row>
    <row r="546" spans="1:3" ht="15.75" thickBot="1" x14ac:dyDescent="0.3">
      <c r="A546" s="31">
        <v>53448</v>
      </c>
      <c r="B546" s="32" t="s">
        <v>65</v>
      </c>
      <c r="C546" s="33" t="s">
        <v>70</v>
      </c>
    </row>
    <row r="547" spans="1:3" ht="15.75" thickBot="1" x14ac:dyDescent="0.3">
      <c r="A547" s="31">
        <v>53471</v>
      </c>
      <c r="B547" s="32" t="s">
        <v>71</v>
      </c>
      <c r="C547" s="33" t="s">
        <v>72</v>
      </c>
    </row>
    <row r="548" spans="1:3" ht="15.75" thickBot="1" x14ac:dyDescent="0.3">
      <c r="A548" s="31">
        <v>53577</v>
      </c>
      <c r="B548" s="32" t="s">
        <v>66</v>
      </c>
      <c r="C548" s="33" t="s">
        <v>73</v>
      </c>
    </row>
    <row r="549" spans="1:3" ht="15.75" thickBot="1" x14ac:dyDescent="0.3">
      <c r="A549" s="31">
        <v>53612</v>
      </c>
      <c r="B549" s="32" t="s">
        <v>66</v>
      </c>
      <c r="C549" s="33" t="s">
        <v>74</v>
      </c>
    </row>
    <row r="550" spans="1:3" ht="15.75" thickBot="1" x14ac:dyDescent="0.3">
      <c r="A550" s="31">
        <v>53633</v>
      </c>
      <c r="B550" s="32" t="s">
        <v>66</v>
      </c>
      <c r="C550" s="33" t="s">
        <v>75</v>
      </c>
    </row>
    <row r="551" spans="1:3" ht="15.75" thickBot="1" x14ac:dyDescent="0.3">
      <c r="A551" s="31">
        <v>53646</v>
      </c>
      <c r="B551" s="32" t="s">
        <v>71</v>
      </c>
      <c r="C551" s="33" t="s">
        <v>76</v>
      </c>
    </row>
    <row r="552" spans="1:3" ht="15.75" thickBot="1" x14ac:dyDescent="0.3">
      <c r="A552" s="31">
        <v>53686</v>
      </c>
      <c r="B552" s="32" t="s">
        <v>65</v>
      </c>
      <c r="C552" s="33" t="s">
        <v>77</v>
      </c>
    </row>
    <row r="553" spans="1:3" ht="15.75" thickBot="1" x14ac:dyDescent="0.3">
      <c r="A553" s="34">
        <v>53693</v>
      </c>
      <c r="B553" s="35" t="s">
        <v>65</v>
      </c>
      <c r="C553" s="36" t="s">
        <v>63</v>
      </c>
    </row>
    <row r="554" spans="1:3" ht="15.75" thickBot="1" x14ac:dyDescent="0.3">
      <c r="A554" s="25">
        <v>53748</v>
      </c>
      <c r="B554" s="26" t="s">
        <v>62</v>
      </c>
      <c r="C554" s="27" t="s">
        <v>64</v>
      </c>
    </row>
    <row r="555" spans="1:3" ht="15.75" thickBot="1" x14ac:dyDescent="0.3">
      <c r="A555" s="25">
        <v>53749</v>
      </c>
      <c r="B555" s="26" t="s">
        <v>65</v>
      </c>
      <c r="C555" s="27" t="s">
        <v>64</v>
      </c>
    </row>
    <row r="556" spans="1:3" ht="15.75" thickBot="1" x14ac:dyDescent="0.3">
      <c r="A556" s="25">
        <v>53794</v>
      </c>
      <c r="B556" s="26" t="s">
        <v>66</v>
      </c>
      <c r="C556" s="27" t="s">
        <v>67</v>
      </c>
    </row>
    <row r="557" spans="1:3" ht="15.75" thickBot="1" x14ac:dyDescent="0.3">
      <c r="A557" s="25">
        <v>53803</v>
      </c>
      <c r="B557" s="26" t="s">
        <v>65</v>
      </c>
      <c r="C557" s="27" t="s">
        <v>69</v>
      </c>
    </row>
    <row r="558" spans="1:3" ht="15.75" thickBot="1" x14ac:dyDescent="0.3">
      <c r="A558" s="25">
        <v>53813</v>
      </c>
      <c r="B558" s="26" t="s">
        <v>79</v>
      </c>
      <c r="C558" s="27" t="s">
        <v>70</v>
      </c>
    </row>
    <row r="559" spans="1:3" ht="15.75" thickBot="1" x14ac:dyDescent="0.3">
      <c r="A559" s="25">
        <v>53856</v>
      </c>
      <c r="B559" s="26" t="s">
        <v>71</v>
      </c>
      <c r="C559" s="27" t="s">
        <v>72</v>
      </c>
    </row>
    <row r="560" spans="1:3" ht="15.75" thickBot="1" x14ac:dyDescent="0.3">
      <c r="A560" s="25">
        <v>53942</v>
      </c>
      <c r="B560" s="26" t="s">
        <v>68</v>
      </c>
      <c r="C560" s="27" t="s">
        <v>73</v>
      </c>
    </row>
    <row r="561" spans="1:3" ht="15.75" thickBot="1" x14ac:dyDescent="0.3">
      <c r="A561" s="25">
        <v>53977</v>
      </c>
      <c r="B561" s="26" t="s">
        <v>68</v>
      </c>
      <c r="C561" s="27" t="s">
        <v>74</v>
      </c>
    </row>
    <row r="562" spans="1:3" ht="15.75" thickBot="1" x14ac:dyDescent="0.3">
      <c r="A562" s="25">
        <v>53998</v>
      </c>
      <c r="B562" s="26" t="s">
        <v>68</v>
      </c>
      <c r="C562" s="27" t="s">
        <v>75</v>
      </c>
    </row>
    <row r="563" spans="1:3" ht="15.75" thickBot="1" x14ac:dyDescent="0.3">
      <c r="A563" s="25">
        <v>54011</v>
      </c>
      <c r="B563" s="26" t="s">
        <v>66</v>
      </c>
      <c r="C563" s="27" t="s">
        <v>76</v>
      </c>
    </row>
    <row r="564" spans="1:3" ht="15.75" thickBot="1" x14ac:dyDescent="0.3">
      <c r="A564" s="25">
        <v>54051</v>
      </c>
      <c r="B564" s="26" t="s">
        <v>79</v>
      </c>
      <c r="C564" s="27" t="s">
        <v>77</v>
      </c>
    </row>
    <row r="565" spans="1:3" ht="15.75" thickBot="1" x14ac:dyDescent="0.3">
      <c r="A565" s="28">
        <v>54058</v>
      </c>
      <c r="B565" s="29" t="s">
        <v>79</v>
      </c>
      <c r="C565" s="30" t="s">
        <v>63</v>
      </c>
    </row>
    <row r="566" spans="1:3" ht="15.75" thickBot="1" x14ac:dyDescent="0.3">
      <c r="A566" s="31">
        <v>54105</v>
      </c>
      <c r="B566" s="32" t="s">
        <v>62</v>
      </c>
      <c r="C566" s="33" t="s">
        <v>64</v>
      </c>
    </row>
    <row r="567" spans="1:3" ht="15.75" thickBot="1" x14ac:dyDescent="0.3">
      <c r="A567" s="31">
        <v>54106</v>
      </c>
      <c r="B567" s="32" t="s">
        <v>65</v>
      </c>
      <c r="C567" s="33" t="s">
        <v>64</v>
      </c>
    </row>
    <row r="568" spans="1:3" ht="15.75" thickBot="1" x14ac:dyDescent="0.3">
      <c r="A568" s="31">
        <v>54151</v>
      </c>
      <c r="B568" s="32" t="s">
        <v>66</v>
      </c>
      <c r="C568" s="33" t="s">
        <v>67</v>
      </c>
    </row>
    <row r="569" spans="1:3" ht="15.75" thickBot="1" x14ac:dyDescent="0.3">
      <c r="A569" s="31">
        <v>54169</v>
      </c>
      <c r="B569" s="32" t="s">
        <v>65</v>
      </c>
      <c r="C569" s="33" t="s">
        <v>69</v>
      </c>
    </row>
    <row r="570" spans="1:3" ht="15.75" thickBot="1" x14ac:dyDescent="0.3">
      <c r="A570" s="31">
        <v>54179</v>
      </c>
      <c r="B570" s="32" t="s">
        <v>66</v>
      </c>
      <c r="C570" s="33" t="s">
        <v>70</v>
      </c>
    </row>
    <row r="571" spans="1:3" ht="15.75" thickBot="1" x14ac:dyDescent="0.3">
      <c r="A571" s="31">
        <v>54213</v>
      </c>
      <c r="B571" s="32" t="s">
        <v>71</v>
      </c>
      <c r="C571" s="33" t="s">
        <v>72</v>
      </c>
    </row>
    <row r="572" spans="1:3" ht="15.75" thickBot="1" x14ac:dyDescent="0.3">
      <c r="A572" s="31">
        <v>54308</v>
      </c>
      <c r="B572" s="32" t="s">
        <v>62</v>
      </c>
      <c r="C572" s="33" t="s">
        <v>73</v>
      </c>
    </row>
    <row r="573" spans="1:3" ht="15.75" thickBot="1" x14ac:dyDescent="0.3">
      <c r="A573" s="31">
        <v>54343</v>
      </c>
      <c r="B573" s="32" t="s">
        <v>62</v>
      </c>
      <c r="C573" s="33" t="s">
        <v>74</v>
      </c>
    </row>
    <row r="574" spans="1:3" ht="15.75" thickBot="1" x14ac:dyDescent="0.3">
      <c r="A574" s="31">
        <v>54364</v>
      </c>
      <c r="B574" s="32" t="s">
        <v>62</v>
      </c>
      <c r="C574" s="33" t="s">
        <v>75</v>
      </c>
    </row>
    <row r="575" spans="1:3" ht="15.75" thickBot="1" x14ac:dyDescent="0.3">
      <c r="A575" s="31">
        <v>54377</v>
      </c>
      <c r="B575" s="32" t="s">
        <v>78</v>
      </c>
      <c r="C575" s="33" t="s">
        <v>76</v>
      </c>
    </row>
    <row r="576" spans="1:3" ht="15.75" thickBot="1" x14ac:dyDescent="0.3">
      <c r="A576" s="31">
        <v>54417</v>
      </c>
      <c r="B576" s="32" t="s">
        <v>66</v>
      </c>
      <c r="C576" s="33" t="s">
        <v>77</v>
      </c>
    </row>
    <row r="577" spans="1:3" ht="15.75" thickBot="1" x14ac:dyDescent="0.3">
      <c r="A577" s="34">
        <v>54424</v>
      </c>
      <c r="B577" s="35" t="s">
        <v>66</v>
      </c>
      <c r="C577" s="36" t="s">
        <v>63</v>
      </c>
    </row>
    <row r="578" spans="1:3" ht="15.75" thickBot="1" x14ac:dyDescent="0.3">
      <c r="A578" s="25">
        <v>54483</v>
      </c>
      <c r="B578" s="26" t="s">
        <v>62</v>
      </c>
      <c r="C578" s="27" t="s">
        <v>64</v>
      </c>
    </row>
    <row r="579" spans="1:3" ht="15.75" thickBot="1" x14ac:dyDescent="0.3">
      <c r="A579" s="25">
        <v>54484</v>
      </c>
      <c r="B579" s="26" t="s">
        <v>65</v>
      </c>
      <c r="C579" s="27" t="s">
        <v>64</v>
      </c>
    </row>
    <row r="580" spans="1:3" ht="15.75" thickBot="1" x14ac:dyDescent="0.3">
      <c r="A580" s="25">
        <v>54529</v>
      </c>
      <c r="B580" s="26" t="s">
        <v>66</v>
      </c>
      <c r="C580" s="27" t="s">
        <v>67</v>
      </c>
    </row>
    <row r="581" spans="1:3" ht="15.75" thickBot="1" x14ac:dyDescent="0.3">
      <c r="A581" s="25">
        <v>54534</v>
      </c>
      <c r="B581" s="26" t="s">
        <v>79</v>
      </c>
      <c r="C581" s="27" t="s">
        <v>69</v>
      </c>
    </row>
    <row r="582" spans="1:3" ht="15.75" thickBot="1" x14ac:dyDescent="0.3">
      <c r="A582" s="25">
        <v>54544</v>
      </c>
      <c r="B582" s="26" t="s">
        <v>68</v>
      </c>
      <c r="C582" s="27" t="s">
        <v>70</v>
      </c>
    </row>
    <row r="583" spans="1:3" ht="15.75" thickBot="1" x14ac:dyDescent="0.3">
      <c r="A583" s="25">
        <v>54591</v>
      </c>
      <c r="B583" s="26" t="s">
        <v>71</v>
      </c>
      <c r="C583" s="27" t="s">
        <v>72</v>
      </c>
    </row>
    <row r="584" spans="1:3" ht="15.75" thickBot="1" x14ac:dyDescent="0.3">
      <c r="A584" s="25">
        <v>54673</v>
      </c>
      <c r="B584" s="26" t="s">
        <v>65</v>
      </c>
      <c r="C584" s="27" t="s">
        <v>73</v>
      </c>
    </row>
    <row r="585" spans="1:3" ht="15.75" thickBot="1" x14ac:dyDescent="0.3">
      <c r="A585" s="25">
        <v>54708</v>
      </c>
      <c r="B585" s="26" t="s">
        <v>65</v>
      </c>
      <c r="C585" s="27" t="s">
        <v>74</v>
      </c>
    </row>
    <row r="586" spans="1:3" ht="15.75" thickBot="1" x14ac:dyDescent="0.3">
      <c r="A586" s="25">
        <v>54729</v>
      </c>
      <c r="B586" s="26" t="s">
        <v>65</v>
      </c>
      <c r="C586" s="27" t="s">
        <v>75</v>
      </c>
    </row>
    <row r="587" spans="1:3" ht="15.75" thickBot="1" x14ac:dyDescent="0.3">
      <c r="A587" s="25">
        <v>54742</v>
      </c>
      <c r="B587" s="26" t="s">
        <v>62</v>
      </c>
      <c r="C587" s="27" t="s">
        <v>76</v>
      </c>
    </row>
    <row r="588" spans="1:3" ht="15.75" thickBot="1" x14ac:dyDescent="0.3">
      <c r="A588" s="25">
        <v>54782</v>
      </c>
      <c r="B588" s="26" t="s">
        <v>68</v>
      </c>
      <c r="C588" s="27" t="s">
        <v>77</v>
      </c>
    </row>
    <row r="589" spans="1:3" ht="15.75" thickBot="1" x14ac:dyDescent="0.3">
      <c r="A589" s="28">
        <v>54789</v>
      </c>
      <c r="B589" s="29" t="s">
        <v>68</v>
      </c>
      <c r="C589" s="30" t="s">
        <v>63</v>
      </c>
    </row>
    <row r="590" spans="1:3" ht="15.75" thickBot="1" x14ac:dyDescent="0.3">
      <c r="A590" s="31">
        <v>54840</v>
      </c>
      <c r="B590" s="32" t="s">
        <v>62</v>
      </c>
      <c r="C590" s="33" t="s">
        <v>64</v>
      </c>
    </row>
    <row r="591" spans="1:3" ht="15.75" thickBot="1" x14ac:dyDescent="0.3">
      <c r="A591" s="31">
        <v>54841</v>
      </c>
      <c r="B591" s="32" t="s">
        <v>65</v>
      </c>
      <c r="C591" s="33" t="s">
        <v>64</v>
      </c>
    </row>
    <row r="592" spans="1:3" ht="15.75" thickBot="1" x14ac:dyDescent="0.3">
      <c r="A592" s="31">
        <v>54886</v>
      </c>
      <c r="B592" s="32" t="s">
        <v>66</v>
      </c>
      <c r="C592" s="33" t="s">
        <v>67</v>
      </c>
    </row>
    <row r="593" spans="1:3" ht="15.75" thickBot="1" x14ac:dyDescent="0.3">
      <c r="A593" s="31">
        <v>54899</v>
      </c>
      <c r="B593" s="32" t="s">
        <v>71</v>
      </c>
      <c r="C593" s="33" t="s">
        <v>69</v>
      </c>
    </row>
    <row r="594" spans="1:3" ht="15.75" thickBot="1" x14ac:dyDescent="0.3">
      <c r="A594" s="31">
        <v>54909</v>
      </c>
      <c r="B594" s="32" t="s">
        <v>78</v>
      </c>
      <c r="C594" s="33" t="s">
        <v>70</v>
      </c>
    </row>
    <row r="595" spans="1:3" ht="15.75" thickBot="1" x14ac:dyDescent="0.3">
      <c r="A595" s="31">
        <v>54948</v>
      </c>
      <c r="B595" s="32" t="s">
        <v>71</v>
      </c>
      <c r="C595" s="33" t="s">
        <v>72</v>
      </c>
    </row>
    <row r="596" spans="1:3" ht="15.75" thickBot="1" x14ac:dyDescent="0.3">
      <c r="A596" s="31">
        <v>55038</v>
      </c>
      <c r="B596" s="32" t="s">
        <v>79</v>
      </c>
      <c r="C596" s="33" t="s">
        <v>73</v>
      </c>
    </row>
    <row r="597" spans="1:3" ht="15.75" thickBot="1" x14ac:dyDescent="0.3">
      <c r="A597" s="31">
        <v>55073</v>
      </c>
      <c r="B597" s="32" t="s">
        <v>79</v>
      </c>
      <c r="C597" s="33" t="s">
        <v>74</v>
      </c>
    </row>
    <row r="598" spans="1:3" ht="15.75" thickBot="1" x14ac:dyDescent="0.3">
      <c r="A598" s="31">
        <v>55094</v>
      </c>
      <c r="B598" s="32" t="s">
        <v>79</v>
      </c>
      <c r="C598" s="33" t="s">
        <v>75</v>
      </c>
    </row>
    <row r="599" spans="1:3" ht="15.75" thickBot="1" x14ac:dyDescent="0.3">
      <c r="A599" s="31">
        <v>55107</v>
      </c>
      <c r="B599" s="32" t="s">
        <v>65</v>
      </c>
      <c r="C599" s="33" t="s">
        <v>76</v>
      </c>
    </row>
    <row r="600" spans="1:3" ht="15.75" thickBot="1" x14ac:dyDescent="0.3">
      <c r="A600" s="31">
        <v>55147</v>
      </c>
      <c r="B600" s="32" t="s">
        <v>78</v>
      </c>
      <c r="C600" s="33" t="s">
        <v>77</v>
      </c>
    </row>
    <row r="601" spans="1:3" ht="15.75" thickBot="1" x14ac:dyDescent="0.3">
      <c r="A601" s="34">
        <v>55154</v>
      </c>
      <c r="B601" s="35" t="s">
        <v>78</v>
      </c>
      <c r="C601" s="36" t="s">
        <v>63</v>
      </c>
    </row>
    <row r="602" spans="1:3" ht="15.75" thickBot="1" x14ac:dyDescent="0.3">
      <c r="A602" s="25">
        <v>55197</v>
      </c>
      <c r="B602" s="26" t="s">
        <v>62</v>
      </c>
      <c r="C602" s="27" t="s">
        <v>64</v>
      </c>
    </row>
    <row r="603" spans="1:3" ht="15.75" thickBot="1" x14ac:dyDescent="0.3">
      <c r="A603" s="25">
        <v>55198</v>
      </c>
      <c r="B603" s="26" t="s">
        <v>65</v>
      </c>
      <c r="C603" s="27" t="s">
        <v>64</v>
      </c>
    </row>
    <row r="604" spans="1:3" ht="15.75" thickBot="1" x14ac:dyDescent="0.3">
      <c r="A604" s="25">
        <v>55243</v>
      </c>
      <c r="B604" s="26" t="s">
        <v>66</v>
      </c>
      <c r="C604" s="27" t="s">
        <v>67</v>
      </c>
    </row>
    <row r="605" spans="1:3" ht="15.75" thickBot="1" x14ac:dyDescent="0.3">
      <c r="A605" s="25">
        <v>55264</v>
      </c>
      <c r="B605" s="26" t="s">
        <v>66</v>
      </c>
      <c r="C605" s="27" t="s">
        <v>69</v>
      </c>
    </row>
    <row r="606" spans="1:3" ht="15.75" thickBot="1" x14ac:dyDescent="0.3">
      <c r="A606" s="25">
        <v>55274</v>
      </c>
      <c r="B606" s="26" t="s">
        <v>62</v>
      </c>
      <c r="C606" s="27" t="s">
        <v>70</v>
      </c>
    </row>
    <row r="607" spans="1:3" ht="15.75" thickBot="1" x14ac:dyDescent="0.3">
      <c r="A607" s="25">
        <v>55305</v>
      </c>
      <c r="B607" s="26" t="s">
        <v>71</v>
      </c>
      <c r="C607" s="27" t="s">
        <v>72</v>
      </c>
    </row>
    <row r="608" spans="1:3" ht="15.75" thickBot="1" x14ac:dyDescent="0.3">
      <c r="A608" s="25">
        <v>55403</v>
      </c>
      <c r="B608" s="26" t="s">
        <v>71</v>
      </c>
      <c r="C608" s="27" t="s">
        <v>73</v>
      </c>
    </row>
    <row r="609" spans="1:3" ht="15.75" thickBot="1" x14ac:dyDescent="0.3">
      <c r="A609" s="25">
        <v>55438</v>
      </c>
      <c r="B609" s="26" t="s">
        <v>71</v>
      </c>
      <c r="C609" s="27" t="s">
        <v>74</v>
      </c>
    </row>
    <row r="610" spans="1:3" ht="15.75" thickBot="1" x14ac:dyDescent="0.3">
      <c r="A610" s="25">
        <v>55459</v>
      </c>
      <c r="B610" s="26" t="s">
        <v>71</v>
      </c>
      <c r="C610" s="27" t="s">
        <v>75</v>
      </c>
    </row>
    <row r="611" spans="1:3" ht="15.75" thickBot="1" x14ac:dyDescent="0.3">
      <c r="A611" s="25">
        <v>55472</v>
      </c>
      <c r="B611" s="26" t="s">
        <v>79</v>
      </c>
      <c r="C611" s="27" t="s">
        <v>76</v>
      </c>
    </row>
    <row r="612" spans="1:3" ht="15.75" thickBot="1" x14ac:dyDescent="0.3">
      <c r="A612" s="25">
        <v>55512</v>
      </c>
      <c r="B612" s="26" t="s">
        <v>62</v>
      </c>
      <c r="C612" s="27" t="s">
        <v>77</v>
      </c>
    </row>
    <row r="613" spans="1:3" ht="15.75" thickBot="1" x14ac:dyDescent="0.3">
      <c r="A613" s="28">
        <v>55519</v>
      </c>
      <c r="B613" s="29" t="s">
        <v>62</v>
      </c>
      <c r="C613" s="30" t="s">
        <v>63</v>
      </c>
    </row>
    <row r="614" spans="1:3" ht="15.75" thickBot="1" x14ac:dyDescent="0.3">
      <c r="A614" s="31">
        <v>55582</v>
      </c>
      <c r="B614" s="32" t="s">
        <v>62</v>
      </c>
      <c r="C614" s="33" t="s">
        <v>64</v>
      </c>
    </row>
    <row r="615" spans="1:3" ht="15.75" thickBot="1" x14ac:dyDescent="0.3">
      <c r="A615" s="31">
        <v>55583</v>
      </c>
      <c r="B615" s="32" t="s">
        <v>65</v>
      </c>
      <c r="C615" s="33" t="s">
        <v>64</v>
      </c>
    </row>
    <row r="616" spans="1:3" ht="15.75" thickBot="1" x14ac:dyDescent="0.3">
      <c r="A616" s="31">
        <v>55628</v>
      </c>
      <c r="B616" s="32" t="s">
        <v>66</v>
      </c>
      <c r="C616" s="33" t="s">
        <v>67</v>
      </c>
    </row>
    <row r="617" spans="1:3" ht="15.75" thickBot="1" x14ac:dyDescent="0.3">
      <c r="A617" s="31">
        <v>55630</v>
      </c>
      <c r="B617" s="32" t="s">
        <v>78</v>
      </c>
      <c r="C617" s="33" t="s">
        <v>69</v>
      </c>
    </row>
    <row r="618" spans="1:3" ht="15.75" thickBot="1" x14ac:dyDescent="0.3">
      <c r="A618" s="31">
        <v>55640</v>
      </c>
      <c r="B618" s="32" t="s">
        <v>79</v>
      </c>
      <c r="C618" s="33" t="s">
        <v>70</v>
      </c>
    </row>
    <row r="619" spans="1:3" ht="15.75" thickBot="1" x14ac:dyDescent="0.3">
      <c r="A619" s="31">
        <v>55690</v>
      </c>
      <c r="B619" s="32" t="s">
        <v>71</v>
      </c>
      <c r="C619" s="33" t="s">
        <v>72</v>
      </c>
    </row>
    <row r="620" spans="1:3" ht="15.75" thickBot="1" x14ac:dyDescent="0.3">
      <c r="A620" s="31">
        <v>55769</v>
      </c>
      <c r="B620" s="32" t="s">
        <v>68</v>
      </c>
      <c r="C620" s="33" t="s">
        <v>73</v>
      </c>
    </row>
    <row r="621" spans="1:3" ht="15.75" thickBot="1" x14ac:dyDescent="0.3">
      <c r="A621" s="31">
        <v>55804</v>
      </c>
      <c r="B621" s="32" t="s">
        <v>68</v>
      </c>
      <c r="C621" s="33" t="s">
        <v>74</v>
      </c>
    </row>
    <row r="622" spans="1:3" ht="15.75" thickBot="1" x14ac:dyDescent="0.3">
      <c r="A622" s="31">
        <v>55825</v>
      </c>
      <c r="B622" s="32" t="s">
        <v>68</v>
      </c>
      <c r="C622" s="33" t="s">
        <v>75</v>
      </c>
    </row>
    <row r="623" spans="1:3" ht="15.75" thickBot="1" x14ac:dyDescent="0.3">
      <c r="A623" s="31">
        <v>55838</v>
      </c>
      <c r="B623" s="32" t="s">
        <v>66</v>
      </c>
      <c r="C623" s="33" t="s">
        <v>76</v>
      </c>
    </row>
    <row r="624" spans="1:3" ht="15.75" thickBot="1" x14ac:dyDescent="0.3">
      <c r="A624" s="31">
        <v>55878</v>
      </c>
      <c r="B624" s="32" t="s">
        <v>79</v>
      </c>
      <c r="C624" s="33" t="s">
        <v>77</v>
      </c>
    </row>
    <row r="625" spans="1:3" ht="15.75" thickBot="1" x14ac:dyDescent="0.3">
      <c r="A625" s="34">
        <v>55885</v>
      </c>
      <c r="B625" s="35" t="s">
        <v>79</v>
      </c>
      <c r="C625" s="36" t="s">
        <v>63</v>
      </c>
    </row>
    <row r="626" spans="1:3" ht="15.75" thickBot="1" x14ac:dyDescent="0.3">
      <c r="A626" s="25">
        <v>55932</v>
      </c>
      <c r="B626" s="26" t="s">
        <v>62</v>
      </c>
      <c r="C626" s="27" t="s">
        <v>64</v>
      </c>
    </row>
    <row r="627" spans="1:3" ht="15.75" thickBot="1" x14ac:dyDescent="0.3">
      <c r="A627" s="25">
        <v>55933</v>
      </c>
      <c r="B627" s="26" t="s">
        <v>65</v>
      </c>
      <c r="C627" s="27" t="s">
        <v>64</v>
      </c>
    </row>
    <row r="628" spans="1:3" ht="15.75" thickBot="1" x14ac:dyDescent="0.3">
      <c r="A628" s="25">
        <v>55978</v>
      </c>
      <c r="B628" s="26" t="s">
        <v>66</v>
      </c>
      <c r="C628" s="27" t="s">
        <v>67</v>
      </c>
    </row>
    <row r="629" spans="1:3" ht="15.75" thickBot="1" x14ac:dyDescent="0.3">
      <c r="A629" s="25">
        <v>55995</v>
      </c>
      <c r="B629" s="26" t="s">
        <v>62</v>
      </c>
      <c r="C629" s="27" t="s">
        <v>69</v>
      </c>
    </row>
    <row r="630" spans="1:3" ht="15.75" thickBot="1" x14ac:dyDescent="0.3">
      <c r="A630" s="25">
        <v>56005</v>
      </c>
      <c r="B630" s="26" t="s">
        <v>71</v>
      </c>
      <c r="C630" s="27" t="s">
        <v>70</v>
      </c>
    </row>
    <row r="631" spans="1:3" ht="15.75" thickBot="1" x14ac:dyDescent="0.3">
      <c r="A631" s="25">
        <v>56040</v>
      </c>
      <c r="B631" s="26" t="s">
        <v>71</v>
      </c>
      <c r="C631" s="27" t="s">
        <v>72</v>
      </c>
    </row>
    <row r="632" spans="1:3" ht="15.75" thickBot="1" x14ac:dyDescent="0.3">
      <c r="A632" s="25">
        <v>56134</v>
      </c>
      <c r="B632" s="26" t="s">
        <v>78</v>
      </c>
      <c r="C632" s="27" t="s">
        <v>73</v>
      </c>
    </row>
    <row r="633" spans="1:3" ht="15.75" thickBot="1" x14ac:dyDescent="0.3">
      <c r="A633" s="25">
        <v>56169</v>
      </c>
      <c r="B633" s="26" t="s">
        <v>78</v>
      </c>
      <c r="C633" s="27" t="s">
        <v>74</v>
      </c>
    </row>
    <row r="634" spans="1:3" ht="15.75" thickBot="1" x14ac:dyDescent="0.3">
      <c r="A634" s="25">
        <v>56190</v>
      </c>
      <c r="B634" s="26" t="s">
        <v>78</v>
      </c>
      <c r="C634" s="27" t="s">
        <v>75</v>
      </c>
    </row>
    <row r="635" spans="1:3" ht="15.75" thickBot="1" x14ac:dyDescent="0.3">
      <c r="A635" s="25">
        <v>56203</v>
      </c>
      <c r="B635" s="26" t="s">
        <v>68</v>
      </c>
      <c r="C635" s="27" t="s">
        <v>76</v>
      </c>
    </row>
    <row r="636" spans="1:3" ht="15.75" thickBot="1" x14ac:dyDescent="0.3">
      <c r="A636" s="25">
        <v>56243</v>
      </c>
      <c r="B636" s="26" t="s">
        <v>71</v>
      </c>
      <c r="C636" s="27" t="s">
        <v>77</v>
      </c>
    </row>
    <row r="637" spans="1:3" ht="15.75" thickBot="1" x14ac:dyDescent="0.3">
      <c r="A637" s="28">
        <v>56250</v>
      </c>
      <c r="B637" s="29" t="s">
        <v>71</v>
      </c>
      <c r="C637" s="30" t="s">
        <v>63</v>
      </c>
    </row>
    <row r="638" spans="1:3" ht="15.75" thickBot="1" x14ac:dyDescent="0.3">
      <c r="A638" s="31">
        <v>56289</v>
      </c>
      <c r="B638" s="32" t="s">
        <v>62</v>
      </c>
      <c r="C638" s="33" t="s">
        <v>64</v>
      </c>
    </row>
    <row r="639" spans="1:3" ht="15.75" thickBot="1" x14ac:dyDescent="0.3">
      <c r="A639" s="31">
        <v>56290</v>
      </c>
      <c r="B639" s="32" t="s">
        <v>65</v>
      </c>
      <c r="C639" s="33" t="s">
        <v>64</v>
      </c>
    </row>
    <row r="640" spans="1:3" ht="15.75" thickBot="1" x14ac:dyDescent="0.3">
      <c r="A640" s="31">
        <v>56335</v>
      </c>
      <c r="B640" s="32" t="s">
        <v>66</v>
      </c>
      <c r="C640" s="33" t="s">
        <v>67</v>
      </c>
    </row>
    <row r="641" spans="1:3" ht="15.75" thickBot="1" x14ac:dyDescent="0.3">
      <c r="A641" s="31">
        <v>56360</v>
      </c>
      <c r="B641" s="32" t="s">
        <v>65</v>
      </c>
      <c r="C641" s="33" t="s">
        <v>69</v>
      </c>
    </row>
    <row r="642" spans="1:3" ht="15.75" thickBot="1" x14ac:dyDescent="0.3">
      <c r="A642" s="31">
        <v>56370</v>
      </c>
      <c r="B642" s="32" t="s">
        <v>66</v>
      </c>
      <c r="C642" s="33" t="s">
        <v>70</v>
      </c>
    </row>
    <row r="643" spans="1:3" ht="15.75" thickBot="1" x14ac:dyDescent="0.3">
      <c r="A643" s="31">
        <v>56397</v>
      </c>
      <c r="B643" s="32" t="s">
        <v>71</v>
      </c>
      <c r="C643" s="33" t="s">
        <v>72</v>
      </c>
    </row>
    <row r="644" spans="1:3" ht="15.75" thickBot="1" x14ac:dyDescent="0.3">
      <c r="A644" s="31">
        <v>56499</v>
      </c>
      <c r="B644" s="32" t="s">
        <v>62</v>
      </c>
      <c r="C644" s="33" t="s">
        <v>73</v>
      </c>
    </row>
    <row r="645" spans="1:3" ht="15.75" thickBot="1" x14ac:dyDescent="0.3">
      <c r="A645" s="31">
        <v>56534</v>
      </c>
      <c r="B645" s="32" t="s">
        <v>62</v>
      </c>
      <c r="C645" s="33" t="s">
        <v>74</v>
      </c>
    </row>
    <row r="646" spans="1:3" ht="15.75" thickBot="1" x14ac:dyDescent="0.3">
      <c r="A646" s="31">
        <v>56555</v>
      </c>
      <c r="B646" s="32" t="s">
        <v>62</v>
      </c>
      <c r="C646" s="33" t="s">
        <v>75</v>
      </c>
    </row>
    <row r="647" spans="1:3" ht="15.75" thickBot="1" x14ac:dyDescent="0.3">
      <c r="A647" s="31">
        <v>56568</v>
      </c>
      <c r="B647" s="32" t="s">
        <v>78</v>
      </c>
      <c r="C647" s="33" t="s">
        <v>76</v>
      </c>
    </row>
    <row r="648" spans="1:3" ht="15.75" thickBot="1" x14ac:dyDescent="0.3">
      <c r="A648" s="31">
        <v>56608</v>
      </c>
      <c r="B648" s="32" t="s">
        <v>66</v>
      </c>
      <c r="C648" s="33" t="s">
        <v>77</v>
      </c>
    </row>
    <row r="649" spans="1:3" ht="15.75" thickBot="1" x14ac:dyDescent="0.3">
      <c r="A649" s="34">
        <v>56615</v>
      </c>
      <c r="B649" s="35" t="s">
        <v>66</v>
      </c>
      <c r="C649" s="36" t="s">
        <v>63</v>
      </c>
    </row>
    <row r="650" spans="1:3" ht="15.75" thickBot="1" x14ac:dyDescent="0.3">
      <c r="A650" s="25">
        <v>56674</v>
      </c>
      <c r="B650" s="26" t="s">
        <v>62</v>
      </c>
      <c r="C650" s="27" t="s">
        <v>64</v>
      </c>
    </row>
    <row r="651" spans="1:3" ht="15.75" thickBot="1" x14ac:dyDescent="0.3">
      <c r="A651" s="25">
        <v>56675</v>
      </c>
      <c r="B651" s="26" t="s">
        <v>65</v>
      </c>
      <c r="C651" s="27" t="s">
        <v>64</v>
      </c>
    </row>
    <row r="652" spans="1:3" ht="15.75" thickBot="1" x14ac:dyDescent="0.3">
      <c r="A652" s="25">
        <v>56720</v>
      </c>
      <c r="B652" s="26" t="s">
        <v>66</v>
      </c>
      <c r="C652" s="27" t="s">
        <v>67</v>
      </c>
    </row>
    <row r="653" spans="1:3" ht="15.75" thickBot="1" x14ac:dyDescent="0.3">
      <c r="A653" s="25">
        <v>56725</v>
      </c>
      <c r="B653" s="26" t="s">
        <v>79</v>
      </c>
      <c r="C653" s="27" t="s">
        <v>69</v>
      </c>
    </row>
    <row r="654" spans="1:3" ht="15.75" thickBot="1" x14ac:dyDescent="0.3">
      <c r="A654" s="25">
        <v>56735</v>
      </c>
      <c r="B654" s="26" t="s">
        <v>68</v>
      </c>
      <c r="C654" s="27" t="s">
        <v>70</v>
      </c>
    </row>
    <row r="655" spans="1:3" ht="15.75" thickBot="1" x14ac:dyDescent="0.3">
      <c r="A655" s="25">
        <v>56782</v>
      </c>
      <c r="B655" s="26" t="s">
        <v>71</v>
      </c>
      <c r="C655" s="27" t="s">
        <v>72</v>
      </c>
    </row>
    <row r="656" spans="1:3" ht="15.75" thickBot="1" x14ac:dyDescent="0.3">
      <c r="A656" s="25">
        <v>56864</v>
      </c>
      <c r="B656" s="26" t="s">
        <v>65</v>
      </c>
      <c r="C656" s="27" t="s">
        <v>73</v>
      </c>
    </row>
    <row r="657" spans="1:3" ht="15.75" thickBot="1" x14ac:dyDescent="0.3">
      <c r="A657" s="25">
        <v>56899</v>
      </c>
      <c r="B657" s="26" t="s">
        <v>65</v>
      </c>
      <c r="C657" s="27" t="s">
        <v>74</v>
      </c>
    </row>
    <row r="658" spans="1:3" ht="15.75" thickBot="1" x14ac:dyDescent="0.3">
      <c r="A658" s="25">
        <v>56920</v>
      </c>
      <c r="B658" s="26" t="s">
        <v>65</v>
      </c>
      <c r="C658" s="27" t="s">
        <v>75</v>
      </c>
    </row>
    <row r="659" spans="1:3" ht="15.75" thickBot="1" x14ac:dyDescent="0.3">
      <c r="A659" s="25">
        <v>56933</v>
      </c>
      <c r="B659" s="26" t="s">
        <v>62</v>
      </c>
      <c r="C659" s="27" t="s">
        <v>76</v>
      </c>
    </row>
    <row r="660" spans="1:3" ht="15.75" thickBot="1" x14ac:dyDescent="0.3">
      <c r="A660" s="25">
        <v>56973</v>
      </c>
      <c r="B660" s="26" t="s">
        <v>68</v>
      </c>
      <c r="C660" s="27" t="s">
        <v>77</v>
      </c>
    </row>
    <row r="661" spans="1:3" ht="15.75" thickBot="1" x14ac:dyDescent="0.3">
      <c r="A661" s="28">
        <v>56980</v>
      </c>
      <c r="B661" s="29" t="s">
        <v>68</v>
      </c>
      <c r="C661" s="30" t="s">
        <v>63</v>
      </c>
    </row>
    <row r="662" spans="1:3" ht="15.75" thickBot="1" x14ac:dyDescent="0.3">
      <c r="A662" s="31">
        <v>57024</v>
      </c>
      <c r="B662" s="32" t="s">
        <v>62</v>
      </c>
      <c r="C662" s="33" t="s">
        <v>64</v>
      </c>
    </row>
    <row r="663" spans="1:3" ht="15.75" thickBot="1" x14ac:dyDescent="0.3">
      <c r="A663" s="31">
        <v>57025</v>
      </c>
      <c r="B663" s="32" t="s">
        <v>65</v>
      </c>
      <c r="C663" s="33" t="s">
        <v>64</v>
      </c>
    </row>
    <row r="664" spans="1:3" ht="15.75" thickBot="1" x14ac:dyDescent="0.3">
      <c r="A664" s="31">
        <v>57070</v>
      </c>
      <c r="B664" s="32" t="s">
        <v>66</v>
      </c>
      <c r="C664" s="33" t="s">
        <v>67</v>
      </c>
    </row>
    <row r="665" spans="1:3" ht="15.75" thickBot="1" x14ac:dyDescent="0.3">
      <c r="A665" s="31">
        <v>57091</v>
      </c>
      <c r="B665" s="32" t="s">
        <v>66</v>
      </c>
      <c r="C665" s="33" t="s">
        <v>69</v>
      </c>
    </row>
    <row r="666" spans="1:3" ht="15.75" thickBot="1" x14ac:dyDescent="0.3">
      <c r="A666" s="31">
        <v>57101</v>
      </c>
      <c r="B666" s="32" t="s">
        <v>62</v>
      </c>
      <c r="C666" s="33" t="s">
        <v>70</v>
      </c>
    </row>
    <row r="667" spans="1:3" ht="15.75" thickBot="1" x14ac:dyDescent="0.3">
      <c r="A667" s="31">
        <v>57132</v>
      </c>
      <c r="B667" s="32" t="s">
        <v>71</v>
      </c>
      <c r="C667" s="33" t="s">
        <v>72</v>
      </c>
    </row>
    <row r="668" spans="1:3" ht="15.75" thickBot="1" x14ac:dyDescent="0.3">
      <c r="A668" s="31">
        <v>57230</v>
      </c>
      <c r="B668" s="32" t="s">
        <v>71</v>
      </c>
      <c r="C668" s="33" t="s">
        <v>73</v>
      </c>
    </row>
    <row r="669" spans="1:3" ht="15.75" thickBot="1" x14ac:dyDescent="0.3">
      <c r="A669" s="31">
        <v>57265</v>
      </c>
      <c r="B669" s="32" t="s">
        <v>71</v>
      </c>
      <c r="C669" s="33" t="s">
        <v>74</v>
      </c>
    </row>
    <row r="670" spans="1:3" ht="15.75" thickBot="1" x14ac:dyDescent="0.3">
      <c r="A670" s="31">
        <v>57286</v>
      </c>
      <c r="B670" s="32" t="s">
        <v>71</v>
      </c>
      <c r="C670" s="33" t="s">
        <v>75</v>
      </c>
    </row>
    <row r="671" spans="1:3" ht="15.75" thickBot="1" x14ac:dyDescent="0.3">
      <c r="A671" s="31">
        <v>57299</v>
      </c>
      <c r="B671" s="32" t="s">
        <v>79</v>
      </c>
      <c r="C671" s="33" t="s">
        <v>76</v>
      </c>
    </row>
    <row r="672" spans="1:3" ht="15.75" thickBot="1" x14ac:dyDescent="0.3">
      <c r="A672" s="31">
        <v>57339</v>
      </c>
      <c r="B672" s="32" t="s">
        <v>62</v>
      </c>
      <c r="C672" s="33" t="s">
        <v>77</v>
      </c>
    </row>
    <row r="673" spans="1:3" ht="15.75" thickBot="1" x14ac:dyDescent="0.3">
      <c r="A673" s="34">
        <v>57346</v>
      </c>
      <c r="B673" s="35" t="s">
        <v>62</v>
      </c>
      <c r="C673" s="36" t="s">
        <v>63</v>
      </c>
    </row>
    <row r="674" spans="1:3" ht="15.75" thickBot="1" x14ac:dyDescent="0.3">
      <c r="A674" s="25">
        <v>57409</v>
      </c>
      <c r="B674" s="26" t="s">
        <v>62</v>
      </c>
      <c r="C674" s="27" t="s">
        <v>64</v>
      </c>
    </row>
    <row r="675" spans="1:3" ht="15.75" thickBot="1" x14ac:dyDescent="0.3">
      <c r="A675" s="25">
        <v>57410</v>
      </c>
      <c r="B675" s="26" t="s">
        <v>65</v>
      </c>
      <c r="C675" s="27" t="s">
        <v>64</v>
      </c>
    </row>
    <row r="676" spans="1:3" ht="15.75" thickBot="1" x14ac:dyDescent="0.3">
      <c r="A676" s="25">
        <v>57455</v>
      </c>
      <c r="B676" s="26" t="s">
        <v>66</v>
      </c>
      <c r="C676" s="27" t="s">
        <v>67</v>
      </c>
    </row>
    <row r="677" spans="1:3" ht="15.75" thickBot="1" x14ac:dyDescent="0.3">
      <c r="A677" s="25">
        <v>57456</v>
      </c>
      <c r="B677" s="26" t="s">
        <v>68</v>
      </c>
      <c r="C677" s="27" t="s">
        <v>69</v>
      </c>
    </row>
    <row r="678" spans="1:3" ht="15.75" thickBot="1" x14ac:dyDescent="0.3">
      <c r="A678" s="25">
        <v>57466</v>
      </c>
      <c r="B678" s="26" t="s">
        <v>65</v>
      </c>
      <c r="C678" s="27" t="s">
        <v>70</v>
      </c>
    </row>
    <row r="679" spans="1:3" ht="15.75" thickBot="1" x14ac:dyDescent="0.3">
      <c r="A679" s="25">
        <v>57517</v>
      </c>
      <c r="B679" s="26" t="s">
        <v>71</v>
      </c>
      <c r="C679" s="27" t="s">
        <v>72</v>
      </c>
    </row>
    <row r="680" spans="1:3" ht="15.75" thickBot="1" x14ac:dyDescent="0.3">
      <c r="A680" s="25">
        <v>57595</v>
      </c>
      <c r="B680" s="26" t="s">
        <v>66</v>
      </c>
      <c r="C680" s="27" t="s">
        <v>73</v>
      </c>
    </row>
    <row r="681" spans="1:3" ht="15.75" thickBot="1" x14ac:dyDescent="0.3">
      <c r="A681" s="25">
        <v>57630</v>
      </c>
      <c r="B681" s="26" t="s">
        <v>66</v>
      </c>
      <c r="C681" s="27" t="s">
        <v>74</v>
      </c>
    </row>
    <row r="682" spans="1:3" ht="15.75" thickBot="1" x14ac:dyDescent="0.3">
      <c r="A682" s="25">
        <v>57651</v>
      </c>
      <c r="B682" s="26" t="s">
        <v>66</v>
      </c>
      <c r="C682" s="27" t="s">
        <v>75</v>
      </c>
    </row>
    <row r="683" spans="1:3" ht="15.75" thickBot="1" x14ac:dyDescent="0.3">
      <c r="A683" s="25">
        <v>57664</v>
      </c>
      <c r="B683" s="26" t="s">
        <v>71</v>
      </c>
      <c r="C683" s="27" t="s">
        <v>76</v>
      </c>
    </row>
    <row r="684" spans="1:3" ht="15.75" thickBot="1" x14ac:dyDescent="0.3">
      <c r="A684" s="25">
        <v>57704</v>
      </c>
      <c r="B684" s="26" t="s">
        <v>65</v>
      </c>
      <c r="C684" s="27" t="s">
        <v>77</v>
      </c>
    </row>
    <row r="685" spans="1:3" ht="15.75" thickBot="1" x14ac:dyDescent="0.3">
      <c r="A685" s="28">
        <v>57711</v>
      </c>
      <c r="B685" s="29" t="s">
        <v>65</v>
      </c>
      <c r="C685" s="30" t="s">
        <v>63</v>
      </c>
    </row>
    <row r="686" spans="1:3" ht="15.75" thickBot="1" x14ac:dyDescent="0.3">
      <c r="A686" s="31">
        <v>57766</v>
      </c>
      <c r="B686" s="32" t="s">
        <v>62</v>
      </c>
      <c r="C686" s="33" t="s">
        <v>64</v>
      </c>
    </row>
    <row r="687" spans="1:3" ht="15.75" thickBot="1" x14ac:dyDescent="0.3">
      <c r="A687" s="31">
        <v>57767</v>
      </c>
      <c r="B687" s="32" t="s">
        <v>65</v>
      </c>
      <c r="C687" s="33" t="s">
        <v>64</v>
      </c>
    </row>
    <row r="688" spans="1:3" ht="15.75" thickBot="1" x14ac:dyDescent="0.3">
      <c r="A688" s="31">
        <v>57812</v>
      </c>
      <c r="B688" s="32" t="s">
        <v>66</v>
      </c>
      <c r="C688" s="33" t="s">
        <v>67</v>
      </c>
    </row>
    <row r="689" spans="1:3" ht="15.75" thickBot="1" x14ac:dyDescent="0.3">
      <c r="A689" s="31">
        <v>57821</v>
      </c>
      <c r="B689" s="32" t="s">
        <v>78</v>
      </c>
      <c r="C689" s="33" t="s">
        <v>69</v>
      </c>
    </row>
    <row r="690" spans="1:3" ht="15.75" thickBot="1" x14ac:dyDescent="0.3">
      <c r="A690" s="31">
        <v>57831</v>
      </c>
      <c r="B690" s="32" t="s">
        <v>79</v>
      </c>
      <c r="C690" s="33" t="s">
        <v>70</v>
      </c>
    </row>
    <row r="691" spans="1:3" ht="15.75" thickBot="1" x14ac:dyDescent="0.3">
      <c r="A691" s="31">
        <v>57874</v>
      </c>
      <c r="B691" s="32" t="s">
        <v>71</v>
      </c>
      <c r="C691" s="33" t="s">
        <v>72</v>
      </c>
    </row>
    <row r="692" spans="1:3" ht="15.75" thickBot="1" x14ac:dyDescent="0.3">
      <c r="A692" s="31">
        <v>57960</v>
      </c>
      <c r="B692" s="32" t="s">
        <v>68</v>
      </c>
      <c r="C692" s="33" t="s">
        <v>73</v>
      </c>
    </row>
    <row r="693" spans="1:3" ht="15.75" thickBot="1" x14ac:dyDescent="0.3">
      <c r="A693" s="31">
        <v>57995</v>
      </c>
      <c r="B693" s="32" t="s">
        <v>68</v>
      </c>
      <c r="C693" s="33" t="s">
        <v>74</v>
      </c>
    </row>
    <row r="694" spans="1:3" ht="15.75" thickBot="1" x14ac:dyDescent="0.3">
      <c r="A694" s="31">
        <v>58016</v>
      </c>
      <c r="B694" s="32" t="s">
        <v>68</v>
      </c>
      <c r="C694" s="33" t="s">
        <v>75</v>
      </c>
    </row>
    <row r="695" spans="1:3" ht="15.75" thickBot="1" x14ac:dyDescent="0.3">
      <c r="A695" s="31">
        <v>58029</v>
      </c>
      <c r="B695" s="32" t="s">
        <v>66</v>
      </c>
      <c r="C695" s="33" t="s">
        <v>76</v>
      </c>
    </row>
    <row r="696" spans="1:3" ht="15.75" thickBot="1" x14ac:dyDescent="0.3">
      <c r="A696" s="31">
        <v>58069</v>
      </c>
      <c r="B696" s="32" t="s">
        <v>79</v>
      </c>
      <c r="C696" s="33" t="s">
        <v>77</v>
      </c>
    </row>
    <row r="697" spans="1:3" ht="15.75" thickBot="1" x14ac:dyDescent="0.3">
      <c r="A697" s="34">
        <v>58076</v>
      </c>
      <c r="B697" s="35" t="s">
        <v>79</v>
      </c>
      <c r="C697" s="36" t="s">
        <v>63</v>
      </c>
    </row>
    <row r="698" spans="1:3" ht="15.75" thickBot="1" x14ac:dyDescent="0.3">
      <c r="A698" s="25">
        <v>58116</v>
      </c>
      <c r="B698" s="26" t="s">
        <v>62</v>
      </c>
      <c r="C698" s="27" t="s">
        <v>64</v>
      </c>
    </row>
    <row r="699" spans="1:3" ht="15.75" thickBot="1" x14ac:dyDescent="0.3">
      <c r="A699" s="25">
        <v>58117</v>
      </c>
      <c r="B699" s="26" t="s">
        <v>65</v>
      </c>
      <c r="C699" s="27" t="s">
        <v>64</v>
      </c>
    </row>
    <row r="700" spans="1:3" ht="15.75" thickBot="1" x14ac:dyDescent="0.3">
      <c r="A700" s="25">
        <v>58162</v>
      </c>
      <c r="B700" s="26" t="s">
        <v>66</v>
      </c>
      <c r="C700" s="27" t="s">
        <v>67</v>
      </c>
    </row>
    <row r="701" spans="1:3" ht="15.75" thickBot="1" x14ac:dyDescent="0.3">
      <c r="A701" s="25">
        <v>58186</v>
      </c>
      <c r="B701" s="26" t="s">
        <v>62</v>
      </c>
      <c r="C701" s="27" t="s">
        <v>69</v>
      </c>
    </row>
    <row r="702" spans="1:3" ht="15.75" thickBot="1" x14ac:dyDescent="0.3">
      <c r="A702" s="25">
        <v>58196</v>
      </c>
      <c r="B702" s="26" t="s">
        <v>71</v>
      </c>
      <c r="C702" s="27" t="s">
        <v>70</v>
      </c>
    </row>
    <row r="703" spans="1:3" ht="15.75" thickBot="1" x14ac:dyDescent="0.3">
      <c r="A703" s="25">
        <v>58224</v>
      </c>
      <c r="B703" s="26" t="s">
        <v>71</v>
      </c>
      <c r="C703" s="27" t="s">
        <v>72</v>
      </c>
    </row>
    <row r="704" spans="1:3" ht="15.75" thickBot="1" x14ac:dyDescent="0.3">
      <c r="A704" s="25">
        <v>58325</v>
      </c>
      <c r="B704" s="26" t="s">
        <v>78</v>
      </c>
      <c r="C704" s="27" t="s">
        <v>73</v>
      </c>
    </row>
    <row r="705" spans="1:3" ht="15.75" thickBot="1" x14ac:dyDescent="0.3">
      <c r="A705" s="25">
        <v>58360</v>
      </c>
      <c r="B705" s="26" t="s">
        <v>78</v>
      </c>
      <c r="C705" s="27" t="s">
        <v>74</v>
      </c>
    </row>
    <row r="706" spans="1:3" ht="15.75" thickBot="1" x14ac:dyDescent="0.3">
      <c r="A706" s="25">
        <v>58381</v>
      </c>
      <c r="B706" s="26" t="s">
        <v>78</v>
      </c>
      <c r="C706" s="27" t="s">
        <v>75</v>
      </c>
    </row>
    <row r="707" spans="1:3" ht="15.75" thickBot="1" x14ac:dyDescent="0.3">
      <c r="A707" s="25">
        <v>58394</v>
      </c>
      <c r="B707" s="26" t="s">
        <v>68</v>
      </c>
      <c r="C707" s="27" t="s">
        <v>76</v>
      </c>
    </row>
    <row r="708" spans="1:3" ht="15.75" thickBot="1" x14ac:dyDescent="0.3">
      <c r="A708" s="25">
        <v>58434</v>
      </c>
      <c r="B708" s="26" t="s">
        <v>71</v>
      </c>
      <c r="C708" s="27" t="s">
        <v>77</v>
      </c>
    </row>
    <row r="709" spans="1:3" ht="15.75" thickBot="1" x14ac:dyDescent="0.3">
      <c r="A709" s="28">
        <v>58441</v>
      </c>
      <c r="B709" s="29" t="s">
        <v>71</v>
      </c>
      <c r="C709" s="30" t="s">
        <v>63</v>
      </c>
    </row>
    <row r="710" spans="1:3" ht="15.75" thickBot="1" x14ac:dyDescent="0.3">
      <c r="A710" s="31">
        <v>58501</v>
      </c>
      <c r="B710" s="32" t="s">
        <v>62</v>
      </c>
      <c r="C710" s="33" t="s">
        <v>64</v>
      </c>
    </row>
    <row r="711" spans="1:3" ht="15.75" thickBot="1" x14ac:dyDescent="0.3">
      <c r="A711" s="31">
        <v>58502</v>
      </c>
      <c r="B711" s="32" t="s">
        <v>65</v>
      </c>
      <c r="C711" s="33" t="s">
        <v>64</v>
      </c>
    </row>
    <row r="712" spans="1:3" ht="15.75" thickBot="1" x14ac:dyDescent="0.3">
      <c r="A712" s="31">
        <v>58547</v>
      </c>
      <c r="B712" s="32" t="s">
        <v>66</v>
      </c>
      <c r="C712" s="33" t="s">
        <v>67</v>
      </c>
    </row>
    <row r="713" spans="1:3" ht="15.75" thickBot="1" x14ac:dyDescent="0.3">
      <c r="A713" s="31">
        <v>58552</v>
      </c>
      <c r="B713" s="32" t="s">
        <v>79</v>
      </c>
      <c r="C713" s="33" t="s">
        <v>69</v>
      </c>
    </row>
    <row r="714" spans="1:3" ht="15.75" thickBot="1" x14ac:dyDescent="0.3">
      <c r="A714" s="31">
        <v>58562</v>
      </c>
      <c r="B714" s="32" t="s">
        <v>68</v>
      </c>
      <c r="C714" s="33" t="s">
        <v>70</v>
      </c>
    </row>
    <row r="715" spans="1:3" ht="15.75" thickBot="1" x14ac:dyDescent="0.3">
      <c r="A715" s="31">
        <v>58609</v>
      </c>
      <c r="B715" s="32" t="s">
        <v>71</v>
      </c>
      <c r="C715" s="33" t="s">
        <v>72</v>
      </c>
    </row>
    <row r="716" spans="1:3" ht="15.75" thickBot="1" x14ac:dyDescent="0.3">
      <c r="A716" s="31">
        <v>58691</v>
      </c>
      <c r="B716" s="32" t="s">
        <v>65</v>
      </c>
      <c r="C716" s="33" t="s">
        <v>73</v>
      </c>
    </row>
    <row r="717" spans="1:3" ht="15.75" thickBot="1" x14ac:dyDescent="0.3">
      <c r="A717" s="31">
        <v>58726</v>
      </c>
      <c r="B717" s="32" t="s">
        <v>65</v>
      </c>
      <c r="C717" s="33" t="s">
        <v>74</v>
      </c>
    </row>
    <row r="718" spans="1:3" ht="15.75" thickBot="1" x14ac:dyDescent="0.3">
      <c r="A718" s="31">
        <v>58747</v>
      </c>
      <c r="B718" s="32" t="s">
        <v>65</v>
      </c>
      <c r="C718" s="33" t="s">
        <v>75</v>
      </c>
    </row>
    <row r="719" spans="1:3" ht="15.75" thickBot="1" x14ac:dyDescent="0.3">
      <c r="A719" s="31">
        <v>58760</v>
      </c>
      <c r="B719" s="32" t="s">
        <v>62</v>
      </c>
      <c r="C719" s="33" t="s">
        <v>76</v>
      </c>
    </row>
    <row r="720" spans="1:3" ht="15.75" thickBot="1" x14ac:dyDescent="0.3">
      <c r="A720" s="31">
        <v>58800</v>
      </c>
      <c r="B720" s="32" t="s">
        <v>68</v>
      </c>
      <c r="C720" s="33" t="s">
        <v>77</v>
      </c>
    </row>
    <row r="721" spans="1:3" ht="15.75" thickBot="1" x14ac:dyDescent="0.3">
      <c r="A721" s="34">
        <v>58807</v>
      </c>
      <c r="B721" s="35" t="s">
        <v>68</v>
      </c>
      <c r="C721" s="36" t="s">
        <v>63</v>
      </c>
    </row>
    <row r="722" spans="1:3" ht="15.75" thickBot="1" x14ac:dyDescent="0.3">
      <c r="A722" s="25">
        <v>58858</v>
      </c>
      <c r="B722" s="26" t="s">
        <v>62</v>
      </c>
      <c r="C722" s="27" t="s">
        <v>64</v>
      </c>
    </row>
    <row r="723" spans="1:3" ht="15.75" thickBot="1" x14ac:dyDescent="0.3">
      <c r="A723" s="25">
        <v>58859</v>
      </c>
      <c r="B723" s="26" t="s">
        <v>65</v>
      </c>
      <c r="C723" s="27" t="s">
        <v>64</v>
      </c>
    </row>
    <row r="724" spans="1:3" ht="15.75" thickBot="1" x14ac:dyDescent="0.3">
      <c r="A724" s="25">
        <v>58904</v>
      </c>
      <c r="B724" s="26" t="s">
        <v>66</v>
      </c>
      <c r="C724" s="27" t="s">
        <v>67</v>
      </c>
    </row>
    <row r="725" spans="1:3" ht="15.75" thickBot="1" x14ac:dyDescent="0.3">
      <c r="A725" s="25">
        <v>58917</v>
      </c>
      <c r="B725" s="26" t="s">
        <v>71</v>
      </c>
      <c r="C725" s="27" t="s">
        <v>69</v>
      </c>
    </row>
    <row r="726" spans="1:3" ht="15.75" thickBot="1" x14ac:dyDescent="0.3">
      <c r="A726" s="25">
        <v>58927</v>
      </c>
      <c r="B726" s="26" t="s">
        <v>78</v>
      </c>
      <c r="C726" s="27" t="s">
        <v>70</v>
      </c>
    </row>
    <row r="727" spans="1:3" ht="15.75" thickBot="1" x14ac:dyDescent="0.3">
      <c r="A727" s="25">
        <v>58966</v>
      </c>
      <c r="B727" s="26" t="s">
        <v>71</v>
      </c>
      <c r="C727" s="27" t="s">
        <v>72</v>
      </c>
    </row>
    <row r="728" spans="1:3" ht="15.75" thickBot="1" x14ac:dyDescent="0.3">
      <c r="A728" s="25">
        <v>59056</v>
      </c>
      <c r="B728" s="26" t="s">
        <v>79</v>
      </c>
      <c r="C728" s="27" t="s">
        <v>73</v>
      </c>
    </row>
    <row r="729" spans="1:3" ht="15.75" thickBot="1" x14ac:dyDescent="0.3">
      <c r="A729" s="25">
        <v>59091</v>
      </c>
      <c r="B729" s="26" t="s">
        <v>79</v>
      </c>
      <c r="C729" s="27" t="s">
        <v>74</v>
      </c>
    </row>
    <row r="730" spans="1:3" ht="15.75" thickBot="1" x14ac:dyDescent="0.3">
      <c r="A730" s="25">
        <v>59112</v>
      </c>
      <c r="B730" s="26" t="s">
        <v>79</v>
      </c>
      <c r="C730" s="27" t="s">
        <v>75</v>
      </c>
    </row>
    <row r="731" spans="1:3" ht="15.75" thickBot="1" x14ac:dyDescent="0.3">
      <c r="A731" s="25">
        <v>59125</v>
      </c>
      <c r="B731" s="26" t="s">
        <v>65</v>
      </c>
      <c r="C731" s="27" t="s">
        <v>76</v>
      </c>
    </row>
    <row r="732" spans="1:3" ht="15.75" thickBot="1" x14ac:dyDescent="0.3">
      <c r="A732" s="25">
        <v>59165</v>
      </c>
      <c r="B732" s="26" t="s">
        <v>78</v>
      </c>
      <c r="C732" s="27" t="s">
        <v>77</v>
      </c>
    </row>
    <row r="733" spans="1:3" ht="15.75" thickBot="1" x14ac:dyDescent="0.3">
      <c r="A733" s="28">
        <v>59172</v>
      </c>
      <c r="B733" s="29" t="s">
        <v>78</v>
      </c>
      <c r="C733" s="30" t="s">
        <v>63</v>
      </c>
    </row>
    <row r="734" spans="1:3" ht="15.75" thickBot="1" x14ac:dyDescent="0.3">
      <c r="A734" s="31">
        <v>59208</v>
      </c>
      <c r="B734" s="32" t="s">
        <v>62</v>
      </c>
      <c r="C734" s="33" t="s">
        <v>64</v>
      </c>
    </row>
    <row r="735" spans="1:3" ht="15.75" thickBot="1" x14ac:dyDescent="0.3">
      <c r="A735" s="31">
        <v>59209</v>
      </c>
      <c r="B735" s="32" t="s">
        <v>65</v>
      </c>
      <c r="C735" s="33" t="s">
        <v>64</v>
      </c>
    </row>
    <row r="736" spans="1:3" ht="15.75" thickBot="1" x14ac:dyDescent="0.3">
      <c r="A736" s="31">
        <v>59254</v>
      </c>
      <c r="B736" s="32" t="s">
        <v>66</v>
      </c>
      <c r="C736" s="33" t="s">
        <v>67</v>
      </c>
    </row>
    <row r="737" spans="1:3" ht="15.75" thickBot="1" x14ac:dyDescent="0.3">
      <c r="A737" s="31">
        <v>59282</v>
      </c>
      <c r="B737" s="32" t="s">
        <v>66</v>
      </c>
      <c r="C737" s="33" t="s">
        <v>69</v>
      </c>
    </row>
    <row r="738" spans="1:3" ht="15.75" thickBot="1" x14ac:dyDescent="0.3">
      <c r="A738" s="31">
        <v>59292</v>
      </c>
      <c r="B738" s="32" t="s">
        <v>62</v>
      </c>
      <c r="C738" s="33" t="s">
        <v>70</v>
      </c>
    </row>
    <row r="739" spans="1:3" ht="15.75" thickBot="1" x14ac:dyDescent="0.3">
      <c r="A739" s="31">
        <v>59316</v>
      </c>
      <c r="B739" s="32" t="s">
        <v>71</v>
      </c>
      <c r="C739" s="33" t="s">
        <v>72</v>
      </c>
    </row>
    <row r="740" spans="1:3" ht="15.75" thickBot="1" x14ac:dyDescent="0.3">
      <c r="A740" s="31">
        <v>59421</v>
      </c>
      <c r="B740" s="32" t="s">
        <v>71</v>
      </c>
      <c r="C740" s="33" t="s">
        <v>73</v>
      </c>
    </row>
    <row r="741" spans="1:3" ht="15.75" thickBot="1" x14ac:dyDescent="0.3">
      <c r="A741" s="31">
        <v>59456</v>
      </c>
      <c r="B741" s="32" t="s">
        <v>71</v>
      </c>
      <c r="C741" s="33" t="s">
        <v>74</v>
      </c>
    </row>
    <row r="742" spans="1:3" ht="15.75" thickBot="1" x14ac:dyDescent="0.3">
      <c r="A742" s="31">
        <v>59477</v>
      </c>
      <c r="B742" s="32" t="s">
        <v>71</v>
      </c>
      <c r="C742" s="33" t="s">
        <v>75</v>
      </c>
    </row>
    <row r="743" spans="1:3" ht="15.75" thickBot="1" x14ac:dyDescent="0.3">
      <c r="A743" s="31">
        <v>59490</v>
      </c>
      <c r="B743" s="32" t="s">
        <v>79</v>
      </c>
      <c r="C743" s="33" t="s">
        <v>76</v>
      </c>
    </row>
    <row r="744" spans="1:3" ht="15.75" thickBot="1" x14ac:dyDescent="0.3">
      <c r="A744" s="31">
        <v>59530</v>
      </c>
      <c r="B744" s="32" t="s">
        <v>62</v>
      </c>
      <c r="C744" s="33" t="s">
        <v>77</v>
      </c>
    </row>
    <row r="745" spans="1:3" ht="15.75" thickBot="1" x14ac:dyDescent="0.3">
      <c r="A745" s="34">
        <v>59537</v>
      </c>
      <c r="B745" s="35" t="s">
        <v>62</v>
      </c>
      <c r="C745" s="36" t="s">
        <v>63</v>
      </c>
    </row>
    <row r="746" spans="1:3" ht="15.75" thickBot="1" x14ac:dyDescent="0.3">
      <c r="A746" s="25">
        <v>59593</v>
      </c>
      <c r="B746" s="26" t="s">
        <v>62</v>
      </c>
      <c r="C746" s="27" t="s">
        <v>64</v>
      </c>
    </row>
    <row r="747" spans="1:3" ht="15.75" thickBot="1" x14ac:dyDescent="0.3">
      <c r="A747" s="25">
        <v>59594</v>
      </c>
      <c r="B747" s="26" t="s">
        <v>65</v>
      </c>
      <c r="C747" s="27" t="s">
        <v>64</v>
      </c>
    </row>
    <row r="748" spans="1:3" ht="15.75" thickBot="1" x14ac:dyDescent="0.3">
      <c r="A748" s="25">
        <v>59639</v>
      </c>
      <c r="B748" s="26" t="s">
        <v>66</v>
      </c>
      <c r="C748" s="27" t="s">
        <v>67</v>
      </c>
    </row>
    <row r="749" spans="1:3" ht="15.75" thickBot="1" x14ac:dyDescent="0.3">
      <c r="A749" s="25">
        <v>59647</v>
      </c>
      <c r="B749" s="26" t="s">
        <v>68</v>
      </c>
      <c r="C749" s="27" t="s">
        <v>69</v>
      </c>
    </row>
    <row r="750" spans="1:3" ht="15.75" thickBot="1" x14ac:dyDescent="0.3">
      <c r="A750" s="25">
        <v>59657</v>
      </c>
      <c r="B750" s="26" t="s">
        <v>65</v>
      </c>
      <c r="C750" s="27" t="s">
        <v>70</v>
      </c>
    </row>
    <row r="751" spans="1:3" ht="15.75" thickBot="1" x14ac:dyDescent="0.3">
      <c r="A751" s="25">
        <v>59701</v>
      </c>
      <c r="B751" s="26" t="s">
        <v>71</v>
      </c>
      <c r="C751" s="27" t="s">
        <v>72</v>
      </c>
    </row>
    <row r="752" spans="1:3" ht="15.75" thickBot="1" x14ac:dyDescent="0.3">
      <c r="A752" s="25">
        <v>59786</v>
      </c>
      <c r="B752" s="26" t="s">
        <v>66</v>
      </c>
      <c r="C752" s="27" t="s">
        <v>73</v>
      </c>
    </row>
    <row r="753" spans="1:3" ht="15.75" thickBot="1" x14ac:dyDescent="0.3">
      <c r="A753" s="25">
        <v>59821</v>
      </c>
      <c r="B753" s="26" t="s">
        <v>66</v>
      </c>
      <c r="C753" s="27" t="s">
        <v>74</v>
      </c>
    </row>
    <row r="754" spans="1:3" ht="15.75" thickBot="1" x14ac:dyDescent="0.3">
      <c r="A754" s="25">
        <v>59842</v>
      </c>
      <c r="B754" s="26" t="s">
        <v>66</v>
      </c>
      <c r="C754" s="27" t="s">
        <v>75</v>
      </c>
    </row>
    <row r="755" spans="1:3" ht="15.75" thickBot="1" x14ac:dyDescent="0.3">
      <c r="A755" s="25">
        <v>59855</v>
      </c>
      <c r="B755" s="26" t="s">
        <v>71</v>
      </c>
      <c r="C755" s="27" t="s">
        <v>76</v>
      </c>
    </row>
    <row r="756" spans="1:3" ht="15.75" thickBot="1" x14ac:dyDescent="0.3">
      <c r="A756" s="25">
        <v>59895</v>
      </c>
      <c r="B756" s="26" t="s">
        <v>65</v>
      </c>
      <c r="C756" s="27" t="s">
        <v>77</v>
      </c>
    </row>
    <row r="757" spans="1:3" ht="15.75" thickBot="1" x14ac:dyDescent="0.3">
      <c r="A757" s="28">
        <v>59902</v>
      </c>
      <c r="B757" s="29" t="s">
        <v>65</v>
      </c>
      <c r="C757" s="30" t="s">
        <v>63</v>
      </c>
    </row>
    <row r="758" spans="1:3" ht="15.75" thickBot="1" x14ac:dyDescent="0.3">
      <c r="A758" s="31">
        <v>59950</v>
      </c>
      <c r="B758" s="32" t="s">
        <v>62</v>
      </c>
      <c r="C758" s="33" t="s">
        <v>64</v>
      </c>
    </row>
    <row r="759" spans="1:3" ht="15.75" thickBot="1" x14ac:dyDescent="0.3">
      <c r="A759" s="31">
        <v>59951</v>
      </c>
      <c r="B759" s="32" t="s">
        <v>65</v>
      </c>
      <c r="C759" s="33" t="s">
        <v>64</v>
      </c>
    </row>
    <row r="760" spans="1:3" ht="15.75" thickBot="1" x14ac:dyDescent="0.3">
      <c r="A760" s="31">
        <v>59996</v>
      </c>
      <c r="B760" s="32" t="s">
        <v>66</v>
      </c>
      <c r="C760" s="33" t="s">
        <v>67</v>
      </c>
    </row>
    <row r="761" spans="1:3" ht="15.75" thickBot="1" x14ac:dyDescent="0.3">
      <c r="A761" s="31">
        <v>60013</v>
      </c>
      <c r="B761" s="32" t="s">
        <v>62</v>
      </c>
      <c r="C761" s="33" t="s">
        <v>69</v>
      </c>
    </row>
    <row r="762" spans="1:3" ht="15.75" thickBot="1" x14ac:dyDescent="0.3">
      <c r="A762" s="31">
        <v>60023</v>
      </c>
      <c r="B762" s="32" t="s">
        <v>71</v>
      </c>
      <c r="C762" s="33" t="s">
        <v>70</v>
      </c>
    </row>
    <row r="763" spans="1:3" ht="15.75" thickBot="1" x14ac:dyDescent="0.3">
      <c r="A763" s="31">
        <v>60058</v>
      </c>
      <c r="B763" s="32" t="s">
        <v>71</v>
      </c>
      <c r="C763" s="33" t="s">
        <v>72</v>
      </c>
    </row>
    <row r="764" spans="1:3" ht="15.75" thickBot="1" x14ac:dyDescent="0.3">
      <c r="A764" s="31">
        <v>60152</v>
      </c>
      <c r="B764" s="32" t="s">
        <v>78</v>
      </c>
      <c r="C764" s="33" t="s">
        <v>73</v>
      </c>
    </row>
    <row r="765" spans="1:3" ht="15.75" thickBot="1" x14ac:dyDescent="0.3">
      <c r="A765" s="31">
        <v>60187</v>
      </c>
      <c r="B765" s="32" t="s">
        <v>78</v>
      </c>
      <c r="C765" s="33" t="s">
        <v>74</v>
      </c>
    </row>
    <row r="766" spans="1:3" ht="15.75" thickBot="1" x14ac:dyDescent="0.3">
      <c r="A766" s="31">
        <v>60208</v>
      </c>
      <c r="B766" s="32" t="s">
        <v>78</v>
      </c>
      <c r="C766" s="33" t="s">
        <v>75</v>
      </c>
    </row>
    <row r="767" spans="1:3" ht="15.75" thickBot="1" x14ac:dyDescent="0.3">
      <c r="A767" s="31">
        <v>60221</v>
      </c>
      <c r="B767" s="32" t="s">
        <v>68</v>
      </c>
      <c r="C767" s="33" t="s">
        <v>76</v>
      </c>
    </row>
    <row r="768" spans="1:3" ht="15.75" thickBot="1" x14ac:dyDescent="0.3">
      <c r="A768" s="31">
        <v>60261</v>
      </c>
      <c r="B768" s="32" t="s">
        <v>71</v>
      </c>
      <c r="C768" s="33" t="s">
        <v>77</v>
      </c>
    </row>
    <row r="769" spans="1:3" ht="15.75" thickBot="1" x14ac:dyDescent="0.3">
      <c r="A769" s="34">
        <v>60268</v>
      </c>
      <c r="B769" s="35" t="s">
        <v>71</v>
      </c>
      <c r="C769" s="36" t="s">
        <v>63</v>
      </c>
    </row>
    <row r="770" spans="1:3" ht="15.75" thickBot="1" x14ac:dyDescent="0.3">
      <c r="A770" s="25">
        <v>60307</v>
      </c>
      <c r="B770" s="26" t="s">
        <v>62</v>
      </c>
      <c r="C770" s="27" t="s">
        <v>64</v>
      </c>
    </row>
    <row r="771" spans="1:3" ht="15.75" thickBot="1" x14ac:dyDescent="0.3">
      <c r="A771" s="25">
        <v>60308</v>
      </c>
      <c r="B771" s="26" t="s">
        <v>65</v>
      </c>
      <c r="C771" s="27" t="s">
        <v>64</v>
      </c>
    </row>
    <row r="772" spans="1:3" ht="15.75" thickBot="1" x14ac:dyDescent="0.3">
      <c r="A772" s="25">
        <v>60353</v>
      </c>
      <c r="B772" s="26" t="s">
        <v>66</v>
      </c>
      <c r="C772" s="27" t="s">
        <v>67</v>
      </c>
    </row>
    <row r="773" spans="1:3" ht="15.75" thickBot="1" x14ac:dyDescent="0.3">
      <c r="A773" s="25">
        <v>60378</v>
      </c>
      <c r="B773" s="26" t="s">
        <v>65</v>
      </c>
      <c r="C773" s="27" t="s">
        <v>69</v>
      </c>
    </row>
    <row r="774" spans="1:3" ht="15.75" thickBot="1" x14ac:dyDescent="0.3">
      <c r="A774" s="25">
        <v>60388</v>
      </c>
      <c r="B774" s="26" t="s">
        <v>66</v>
      </c>
      <c r="C774" s="27" t="s">
        <v>70</v>
      </c>
    </row>
    <row r="775" spans="1:3" ht="15.75" thickBot="1" x14ac:dyDescent="0.3">
      <c r="A775" s="25">
        <v>60415</v>
      </c>
      <c r="B775" s="26" t="s">
        <v>71</v>
      </c>
      <c r="C775" s="27" t="s">
        <v>72</v>
      </c>
    </row>
    <row r="776" spans="1:3" ht="15.75" thickBot="1" x14ac:dyDescent="0.3">
      <c r="A776" s="25">
        <v>60517</v>
      </c>
      <c r="B776" s="26" t="s">
        <v>62</v>
      </c>
      <c r="C776" s="27" t="s">
        <v>73</v>
      </c>
    </row>
    <row r="777" spans="1:3" ht="15.75" thickBot="1" x14ac:dyDescent="0.3">
      <c r="A777" s="25">
        <v>60552</v>
      </c>
      <c r="B777" s="26" t="s">
        <v>62</v>
      </c>
      <c r="C777" s="27" t="s">
        <v>74</v>
      </c>
    </row>
    <row r="778" spans="1:3" ht="15.75" thickBot="1" x14ac:dyDescent="0.3">
      <c r="A778" s="25">
        <v>60573</v>
      </c>
      <c r="B778" s="26" t="s">
        <v>62</v>
      </c>
      <c r="C778" s="27" t="s">
        <v>75</v>
      </c>
    </row>
    <row r="779" spans="1:3" ht="15.75" thickBot="1" x14ac:dyDescent="0.3">
      <c r="A779" s="25">
        <v>60586</v>
      </c>
      <c r="B779" s="26" t="s">
        <v>78</v>
      </c>
      <c r="C779" s="27" t="s">
        <v>76</v>
      </c>
    </row>
    <row r="780" spans="1:3" ht="15.75" thickBot="1" x14ac:dyDescent="0.3">
      <c r="A780" s="25">
        <v>60626</v>
      </c>
      <c r="B780" s="26" t="s">
        <v>66</v>
      </c>
      <c r="C780" s="27" t="s">
        <v>77</v>
      </c>
    </row>
    <row r="781" spans="1:3" ht="15.75" thickBot="1" x14ac:dyDescent="0.3">
      <c r="A781" s="28">
        <v>60633</v>
      </c>
      <c r="B781" s="29" t="s">
        <v>66</v>
      </c>
      <c r="C781" s="30" t="s">
        <v>63</v>
      </c>
    </row>
    <row r="782" spans="1:3" ht="15.75" thickBot="1" x14ac:dyDescent="0.3">
      <c r="A782" s="31">
        <v>60685</v>
      </c>
      <c r="B782" s="32" t="s">
        <v>62</v>
      </c>
      <c r="C782" s="33" t="s">
        <v>64</v>
      </c>
    </row>
    <row r="783" spans="1:3" ht="15.75" thickBot="1" x14ac:dyDescent="0.3">
      <c r="A783" s="31">
        <v>60686</v>
      </c>
      <c r="B783" s="32" t="s">
        <v>65</v>
      </c>
      <c r="C783" s="33" t="s">
        <v>64</v>
      </c>
    </row>
    <row r="784" spans="1:3" ht="15.75" thickBot="1" x14ac:dyDescent="0.3">
      <c r="A784" s="31">
        <v>60731</v>
      </c>
      <c r="B784" s="32" t="s">
        <v>66</v>
      </c>
      <c r="C784" s="33" t="s">
        <v>67</v>
      </c>
    </row>
    <row r="785" spans="1:3" ht="15.75" thickBot="1" x14ac:dyDescent="0.3">
      <c r="A785" s="31">
        <v>60743</v>
      </c>
      <c r="B785" s="32" t="s">
        <v>79</v>
      </c>
      <c r="C785" s="33" t="s">
        <v>69</v>
      </c>
    </row>
    <row r="786" spans="1:3" ht="15.75" thickBot="1" x14ac:dyDescent="0.3">
      <c r="A786" s="31">
        <v>60753</v>
      </c>
      <c r="B786" s="32" t="s">
        <v>68</v>
      </c>
      <c r="C786" s="33" t="s">
        <v>70</v>
      </c>
    </row>
    <row r="787" spans="1:3" ht="15.75" thickBot="1" x14ac:dyDescent="0.3">
      <c r="A787" s="31">
        <v>60793</v>
      </c>
      <c r="B787" s="32" t="s">
        <v>71</v>
      </c>
      <c r="C787" s="33" t="s">
        <v>72</v>
      </c>
    </row>
    <row r="788" spans="1:3" ht="15.75" thickBot="1" x14ac:dyDescent="0.3">
      <c r="A788" s="31">
        <v>60882</v>
      </c>
      <c r="B788" s="32" t="s">
        <v>65</v>
      </c>
      <c r="C788" s="33" t="s">
        <v>73</v>
      </c>
    </row>
    <row r="789" spans="1:3" ht="15.75" thickBot="1" x14ac:dyDescent="0.3">
      <c r="A789" s="31">
        <v>60917</v>
      </c>
      <c r="B789" s="32" t="s">
        <v>65</v>
      </c>
      <c r="C789" s="33" t="s">
        <v>74</v>
      </c>
    </row>
    <row r="790" spans="1:3" ht="15.75" thickBot="1" x14ac:dyDescent="0.3">
      <c r="A790" s="31">
        <v>60938</v>
      </c>
      <c r="B790" s="32" t="s">
        <v>65</v>
      </c>
      <c r="C790" s="33" t="s">
        <v>75</v>
      </c>
    </row>
    <row r="791" spans="1:3" ht="15.75" thickBot="1" x14ac:dyDescent="0.3">
      <c r="A791" s="31">
        <v>60951</v>
      </c>
      <c r="B791" s="32" t="s">
        <v>62</v>
      </c>
      <c r="C791" s="33" t="s">
        <v>76</v>
      </c>
    </row>
    <row r="792" spans="1:3" ht="15.75" thickBot="1" x14ac:dyDescent="0.3">
      <c r="A792" s="31">
        <v>60991</v>
      </c>
      <c r="B792" s="32" t="s">
        <v>68</v>
      </c>
      <c r="C792" s="33" t="s">
        <v>77</v>
      </c>
    </row>
    <row r="793" spans="1:3" ht="15.75" thickBot="1" x14ac:dyDescent="0.3">
      <c r="A793" s="34">
        <v>60998</v>
      </c>
      <c r="B793" s="35" t="s">
        <v>68</v>
      </c>
      <c r="C793" s="36" t="s">
        <v>63</v>
      </c>
    </row>
    <row r="794" spans="1:3" ht="15.75" thickBot="1" x14ac:dyDescent="0.3">
      <c r="A794" s="25">
        <v>61042</v>
      </c>
      <c r="B794" s="26" t="s">
        <v>62</v>
      </c>
      <c r="C794" s="27" t="s">
        <v>64</v>
      </c>
    </row>
    <row r="795" spans="1:3" ht="15.75" thickBot="1" x14ac:dyDescent="0.3">
      <c r="A795" s="25">
        <v>61043</v>
      </c>
      <c r="B795" s="26" t="s">
        <v>65</v>
      </c>
      <c r="C795" s="27" t="s">
        <v>64</v>
      </c>
    </row>
    <row r="796" spans="1:3" ht="15.75" thickBot="1" x14ac:dyDescent="0.3">
      <c r="A796" s="25">
        <v>61088</v>
      </c>
      <c r="B796" s="26" t="s">
        <v>66</v>
      </c>
      <c r="C796" s="27" t="s">
        <v>67</v>
      </c>
    </row>
    <row r="797" spans="1:3" ht="15.75" thickBot="1" x14ac:dyDescent="0.3">
      <c r="A797" s="25">
        <v>61108</v>
      </c>
      <c r="B797" s="26" t="s">
        <v>71</v>
      </c>
      <c r="C797" s="27" t="s">
        <v>69</v>
      </c>
    </row>
    <row r="798" spans="1:3" ht="15.75" thickBot="1" x14ac:dyDescent="0.3">
      <c r="A798" s="25">
        <v>61118</v>
      </c>
      <c r="B798" s="26" t="s">
        <v>78</v>
      </c>
      <c r="C798" s="27" t="s">
        <v>70</v>
      </c>
    </row>
    <row r="799" spans="1:3" ht="15.75" thickBot="1" x14ac:dyDescent="0.3">
      <c r="A799" s="25">
        <v>61150</v>
      </c>
      <c r="B799" s="26" t="s">
        <v>71</v>
      </c>
      <c r="C799" s="27" t="s">
        <v>72</v>
      </c>
    </row>
    <row r="800" spans="1:3" ht="15.75" thickBot="1" x14ac:dyDescent="0.3">
      <c r="A800" s="25">
        <v>61247</v>
      </c>
      <c r="B800" s="26" t="s">
        <v>79</v>
      </c>
      <c r="C800" s="27" t="s">
        <v>73</v>
      </c>
    </row>
    <row r="801" spans="1:3" ht="15.75" thickBot="1" x14ac:dyDescent="0.3">
      <c r="A801" s="25">
        <v>61282</v>
      </c>
      <c r="B801" s="26" t="s">
        <v>79</v>
      </c>
      <c r="C801" s="27" t="s">
        <v>74</v>
      </c>
    </row>
    <row r="802" spans="1:3" ht="15.75" thickBot="1" x14ac:dyDescent="0.3">
      <c r="A802" s="25">
        <v>61303</v>
      </c>
      <c r="B802" s="26" t="s">
        <v>79</v>
      </c>
      <c r="C802" s="27" t="s">
        <v>75</v>
      </c>
    </row>
    <row r="803" spans="1:3" ht="15.75" thickBot="1" x14ac:dyDescent="0.3">
      <c r="A803" s="25">
        <v>61316</v>
      </c>
      <c r="B803" s="26" t="s">
        <v>65</v>
      </c>
      <c r="C803" s="27" t="s">
        <v>76</v>
      </c>
    </row>
    <row r="804" spans="1:3" ht="15.75" thickBot="1" x14ac:dyDescent="0.3">
      <c r="A804" s="25">
        <v>61356</v>
      </c>
      <c r="B804" s="26" t="s">
        <v>78</v>
      </c>
      <c r="C804" s="27" t="s">
        <v>77</v>
      </c>
    </row>
    <row r="805" spans="1:3" ht="15.75" thickBot="1" x14ac:dyDescent="0.3">
      <c r="A805" s="28">
        <v>61363</v>
      </c>
      <c r="B805" s="29" t="s">
        <v>78</v>
      </c>
      <c r="C805" s="30" t="s">
        <v>63</v>
      </c>
    </row>
    <row r="806" spans="1:3" ht="15.75" thickBot="1" x14ac:dyDescent="0.3">
      <c r="A806" s="31">
        <v>61427</v>
      </c>
      <c r="B806" s="32" t="s">
        <v>62</v>
      </c>
      <c r="C806" s="33" t="s">
        <v>64</v>
      </c>
    </row>
    <row r="807" spans="1:3" ht="15.75" thickBot="1" x14ac:dyDescent="0.3">
      <c r="A807" s="31">
        <v>61428</v>
      </c>
      <c r="B807" s="32" t="s">
        <v>65</v>
      </c>
      <c r="C807" s="33" t="s">
        <v>64</v>
      </c>
    </row>
    <row r="808" spans="1:3" ht="15.75" thickBot="1" x14ac:dyDescent="0.3">
      <c r="A808" s="31">
        <v>61473</v>
      </c>
      <c r="B808" s="32" t="s">
        <v>66</v>
      </c>
      <c r="C808" s="33" t="s">
        <v>67</v>
      </c>
    </row>
    <row r="809" spans="1:3" ht="15.75" thickBot="1" x14ac:dyDescent="0.3">
      <c r="A809" s="31">
        <v>61474</v>
      </c>
      <c r="B809" s="32" t="s">
        <v>68</v>
      </c>
      <c r="C809" s="33" t="s">
        <v>69</v>
      </c>
    </row>
    <row r="810" spans="1:3" ht="15.75" thickBot="1" x14ac:dyDescent="0.3">
      <c r="A810" s="31">
        <v>61484</v>
      </c>
      <c r="B810" s="32" t="s">
        <v>65</v>
      </c>
      <c r="C810" s="33" t="s">
        <v>70</v>
      </c>
    </row>
    <row r="811" spans="1:3" ht="15.75" thickBot="1" x14ac:dyDescent="0.3">
      <c r="A811" s="31">
        <v>61535</v>
      </c>
      <c r="B811" s="32" t="s">
        <v>71</v>
      </c>
      <c r="C811" s="33" t="s">
        <v>72</v>
      </c>
    </row>
    <row r="812" spans="1:3" ht="15.75" thickBot="1" x14ac:dyDescent="0.3">
      <c r="A812" s="31">
        <v>61613</v>
      </c>
      <c r="B812" s="32" t="s">
        <v>66</v>
      </c>
      <c r="C812" s="33" t="s">
        <v>73</v>
      </c>
    </row>
    <row r="813" spans="1:3" ht="15.75" thickBot="1" x14ac:dyDescent="0.3">
      <c r="A813" s="31">
        <v>61648</v>
      </c>
      <c r="B813" s="32" t="s">
        <v>66</v>
      </c>
      <c r="C813" s="33" t="s">
        <v>74</v>
      </c>
    </row>
    <row r="814" spans="1:3" ht="15.75" thickBot="1" x14ac:dyDescent="0.3">
      <c r="A814" s="31">
        <v>61669</v>
      </c>
      <c r="B814" s="32" t="s">
        <v>66</v>
      </c>
      <c r="C814" s="33" t="s">
        <v>75</v>
      </c>
    </row>
    <row r="815" spans="1:3" ht="15.75" thickBot="1" x14ac:dyDescent="0.3">
      <c r="A815" s="31">
        <v>61682</v>
      </c>
      <c r="B815" s="32" t="s">
        <v>71</v>
      </c>
      <c r="C815" s="33" t="s">
        <v>76</v>
      </c>
    </row>
    <row r="816" spans="1:3" ht="15.75" thickBot="1" x14ac:dyDescent="0.3">
      <c r="A816" s="31">
        <v>61722</v>
      </c>
      <c r="B816" s="32" t="s">
        <v>65</v>
      </c>
      <c r="C816" s="33" t="s">
        <v>77</v>
      </c>
    </row>
    <row r="817" spans="1:3" ht="15.75" thickBot="1" x14ac:dyDescent="0.3">
      <c r="A817" s="34">
        <v>61729</v>
      </c>
      <c r="B817" s="35" t="s">
        <v>65</v>
      </c>
      <c r="C817" s="36" t="s">
        <v>63</v>
      </c>
    </row>
    <row r="818" spans="1:3" ht="15.75" thickBot="1" x14ac:dyDescent="0.3">
      <c r="A818" s="25">
        <v>61784</v>
      </c>
      <c r="B818" s="26" t="s">
        <v>62</v>
      </c>
      <c r="C818" s="27" t="s">
        <v>64</v>
      </c>
    </row>
    <row r="819" spans="1:3" ht="15.75" thickBot="1" x14ac:dyDescent="0.3">
      <c r="A819" s="25">
        <v>61785</v>
      </c>
      <c r="B819" s="26" t="s">
        <v>65</v>
      </c>
      <c r="C819" s="27" t="s">
        <v>64</v>
      </c>
    </row>
    <row r="820" spans="1:3" ht="15.75" thickBot="1" x14ac:dyDescent="0.3">
      <c r="A820" s="25">
        <v>61830</v>
      </c>
      <c r="B820" s="26" t="s">
        <v>66</v>
      </c>
      <c r="C820" s="27" t="s">
        <v>67</v>
      </c>
    </row>
    <row r="821" spans="1:3" ht="15.75" thickBot="1" x14ac:dyDescent="0.3">
      <c r="A821" s="25">
        <v>61839</v>
      </c>
      <c r="B821" s="26" t="s">
        <v>78</v>
      </c>
      <c r="C821" s="27" t="s">
        <v>69</v>
      </c>
    </row>
    <row r="822" spans="1:3" ht="15.75" thickBot="1" x14ac:dyDescent="0.3">
      <c r="A822" s="25">
        <v>61849</v>
      </c>
      <c r="B822" s="26" t="s">
        <v>79</v>
      </c>
      <c r="C822" s="27" t="s">
        <v>70</v>
      </c>
    </row>
    <row r="823" spans="1:3" ht="15.75" thickBot="1" x14ac:dyDescent="0.3">
      <c r="A823" s="25">
        <v>61892</v>
      </c>
      <c r="B823" s="26" t="s">
        <v>71</v>
      </c>
      <c r="C823" s="27" t="s">
        <v>72</v>
      </c>
    </row>
    <row r="824" spans="1:3" ht="15.75" thickBot="1" x14ac:dyDescent="0.3">
      <c r="A824" s="25">
        <v>61978</v>
      </c>
      <c r="B824" s="26" t="s">
        <v>68</v>
      </c>
      <c r="C824" s="27" t="s">
        <v>73</v>
      </c>
    </row>
    <row r="825" spans="1:3" ht="15.75" thickBot="1" x14ac:dyDescent="0.3">
      <c r="A825" s="25">
        <v>62013</v>
      </c>
      <c r="B825" s="26" t="s">
        <v>68</v>
      </c>
      <c r="C825" s="27" t="s">
        <v>74</v>
      </c>
    </row>
    <row r="826" spans="1:3" ht="15.75" thickBot="1" x14ac:dyDescent="0.3">
      <c r="A826" s="25">
        <v>62034</v>
      </c>
      <c r="B826" s="26" t="s">
        <v>68</v>
      </c>
      <c r="C826" s="27" t="s">
        <v>75</v>
      </c>
    </row>
    <row r="827" spans="1:3" ht="15.75" thickBot="1" x14ac:dyDescent="0.3">
      <c r="A827" s="25">
        <v>62047</v>
      </c>
      <c r="B827" s="26" t="s">
        <v>66</v>
      </c>
      <c r="C827" s="27" t="s">
        <v>76</v>
      </c>
    </row>
    <row r="828" spans="1:3" ht="15.75" thickBot="1" x14ac:dyDescent="0.3">
      <c r="A828" s="25">
        <v>62087</v>
      </c>
      <c r="B828" s="26" t="s">
        <v>79</v>
      </c>
      <c r="C828" s="27" t="s">
        <v>77</v>
      </c>
    </row>
    <row r="829" spans="1:3" ht="15.75" thickBot="1" x14ac:dyDescent="0.3">
      <c r="A829" s="28">
        <v>62094</v>
      </c>
      <c r="B829" s="29" t="s">
        <v>79</v>
      </c>
      <c r="C829" s="30" t="s">
        <v>63</v>
      </c>
    </row>
    <row r="830" spans="1:3" ht="15.75" thickBot="1" x14ac:dyDescent="0.3">
      <c r="A830" s="31">
        <v>62134</v>
      </c>
      <c r="B830" s="32" t="s">
        <v>62</v>
      </c>
      <c r="C830" s="33" t="s">
        <v>64</v>
      </c>
    </row>
    <row r="831" spans="1:3" ht="15.75" thickBot="1" x14ac:dyDescent="0.3">
      <c r="A831" s="31">
        <v>62135</v>
      </c>
      <c r="B831" s="32" t="s">
        <v>65</v>
      </c>
      <c r="C831" s="33" t="s">
        <v>64</v>
      </c>
    </row>
    <row r="832" spans="1:3" ht="15.75" thickBot="1" x14ac:dyDescent="0.3">
      <c r="A832" s="31">
        <v>62180</v>
      </c>
      <c r="B832" s="32" t="s">
        <v>66</v>
      </c>
      <c r="C832" s="33" t="s">
        <v>67</v>
      </c>
    </row>
    <row r="833" spans="1:3" ht="15.75" thickBot="1" x14ac:dyDescent="0.3">
      <c r="A833" s="31">
        <v>62204</v>
      </c>
      <c r="B833" s="32" t="s">
        <v>62</v>
      </c>
      <c r="C833" s="33" t="s">
        <v>69</v>
      </c>
    </row>
    <row r="834" spans="1:3" ht="15.75" thickBot="1" x14ac:dyDescent="0.3">
      <c r="A834" s="31">
        <v>62214</v>
      </c>
      <c r="B834" s="32" t="s">
        <v>71</v>
      </c>
      <c r="C834" s="33" t="s">
        <v>70</v>
      </c>
    </row>
    <row r="835" spans="1:3" ht="15.75" thickBot="1" x14ac:dyDescent="0.3">
      <c r="A835" s="31">
        <v>62242</v>
      </c>
      <c r="B835" s="32" t="s">
        <v>71</v>
      </c>
      <c r="C835" s="33" t="s">
        <v>72</v>
      </c>
    </row>
    <row r="836" spans="1:3" ht="15.75" thickBot="1" x14ac:dyDescent="0.3">
      <c r="A836" s="31">
        <v>62343</v>
      </c>
      <c r="B836" s="32" t="s">
        <v>78</v>
      </c>
      <c r="C836" s="33" t="s">
        <v>73</v>
      </c>
    </row>
    <row r="837" spans="1:3" ht="15.75" thickBot="1" x14ac:dyDescent="0.3">
      <c r="A837" s="31">
        <v>62378</v>
      </c>
      <c r="B837" s="32" t="s">
        <v>78</v>
      </c>
      <c r="C837" s="33" t="s">
        <v>74</v>
      </c>
    </row>
    <row r="838" spans="1:3" ht="15.75" thickBot="1" x14ac:dyDescent="0.3">
      <c r="A838" s="31">
        <v>62399</v>
      </c>
      <c r="B838" s="32" t="s">
        <v>78</v>
      </c>
      <c r="C838" s="33" t="s">
        <v>75</v>
      </c>
    </row>
    <row r="839" spans="1:3" ht="15.75" thickBot="1" x14ac:dyDescent="0.3">
      <c r="A839" s="31">
        <v>62412</v>
      </c>
      <c r="B839" s="32" t="s">
        <v>68</v>
      </c>
      <c r="C839" s="33" t="s">
        <v>76</v>
      </c>
    </row>
    <row r="840" spans="1:3" ht="15.75" thickBot="1" x14ac:dyDescent="0.3">
      <c r="A840" s="31">
        <v>62452</v>
      </c>
      <c r="B840" s="32" t="s">
        <v>71</v>
      </c>
      <c r="C840" s="33" t="s">
        <v>77</v>
      </c>
    </row>
    <row r="841" spans="1:3" ht="15.75" thickBot="1" x14ac:dyDescent="0.3">
      <c r="A841" s="34">
        <v>62459</v>
      </c>
      <c r="B841" s="35" t="s">
        <v>71</v>
      </c>
      <c r="C841" s="36" t="s">
        <v>63</v>
      </c>
    </row>
    <row r="842" spans="1:3" ht="15.75" thickBot="1" x14ac:dyDescent="0.3">
      <c r="A842" s="25">
        <v>62519</v>
      </c>
      <c r="B842" s="26" t="s">
        <v>62</v>
      </c>
      <c r="C842" s="27" t="s">
        <v>64</v>
      </c>
    </row>
    <row r="843" spans="1:3" ht="15.75" thickBot="1" x14ac:dyDescent="0.3">
      <c r="A843" s="25">
        <v>62520</v>
      </c>
      <c r="B843" s="26" t="s">
        <v>65</v>
      </c>
      <c r="C843" s="27" t="s">
        <v>64</v>
      </c>
    </row>
    <row r="844" spans="1:3" ht="15.75" thickBot="1" x14ac:dyDescent="0.3">
      <c r="A844" s="25">
        <v>62565</v>
      </c>
      <c r="B844" s="26" t="s">
        <v>66</v>
      </c>
      <c r="C844" s="27" t="s">
        <v>67</v>
      </c>
    </row>
    <row r="845" spans="1:3" ht="15.75" thickBot="1" x14ac:dyDescent="0.3">
      <c r="A845" s="25">
        <v>62569</v>
      </c>
      <c r="B845" s="26" t="s">
        <v>65</v>
      </c>
      <c r="C845" s="27" t="s">
        <v>69</v>
      </c>
    </row>
    <row r="846" spans="1:3" ht="15.75" thickBot="1" x14ac:dyDescent="0.3">
      <c r="A846" s="25">
        <v>62579</v>
      </c>
      <c r="B846" s="26" t="s">
        <v>66</v>
      </c>
      <c r="C846" s="27" t="s">
        <v>70</v>
      </c>
    </row>
    <row r="847" spans="1:3" ht="15.75" thickBot="1" x14ac:dyDescent="0.3">
      <c r="A847" s="25">
        <v>62627</v>
      </c>
      <c r="B847" s="26" t="s">
        <v>71</v>
      </c>
      <c r="C847" s="27" t="s">
        <v>72</v>
      </c>
    </row>
    <row r="848" spans="1:3" ht="15.75" thickBot="1" x14ac:dyDescent="0.3">
      <c r="A848" s="25">
        <v>62708</v>
      </c>
      <c r="B848" s="26" t="s">
        <v>62</v>
      </c>
      <c r="C848" s="27" t="s">
        <v>73</v>
      </c>
    </row>
    <row r="849" spans="1:3" ht="15.75" thickBot="1" x14ac:dyDescent="0.3">
      <c r="A849" s="25">
        <v>62743</v>
      </c>
      <c r="B849" s="26" t="s">
        <v>62</v>
      </c>
      <c r="C849" s="27" t="s">
        <v>74</v>
      </c>
    </row>
    <row r="850" spans="1:3" ht="15.75" thickBot="1" x14ac:dyDescent="0.3">
      <c r="A850" s="25">
        <v>62764</v>
      </c>
      <c r="B850" s="26" t="s">
        <v>62</v>
      </c>
      <c r="C850" s="27" t="s">
        <v>75</v>
      </c>
    </row>
    <row r="851" spans="1:3" ht="15.75" thickBot="1" x14ac:dyDescent="0.3">
      <c r="A851" s="25">
        <v>62777</v>
      </c>
      <c r="B851" s="26" t="s">
        <v>78</v>
      </c>
      <c r="C851" s="27" t="s">
        <v>76</v>
      </c>
    </row>
    <row r="852" spans="1:3" ht="15.75" thickBot="1" x14ac:dyDescent="0.3">
      <c r="A852" s="25">
        <v>62817</v>
      </c>
      <c r="B852" s="26" t="s">
        <v>66</v>
      </c>
      <c r="C852" s="27" t="s">
        <v>77</v>
      </c>
    </row>
    <row r="853" spans="1:3" ht="15.75" thickBot="1" x14ac:dyDescent="0.3">
      <c r="A853" s="28">
        <v>62824</v>
      </c>
      <c r="B853" s="29" t="s">
        <v>66</v>
      </c>
      <c r="C853" s="30" t="s">
        <v>63</v>
      </c>
    </row>
    <row r="854" spans="1:3" ht="15.75" thickBot="1" x14ac:dyDescent="0.3">
      <c r="A854" s="31">
        <v>62876</v>
      </c>
      <c r="B854" s="32" t="s">
        <v>62</v>
      </c>
      <c r="C854" s="33" t="s">
        <v>64</v>
      </c>
    </row>
    <row r="855" spans="1:3" ht="15.75" thickBot="1" x14ac:dyDescent="0.3">
      <c r="A855" s="31">
        <v>62877</v>
      </c>
      <c r="B855" s="32" t="s">
        <v>65</v>
      </c>
      <c r="C855" s="33" t="s">
        <v>64</v>
      </c>
    </row>
    <row r="856" spans="1:3" ht="15.75" thickBot="1" x14ac:dyDescent="0.3">
      <c r="A856" s="31">
        <v>62922</v>
      </c>
      <c r="B856" s="32" t="s">
        <v>66</v>
      </c>
      <c r="C856" s="33" t="s">
        <v>67</v>
      </c>
    </row>
    <row r="857" spans="1:3" ht="15.75" thickBot="1" x14ac:dyDescent="0.3">
      <c r="A857" s="31">
        <v>62935</v>
      </c>
      <c r="B857" s="32" t="s">
        <v>71</v>
      </c>
      <c r="C857" s="33" t="s">
        <v>69</v>
      </c>
    </row>
    <row r="858" spans="1:3" ht="15.75" thickBot="1" x14ac:dyDescent="0.3">
      <c r="A858" s="31">
        <v>62945</v>
      </c>
      <c r="B858" s="32" t="s">
        <v>78</v>
      </c>
      <c r="C858" s="33" t="s">
        <v>70</v>
      </c>
    </row>
    <row r="859" spans="1:3" ht="15.75" thickBot="1" x14ac:dyDescent="0.3">
      <c r="A859" s="31">
        <v>62984</v>
      </c>
      <c r="B859" s="32" t="s">
        <v>71</v>
      </c>
      <c r="C859" s="33" t="s">
        <v>72</v>
      </c>
    </row>
    <row r="860" spans="1:3" ht="15.75" thickBot="1" x14ac:dyDescent="0.3">
      <c r="A860" s="31">
        <v>63074</v>
      </c>
      <c r="B860" s="32" t="s">
        <v>79</v>
      </c>
      <c r="C860" s="33" t="s">
        <v>73</v>
      </c>
    </row>
    <row r="861" spans="1:3" ht="15.75" thickBot="1" x14ac:dyDescent="0.3">
      <c r="A861" s="31">
        <v>63109</v>
      </c>
      <c r="B861" s="32" t="s">
        <v>79</v>
      </c>
      <c r="C861" s="33" t="s">
        <v>74</v>
      </c>
    </row>
    <row r="862" spans="1:3" ht="15.75" thickBot="1" x14ac:dyDescent="0.3">
      <c r="A862" s="31">
        <v>63130</v>
      </c>
      <c r="B862" s="32" t="s">
        <v>79</v>
      </c>
      <c r="C862" s="33" t="s">
        <v>75</v>
      </c>
    </row>
    <row r="863" spans="1:3" ht="15.75" thickBot="1" x14ac:dyDescent="0.3">
      <c r="A863" s="31">
        <v>63143</v>
      </c>
      <c r="B863" s="32" t="s">
        <v>65</v>
      </c>
      <c r="C863" s="33" t="s">
        <v>76</v>
      </c>
    </row>
    <row r="864" spans="1:3" ht="15.75" thickBot="1" x14ac:dyDescent="0.3">
      <c r="A864" s="31">
        <v>63183</v>
      </c>
      <c r="B864" s="32" t="s">
        <v>78</v>
      </c>
      <c r="C864" s="33" t="s">
        <v>77</v>
      </c>
    </row>
    <row r="865" spans="1:3" ht="15.75" thickBot="1" x14ac:dyDescent="0.3">
      <c r="A865" s="34">
        <v>63190</v>
      </c>
      <c r="B865" s="35" t="s">
        <v>78</v>
      </c>
      <c r="C865" s="36" t="s">
        <v>63</v>
      </c>
    </row>
    <row r="866" spans="1:3" ht="15.75" thickBot="1" x14ac:dyDescent="0.3">
      <c r="A866" s="25">
        <v>63226</v>
      </c>
      <c r="B866" s="26" t="s">
        <v>62</v>
      </c>
      <c r="C866" s="27" t="s">
        <v>64</v>
      </c>
    </row>
    <row r="867" spans="1:3" ht="15.75" thickBot="1" x14ac:dyDescent="0.3">
      <c r="A867" s="25">
        <v>63227</v>
      </c>
      <c r="B867" s="26" t="s">
        <v>65</v>
      </c>
      <c r="C867" s="27" t="s">
        <v>64</v>
      </c>
    </row>
    <row r="868" spans="1:3" ht="15.75" thickBot="1" x14ac:dyDescent="0.3">
      <c r="A868" s="25">
        <v>63272</v>
      </c>
      <c r="B868" s="26" t="s">
        <v>66</v>
      </c>
      <c r="C868" s="27" t="s">
        <v>67</v>
      </c>
    </row>
    <row r="869" spans="1:3" ht="15.75" thickBot="1" x14ac:dyDescent="0.3">
      <c r="A869" s="25">
        <v>63300</v>
      </c>
      <c r="B869" s="26" t="s">
        <v>66</v>
      </c>
      <c r="C869" s="27" t="s">
        <v>69</v>
      </c>
    </row>
    <row r="870" spans="1:3" ht="15.75" thickBot="1" x14ac:dyDescent="0.3">
      <c r="A870" s="25">
        <v>63310</v>
      </c>
      <c r="B870" s="26" t="s">
        <v>62</v>
      </c>
      <c r="C870" s="27" t="s">
        <v>70</v>
      </c>
    </row>
    <row r="871" spans="1:3" ht="15.75" thickBot="1" x14ac:dyDescent="0.3">
      <c r="A871" s="25">
        <v>63334</v>
      </c>
      <c r="B871" s="26" t="s">
        <v>71</v>
      </c>
      <c r="C871" s="27" t="s">
        <v>72</v>
      </c>
    </row>
    <row r="872" spans="1:3" ht="15.75" thickBot="1" x14ac:dyDescent="0.3">
      <c r="A872" s="25">
        <v>63439</v>
      </c>
      <c r="B872" s="26" t="s">
        <v>71</v>
      </c>
      <c r="C872" s="27" t="s">
        <v>73</v>
      </c>
    </row>
    <row r="873" spans="1:3" ht="15.75" thickBot="1" x14ac:dyDescent="0.3">
      <c r="A873" s="25">
        <v>63474</v>
      </c>
      <c r="B873" s="26" t="s">
        <v>71</v>
      </c>
      <c r="C873" s="27" t="s">
        <v>74</v>
      </c>
    </row>
    <row r="874" spans="1:3" ht="15.75" thickBot="1" x14ac:dyDescent="0.3">
      <c r="A874" s="25">
        <v>63495</v>
      </c>
      <c r="B874" s="26" t="s">
        <v>71</v>
      </c>
      <c r="C874" s="27" t="s">
        <v>75</v>
      </c>
    </row>
    <row r="875" spans="1:3" ht="15.75" thickBot="1" x14ac:dyDescent="0.3">
      <c r="A875" s="25">
        <v>63508</v>
      </c>
      <c r="B875" s="26" t="s">
        <v>79</v>
      </c>
      <c r="C875" s="27" t="s">
        <v>76</v>
      </c>
    </row>
    <row r="876" spans="1:3" ht="15.75" thickBot="1" x14ac:dyDescent="0.3">
      <c r="A876" s="25">
        <v>63548</v>
      </c>
      <c r="B876" s="26" t="s">
        <v>62</v>
      </c>
      <c r="C876" s="27" t="s">
        <v>77</v>
      </c>
    </row>
    <row r="877" spans="1:3" ht="15.75" thickBot="1" x14ac:dyDescent="0.3">
      <c r="A877" s="28">
        <v>63555</v>
      </c>
      <c r="B877" s="29" t="s">
        <v>62</v>
      </c>
      <c r="C877" s="30" t="s">
        <v>63</v>
      </c>
    </row>
    <row r="878" spans="1:3" ht="15.75" thickBot="1" x14ac:dyDescent="0.3">
      <c r="A878" s="31">
        <v>63611</v>
      </c>
      <c r="B878" s="32" t="s">
        <v>62</v>
      </c>
      <c r="C878" s="33" t="s">
        <v>64</v>
      </c>
    </row>
    <row r="879" spans="1:3" ht="15.75" thickBot="1" x14ac:dyDescent="0.3">
      <c r="A879" s="31">
        <v>63612</v>
      </c>
      <c r="B879" s="32" t="s">
        <v>65</v>
      </c>
      <c r="C879" s="33" t="s">
        <v>64</v>
      </c>
    </row>
    <row r="880" spans="1:3" ht="15.75" thickBot="1" x14ac:dyDescent="0.3">
      <c r="A880" s="31">
        <v>63657</v>
      </c>
      <c r="B880" s="32" t="s">
        <v>66</v>
      </c>
      <c r="C880" s="33" t="s">
        <v>67</v>
      </c>
    </row>
    <row r="881" spans="1:3" ht="15.75" thickBot="1" x14ac:dyDescent="0.3">
      <c r="A881" s="31">
        <v>63665</v>
      </c>
      <c r="B881" s="32" t="s">
        <v>68</v>
      </c>
      <c r="C881" s="33" t="s">
        <v>69</v>
      </c>
    </row>
    <row r="882" spans="1:3" ht="15.75" thickBot="1" x14ac:dyDescent="0.3">
      <c r="A882" s="31">
        <v>63675</v>
      </c>
      <c r="B882" s="32" t="s">
        <v>65</v>
      </c>
      <c r="C882" s="33" t="s">
        <v>70</v>
      </c>
    </row>
    <row r="883" spans="1:3" ht="15.75" thickBot="1" x14ac:dyDescent="0.3">
      <c r="A883" s="31">
        <v>63719</v>
      </c>
      <c r="B883" s="32" t="s">
        <v>71</v>
      </c>
      <c r="C883" s="33" t="s">
        <v>72</v>
      </c>
    </row>
    <row r="884" spans="1:3" ht="15.75" thickBot="1" x14ac:dyDescent="0.3">
      <c r="A884" s="31">
        <v>63804</v>
      </c>
      <c r="B884" s="32" t="s">
        <v>66</v>
      </c>
      <c r="C884" s="33" t="s">
        <v>73</v>
      </c>
    </row>
    <row r="885" spans="1:3" ht="15.75" thickBot="1" x14ac:dyDescent="0.3">
      <c r="A885" s="31">
        <v>63839</v>
      </c>
      <c r="B885" s="32" t="s">
        <v>66</v>
      </c>
      <c r="C885" s="33" t="s">
        <v>74</v>
      </c>
    </row>
    <row r="886" spans="1:3" ht="15.75" thickBot="1" x14ac:dyDescent="0.3">
      <c r="A886" s="31">
        <v>63860</v>
      </c>
      <c r="B886" s="32" t="s">
        <v>66</v>
      </c>
      <c r="C886" s="33" t="s">
        <v>75</v>
      </c>
    </row>
    <row r="887" spans="1:3" ht="15.75" thickBot="1" x14ac:dyDescent="0.3">
      <c r="A887" s="31">
        <v>63873</v>
      </c>
      <c r="B887" s="32" t="s">
        <v>71</v>
      </c>
      <c r="C887" s="33" t="s">
        <v>76</v>
      </c>
    </row>
    <row r="888" spans="1:3" ht="15.75" thickBot="1" x14ac:dyDescent="0.3">
      <c r="A888" s="31">
        <v>63913</v>
      </c>
      <c r="B888" s="32" t="s">
        <v>65</v>
      </c>
      <c r="C888" s="33" t="s">
        <v>77</v>
      </c>
    </row>
    <row r="889" spans="1:3" ht="15.75" thickBot="1" x14ac:dyDescent="0.3">
      <c r="A889" s="34">
        <v>63920</v>
      </c>
      <c r="B889" s="35" t="s">
        <v>65</v>
      </c>
      <c r="C889" s="36" t="s">
        <v>63</v>
      </c>
    </row>
    <row r="890" spans="1:3" ht="15.75" thickBot="1" x14ac:dyDescent="0.3">
      <c r="A890" s="25">
        <v>63968</v>
      </c>
      <c r="B890" s="26" t="s">
        <v>62</v>
      </c>
      <c r="C890" s="27" t="s">
        <v>64</v>
      </c>
    </row>
    <row r="891" spans="1:3" ht="15.75" thickBot="1" x14ac:dyDescent="0.3">
      <c r="A891" s="25">
        <v>63969</v>
      </c>
      <c r="B891" s="26" t="s">
        <v>65</v>
      </c>
      <c r="C891" s="27" t="s">
        <v>64</v>
      </c>
    </row>
    <row r="892" spans="1:3" ht="15.75" thickBot="1" x14ac:dyDescent="0.3">
      <c r="A892" s="25">
        <v>64014</v>
      </c>
      <c r="B892" s="26" t="s">
        <v>66</v>
      </c>
      <c r="C892" s="27" t="s">
        <v>67</v>
      </c>
    </row>
    <row r="893" spans="1:3" ht="15.75" thickBot="1" x14ac:dyDescent="0.3">
      <c r="A893" s="25">
        <v>64030</v>
      </c>
      <c r="B893" s="26" t="s">
        <v>78</v>
      </c>
      <c r="C893" s="27" t="s">
        <v>69</v>
      </c>
    </row>
    <row r="894" spans="1:3" ht="15.75" thickBot="1" x14ac:dyDescent="0.3">
      <c r="A894" s="25">
        <v>64040</v>
      </c>
      <c r="B894" s="26" t="s">
        <v>79</v>
      </c>
      <c r="C894" s="27" t="s">
        <v>70</v>
      </c>
    </row>
    <row r="895" spans="1:3" ht="15.75" thickBot="1" x14ac:dyDescent="0.3">
      <c r="A895" s="25">
        <v>64076</v>
      </c>
      <c r="B895" s="26" t="s">
        <v>71</v>
      </c>
      <c r="C895" s="27" t="s">
        <v>72</v>
      </c>
    </row>
    <row r="896" spans="1:3" ht="15.75" thickBot="1" x14ac:dyDescent="0.3">
      <c r="A896" s="25">
        <v>64169</v>
      </c>
      <c r="B896" s="26" t="s">
        <v>68</v>
      </c>
      <c r="C896" s="27" t="s">
        <v>73</v>
      </c>
    </row>
    <row r="897" spans="1:3" ht="15.75" thickBot="1" x14ac:dyDescent="0.3">
      <c r="A897" s="25">
        <v>64204</v>
      </c>
      <c r="B897" s="26" t="s">
        <v>68</v>
      </c>
      <c r="C897" s="27" t="s">
        <v>74</v>
      </c>
    </row>
    <row r="898" spans="1:3" ht="15.75" thickBot="1" x14ac:dyDescent="0.3">
      <c r="A898" s="25">
        <v>64225</v>
      </c>
      <c r="B898" s="26" t="s">
        <v>68</v>
      </c>
      <c r="C898" s="27" t="s">
        <v>75</v>
      </c>
    </row>
    <row r="899" spans="1:3" ht="15.75" thickBot="1" x14ac:dyDescent="0.3">
      <c r="A899" s="25">
        <v>64238</v>
      </c>
      <c r="B899" s="26" t="s">
        <v>66</v>
      </c>
      <c r="C899" s="27" t="s">
        <v>76</v>
      </c>
    </row>
    <row r="900" spans="1:3" ht="15.75" thickBot="1" x14ac:dyDescent="0.3">
      <c r="A900" s="25">
        <v>64278</v>
      </c>
      <c r="B900" s="26" t="s">
        <v>79</v>
      </c>
      <c r="C900" s="27" t="s">
        <v>77</v>
      </c>
    </row>
    <row r="901" spans="1:3" ht="15.75" thickBot="1" x14ac:dyDescent="0.3">
      <c r="A901" s="28">
        <v>64285</v>
      </c>
      <c r="B901" s="29" t="s">
        <v>79</v>
      </c>
      <c r="C901" s="30" t="s">
        <v>63</v>
      </c>
    </row>
    <row r="902" spans="1:3" ht="15.75" thickBot="1" x14ac:dyDescent="0.3">
      <c r="A902" s="31">
        <v>64346</v>
      </c>
      <c r="B902" s="32" t="s">
        <v>62</v>
      </c>
      <c r="C902" s="33" t="s">
        <v>64</v>
      </c>
    </row>
    <row r="903" spans="1:3" ht="15.75" thickBot="1" x14ac:dyDescent="0.3">
      <c r="A903" s="31">
        <v>64347</v>
      </c>
      <c r="B903" s="32" t="s">
        <v>65</v>
      </c>
      <c r="C903" s="33" t="s">
        <v>64</v>
      </c>
    </row>
    <row r="904" spans="1:3" ht="15.75" thickBot="1" x14ac:dyDescent="0.3">
      <c r="A904" s="31">
        <v>64392</v>
      </c>
      <c r="B904" s="32" t="s">
        <v>66</v>
      </c>
      <c r="C904" s="33" t="s">
        <v>67</v>
      </c>
    </row>
    <row r="905" spans="1:3" ht="15.75" thickBot="1" x14ac:dyDescent="0.3">
      <c r="A905" s="31">
        <v>64396</v>
      </c>
      <c r="B905" s="32" t="s">
        <v>65</v>
      </c>
      <c r="C905" s="33" t="s">
        <v>69</v>
      </c>
    </row>
    <row r="906" spans="1:3" ht="15.75" thickBot="1" x14ac:dyDescent="0.3">
      <c r="A906" s="31">
        <v>64406</v>
      </c>
      <c r="B906" s="32" t="s">
        <v>66</v>
      </c>
      <c r="C906" s="33" t="s">
        <v>70</v>
      </c>
    </row>
    <row r="907" spans="1:3" ht="15.75" thickBot="1" x14ac:dyDescent="0.3">
      <c r="A907" s="31">
        <v>64454</v>
      </c>
      <c r="B907" s="32" t="s">
        <v>71</v>
      </c>
      <c r="C907" s="33" t="s">
        <v>72</v>
      </c>
    </row>
    <row r="908" spans="1:3" ht="15.75" thickBot="1" x14ac:dyDescent="0.3">
      <c r="A908" s="31">
        <v>64535</v>
      </c>
      <c r="B908" s="32" t="s">
        <v>62</v>
      </c>
      <c r="C908" s="33" t="s">
        <v>73</v>
      </c>
    </row>
    <row r="909" spans="1:3" ht="15.75" thickBot="1" x14ac:dyDescent="0.3">
      <c r="A909" s="31">
        <v>64570</v>
      </c>
      <c r="B909" s="32" t="s">
        <v>62</v>
      </c>
      <c r="C909" s="33" t="s">
        <v>74</v>
      </c>
    </row>
    <row r="910" spans="1:3" ht="15.75" thickBot="1" x14ac:dyDescent="0.3">
      <c r="A910" s="31">
        <v>64591</v>
      </c>
      <c r="B910" s="32" t="s">
        <v>62</v>
      </c>
      <c r="C910" s="33" t="s">
        <v>75</v>
      </c>
    </row>
    <row r="911" spans="1:3" ht="15.75" thickBot="1" x14ac:dyDescent="0.3">
      <c r="A911" s="31">
        <v>64604</v>
      </c>
      <c r="B911" s="32" t="s">
        <v>78</v>
      </c>
      <c r="C911" s="33" t="s">
        <v>76</v>
      </c>
    </row>
    <row r="912" spans="1:3" ht="15.75" thickBot="1" x14ac:dyDescent="0.3">
      <c r="A912" s="31">
        <v>64644</v>
      </c>
      <c r="B912" s="32" t="s">
        <v>66</v>
      </c>
      <c r="C912" s="33" t="s">
        <v>77</v>
      </c>
    </row>
    <row r="913" spans="1:3" ht="15.75" thickBot="1" x14ac:dyDescent="0.3">
      <c r="A913" s="34">
        <v>64651</v>
      </c>
      <c r="B913" s="35" t="s">
        <v>66</v>
      </c>
      <c r="C913" s="36" t="s">
        <v>63</v>
      </c>
    </row>
    <row r="914" spans="1:3" ht="15.75" thickBot="1" x14ac:dyDescent="0.3">
      <c r="A914" s="25">
        <v>64703</v>
      </c>
      <c r="B914" s="26" t="s">
        <v>62</v>
      </c>
      <c r="C914" s="27" t="s">
        <v>64</v>
      </c>
    </row>
    <row r="915" spans="1:3" ht="15.75" thickBot="1" x14ac:dyDescent="0.3">
      <c r="A915" s="25">
        <v>64704</v>
      </c>
      <c r="B915" s="26" t="s">
        <v>65</v>
      </c>
      <c r="C915" s="27" t="s">
        <v>64</v>
      </c>
    </row>
    <row r="916" spans="1:3" ht="15.75" thickBot="1" x14ac:dyDescent="0.3">
      <c r="A916" s="25">
        <v>64749</v>
      </c>
      <c r="B916" s="26" t="s">
        <v>66</v>
      </c>
      <c r="C916" s="27" t="s">
        <v>67</v>
      </c>
    </row>
    <row r="917" spans="1:3" ht="15.75" thickBot="1" x14ac:dyDescent="0.3">
      <c r="A917" s="25">
        <v>64761</v>
      </c>
      <c r="B917" s="26" t="s">
        <v>79</v>
      </c>
      <c r="C917" s="27" t="s">
        <v>69</v>
      </c>
    </row>
    <row r="918" spans="1:3" ht="15.75" thickBot="1" x14ac:dyDescent="0.3">
      <c r="A918" s="25">
        <v>64771</v>
      </c>
      <c r="B918" s="26" t="s">
        <v>68</v>
      </c>
      <c r="C918" s="27" t="s">
        <v>70</v>
      </c>
    </row>
    <row r="919" spans="1:3" ht="15.75" thickBot="1" x14ac:dyDescent="0.3">
      <c r="A919" s="25">
        <v>64811</v>
      </c>
      <c r="B919" s="26" t="s">
        <v>71</v>
      </c>
      <c r="C919" s="27" t="s">
        <v>72</v>
      </c>
    </row>
    <row r="920" spans="1:3" ht="15.75" thickBot="1" x14ac:dyDescent="0.3">
      <c r="A920" s="25">
        <v>64900</v>
      </c>
      <c r="B920" s="26" t="s">
        <v>65</v>
      </c>
      <c r="C920" s="27" t="s">
        <v>73</v>
      </c>
    </row>
    <row r="921" spans="1:3" ht="15.75" thickBot="1" x14ac:dyDescent="0.3">
      <c r="A921" s="25">
        <v>64935</v>
      </c>
      <c r="B921" s="26" t="s">
        <v>65</v>
      </c>
      <c r="C921" s="27" t="s">
        <v>74</v>
      </c>
    </row>
    <row r="922" spans="1:3" ht="15.75" thickBot="1" x14ac:dyDescent="0.3">
      <c r="A922" s="25">
        <v>64956</v>
      </c>
      <c r="B922" s="26" t="s">
        <v>65</v>
      </c>
      <c r="C922" s="27" t="s">
        <v>75</v>
      </c>
    </row>
    <row r="923" spans="1:3" ht="15.75" thickBot="1" x14ac:dyDescent="0.3">
      <c r="A923" s="25">
        <v>64969</v>
      </c>
      <c r="B923" s="26" t="s">
        <v>62</v>
      </c>
      <c r="C923" s="27" t="s">
        <v>76</v>
      </c>
    </row>
    <row r="924" spans="1:3" ht="15.75" thickBot="1" x14ac:dyDescent="0.3">
      <c r="A924" s="25">
        <v>65009</v>
      </c>
      <c r="B924" s="26" t="s">
        <v>68</v>
      </c>
      <c r="C924" s="27" t="s">
        <v>77</v>
      </c>
    </row>
    <row r="925" spans="1:3" ht="15.75" thickBot="1" x14ac:dyDescent="0.3">
      <c r="A925" s="28">
        <v>65016</v>
      </c>
      <c r="B925" s="29" t="s">
        <v>65</v>
      </c>
      <c r="C925" s="30" t="s">
        <v>63</v>
      </c>
    </row>
    <row r="926" spans="1:3" ht="15.75" thickBot="1" x14ac:dyDescent="0.3">
      <c r="A926" s="31">
        <v>65060</v>
      </c>
      <c r="B926" s="32" t="s">
        <v>62</v>
      </c>
      <c r="C926" s="33" t="s">
        <v>64</v>
      </c>
    </row>
    <row r="927" spans="1:3" ht="15.75" thickBot="1" x14ac:dyDescent="0.3">
      <c r="A927" s="31">
        <v>65061</v>
      </c>
      <c r="B927" s="32" t="s">
        <v>65</v>
      </c>
      <c r="C927" s="33" t="s">
        <v>64</v>
      </c>
    </row>
    <row r="928" spans="1:3" ht="15.75" thickBot="1" x14ac:dyDescent="0.3">
      <c r="A928" s="31">
        <v>65106</v>
      </c>
      <c r="B928" s="32" t="s">
        <v>66</v>
      </c>
      <c r="C928" s="33" t="s">
        <v>67</v>
      </c>
    </row>
    <row r="929" spans="1:3" ht="15.75" thickBot="1" x14ac:dyDescent="0.3">
      <c r="A929" s="31">
        <v>65126</v>
      </c>
      <c r="B929" s="32" t="s">
        <v>71</v>
      </c>
      <c r="C929" s="33" t="s">
        <v>69</v>
      </c>
    </row>
    <row r="930" spans="1:3" ht="15.75" thickBot="1" x14ac:dyDescent="0.3">
      <c r="A930" s="31">
        <v>65136</v>
      </c>
      <c r="B930" s="32" t="s">
        <v>79</v>
      </c>
      <c r="C930" s="33" t="s">
        <v>70</v>
      </c>
    </row>
    <row r="931" spans="1:3" ht="15.75" thickBot="1" x14ac:dyDescent="0.3">
      <c r="A931" s="31">
        <v>65168</v>
      </c>
      <c r="B931" s="32" t="s">
        <v>71</v>
      </c>
      <c r="C931" s="33" t="s">
        <v>72</v>
      </c>
    </row>
    <row r="932" spans="1:3" ht="15.75" thickBot="1" x14ac:dyDescent="0.3">
      <c r="A932" s="31">
        <v>65265</v>
      </c>
      <c r="B932" s="32" t="s">
        <v>79</v>
      </c>
      <c r="C932" s="33" t="s">
        <v>73</v>
      </c>
    </row>
    <row r="933" spans="1:3" ht="15.75" thickBot="1" x14ac:dyDescent="0.3">
      <c r="A933" s="31">
        <v>65300</v>
      </c>
      <c r="B933" s="32" t="s">
        <v>79</v>
      </c>
      <c r="C933" s="33" t="s">
        <v>74</v>
      </c>
    </row>
    <row r="934" spans="1:3" ht="15.75" thickBot="1" x14ac:dyDescent="0.3">
      <c r="A934" s="31">
        <v>65321</v>
      </c>
      <c r="B934" s="32" t="s">
        <v>79</v>
      </c>
      <c r="C934" s="33" t="s">
        <v>75</v>
      </c>
    </row>
    <row r="935" spans="1:3" ht="15.75" thickBot="1" x14ac:dyDescent="0.3">
      <c r="A935" s="31">
        <v>65334</v>
      </c>
      <c r="B935" s="32" t="s">
        <v>65</v>
      </c>
      <c r="C935" s="33" t="s">
        <v>76</v>
      </c>
    </row>
    <row r="936" spans="1:3" ht="15.75" thickBot="1" x14ac:dyDescent="0.3">
      <c r="A936" s="31">
        <v>65374</v>
      </c>
      <c r="B936" s="32" t="s">
        <v>79</v>
      </c>
      <c r="C936" s="33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1461-5EF3-4BEB-8072-E63E1A78C746}">
  <dimension ref="A1:AB535"/>
  <sheetViews>
    <sheetView workbookViewId="0">
      <pane ySplit="2" topLeftCell="A205" activePane="bottomLeft" state="frozen"/>
      <selection pane="bottomLeft" activeCell="X132" sqref="X132"/>
    </sheetView>
  </sheetViews>
  <sheetFormatPr defaultRowHeight="15" outlineLevelCol="1" x14ac:dyDescent="0.25"/>
  <cols>
    <col min="1" max="1" width="14.140625" customWidth="1"/>
    <col min="2" max="2" width="14.140625" hidden="1" customWidth="1" outlineLevel="1"/>
    <col min="3" max="3" width="14.85546875" bestFit="1" customWidth="1" collapsed="1"/>
    <col min="4" max="5" width="13.85546875" bestFit="1" customWidth="1"/>
    <col min="6" max="7" width="14.85546875" bestFit="1" customWidth="1"/>
    <col min="8" max="8" width="13.85546875" bestFit="1" customWidth="1"/>
    <col min="9" max="9" width="14.85546875" bestFit="1" customWidth="1"/>
    <col min="10" max="10" width="13.85546875" bestFit="1" customWidth="1"/>
    <col min="11" max="12" width="14.85546875" bestFit="1" customWidth="1"/>
    <col min="13" max="14" width="14.85546875" customWidth="1"/>
    <col min="15" max="15" width="17.140625" bestFit="1" customWidth="1"/>
    <col min="16" max="17" width="14.85546875" style="2" bestFit="1" customWidth="1"/>
    <col min="18" max="20" width="15.42578125" style="2" bestFit="1" customWidth="1"/>
    <col min="21" max="21" width="10" bestFit="1" customWidth="1"/>
    <col min="22" max="22" width="8.85546875" bestFit="1" customWidth="1"/>
    <col min="23" max="24" width="7.5703125" bestFit="1" customWidth="1"/>
    <col min="25" max="25" width="9.5703125" style="18" bestFit="1" customWidth="1"/>
    <col min="26" max="26" width="8.42578125" bestFit="1" customWidth="1"/>
    <col min="27" max="27" width="7.140625" bestFit="1" customWidth="1"/>
    <col min="28" max="28" width="8.5703125" bestFit="1" customWidth="1"/>
  </cols>
  <sheetData>
    <row r="1" spans="1:28" ht="14.45" customHeight="1" x14ac:dyDescent="0.25">
      <c r="A1" s="53" t="s">
        <v>14</v>
      </c>
      <c r="B1" s="9"/>
      <c r="C1" s="4" t="s">
        <v>28</v>
      </c>
      <c r="D1" s="4" t="s">
        <v>28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28</v>
      </c>
      <c r="J1" s="4" t="s">
        <v>28</v>
      </c>
      <c r="K1" s="4" t="s">
        <v>28</v>
      </c>
      <c r="L1" s="4" t="s">
        <v>28</v>
      </c>
      <c r="M1" s="4" t="s">
        <v>28</v>
      </c>
      <c r="N1" s="4" t="s">
        <v>28</v>
      </c>
      <c r="O1" s="56" t="s">
        <v>35</v>
      </c>
      <c r="P1" s="54" t="s">
        <v>36</v>
      </c>
      <c r="Q1" s="54" t="s">
        <v>37</v>
      </c>
      <c r="R1" s="58" t="s">
        <v>57</v>
      </c>
      <c r="S1" s="58" t="s">
        <v>58</v>
      </c>
      <c r="T1" s="58" t="s">
        <v>59</v>
      </c>
      <c r="U1" s="55" t="s">
        <v>38</v>
      </c>
      <c r="V1" s="52" t="s">
        <v>46</v>
      </c>
      <c r="W1" s="52" t="s">
        <v>47</v>
      </c>
      <c r="X1" s="52" t="s">
        <v>48</v>
      </c>
      <c r="Y1" s="51" t="s">
        <v>49</v>
      </c>
      <c r="Z1" s="51" t="s">
        <v>50</v>
      </c>
      <c r="AA1" s="51" t="s">
        <v>51</v>
      </c>
      <c r="AB1" s="51" t="s">
        <v>52</v>
      </c>
    </row>
    <row r="2" spans="1:28" x14ac:dyDescent="0.25">
      <c r="A2" s="53"/>
      <c r="B2" s="4" t="s">
        <v>15</v>
      </c>
      <c r="C2" s="10">
        <v>5.3289999999999997E-2</v>
      </c>
      <c r="D2" s="10">
        <v>5.3190000000000001E-2</v>
      </c>
      <c r="E2" s="10">
        <v>5.1589999999999997E-2</v>
      </c>
      <c r="F2" s="10">
        <v>5.169E-2</v>
      </c>
      <c r="G2" s="10">
        <v>5.1790000000000003E-2</v>
      </c>
      <c r="H2" s="10">
        <v>5.0590000000000003E-2</v>
      </c>
      <c r="I2" s="10">
        <v>5.049E-2</v>
      </c>
      <c r="J2" s="10">
        <v>6.3990000000000005E-2</v>
      </c>
      <c r="K2" s="10">
        <v>7.8689999999999996E-2</v>
      </c>
      <c r="L2" s="10">
        <v>7.9600000000000004E-2</v>
      </c>
      <c r="M2" s="10">
        <v>7.4289999999999995E-2</v>
      </c>
      <c r="N2" s="10">
        <v>8.0199999999999994E-2</v>
      </c>
      <c r="O2" s="57"/>
      <c r="P2" s="54"/>
      <c r="Q2" s="54"/>
      <c r="R2" s="58"/>
      <c r="S2" s="58"/>
      <c r="T2" s="58"/>
      <c r="U2" s="55"/>
      <c r="V2" s="52"/>
      <c r="W2" s="52"/>
      <c r="X2" s="52"/>
      <c r="Y2" s="51"/>
      <c r="Z2" s="51"/>
      <c r="AA2" s="51"/>
      <c r="AB2" s="51"/>
    </row>
    <row r="3" spans="1:28" s="2" customFormat="1" x14ac:dyDescent="0.25">
      <c r="A3" s="1">
        <v>45103</v>
      </c>
      <c r="B3" s="1" t="str">
        <f>_xlfn.CONCAT(TEXT(YEAR(A3),"0000"),TEXT(MONTH(A3),"00"))</f>
        <v>202306</v>
      </c>
      <c r="C3" s="2">
        <v>43383245.049999997</v>
      </c>
      <c r="D3" s="2">
        <v>43401451.200000003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f t="shared" ref="O3:O66" si="0">SUM(C3:N3)</f>
        <v>86784696.25</v>
      </c>
      <c r="P3" s="2">
        <v>86784696.25</v>
      </c>
      <c r="Q3" s="2">
        <v>0</v>
      </c>
      <c r="R3" s="2">
        <v>0</v>
      </c>
      <c r="S3" s="2">
        <v>0</v>
      </c>
      <c r="T3" s="2">
        <v>0</v>
      </c>
      <c r="U3" s="11">
        <v>1</v>
      </c>
      <c r="V3" s="12">
        <v>0</v>
      </c>
      <c r="W3" s="12">
        <f>V3</f>
        <v>0</v>
      </c>
      <c r="X3" s="12">
        <f>V3</f>
        <v>0</v>
      </c>
      <c r="Y3" s="5">
        <f>V3</f>
        <v>0</v>
      </c>
      <c r="Z3" s="19" t="s">
        <v>53</v>
      </c>
      <c r="AA3" s="19" t="s">
        <v>53</v>
      </c>
      <c r="AB3" s="19" t="s">
        <v>53</v>
      </c>
    </row>
    <row r="4" spans="1:28" s="2" customFormat="1" x14ac:dyDescent="0.25">
      <c r="A4" s="1">
        <v>45104</v>
      </c>
      <c r="B4" s="1" t="str">
        <f t="shared" ref="B4:B67" si="1">_xlfn.CONCAT(TEXT(YEAR(A4),"0000"),TEXT(MONTH(A4),"00"))</f>
        <v>202306</v>
      </c>
      <c r="C4" s="2">
        <f>C3*(1+((1+VLOOKUP($B4,'IPCA Hist'!$B:$C,2,0))^12 - 1)+$C$2)^(1/252)</f>
        <v>43390614.435997687</v>
      </c>
      <c r="D4" s="2">
        <f>D3*(1+((1+VLOOKUP($B4,'IPCA Hist'!$B:$C,2,0))^12 - 1)+$D$2)^(1/252)</f>
        <v>43408807.173866078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f t="shared" si="0"/>
        <v>86799421.609863758</v>
      </c>
      <c r="P4" s="2">
        <v>0</v>
      </c>
      <c r="Q4" s="2">
        <v>0</v>
      </c>
      <c r="R4" s="2">
        <f>O4-O3-P4+Q4</f>
        <v>14725.359863758087</v>
      </c>
      <c r="S4" s="2">
        <f t="shared" ref="S4:S67" si="2">IF(MONTH(A4)=MONTH(A3),R4+S3,R4)</f>
        <v>14725.359863758087</v>
      </c>
      <c r="T4" s="2">
        <f t="shared" ref="T4:T67" si="3">IF(YEAR(A4)=YEAR(A3),R4+T3,R4)</f>
        <v>14725.359863758087</v>
      </c>
      <c r="U4" s="11">
        <f>(1+(O4-O3-P4+Q4)/O3)*U3</f>
        <v>1.0001696769188584</v>
      </c>
      <c r="V4" s="12">
        <f>U4/U3 - 1</f>
        <v>1.6967691885838576E-4</v>
      </c>
      <c r="W4" s="12">
        <f t="shared" ref="W4:W67" si="4">IF(MONTH(A4)=MONTH(A3),(1+V4)*(1+W3) - 1,V4)</f>
        <v>1.6967691885838576E-4</v>
      </c>
      <c r="X4" s="12">
        <f t="shared" ref="X4:X67" si="5">IF(YEAR(A4)=YEAR(A3),(1+V4)*(1+X3) - 1,V4)</f>
        <v>1.6967691885838576E-4</v>
      </c>
      <c r="Y4" s="5">
        <f>(1+V4)*(1+Y3) - 1</f>
        <v>1.6967691885838576E-4</v>
      </c>
      <c r="Z4" s="19" t="s">
        <v>53</v>
      </c>
      <c r="AA4" s="19" t="s">
        <v>53</v>
      </c>
      <c r="AB4" s="19" t="s">
        <v>53</v>
      </c>
    </row>
    <row r="5" spans="1:28" s="2" customFormat="1" x14ac:dyDescent="0.25">
      <c r="A5" s="1">
        <v>45105</v>
      </c>
      <c r="B5" s="1" t="str">
        <f t="shared" si="1"/>
        <v>202306</v>
      </c>
      <c r="C5" s="2">
        <f>C4*(1+((1+VLOOKUP($B5,'IPCA Hist'!$B:$C,2,0))^12 - 1)+$C$2)^(1/252)</f>
        <v>43397985.073811598</v>
      </c>
      <c r="D5" s="2">
        <f>D4*(1+((1+VLOOKUP($B5,'IPCA Hist'!$B:$C,2,0))^12 - 1)+$D$2)^(1/252)</f>
        <v>43416164.394472763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f t="shared" si="0"/>
        <v>86814149.468284369</v>
      </c>
      <c r="P5" s="2">
        <v>0</v>
      </c>
      <c r="Q5" s="2">
        <v>0</v>
      </c>
      <c r="R5" s="2">
        <f>O5-O4-P5+Q5</f>
        <v>14727.858420610428</v>
      </c>
      <c r="S5" s="2">
        <f t="shared" si="2"/>
        <v>29453.218284368515</v>
      </c>
      <c r="T5" s="2">
        <f t="shared" si="3"/>
        <v>29453.218284368515</v>
      </c>
      <c r="U5" s="11">
        <f t="shared" ref="U5:U68" si="6">(1+(O5-O4-P5+Q5)/O4)*U4</f>
        <v>1.00033938262801</v>
      </c>
      <c r="V5" s="12">
        <f t="shared" ref="V5:V68" si="7">U5/U4 - 1</f>
        <v>1.6967691889480108E-4</v>
      </c>
      <c r="W5" s="12">
        <f t="shared" si="4"/>
        <v>3.3938262801003205E-4</v>
      </c>
      <c r="X5" s="12">
        <f t="shared" si="5"/>
        <v>3.3938262801003205E-4</v>
      </c>
      <c r="Y5" s="5">
        <f t="shared" ref="Y5:Y68" si="8">(1+V5)*(1+Y4) - 1</f>
        <v>3.3938262801003205E-4</v>
      </c>
      <c r="Z5" s="19" t="s">
        <v>53</v>
      </c>
      <c r="AA5" s="19" t="s">
        <v>53</v>
      </c>
      <c r="AB5" s="19" t="s">
        <v>53</v>
      </c>
    </row>
    <row r="6" spans="1:28" s="2" customFormat="1" x14ac:dyDescent="0.25">
      <c r="A6" s="1">
        <v>45106</v>
      </c>
      <c r="B6" s="1" t="str">
        <f t="shared" si="1"/>
        <v>202306</v>
      </c>
      <c r="C6" s="2">
        <f>C5*(1+((1+VLOOKUP($B6,'IPCA Hist'!$B:$C,2,0))^12 - 1)+$C$2)^(1/252)</f>
        <v>43405356.963654377</v>
      </c>
      <c r="D6" s="2">
        <f>D5*(1+((1+VLOOKUP($B6,'IPCA Hist'!$B:$C,2,0))^12 - 1)+$D$2)^(1/252)</f>
        <v>43423522.862031356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f t="shared" si="0"/>
        <v>86828879.82568574</v>
      </c>
      <c r="P6" s="2">
        <v>0</v>
      </c>
      <c r="Q6" s="2">
        <v>0</v>
      </c>
      <c r="R6" s="2">
        <f>O6-O5-P6+Q6</f>
        <v>14730.357401371002</v>
      </c>
      <c r="S6" s="2">
        <f t="shared" si="2"/>
        <v>44183.575685739517</v>
      </c>
      <c r="T6" s="2">
        <f t="shared" si="3"/>
        <v>44183.575685739517</v>
      </c>
      <c r="U6" s="11">
        <f t="shared" si="6"/>
        <v>1.0005091171323395</v>
      </c>
      <c r="V6" s="12">
        <f t="shared" si="7"/>
        <v>1.696769189307723E-4</v>
      </c>
      <c r="W6" s="12">
        <f t="shared" si="4"/>
        <v>5.0911713233947609E-4</v>
      </c>
      <c r="X6" s="12">
        <f t="shared" si="5"/>
        <v>5.0911713233947609E-4</v>
      </c>
      <c r="Y6" s="5">
        <f t="shared" si="8"/>
        <v>5.0911713233947609E-4</v>
      </c>
      <c r="Z6" s="19" t="s">
        <v>53</v>
      </c>
      <c r="AA6" s="19" t="s">
        <v>53</v>
      </c>
      <c r="AB6" s="19" t="s">
        <v>53</v>
      </c>
    </row>
    <row r="7" spans="1:28" s="2" customFormat="1" x14ac:dyDescent="0.25">
      <c r="A7" s="1">
        <v>45107</v>
      </c>
      <c r="B7" s="1" t="str">
        <f t="shared" si="1"/>
        <v>202306</v>
      </c>
      <c r="C7" s="2">
        <f>C6*(1+((1+VLOOKUP($B7,'IPCA Hist'!$B:$C,2,0))^12 - 1)+$C$2)^(1/252)</f>
        <v>43412730.105738699</v>
      </c>
      <c r="D7" s="2">
        <f>D6*(1+((1+VLOOKUP($B7,'IPCA Hist'!$B:$C,2,0))^12 - 1)+$D$2)^(1/252)</f>
        <v>43430882.576753207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f t="shared" si="0"/>
        <v>86843612.682491899</v>
      </c>
      <c r="P7" s="2">
        <v>0</v>
      </c>
      <c r="Q7" s="2">
        <v>0</v>
      </c>
      <c r="R7" s="2">
        <f>O7-O6-P7+Q7</f>
        <v>14732.856806159019</v>
      </c>
      <c r="S7" s="2">
        <f t="shared" si="2"/>
        <v>58916.432491898537</v>
      </c>
      <c r="T7" s="2">
        <f t="shared" si="3"/>
        <v>58916.432491898537</v>
      </c>
      <c r="U7" s="11">
        <f t="shared" si="6"/>
        <v>1.0006788804367326</v>
      </c>
      <c r="V7" s="12">
        <f t="shared" si="7"/>
        <v>1.6967691896674353E-4</v>
      </c>
      <c r="W7" s="12">
        <f t="shared" si="4"/>
        <v>6.7888043673258736E-4</v>
      </c>
      <c r="X7" s="12">
        <f t="shared" si="5"/>
        <v>6.7888043673258736E-4</v>
      </c>
      <c r="Y7" s="5">
        <f t="shared" si="8"/>
        <v>6.7888043673258736E-4</v>
      </c>
      <c r="Z7" s="19" t="s">
        <v>53</v>
      </c>
      <c r="AA7" s="19" t="s">
        <v>53</v>
      </c>
      <c r="AB7" s="19" t="s">
        <v>53</v>
      </c>
    </row>
    <row r="8" spans="1:28" s="2" customFormat="1" x14ac:dyDescent="0.25">
      <c r="A8" s="1">
        <v>45110</v>
      </c>
      <c r="B8" s="1" t="str">
        <f t="shared" si="1"/>
        <v>202307</v>
      </c>
      <c r="C8" s="2">
        <f>C7*(1+((1+VLOOKUP($B8,'IPCA Hist'!$B:$C,2,0))^12 - 1)+$C$2)^(1/252)</f>
        <v>43424030.394521907</v>
      </c>
      <c r="D8" s="2">
        <f>D7*(1+((1+VLOOKUP($B8,'IPCA Hist'!$B:$C,2,0))^12 - 1)+$D$2)^(1/252)</f>
        <v>43442171.445257679</v>
      </c>
      <c r="E8" s="2">
        <v>43711222.890000001</v>
      </c>
      <c r="F8" s="2">
        <v>43692945.229999997</v>
      </c>
      <c r="G8" s="2">
        <v>43674667.559999995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f t="shared" si="0"/>
        <v>217945037.51977959</v>
      </c>
      <c r="P8" s="2">
        <v>131078835.68000001</v>
      </c>
      <c r="Q8" s="2">
        <v>0</v>
      </c>
      <c r="R8" s="2">
        <f>O8-O7-P8+Q8</f>
        <v>22589.157287687063</v>
      </c>
      <c r="S8" s="2">
        <f t="shared" si="2"/>
        <v>22589.157287687063</v>
      </c>
      <c r="T8" s="2">
        <f t="shared" si="3"/>
        <v>81505.5897795856</v>
      </c>
      <c r="U8" s="11">
        <f t="shared" si="6"/>
        <v>1.0009391700760788</v>
      </c>
      <c r="V8" s="12">
        <f t="shared" si="7"/>
        <v>2.601130536827867E-4</v>
      </c>
      <c r="W8" s="12">
        <f t="shared" si="4"/>
        <v>2.601130536827867E-4</v>
      </c>
      <c r="X8" s="12">
        <f t="shared" si="5"/>
        <v>9.391700760787991E-4</v>
      </c>
      <c r="Y8" s="5">
        <f t="shared" si="8"/>
        <v>9.391700760787991E-4</v>
      </c>
      <c r="Z8" s="19" t="s">
        <v>53</v>
      </c>
      <c r="AA8" s="19" t="s">
        <v>53</v>
      </c>
      <c r="AB8" s="19" t="s">
        <v>53</v>
      </c>
    </row>
    <row r="9" spans="1:28" s="2" customFormat="1" x14ac:dyDescent="0.25">
      <c r="A9" s="1">
        <v>45111</v>
      </c>
      <c r="B9" s="1" t="str">
        <f t="shared" si="1"/>
        <v>202307</v>
      </c>
      <c r="C9" s="2">
        <f>C8*(1+((1+VLOOKUP($B9,'IPCA Hist'!$B:$C,2,0))^12 - 1)+$C$2)^(1/252)</f>
        <v>43435333.624758601</v>
      </c>
      <c r="D9" s="2">
        <f>D8*(1+((1+VLOOKUP($B9,'IPCA Hist'!$B:$C,2,0))^12 - 1)+$D$2)^(1/252)</f>
        <v>43453463.248046339</v>
      </c>
      <c r="E9" s="2">
        <f>E8*(1+((1+VLOOKUP($B9,'IPCA Hist'!$B:$C,2,0))^12 - 1)+$E$2)^(1/252)</f>
        <v>43722324.427190334</v>
      </c>
      <c r="F9" s="2">
        <f>F8*(1+((1+VLOOKUP($B9,'IPCA Hist'!$B:$C,2,0))^12 - 1)+$F$2)^(1/252)</f>
        <v>43704058.392179221</v>
      </c>
      <c r="G9" s="2">
        <f>G8*(1+((1+VLOOKUP($B9,'IPCA Hist'!$B:$C,2,0))^12 - 1)+$G$2)^(1/252)</f>
        <v>43685792.332036927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f t="shared" si="0"/>
        <v>218000972.02421141</v>
      </c>
      <c r="P9" s="2">
        <v>0</v>
      </c>
      <c r="Q9" s="2">
        <v>0</v>
      </c>
      <c r="R9" s="2">
        <f t="shared" ref="R9:R72" si="9">O9-O8-P9+Q9</f>
        <v>55934.504431813955</v>
      </c>
      <c r="S9" s="2">
        <f t="shared" si="2"/>
        <v>78523.661719501019</v>
      </c>
      <c r="T9" s="2">
        <f t="shared" si="3"/>
        <v>137440.09421139956</v>
      </c>
      <c r="U9" s="11">
        <f t="shared" si="6"/>
        <v>1.0011960561106577</v>
      </c>
      <c r="V9" s="12">
        <f t="shared" si="7"/>
        <v>2.5664500127353662E-4</v>
      </c>
      <c r="W9" s="12">
        <f t="shared" si="4"/>
        <v>5.1682481167136807E-4</v>
      </c>
      <c r="X9" s="12">
        <f t="shared" si="5"/>
        <v>1.1960561106576506E-3</v>
      </c>
      <c r="Y9" s="5">
        <f t="shared" si="8"/>
        <v>1.1960561106576506E-3</v>
      </c>
      <c r="Z9" s="19" t="s">
        <v>53</v>
      </c>
      <c r="AA9" s="19" t="s">
        <v>53</v>
      </c>
      <c r="AB9" s="19" t="s">
        <v>53</v>
      </c>
    </row>
    <row r="10" spans="1:28" s="2" customFormat="1" x14ac:dyDescent="0.25">
      <c r="A10" s="1">
        <v>45112</v>
      </c>
      <c r="B10" s="1" t="str">
        <f t="shared" si="1"/>
        <v>202307</v>
      </c>
      <c r="C10" s="2">
        <f>C9*(1+((1+VLOOKUP($B10,'IPCA Hist'!$B:$C,2,0))^12 - 1)+$C$2)^(1/252)</f>
        <v>43446639.797214448</v>
      </c>
      <c r="D10" s="2">
        <f>D9*(1+((1+VLOOKUP($B10,'IPCA Hist'!$B:$C,2,0))^12 - 1)+$D$2)^(1/252)</f>
        <v>43464757.985881887</v>
      </c>
      <c r="E10" s="2">
        <f>E9*(1+((1+VLOOKUP($B10,'IPCA Hist'!$B:$C,2,0))^12 - 1)+$E$2)^(1/252)</f>
        <v>43733428.783888333</v>
      </c>
      <c r="F10" s="2">
        <f>F9*(1+((1+VLOOKUP($B10,'IPCA Hist'!$B:$C,2,0))^12 - 1)+$F$2)^(1/252)</f>
        <v>43715174.380956039</v>
      </c>
      <c r="G10" s="2">
        <f>G9*(1+((1+VLOOKUP($B10,'IPCA Hist'!$B:$C,2,0))^12 - 1)+$G$2)^(1/252)</f>
        <v>43696919.937765792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f t="shared" si="0"/>
        <v>218056920.88570648</v>
      </c>
      <c r="P10" s="2">
        <v>0</v>
      </c>
      <c r="Q10" s="2">
        <v>0</v>
      </c>
      <c r="R10" s="2">
        <f t="shared" si="9"/>
        <v>55948.86149507761</v>
      </c>
      <c r="S10" s="2">
        <f t="shared" si="2"/>
        <v>134472.52321457863</v>
      </c>
      <c r="T10" s="2">
        <f t="shared" si="3"/>
        <v>193388.95570647717</v>
      </c>
      <c r="U10" s="11">
        <f t="shared" si="6"/>
        <v>1.0014530080818009</v>
      </c>
      <c r="V10" s="12">
        <f t="shared" si="7"/>
        <v>2.5664500931155132E-4</v>
      </c>
      <c r="W10" s="12">
        <f t="shared" si="4"/>
        <v>7.7360246149149603E-4</v>
      </c>
      <c r="X10" s="12">
        <f t="shared" si="5"/>
        <v>1.4530080818009328E-3</v>
      </c>
      <c r="Y10" s="5">
        <f t="shared" si="8"/>
        <v>1.4530080818009328E-3</v>
      </c>
      <c r="Z10" s="19" t="s">
        <v>53</v>
      </c>
      <c r="AA10" s="19" t="s">
        <v>53</v>
      </c>
      <c r="AB10" s="19" t="s">
        <v>53</v>
      </c>
    </row>
    <row r="11" spans="1:28" s="2" customFormat="1" x14ac:dyDescent="0.25">
      <c r="A11" s="1">
        <v>45113</v>
      </c>
      <c r="B11" s="1" t="str">
        <f t="shared" si="1"/>
        <v>202307</v>
      </c>
      <c r="C11" s="2">
        <f>C10*(1+((1+VLOOKUP($B11,'IPCA Hist'!$B:$C,2,0))^12 - 1)+$C$2)^(1/252)</f>
        <v>43457948.912655301</v>
      </c>
      <c r="D11" s="2">
        <f>D10*(1+((1+VLOOKUP($B11,'IPCA Hist'!$B:$C,2,0))^12 - 1)+$D$2)^(1/252)</f>
        <v>43476055.659527227</v>
      </c>
      <c r="E11" s="2">
        <f>E10*(1+((1+VLOOKUP($B11,'IPCA Hist'!$B:$C,2,0))^12 - 1)+$E$2)^(1/252)</f>
        <v>43744535.96081008</v>
      </c>
      <c r="F11" s="2">
        <f>F10*(1+((1+VLOOKUP($B11,'IPCA Hist'!$B:$C,2,0))^12 - 1)+$F$2)^(1/252)</f>
        <v>43726293.197049379</v>
      </c>
      <c r="G11" s="2">
        <f>G10*(1+((1+VLOOKUP($B11,'IPCA Hist'!$B:$C,2,0))^12 - 1)+$G$2)^(1/252)</f>
        <v>43708050.377908379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f t="shared" si="0"/>
        <v>218112884.10795036</v>
      </c>
      <c r="P11" s="2">
        <v>0</v>
      </c>
      <c r="Q11" s="2">
        <v>0</v>
      </c>
      <c r="R11" s="2">
        <f t="shared" si="9"/>
        <v>55963.222243875265</v>
      </c>
      <c r="S11" s="2">
        <f t="shared" si="2"/>
        <v>190435.74545845389</v>
      </c>
      <c r="T11" s="2">
        <f t="shared" si="3"/>
        <v>249352.17795035243</v>
      </c>
      <c r="U11" s="11">
        <f t="shared" si="6"/>
        <v>1.0017100260064347</v>
      </c>
      <c r="V11" s="12">
        <f t="shared" si="7"/>
        <v>2.5664501734934397E-4</v>
      </c>
      <c r="W11" s="12">
        <f t="shared" si="4"/>
        <v>1.0304460200580845E-3</v>
      </c>
      <c r="X11" s="12">
        <f t="shared" si="5"/>
        <v>1.7100260064346617E-3</v>
      </c>
      <c r="Y11" s="5">
        <f t="shared" si="8"/>
        <v>1.7100260064346617E-3</v>
      </c>
      <c r="Z11" s="19" t="s">
        <v>53</v>
      </c>
      <c r="AA11" s="19" t="s">
        <v>53</v>
      </c>
      <c r="AB11" s="19" t="s">
        <v>53</v>
      </c>
    </row>
    <row r="12" spans="1:28" s="2" customFormat="1" x14ac:dyDescent="0.25">
      <c r="A12" s="1">
        <v>45114</v>
      </c>
      <c r="B12" s="1" t="str">
        <f t="shared" si="1"/>
        <v>202307</v>
      </c>
      <c r="C12" s="2">
        <f>C11*(1+((1+VLOOKUP($B12,'IPCA Hist'!$B:$C,2,0))^12 - 1)+$C$2)^(1/252)</f>
        <v>43469260.971847214</v>
      </c>
      <c r="D12" s="2">
        <f>D11*(1+((1+VLOOKUP($B12,'IPCA Hist'!$B:$C,2,0))^12 - 1)+$D$2)^(1/252)</f>
        <v>43487356.269745454</v>
      </c>
      <c r="E12" s="2">
        <f>E11*(1+((1+VLOOKUP($B12,'IPCA Hist'!$B:$C,2,0))^12 - 1)+$E$2)^(1/252)</f>
        <v>43755645.958671838</v>
      </c>
      <c r="F12" s="2">
        <f>F11*(1+((1+VLOOKUP($B12,'IPCA Hist'!$B:$C,2,0))^12 - 1)+$F$2)^(1/252)</f>
        <v>43737414.841178365</v>
      </c>
      <c r="G12" s="2">
        <f>G11*(1+((1+VLOOKUP($B12,'IPCA Hist'!$B:$C,2,0))^12 - 1)+$G$2)^(1/252)</f>
        <v>43719183.653186664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f t="shared" si="0"/>
        <v>218168861.69462955</v>
      </c>
      <c r="P12" s="2">
        <v>0</v>
      </c>
      <c r="Q12" s="2">
        <v>0</v>
      </c>
      <c r="R12" s="2">
        <f t="shared" si="9"/>
        <v>55977.586679190397</v>
      </c>
      <c r="S12" s="2">
        <f t="shared" si="2"/>
        <v>246413.33213764429</v>
      </c>
      <c r="T12" s="2">
        <f t="shared" si="3"/>
        <v>305329.76462954283</v>
      </c>
      <c r="U12" s="11">
        <f t="shared" si="6"/>
        <v>1.00196710990149</v>
      </c>
      <c r="V12" s="12">
        <f t="shared" si="7"/>
        <v>2.5664502538735867E-4</v>
      </c>
      <c r="W12" s="12">
        <f t="shared" si="4"/>
        <v>1.2873555042904883E-3</v>
      </c>
      <c r="X12" s="12">
        <f t="shared" si="5"/>
        <v>1.9671099014899607E-3</v>
      </c>
      <c r="Y12" s="5">
        <f t="shared" si="8"/>
        <v>1.9671099014899607E-3</v>
      </c>
      <c r="Z12" s="19" t="s">
        <v>53</v>
      </c>
      <c r="AA12" s="19" t="s">
        <v>53</v>
      </c>
      <c r="AB12" s="19" t="s">
        <v>53</v>
      </c>
    </row>
    <row r="13" spans="1:28" s="2" customFormat="1" x14ac:dyDescent="0.25">
      <c r="A13" s="1">
        <v>45117</v>
      </c>
      <c r="B13" s="1" t="str">
        <f t="shared" si="1"/>
        <v>202307</v>
      </c>
      <c r="C13" s="2">
        <f>C12*(1+((1+VLOOKUP($B13,'IPCA Hist'!$B:$C,2,0))^12 - 1)+$C$2)^(1/252)</f>
        <v>43480575.975556448</v>
      </c>
      <c r="D13" s="2">
        <f>D12*(1+((1+VLOOKUP($B13,'IPCA Hist'!$B:$C,2,0))^12 - 1)+$D$2)^(1/252)</f>
        <v>43498659.817299865</v>
      </c>
      <c r="E13" s="2">
        <f>E12*(1+((1+VLOOKUP($B13,'IPCA Hist'!$B:$C,2,0))^12 - 1)+$E$2)^(1/252)</f>
        <v>43766758.778190061</v>
      </c>
      <c r="F13" s="2">
        <f>F12*(1+((1+VLOOKUP($B13,'IPCA Hist'!$B:$C,2,0))^12 - 1)+$F$2)^(1/252)</f>
        <v>43748539.314062297</v>
      </c>
      <c r="G13" s="2">
        <f>G12*(1+((1+VLOOKUP($B13,'IPCA Hist'!$B:$C,2,0))^12 - 1)+$G$2)^(1/252)</f>
        <v>43730319.764322817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 t="shared" si="0"/>
        <v>218224853.64943147</v>
      </c>
      <c r="P13" s="2">
        <v>0</v>
      </c>
      <c r="Q13" s="2">
        <v>0</v>
      </c>
      <c r="R13" s="2">
        <f t="shared" si="9"/>
        <v>55991.954801917076</v>
      </c>
      <c r="S13" s="2">
        <f t="shared" si="2"/>
        <v>302405.28693956137</v>
      </c>
      <c r="T13" s="2">
        <f t="shared" si="3"/>
        <v>361321.7194314599</v>
      </c>
      <c r="U13" s="11">
        <f t="shared" si="6"/>
        <v>1.0022242597839013</v>
      </c>
      <c r="V13" s="12">
        <f t="shared" si="7"/>
        <v>2.5664503342492928E-4</v>
      </c>
      <c r="W13" s="12">
        <f t="shared" si="4"/>
        <v>1.5443309311118369E-3</v>
      </c>
      <c r="X13" s="12">
        <f t="shared" si="5"/>
        <v>2.2242597839012834E-3</v>
      </c>
      <c r="Y13" s="5">
        <f t="shared" si="8"/>
        <v>2.2242597839012834E-3</v>
      </c>
      <c r="Z13" s="19" t="s">
        <v>53</v>
      </c>
      <c r="AA13" s="19" t="s">
        <v>53</v>
      </c>
      <c r="AB13" s="19" t="s">
        <v>53</v>
      </c>
    </row>
    <row r="14" spans="1:28" s="2" customFormat="1" x14ac:dyDescent="0.25">
      <c r="A14" s="1">
        <v>45118</v>
      </c>
      <c r="B14" s="1" t="str">
        <f t="shared" si="1"/>
        <v>202307</v>
      </c>
      <c r="C14" s="2">
        <f>C13*(1+((1+VLOOKUP($B14,'IPCA Hist'!$B:$C,2,0))^12 - 1)+$C$2)^(1/252)</f>
        <v>43491893.924549453</v>
      </c>
      <c r="D14" s="2">
        <f>D13*(1+((1+VLOOKUP($B14,'IPCA Hist'!$B:$C,2,0))^12 - 1)+$D$2)^(1/252)</f>
        <v>43509966.302953951</v>
      </c>
      <c r="E14" s="2">
        <f>E13*(1+((1+VLOOKUP($B14,'IPCA Hist'!$B:$C,2,0))^12 - 1)+$E$2)^(1/252)</f>
        <v>43777874.42008137</v>
      </c>
      <c r="F14" s="2">
        <f>F13*(1+((1+VLOOKUP($B14,'IPCA Hist'!$B:$C,2,0))^12 - 1)+$F$2)^(1/252)</f>
        <v>43759666.616420656</v>
      </c>
      <c r="G14" s="2">
        <f>G13*(1+((1+VLOOKUP($B14,'IPCA Hist'!$B:$C,2,0))^12 - 1)+$G$2)^(1/252)</f>
        <v>43741458.71203918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f t="shared" si="0"/>
        <v>218280859.9760446</v>
      </c>
      <c r="P14" s="2">
        <v>0</v>
      </c>
      <c r="Q14" s="2">
        <v>0</v>
      </c>
      <c r="R14" s="2">
        <f t="shared" si="9"/>
        <v>56006.326613128185</v>
      </c>
      <c r="S14" s="2">
        <f t="shared" si="2"/>
        <v>358411.61355268955</v>
      </c>
      <c r="T14" s="2">
        <f t="shared" si="3"/>
        <v>417328.04604458809</v>
      </c>
      <c r="U14" s="11">
        <f t="shared" si="6"/>
        <v>1.0024814756706089</v>
      </c>
      <c r="V14" s="12">
        <f t="shared" si="7"/>
        <v>2.5664504146316602E-4</v>
      </c>
      <c r="W14" s="12">
        <f t="shared" si="4"/>
        <v>1.8013723174508112E-3</v>
      </c>
      <c r="X14" s="12">
        <f t="shared" si="5"/>
        <v>2.481475670608857E-3</v>
      </c>
      <c r="Y14" s="5">
        <f t="shared" si="8"/>
        <v>2.481475670608857E-3</v>
      </c>
      <c r="Z14" s="19" t="s">
        <v>53</v>
      </c>
      <c r="AA14" s="19" t="s">
        <v>53</v>
      </c>
      <c r="AB14" s="19" t="s">
        <v>53</v>
      </c>
    </row>
    <row r="15" spans="1:28" s="2" customFormat="1" x14ac:dyDescent="0.25">
      <c r="A15" s="1">
        <v>45119</v>
      </c>
      <c r="B15" s="1" t="str">
        <f t="shared" si="1"/>
        <v>202307</v>
      </c>
      <c r="C15" s="2">
        <f>C14*(1+((1+VLOOKUP($B15,'IPCA Hist'!$B:$C,2,0))^12 - 1)+$C$2)^(1/252)</f>
        <v>43503214.819592886</v>
      </c>
      <c r="D15" s="2">
        <f>D14*(1+((1+VLOOKUP($B15,'IPCA Hist'!$B:$C,2,0))^12 - 1)+$D$2)^(1/252)</f>
        <v>43521275.727471404</v>
      </c>
      <c r="E15" s="2">
        <f>E14*(1+((1+VLOOKUP($B15,'IPCA Hist'!$B:$C,2,0))^12 - 1)+$E$2)^(1/252)</f>
        <v>43788992.885062575</v>
      </c>
      <c r="F15" s="2">
        <f>F14*(1+((1+VLOOKUP($B15,'IPCA Hist'!$B:$C,2,0))^12 - 1)+$F$2)^(1/252)</f>
        <v>43770796.748973116</v>
      </c>
      <c r="G15" s="2">
        <f>G14*(1+((1+VLOOKUP($B15,'IPCA Hist'!$B:$C,2,0))^12 - 1)+$G$2)^(1/252)</f>
        <v>43752600.497058287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f t="shared" si="0"/>
        <v>218336880.67815828</v>
      </c>
      <c r="P15" s="2">
        <v>0</v>
      </c>
      <c r="Q15" s="2">
        <v>0</v>
      </c>
      <c r="R15" s="2">
        <f t="shared" si="9"/>
        <v>56020.702113687992</v>
      </c>
      <c r="S15" s="2">
        <f t="shared" si="2"/>
        <v>414432.31566637754</v>
      </c>
      <c r="T15" s="2">
        <f t="shared" si="3"/>
        <v>473348.74815827608</v>
      </c>
      <c r="U15" s="11">
        <f t="shared" si="6"/>
        <v>1.0027387575785562</v>
      </c>
      <c r="V15" s="12">
        <f t="shared" si="7"/>
        <v>2.5664504950095868E-4</v>
      </c>
      <c r="W15" s="12">
        <f t="shared" si="4"/>
        <v>2.0584796802394223E-3</v>
      </c>
      <c r="X15" s="12">
        <f t="shared" si="5"/>
        <v>2.738757578556239E-3</v>
      </c>
      <c r="Y15" s="5">
        <f t="shared" si="8"/>
        <v>2.738757578556239E-3</v>
      </c>
      <c r="Z15" s="19" t="s">
        <v>53</v>
      </c>
      <c r="AA15" s="19" t="s">
        <v>53</v>
      </c>
      <c r="AB15" s="19" t="s">
        <v>53</v>
      </c>
    </row>
    <row r="16" spans="1:28" s="2" customFormat="1" x14ac:dyDescent="0.25">
      <c r="A16" s="1">
        <v>45120</v>
      </c>
      <c r="B16" s="1" t="str">
        <f t="shared" si="1"/>
        <v>202307</v>
      </c>
      <c r="C16" s="2">
        <f>C15*(1+((1+VLOOKUP($B16,'IPCA Hist'!$B:$C,2,0))^12 - 1)+$C$2)^(1/252)</f>
        <v>43514538.661453597</v>
      </c>
      <c r="D16" s="2">
        <f>D15*(1+((1+VLOOKUP($B16,'IPCA Hist'!$B:$C,2,0))^12 - 1)+$D$2)^(1/252)</f>
        <v>43532588.091616109</v>
      </c>
      <c r="E16" s="2">
        <f>E15*(1+((1+VLOOKUP($B16,'IPCA Hist'!$B:$C,2,0))^12 - 1)+$E$2)^(1/252)</f>
        <v>43800114.173850678</v>
      </c>
      <c r="F16" s="2">
        <f>F15*(1+((1+VLOOKUP($B16,'IPCA Hist'!$B:$C,2,0))^12 - 1)+$F$2)^(1/252)</f>
        <v>43781929.712439522</v>
      </c>
      <c r="G16" s="2">
        <f>G15*(1+((1+VLOOKUP($B16,'IPCA Hist'!$B:$C,2,0))^12 - 1)+$G$2)^(1/252)</f>
        <v>43763745.120102853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f t="shared" si="0"/>
        <v>218392915.75946274</v>
      </c>
      <c r="P16" s="2">
        <v>0</v>
      </c>
      <c r="Q16" s="2">
        <v>0</v>
      </c>
      <c r="R16" s="2">
        <f t="shared" si="9"/>
        <v>56035.081304460764</v>
      </c>
      <c r="S16" s="2">
        <f t="shared" si="2"/>
        <v>470467.39697083831</v>
      </c>
      <c r="T16" s="2">
        <f t="shared" si="3"/>
        <v>529383.82946273685</v>
      </c>
      <c r="U16" s="11">
        <f t="shared" si="6"/>
        <v>1.0029961055246914</v>
      </c>
      <c r="V16" s="12">
        <f t="shared" si="7"/>
        <v>2.5664505753875133E-4</v>
      </c>
      <c r="W16" s="12">
        <f t="shared" si="4"/>
        <v>2.3156530364141226E-3</v>
      </c>
      <c r="X16" s="12">
        <f t="shared" si="5"/>
        <v>2.9961055246914281E-3</v>
      </c>
      <c r="Y16" s="5">
        <f t="shared" si="8"/>
        <v>2.9961055246914281E-3</v>
      </c>
      <c r="Z16" s="19" t="s">
        <v>53</v>
      </c>
      <c r="AA16" s="19" t="s">
        <v>53</v>
      </c>
      <c r="AB16" s="19" t="s">
        <v>53</v>
      </c>
    </row>
    <row r="17" spans="1:28" s="2" customFormat="1" x14ac:dyDescent="0.25">
      <c r="A17" s="1">
        <v>45121</v>
      </c>
      <c r="B17" s="1" t="str">
        <f t="shared" si="1"/>
        <v>202307</v>
      </c>
      <c r="C17" s="2">
        <f>C16*(1+((1+VLOOKUP($B17,'IPCA Hist'!$B:$C,2,0))^12 - 1)+$C$2)^(1/252)</f>
        <v>43525865.450898647</v>
      </c>
      <c r="D17" s="2">
        <f>D16*(1+((1+VLOOKUP($B17,'IPCA Hist'!$B:$C,2,0))^12 - 1)+$D$2)^(1/252)</f>
        <v>43543903.396152161</v>
      </c>
      <c r="E17" s="2">
        <f>E16*(1+((1+VLOOKUP($B17,'IPCA Hist'!$B:$C,2,0))^12 - 1)+$E$2)^(1/252)</f>
        <v>43811238.287162848</v>
      </c>
      <c r="F17" s="2">
        <f>F16*(1+((1+VLOOKUP($B17,'IPCA Hist'!$B:$C,2,0))^12 - 1)+$F$2)^(1/252)</f>
        <v>43793065.507539913</v>
      </c>
      <c r="G17" s="2">
        <f>G16*(1+((1+VLOOKUP($B17,'IPCA Hist'!$B:$C,2,0))^12 - 1)+$G$2)^(1/252)</f>
        <v>43774892.581895776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f t="shared" si="0"/>
        <v>218448965.22364932</v>
      </c>
      <c r="P17" s="2">
        <v>0</v>
      </c>
      <c r="Q17" s="2">
        <v>0</v>
      </c>
      <c r="R17" s="2">
        <f t="shared" si="9"/>
        <v>56049.464186578989</v>
      </c>
      <c r="S17" s="2">
        <f t="shared" si="2"/>
        <v>526516.8611574173</v>
      </c>
      <c r="T17" s="2">
        <f t="shared" si="3"/>
        <v>585433.29364931583</v>
      </c>
      <c r="U17" s="11">
        <f t="shared" si="6"/>
        <v>1.0032535195259671</v>
      </c>
      <c r="V17" s="12">
        <f t="shared" si="7"/>
        <v>2.5664506557676603E-4</v>
      </c>
      <c r="W17" s="12">
        <f t="shared" si="4"/>
        <v>2.5728924029162492E-3</v>
      </c>
      <c r="X17" s="12">
        <f t="shared" si="5"/>
        <v>3.2535195259670857E-3</v>
      </c>
      <c r="Y17" s="5">
        <f t="shared" si="8"/>
        <v>3.2535195259670857E-3</v>
      </c>
      <c r="Z17" s="19" t="s">
        <v>53</v>
      </c>
      <c r="AA17" s="19" t="s">
        <v>53</v>
      </c>
      <c r="AB17" s="19" t="s">
        <v>53</v>
      </c>
    </row>
    <row r="18" spans="1:28" s="2" customFormat="1" x14ac:dyDescent="0.25">
      <c r="A18" s="1">
        <v>45124</v>
      </c>
      <c r="B18" s="1" t="str">
        <f t="shared" si="1"/>
        <v>202307</v>
      </c>
      <c r="C18" s="2">
        <f>C17*(1+((1+VLOOKUP($B18,'IPCA Hist'!$B:$C,2,0))^12 - 1)+$C$2)^(1/252)</f>
        <v>43537195.188695282</v>
      </c>
      <c r="D18" s="2">
        <f>D17*(1+((1+VLOOKUP($B18,'IPCA Hist'!$B:$C,2,0))^12 - 1)+$D$2)^(1/252)</f>
        <v>43555221.641843848</v>
      </c>
      <c r="E18" s="2">
        <f>E17*(1+((1+VLOOKUP($B18,'IPCA Hist'!$B:$C,2,0))^12 - 1)+$E$2)^(1/252)</f>
        <v>43822365.225716442</v>
      </c>
      <c r="F18" s="2">
        <f>F17*(1+((1+VLOOKUP($B18,'IPCA Hist'!$B:$C,2,0))^12 - 1)+$F$2)^(1/252)</f>
        <v>43804204.134994507</v>
      </c>
      <c r="G18" s="2">
        <f>G17*(1+((1+VLOOKUP($B18,'IPCA Hist'!$B:$C,2,0))^12 - 1)+$G$2)^(1/252)</f>
        <v>43786042.883160137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f t="shared" si="0"/>
        <v>218505029.07441023</v>
      </c>
      <c r="P18" s="2">
        <v>0</v>
      </c>
      <c r="Q18" s="2">
        <v>0</v>
      </c>
      <c r="R18" s="2">
        <f t="shared" si="9"/>
        <v>56063.850760906935</v>
      </c>
      <c r="S18" s="2">
        <f t="shared" si="2"/>
        <v>582580.71191832423</v>
      </c>
      <c r="T18" s="2">
        <f t="shared" si="3"/>
        <v>641497.14441022277</v>
      </c>
      <c r="U18" s="11">
        <f t="shared" si="6"/>
        <v>1.0035109995993401</v>
      </c>
      <c r="V18" s="12">
        <f t="shared" si="7"/>
        <v>2.5664507361478073E-4</v>
      </c>
      <c r="W18" s="12">
        <f t="shared" si="4"/>
        <v>2.8301977966911362E-3</v>
      </c>
      <c r="X18" s="12">
        <f t="shared" si="5"/>
        <v>3.5109995993400922E-3</v>
      </c>
      <c r="Y18" s="5">
        <f t="shared" si="8"/>
        <v>3.5109995993400922E-3</v>
      </c>
      <c r="Z18" s="19" t="s">
        <v>53</v>
      </c>
      <c r="AA18" s="19" t="s">
        <v>53</v>
      </c>
      <c r="AB18" s="19" t="s">
        <v>53</v>
      </c>
    </row>
    <row r="19" spans="1:28" s="2" customFormat="1" x14ac:dyDescent="0.25">
      <c r="A19" s="1">
        <v>45125</v>
      </c>
      <c r="B19" s="1" t="str">
        <f t="shared" si="1"/>
        <v>202307</v>
      </c>
      <c r="C19" s="2">
        <f>C18*(1+((1+VLOOKUP($B19,'IPCA Hist'!$B:$C,2,0))^12 - 1)+$C$2)^(1/252)</f>
        <v>43548527.875610955</v>
      </c>
      <c r="D19" s="2">
        <f>D18*(1+((1+VLOOKUP($B19,'IPCA Hist'!$B:$C,2,0))^12 - 1)+$D$2)^(1/252)</f>
        <v>43566542.829455659</v>
      </c>
      <c r="E19" s="2">
        <f>E18*(1+((1+VLOOKUP($B19,'IPCA Hist'!$B:$C,2,0))^12 - 1)+$E$2)^(1/252)</f>
        <v>43833494.990229003</v>
      </c>
      <c r="F19" s="2">
        <f>F18*(1+((1+VLOOKUP($B19,'IPCA Hist'!$B:$C,2,0))^12 - 1)+$F$2)^(1/252)</f>
        <v>43815345.5955237</v>
      </c>
      <c r="G19" s="2">
        <f>G18*(1+((1+VLOOKUP($B19,'IPCA Hist'!$B:$C,2,0))^12 - 1)+$G$2)^(1/252)</f>
        <v>43797196.024619207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f t="shared" si="0"/>
        <v>218561107.31543857</v>
      </c>
      <c r="P19" s="2">
        <v>0</v>
      </c>
      <c r="Q19" s="2">
        <v>0</v>
      </c>
      <c r="R19" s="2">
        <f t="shared" si="9"/>
        <v>56078.241028338671</v>
      </c>
      <c r="S19" s="2">
        <f t="shared" si="2"/>
        <v>638658.9529466629</v>
      </c>
      <c r="T19" s="2">
        <f t="shared" si="3"/>
        <v>697575.38543856144</v>
      </c>
      <c r="U19" s="11">
        <f t="shared" si="6"/>
        <v>1.0037685457617718</v>
      </c>
      <c r="V19" s="12">
        <f t="shared" si="7"/>
        <v>2.5664508165279543E-4</v>
      </c>
      <c r="W19" s="12">
        <f t="shared" si="4"/>
        <v>3.0875692346885586E-3</v>
      </c>
      <c r="X19" s="12">
        <f t="shared" si="5"/>
        <v>3.7685457617717688E-3</v>
      </c>
      <c r="Y19" s="5">
        <f t="shared" si="8"/>
        <v>3.7685457617717688E-3</v>
      </c>
      <c r="Z19" s="19" t="s">
        <v>53</v>
      </c>
      <c r="AA19" s="19" t="s">
        <v>53</v>
      </c>
      <c r="AB19" s="19" t="s">
        <v>53</v>
      </c>
    </row>
    <row r="20" spans="1:28" s="2" customFormat="1" x14ac:dyDescent="0.25">
      <c r="A20" s="1">
        <v>45126</v>
      </c>
      <c r="B20" s="1" t="str">
        <f t="shared" si="1"/>
        <v>202307</v>
      </c>
      <c r="C20" s="2">
        <f>C19*(1+((1+VLOOKUP($B20,'IPCA Hist'!$B:$C,2,0))^12 - 1)+$C$2)^(1/252)</f>
        <v>43559863.512413323</v>
      </c>
      <c r="D20" s="2">
        <f>D19*(1+((1+VLOOKUP($B20,'IPCA Hist'!$B:$C,2,0))^12 - 1)+$D$2)^(1/252)</f>
        <v>43577866.959752277</v>
      </c>
      <c r="E20" s="2">
        <f>E19*(1+((1+VLOOKUP($B20,'IPCA Hist'!$B:$C,2,0))^12 - 1)+$E$2)^(1/252)</f>
        <v>43844627.581418246</v>
      </c>
      <c r="F20" s="2">
        <f>F19*(1+((1+VLOOKUP($B20,'IPCA Hist'!$B:$C,2,0))^12 - 1)+$F$2)^(1/252)</f>
        <v>43826489.889848076</v>
      </c>
      <c r="G20" s="2">
        <f>G19*(1+((1+VLOOKUP($B20,'IPCA Hist'!$B:$C,2,0))^12 - 1)+$G$2)^(1/252)</f>
        <v>43808352.006996438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f t="shared" si="0"/>
        <v>218617199.95042837</v>
      </c>
      <c r="P20" s="2">
        <v>0</v>
      </c>
      <c r="Q20" s="2">
        <v>0</v>
      </c>
      <c r="R20" s="2">
        <f t="shared" si="9"/>
        <v>56092.634989798069</v>
      </c>
      <c r="S20" s="2">
        <f t="shared" si="2"/>
        <v>694751.58793646097</v>
      </c>
      <c r="T20" s="2">
        <f t="shared" si="3"/>
        <v>753668.02042835951</v>
      </c>
      <c r="U20" s="11">
        <f t="shared" si="6"/>
        <v>1.0040261580302272</v>
      </c>
      <c r="V20" s="12">
        <f t="shared" si="7"/>
        <v>2.5664508969036604E-4</v>
      </c>
      <c r="W20" s="12">
        <f t="shared" si="4"/>
        <v>3.3450067338620659E-3</v>
      </c>
      <c r="X20" s="12">
        <f t="shared" si="5"/>
        <v>4.0261580302272115E-3</v>
      </c>
      <c r="Y20" s="5">
        <f t="shared" si="8"/>
        <v>4.0261580302272115E-3</v>
      </c>
      <c r="Z20" s="19" t="s">
        <v>53</v>
      </c>
      <c r="AA20" s="19" t="s">
        <v>53</v>
      </c>
      <c r="AB20" s="19" t="s">
        <v>53</v>
      </c>
    </row>
    <row r="21" spans="1:28" s="2" customFormat="1" x14ac:dyDescent="0.25">
      <c r="A21" s="1">
        <v>45127</v>
      </c>
      <c r="B21" s="1" t="str">
        <f t="shared" si="1"/>
        <v>202307</v>
      </c>
      <c r="C21" s="2">
        <f>C20*(1+((1+VLOOKUP($B21,'IPCA Hist'!$B:$C,2,0))^12 - 1)+$C$2)^(1/252)</f>
        <v>43571202.099870235</v>
      </c>
      <c r="D21" s="2">
        <f>D20*(1+((1+VLOOKUP($B21,'IPCA Hist'!$B:$C,2,0))^12 - 1)+$D$2)^(1/252)</f>
        <v>43589194.033498578</v>
      </c>
      <c r="E21" s="2">
        <f>E20*(1+((1+VLOOKUP($B21,'IPCA Hist'!$B:$C,2,0))^12 - 1)+$E$2)^(1/252)</f>
        <v>43855763.000002079</v>
      </c>
      <c r="F21" s="2">
        <f>F20*(1+((1+VLOOKUP($B21,'IPCA Hist'!$B:$C,2,0))^12 - 1)+$F$2)^(1/252)</f>
        <v>43837637.018688403</v>
      </c>
      <c r="G21" s="2">
        <f>G20*(1+((1+VLOOKUP($B21,'IPCA Hist'!$B:$C,2,0))^12 - 1)+$G$2)^(1/252)</f>
        <v>43819510.831015468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f t="shared" si="0"/>
        <v>218673306.98307478</v>
      </c>
      <c r="P21" s="2">
        <v>0</v>
      </c>
      <c r="Q21" s="2">
        <v>0</v>
      </c>
      <c r="R21" s="2">
        <f t="shared" si="9"/>
        <v>56107.032646417618</v>
      </c>
      <c r="S21" s="2">
        <f t="shared" si="2"/>
        <v>750858.62058287859</v>
      </c>
      <c r="T21" s="2">
        <f t="shared" si="3"/>
        <v>809775.05307477713</v>
      </c>
      <c r="U21" s="11">
        <f t="shared" si="6"/>
        <v>1.0042838364216768</v>
      </c>
      <c r="V21" s="12">
        <f t="shared" si="7"/>
        <v>2.5664509772860278E-4</v>
      </c>
      <c r="W21" s="12">
        <f t="shared" si="4"/>
        <v>3.602510311170759E-3</v>
      </c>
      <c r="X21" s="12">
        <f t="shared" si="5"/>
        <v>4.2838364216768454E-3</v>
      </c>
      <c r="Y21" s="5">
        <f t="shared" si="8"/>
        <v>4.2838364216768454E-3</v>
      </c>
      <c r="Z21" s="19" t="s">
        <v>53</v>
      </c>
      <c r="AA21" s="19" t="s">
        <v>53</v>
      </c>
      <c r="AB21" s="19" t="s">
        <v>53</v>
      </c>
    </row>
    <row r="22" spans="1:28" s="2" customFormat="1" x14ac:dyDescent="0.25">
      <c r="A22" s="1">
        <v>45128</v>
      </c>
      <c r="B22" s="1" t="str">
        <f t="shared" si="1"/>
        <v>202307</v>
      </c>
      <c r="C22" s="2">
        <f>C21*(1+((1+VLOOKUP($B22,'IPCA Hist'!$B:$C,2,0))^12 - 1)+$C$2)^(1/252)</f>
        <v>43582543.638749741</v>
      </c>
      <c r="D22" s="2">
        <f>D21*(1+((1+VLOOKUP($B22,'IPCA Hist'!$B:$C,2,0))^12 - 1)+$D$2)^(1/252)</f>
        <v>43600524.051459655</v>
      </c>
      <c r="E22" s="2">
        <f>E21*(1+((1+VLOOKUP($B22,'IPCA Hist'!$B:$C,2,0))^12 - 1)+$E$2)^(1/252)</f>
        <v>43866901.246698588</v>
      </c>
      <c r="F22" s="2">
        <f>F21*(1+((1+VLOOKUP($B22,'IPCA Hist'!$B:$C,2,0))^12 - 1)+$F$2)^(1/252)</f>
        <v>43848786.98276563</v>
      </c>
      <c r="G22" s="2">
        <f>G21*(1+((1+VLOOKUP($B22,'IPCA Hist'!$B:$C,2,0))^12 - 1)+$G$2)^(1/252)</f>
        <v>43830672.497400112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f t="shared" si="0"/>
        <v>218729428.41707373</v>
      </c>
      <c r="P22" s="2">
        <v>0</v>
      </c>
      <c r="Q22" s="2">
        <v>0</v>
      </c>
      <c r="R22" s="2">
        <f t="shared" si="9"/>
        <v>56121.433998942375</v>
      </c>
      <c r="S22" s="2">
        <f t="shared" si="2"/>
        <v>806980.05458182096</v>
      </c>
      <c r="T22" s="2">
        <f t="shared" si="3"/>
        <v>865896.4870737195</v>
      </c>
      <c r="U22" s="11">
        <f t="shared" si="6"/>
        <v>1.0045415809530949</v>
      </c>
      <c r="V22" s="12">
        <f t="shared" si="7"/>
        <v>2.5664510576639543E-4</v>
      </c>
      <c r="W22" s="12">
        <f t="shared" si="4"/>
        <v>3.8600799835770694E-3</v>
      </c>
      <c r="X22" s="12">
        <f t="shared" si="5"/>
        <v>4.5415809530948703E-3</v>
      </c>
      <c r="Y22" s="5">
        <f t="shared" si="8"/>
        <v>4.5415809530948703E-3</v>
      </c>
      <c r="Z22" s="19" t="s">
        <v>53</v>
      </c>
      <c r="AA22" s="19" t="s">
        <v>53</v>
      </c>
      <c r="AB22" s="19" t="s">
        <v>53</v>
      </c>
    </row>
    <row r="23" spans="1:28" s="2" customFormat="1" x14ac:dyDescent="0.25">
      <c r="A23" s="1">
        <v>45131</v>
      </c>
      <c r="B23" s="1" t="str">
        <f t="shared" si="1"/>
        <v>202307</v>
      </c>
      <c r="C23" s="2">
        <f>C22*(1+((1+VLOOKUP($B23,'IPCA Hist'!$B:$C,2,0))^12 - 1)+$C$2)^(1/252)</f>
        <v>43593888.129820101</v>
      </c>
      <c r="D23" s="2">
        <f>D22*(1+((1+VLOOKUP($B23,'IPCA Hist'!$B:$C,2,0))^12 - 1)+$D$2)^(1/252)</f>
        <v>43611857.014400788</v>
      </c>
      <c r="E23" s="2">
        <f>E22*(1+((1+VLOOKUP($B23,'IPCA Hist'!$B:$C,2,0))^12 - 1)+$E$2)^(1/252)</f>
        <v>43878042.32222604</v>
      </c>
      <c r="F23" s="2">
        <f>F22*(1+((1+VLOOKUP($B23,'IPCA Hist'!$B:$C,2,0))^12 - 1)+$F$2)^(1/252)</f>
        <v>43859939.782800891</v>
      </c>
      <c r="G23" s="2">
        <f>G22*(1+((1+VLOOKUP($B23,'IPCA Hist'!$B:$C,2,0))^12 - 1)+$G$2)^(1/252)</f>
        <v>43841837.006874382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f t="shared" si="0"/>
        <v>218785564.2561222</v>
      </c>
      <c r="P23" s="2">
        <v>0</v>
      </c>
      <c r="Q23" s="2">
        <v>0</v>
      </c>
      <c r="R23" s="2">
        <f t="shared" si="9"/>
        <v>56135.839048475027</v>
      </c>
      <c r="S23" s="2">
        <f t="shared" si="2"/>
        <v>863115.89363029599</v>
      </c>
      <c r="T23" s="2">
        <f t="shared" si="3"/>
        <v>922032.32612219453</v>
      </c>
      <c r="U23" s="11">
        <f t="shared" si="6"/>
        <v>1.0047993916414599</v>
      </c>
      <c r="V23" s="12">
        <f t="shared" si="7"/>
        <v>2.5664511380441013E-4</v>
      </c>
      <c r="W23" s="12">
        <f t="shared" si="4"/>
        <v>4.1177157680480914E-3</v>
      </c>
      <c r="X23" s="12">
        <f t="shared" si="5"/>
        <v>4.7993916414599269E-3</v>
      </c>
      <c r="Y23" s="5">
        <f t="shared" si="8"/>
        <v>4.7993916414599269E-3</v>
      </c>
      <c r="Z23" s="19" t="s">
        <v>53</v>
      </c>
      <c r="AA23" s="19" t="s">
        <v>53</v>
      </c>
      <c r="AB23" s="19" t="s">
        <v>53</v>
      </c>
    </row>
    <row r="24" spans="1:28" s="2" customFormat="1" x14ac:dyDescent="0.25">
      <c r="A24" s="1">
        <v>45132</v>
      </c>
      <c r="B24" s="1" t="str">
        <f t="shared" si="1"/>
        <v>202307</v>
      </c>
      <c r="C24" s="2">
        <f>C23*(1+((1+VLOOKUP($B24,'IPCA Hist'!$B:$C,2,0))^12 - 1)+$C$2)^(1/252)</f>
        <v>43605235.57384976</v>
      </c>
      <c r="D24" s="2">
        <f>D23*(1+((1+VLOOKUP($B24,'IPCA Hist'!$B:$C,2,0))^12 - 1)+$D$2)^(1/252)</f>
        <v>43623192.923087455</v>
      </c>
      <c r="E24" s="2">
        <f>E23*(1+((1+VLOOKUP($B24,'IPCA Hist'!$B:$C,2,0))^12 - 1)+$E$2)^(1/252)</f>
        <v>43889186.227302894</v>
      </c>
      <c r="F24" s="2">
        <f>F23*(1+((1+VLOOKUP($B24,'IPCA Hist'!$B:$C,2,0))^12 - 1)+$F$2)^(1/252)</f>
        <v>43871095.419515505</v>
      </c>
      <c r="G24" s="2">
        <f>G23*(1+((1+VLOOKUP($B24,'IPCA Hist'!$B:$C,2,0))^12 - 1)+$G$2)^(1/252)</f>
        <v>43853004.360162459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f t="shared" si="0"/>
        <v>218841714.50391808</v>
      </c>
      <c r="P24" s="2">
        <v>0</v>
      </c>
      <c r="Q24" s="2">
        <v>0</v>
      </c>
      <c r="R24" s="2">
        <f t="shared" si="9"/>
        <v>56150.247795879841</v>
      </c>
      <c r="S24" s="2">
        <f t="shared" si="2"/>
        <v>919266.14142617583</v>
      </c>
      <c r="T24" s="2">
        <f t="shared" si="3"/>
        <v>978182.57391807437</v>
      </c>
      <c r="U24" s="11">
        <f t="shared" si="6"/>
        <v>1.0050572685037549</v>
      </c>
      <c r="V24" s="12">
        <f t="shared" si="7"/>
        <v>2.5664512184242483E-4</v>
      </c>
      <c r="W24" s="12">
        <f t="shared" si="4"/>
        <v>4.3754176815555823E-3</v>
      </c>
      <c r="X24" s="12">
        <f t="shared" si="5"/>
        <v>5.0572685037548748E-3</v>
      </c>
      <c r="Y24" s="5">
        <f t="shared" si="8"/>
        <v>5.0572685037548748E-3</v>
      </c>
      <c r="Z24" s="19" t="s">
        <v>53</v>
      </c>
      <c r="AA24" s="19" t="s">
        <v>53</v>
      </c>
      <c r="AB24" s="19" t="s">
        <v>53</v>
      </c>
    </row>
    <row r="25" spans="1:28" s="2" customFormat="1" x14ac:dyDescent="0.25">
      <c r="A25" s="1">
        <v>45133</v>
      </c>
      <c r="B25" s="1" t="str">
        <f t="shared" si="1"/>
        <v>202307</v>
      </c>
      <c r="C25" s="2">
        <f>C24*(1+((1+VLOOKUP($B25,'IPCA Hist'!$B:$C,2,0))^12 - 1)+$C$2)^(1/252)</f>
        <v>43616585.971607372</v>
      </c>
      <c r="D25" s="2">
        <f>D24*(1+((1+VLOOKUP($B25,'IPCA Hist'!$B:$C,2,0))^12 - 1)+$D$2)^(1/252)</f>
        <v>43634531.778285332</v>
      </c>
      <c r="E25" s="2">
        <f>E24*(1+((1+VLOOKUP($B25,'IPCA Hist'!$B:$C,2,0))^12 - 1)+$E$2)^(1/252)</f>
        <v>43900332.962647773</v>
      </c>
      <c r="F25" s="2">
        <f>F24*(1+((1+VLOOKUP($B25,'IPCA Hist'!$B:$C,2,0))^12 - 1)+$F$2)^(1/252)</f>
        <v>43882253.893630974</v>
      </c>
      <c r="G25" s="2">
        <f>G24*(1+((1+VLOOKUP($B25,'IPCA Hist'!$B:$C,2,0))^12 - 1)+$G$2)^(1/252)</f>
        <v>43864174.557988726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f t="shared" si="0"/>
        <v>218897879.16416019</v>
      </c>
      <c r="P25" s="2">
        <v>0</v>
      </c>
      <c r="Q25" s="2">
        <v>0</v>
      </c>
      <c r="R25" s="2">
        <f t="shared" si="9"/>
        <v>56164.660242110491</v>
      </c>
      <c r="S25" s="2">
        <f t="shared" si="2"/>
        <v>975430.80166828632</v>
      </c>
      <c r="T25" s="2">
        <f t="shared" si="3"/>
        <v>1034347.2341601849</v>
      </c>
      <c r="U25" s="11">
        <f t="shared" si="6"/>
        <v>1.0053152115569672</v>
      </c>
      <c r="V25" s="12">
        <f t="shared" si="7"/>
        <v>2.5664512988043953E-4</v>
      </c>
      <c r="W25" s="12">
        <f t="shared" si="4"/>
        <v>4.6331857410752963E-3</v>
      </c>
      <c r="X25" s="12">
        <f t="shared" si="5"/>
        <v>5.3152115569672365E-3</v>
      </c>
      <c r="Y25" s="5">
        <f t="shared" si="8"/>
        <v>5.3152115569672365E-3</v>
      </c>
      <c r="Z25" s="19" t="s">
        <v>53</v>
      </c>
      <c r="AA25" s="19" t="s">
        <v>53</v>
      </c>
      <c r="AB25" s="19" t="s">
        <v>53</v>
      </c>
    </row>
    <row r="26" spans="1:28" s="2" customFormat="1" x14ac:dyDescent="0.25">
      <c r="A26" s="1">
        <v>45134</v>
      </c>
      <c r="B26" s="1" t="str">
        <f t="shared" si="1"/>
        <v>202307</v>
      </c>
      <c r="C26" s="2">
        <f>C25*(1+((1+VLOOKUP($B26,'IPCA Hist'!$B:$C,2,0))^12 - 1)+$C$2)^(1/252)</f>
        <v>43627939.323861793</v>
      </c>
      <c r="D26" s="2">
        <f>D25*(1+((1+VLOOKUP($B26,'IPCA Hist'!$B:$C,2,0))^12 - 1)+$D$2)^(1/252)</f>
        <v>43645873.5807603</v>
      </c>
      <c r="E26" s="2">
        <f>E25*(1+((1+VLOOKUP($B26,'IPCA Hist'!$B:$C,2,0))^12 - 1)+$E$2)^(1/252)</f>
        <v>43911482.528979495</v>
      </c>
      <c r="F26" s="2">
        <f>F25*(1+((1+VLOOKUP($B26,'IPCA Hist'!$B:$C,2,0))^12 - 1)+$F$2)^(1/252)</f>
        <v>43893415.205868974</v>
      </c>
      <c r="G26" s="2">
        <f>G25*(1+((1+VLOOKUP($B26,'IPCA Hist'!$B:$C,2,0))^12 - 1)+$G$2)^(1/252)</f>
        <v>43875347.601077735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f t="shared" si="0"/>
        <v>218954058.24054831</v>
      </c>
      <c r="P26" s="2">
        <v>0</v>
      </c>
      <c r="Q26" s="2">
        <v>0</v>
      </c>
      <c r="R26" s="2">
        <f t="shared" si="9"/>
        <v>56179.076388120651</v>
      </c>
      <c r="S26" s="2">
        <f t="shared" si="2"/>
        <v>1031609.878056407</v>
      </c>
      <c r="T26" s="2">
        <f t="shared" si="3"/>
        <v>1090526.3105483055</v>
      </c>
      <c r="U26" s="11">
        <f t="shared" si="6"/>
        <v>1.0055732208180888</v>
      </c>
      <c r="V26" s="12">
        <f t="shared" si="7"/>
        <v>2.5664513791845422E-4</v>
      </c>
      <c r="W26" s="12">
        <f t="shared" si="4"/>
        <v>4.8910199635872065E-3</v>
      </c>
      <c r="X26" s="12">
        <f t="shared" si="5"/>
        <v>5.5732208180887532E-3</v>
      </c>
      <c r="Y26" s="5">
        <f t="shared" si="8"/>
        <v>5.5732208180887532E-3</v>
      </c>
      <c r="Z26" s="19" t="s">
        <v>53</v>
      </c>
      <c r="AA26" s="19" t="s">
        <v>53</v>
      </c>
      <c r="AB26" s="19" t="s">
        <v>53</v>
      </c>
    </row>
    <row r="27" spans="1:28" s="2" customFormat="1" x14ac:dyDescent="0.25">
      <c r="A27" s="1">
        <v>45135</v>
      </c>
      <c r="B27" s="1" t="str">
        <f t="shared" si="1"/>
        <v>202307</v>
      </c>
      <c r="C27" s="2">
        <f>C26*(1+((1+VLOOKUP($B27,'IPCA Hist'!$B:$C,2,0))^12 - 1)+$C$2)^(1/252)</f>
        <v>43639295.63138207</v>
      </c>
      <c r="D27" s="2">
        <f>D26*(1+((1+VLOOKUP($B27,'IPCA Hist'!$B:$C,2,0))^12 - 1)+$D$2)^(1/252)</f>
        <v>43657218.331278443</v>
      </c>
      <c r="E27" s="2">
        <f>E26*(1+((1+VLOOKUP($B27,'IPCA Hist'!$B:$C,2,0))^12 - 1)+$E$2)^(1/252)</f>
        <v>43922634.927017063</v>
      </c>
      <c r="F27" s="2">
        <f>F26*(1+((1+VLOOKUP($B27,'IPCA Hist'!$B:$C,2,0))^12 - 1)+$F$2)^(1/252)</f>
        <v>43904579.356951378</v>
      </c>
      <c r="G27" s="2">
        <f>G26*(1+((1+VLOOKUP($B27,'IPCA Hist'!$B:$C,2,0))^12 - 1)+$G$2)^(1/252)</f>
        <v>43886523.490154229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f t="shared" si="0"/>
        <v>219010251.73678321</v>
      </c>
      <c r="P27" s="2">
        <v>0</v>
      </c>
      <c r="Q27" s="2">
        <v>0</v>
      </c>
      <c r="R27" s="2">
        <f t="shared" si="9"/>
        <v>56193.496234893799</v>
      </c>
      <c r="S27" s="2">
        <f t="shared" si="2"/>
        <v>1087803.3742913008</v>
      </c>
      <c r="T27" s="2">
        <f t="shared" si="3"/>
        <v>1146719.8067831993</v>
      </c>
      <c r="U27" s="11">
        <f t="shared" si="6"/>
        <v>1.0058312963041156</v>
      </c>
      <c r="V27" s="12">
        <f t="shared" si="7"/>
        <v>2.5664514595646892E-4</v>
      </c>
      <c r="W27" s="12">
        <f t="shared" si="4"/>
        <v>5.1489203660761707E-3</v>
      </c>
      <c r="X27" s="12">
        <f t="shared" si="5"/>
        <v>5.8312963041156074E-3</v>
      </c>
      <c r="Y27" s="5">
        <f t="shared" si="8"/>
        <v>5.8312963041156074E-3</v>
      </c>
      <c r="Z27" s="19" t="s">
        <v>53</v>
      </c>
      <c r="AA27" s="19" t="s">
        <v>53</v>
      </c>
      <c r="AB27" s="19" t="s">
        <v>53</v>
      </c>
    </row>
    <row r="28" spans="1:28" s="2" customFormat="1" x14ac:dyDescent="0.25">
      <c r="A28" s="1">
        <v>45138</v>
      </c>
      <c r="B28" s="1" t="str">
        <f t="shared" si="1"/>
        <v>202307</v>
      </c>
      <c r="C28" s="2">
        <f>C27*(1+((1+VLOOKUP($B28,'IPCA Hist'!$B:$C,2,0))^12 - 1)+$C$2)^(1/252)</f>
        <v>43650654.894937463</v>
      </c>
      <c r="D28" s="2">
        <f>D27*(1+((1+VLOOKUP($B28,'IPCA Hist'!$B:$C,2,0))^12 - 1)+$D$2)^(1/252)</f>
        <v>43668566.030606031</v>
      </c>
      <c r="E28" s="2">
        <f>E27*(1+((1+VLOOKUP($B28,'IPCA Hist'!$B:$C,2,0))^12 - 1)+$E$2)^(1/252)</f>
        <v>43933790.157479659</v>
      </c>
      <c r="F28" s="2">
        <f>F27*(1+((1+VLOOKUP($B28,'IPCA Hist'!$B:$C,2,0))^12 - 1)+$F$2)^(1/252)</f>
        <v>43915746.347600237</v>
      </c>
      <c r="G28" s="2">
        <f>G27*(1+((1+VLOOKUP($B28,'IPCA Hist'!$B:$C,2,0))^12 - 1)+$G$2)^(1/252)</f>
        <v>43897702.225943133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f t="shared" si="0"/>
        <v>219066459.6565665</v>
      </c>
      <c r="P28" s="2">
        <v>0</v>
      </c>
      <c r="Q28" s="2">
        <v>0</v>
      </c>
      <c r="R28" s="2">
        <f t="shared" si="9"/>
        <v>56207.919783294201</v>
      </c>
      <c r="S28" s="2">
        <f t="shared" si="2"/>
        <v>1144011.294074595</v>
      </c>
      <c r="T28" s="2">
        <f t="shared" si="3"/>
        <v>1202927.7265664935</v>
      </c>
      <c r="U28" s="11">
        <f t="shared" si="6"/>
        <v>1.0060894380320478</v>
      </c>
      <c r="V28" s="12">
        <f t="shared" si="7"/>
        <v>2.5664515399426158E-4</v>
      </c>
      <c r="W28" s="12">
        <f t="shared" si="4"/>
        <v>5.4068869655305996E-3</v>
      </c>
      <c r="X28" s="12">
        <f t="shared" si="5"/>
        <v>6.0894380320477559E-3</v>
      </c>
      <c r="Y28" s="5">
        <f t="shared" si="8"/>
        <v>6.0894380320477559E-3</v>
      </c>
      <c r="Z28" s="19" t="s">
        <v>53</v>
      </c>
      <c r="AA28" s="19" t="s">
        <v>53</v>
      </c>
      <c r="AB28" s="19" t="s">
        <v>53</v>
      </c>
    </row>
    <row r="29" spans="1:28" s="2" customFormat="1" x14ac:dyDescent="0.25">
      <c r="A29" s="1">
        <v>45139</v>
      </c>
      <c r="B29" s="1" t="str">
        <f t="shared" si="1"/>
        <v>202308</v>
      </c>
      <c r="C29" s="2">
        <f>C28*(1+((1+VLOOKUP($B29,'IPCA Hist'!$B:$C,2,0))^12 - 1)+$C$2)^(1/252)</f>
        <v>43664187.001650937</v>
      </c>
      <c r="D29" s="2">
        <f>D28*(1+((1+VLOOKUP($B29,'IPCA Hist'!$B:$C,2,0))^12 - 1)+$D$2)^(1/252)</f>
        <v>43682087.657477036</v>
      </c>
      <c r="E29" s="2">
        <f>E28*(1+((1+VLOOKUP($B29,'IPCA Hist'!$B:$C,2,0))^12 - 1)+$E$2)^(1/252)</f>
        <v>43947135.629264519</v>
      </c>
      <c r="F29" s="2">
        <f>F28*(1+((1+VLOOKUP($B29,'IPCA Hist'!$B:$C,2,0))^12 - 1)+$F$2)^(1/252)</f>
        <v>43929102.48534862</v>
      </c>
      <c r="G29" s="2">
        <f>G28*(1+((1+VLOOKUP($B29,'IPCA Hist'!$B:$C,2,0))^12 - 1)+$G$2)^(1/252)</f>
        <v>43911069.014802389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f t="shared" si="0"/>
        <v>219133581.78854352</v>
      </c>
      <c r="P29" s="2">
        <v>0</v>
      </c>
      <c r="Q29" s="2">
        <v>0</v>
      </c>
      <c r="R29" s="2">
        <f t="shared" si="9"/>
        <v>67122.131977021694</v>
      </c>
      <c r="S29" s="2">
        <f t="shared" si="2"/>
        <v>67122.131977021694</v>
      </c>
      <c r="T29" s="2">
        <f t="shared" si="3"/>
        <v>1270049.8585435152</v>
      </c>
      <c r="U29" s="11">
        <f t="shared" si="6"/>
        <v>1.0063977046108117</v>
      </c>
      <c r="V29" s="12">
        <f t="shared" si="7"/>
        <v>3.0640077026045098E-4</v>
      </c>
      <c r="W29" s="12">
        <f t="shared" si="4"/>
        <v>3.0640077026045098E-4</v>
      </c>
      <c r="X29" s="12">
        <f t="shared" si="5"/>
        <v>6.3977046108116831E-3</v>
      </c>
      <c r="Y29" s="5">
        <f t="shared" si="8"/>
        <v>6.3977046108116831E-3</v>
      </c>
      <c r="Z29" s="19" t="s">
        <v>53</v>
      </c>
      <c r="AA29" s="19" t="s">
        <v>53</v>
      </c>
      <c r="AB29" s="19" t="s">
        <v>53</v>
      </c>
    </row>
    <row r="30" spans="1:28" s="2" customFormat="1" x14ac:dyDescent="0.25">
      <c r="A30" s="1">
        <v>45140</v>
      </c>
      <c r="B30" s="1" t="str">
        <f t="shared" si="1"/>
        <v>202308</v>
      </c>
      <c r="C30" s="2">
        <f>C29*(1+((1+VLOOKUP($B30,'IPCA Hist'!$B:$C,2,0))^12 - 1)+$C$2)^(1/252)</f>
        <v>43677723.303442642</v>
      </c>
      <c r="D30" s="2">
        <f>D29*(1+((1+VLOOKUP($B30,'IPCA Hist'!$B:$C,2,0))^12 - 1)+$D$2)^(1/252)</f>
        <v>43695613.471213095</v>
      </c>
      <c r="E30" s="2">
        <f>E29*(1+((1+VLOOKUP($B30,'IPCA Hist'!$B:$C,2,0))^12 - 1)+$E$2)^(1/252)</f>
        <v>43960485.154913537</v>
      </c>
      <c r="F30" s="2">
        <f>F29*(1+((1+VLOOKUP($B30,'IPCA Hist'!$B:$C,2,0))^12 - 1)+$F$2)^(1/252)</f>
        <v>43942462.685111895</v>
      </c>
      <c r="G30" s="2">
        <f>G29*(1+((1+VLOOKUP($B30,'IPCA Hist'!$B:$C,2,0))^12 - 1)+$G$2)^(1/252)</f>
        <v>43924439.873830132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f t="shared" si="0"/>
        <v>219200724.48851132</v>
      </c>
      <c r="P30" s="2">
        <v>0</v>
      </c>
      <c r="Q30" s="2">
        <v>0</v>
      </c>
      <c r="R30" s="2">
        <f t="shared" si="9"/>
        <v>67142.699967801571</v>
      </c>
      <c r="S30" s="2">
        <f t="shared" si="2"/>
        <v>134264.83194482327</v>
      </c>
      <c r="T30" s="2">
        <f t="shared" si="3"/>
        <v>1337192.5585113168</v>
      </c>
      <c r="U30" s="11">
        <f t="shared" si="6"/>
        <v>1.0067060656505822</v>
      </c>
      <c r="V30" s="12">
        <f t="shared" si="7"/>
        <v>3.0640077809973576E-4</v>
      </c>
      <c r="W30" s="12">
        <f t="shared" si="4"/>
        <v>6.12895429794591E-4</v>
      </c>
      <c r="X30" s="12">
        <f t="shared" si="5"/>
        <v>6.7060656505821825E-3</v>
      </c>
      <c r="Y30" s="5">
        <f t="shared" si="8"/>
        <v>6.7060656505821825E-3</v>
      </c>
      <c r="Z30" s="19" t="s">
        <v>53</v>
      </c>
      <c r="AA30" s="19" t="s">
        <v>53</v>
      </c>
      <c r="AB30" s="19" t="s">
        <v>53</v>
      </c>
    </row>
    <row r="31" spans="1:28" s="2" customFormat="1" x14ac:dyDescent="0.25">
      <c r="A31" s="1">
        <v>45141</v>
      </c>
      <c r="B31" s="1" t="str">
        <f t="shared" si="1"/>
        <v>202308</v>
      </c>
      <c r="C31" s="2">
        <f>C30*(1+((1+VLOOKUP($B31,'IPCA Hist'!$B:$C,2,0))^12 - 1)+$C$2)^(1/252)</f>
        <v>43691263.801613092</v>
      </c>
      <c r="D31" s="2">
        <f>D30*(1+((1+VLOOKUP($B31,'IPCA Hist'!$B:$C,2,0))^12 - 1)+$D$2)^(1/252)</f>
        <v>43709143.473110646</v>
      </c>
      <c r="E31" s="2">
        <f>E30*(1+((1+VLOOKUP($B31,'IPCA Hist'!$B:$C,2,0))^12 - 1)+$E$2)^(1/252)</f>
        <v>43973838.735658124</v>
      </c>
      <c r="F31" s="2">
        <f>F30*(1+((1+VLOOKUP($B31,'IPCA Hist'!$B:$C,2,0))^12 - 1)+$F$2)^(1/252)</f>
        <v>43955826.948125444</v>
      </c>
      <c r="G31" s="2">
        <f>G30*(1+((1+VLOOKUP($B31,'IPCA Hist'!$B:$C,2,0))^12 - 1)+$G$2)^(1/252)</f>
        <v>43937814.80426573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f t="shared" si="0"/>
        <v>219267887.76277304</v>
      </c>
      <c r="P31" s="2">
        <v>0</v>
      </c>
      <c r="Q31" s="2">
        <v>0</v>
      </c>
      <c r="R31" s="2">
        <f t="shared" si="9"/>
        <v>67163.274261713028</v>
      </c>
      <c r="S31" s="2">
        <f t="shared" si="2"/>
        <v>201428.10620653629</v>
      </c>
      <c r="T31" s="2">
        <f t="shared" si="3"/>
        <v>1404355.8327730298</v>
      </c>
      <c r="U31" s="11">
        <f t="shared" si="6"/>
        <v>1.0070145211803074</v>
      </c>
      <c r="V31" s="12">
        <f t="shared" si="7"/>
        <v>3.0640078593924258E-4</v>
      </c>
      <c r="W31" s="12">
        <f t="shared" si="4"/>
        <v>9.1948400737518199E-4</v>
      </c>
      <c r="X31" s="12">
        <f t="shared" si="5"/>
        <v>7.0145211803074314E-3</v>
      </c>
      <c r="Y31" s="5">
        <f t="shared" si="8"/>
        <v>7.0145211803074314E-3</v>
      </c>
      <c r="Z31" s="19" t="s">
        <v>53</v>
      </c>
      <c r="AA31" s="19" t="s">
        <v>53</v>
      </c>
      <c r="AB31" s="19" t="s">
        <v>53</v>
      </c>
    </row>
    <row r="32" spans="1:28" s="2" customFormat="1" x14ac:dyDescent="0.25">
      <c r="A32" s="1">
        <v>45142</v>
      </c>
      <c r="B32" s="1" t="str">
        <f t="shared" si="1"/>
        <v>202308</v>
      </c>
      <c r="C32" s="2">
        <f>C31*(1+((1+VLOOKUP($B32,'IPCA Hist'!$B:$C,2,0))^12 - 1)+$C$2)^(1/252)</f>
        <v>43704808.497463204</v>
      </c>
      <c r="D32" s="2">
        <f>D31*(1+((1+VLOOKUP($B32,'IPCA Hist'!$B:$C,2,0))^12 - 1)+$D$2)^(1/252)</f>
        <v>43722677.664466515</v>
      </c>
      <c r="E32" s="2">
        <f>E31*(1+((1+VLOOKUP($B32,'IPCA Hist'!$B:$C,2,0))^12 - 1)+$E$2)^(1/252)</f>
        <v>43987196.372730076</v>
      </c>
      <c r="F32" s="2">
        <f>F31*(1+((1+VLOOKUP($B32,'IPCA Hist'!$B:$C,2,0))^12 - 1)+$F$2)^(1/252)</f>
        <v>43969195.275625028</v>
      </c>
      <c r="G32" s="2">
        <f>G31*(1+((1+VLOOKUP($B32,'IPCA Hist'!$B:$C,2,0))^12 - 1)+$G$2)^(1/252)</f>
        <v>43951193.807348914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f t="shared" si="0"/>
        <v>219335071.61763373</v>
      </c>
      <c r="P32" s="2">
        <v>0</v>
      </c>
      <c r="Q32" s="2">
        <v>0</v>
      </c>
      <c r="R32" s="2">
        <f t="shared" si="9"/>
        <v>67183.854860693216</v>
      </c>
      <c r="S32" s="2">
        <f t="shared" si="2"/>
        <v>268611.96106722951</v>
      </c>
      <c r="T32" s="2">
        <f t="shared" si="3"/>
        <v>1471539.687633723</v>
      </c>
      <c r="U32" s="11">
        <f t="shared" si="6"/>
        <v>1.0073230712289438</v>
      </c>
      <c r="V32" s="12">
        <f t="shared" si="7"/>
        <v>3.064007937787494E-4</v>
      </c>
      <c r="W32" s="12">
        <f t="shared" si="4"/>
        <v>1.2261665317836457E-3</v>
      </c>
      <c r="X32" s="12">
        <f t="shared" si="5"/>
        <v>7.3230712289438227E-3</v>
      </c>
      <c r="Y32" s="5">
        <f t="shared" si="8"/>
        <v>7.3230712289438227E-3</v>
      </c>
      <c r="Z32" s="19" t="s">
        <v>53</v>
      </c>
      <c r="AA32" s="19" t="s">
        <v>53</v>
      </c>
      <c r="AB32" s="19" t="s">
        <v>53</v>
      </c>
    </row>
    <row r="33" spans="1:28" s="2" customFormat="1" x14ac:dyDescent="0.25">
      <c r="A33" s="1">
        <v>45145</v>
      </c>
      <c r="B33" s="1" t="str">
        <f t="shared" si="1"/>
        <v>202308</v>
      </c>
      <c r="C33" s="2">
        <f>C32*(1+((1+VLOOKUP($B33,'IPCA Hist'!$B:$C,2,0))^12 - 1)+$C$2)^(1/252)</f>
        <v>43718357.392294295</v>
      </c>
      <c r="D33" s="2">
        <f>D32*(1+((1+VLOOKUP($B33,'IPCA Hist'!$B:$C,2,0))^12 - 1)+$D$2)^(1/252)</f>
        <v>43736216.04657793</v>
      </c>
      <c r="E33" s="2">
        <f>E32*(1+((1+VLOOKUP($B33,'IPCA Hist'!$B:$C,2,0))^12 - 1)+$E$2)^(1/252)</f>
        <v>44000558.067361549</v>
      </c>
      <c r="F33" s="2">
        <f>F32*(1+((1+VLOOKUP($B33,'IPCA Hist'!$B:$C,2,0))^12 - 1)+$F$2)^(1/252)</f>
        <v>43982567.668846786</v>
      </c>
      <c r="G33" s="2">
        <f>G32*(1+((1+VLOOKUP($B33,'IPCA Hist'!$B:$C,2,0))^12 - 1)+$G$2)^(1/252)</f>
        <v>43964576.884319805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f t="shared" si="0"/>
        <v>219402276.05940035</v>
      </c>
      <c r="P33" s="2">
        <v>0</v>
      </c>
      <c r="Q33" s="2">
        <v>0</v>
      </c>
      <c r="R33" s="2">
        <f t="shared" si="9"/>
        <v>67204.441766619682</v>
      </c>
      <c r="S33" s="2">
        <f t="shared" si="2"/>
        <v>335816.40283384919</v>
      </c>
      <c r="T33" s="2">
        <f t="shared" si="3"/>
        <v>1538744.1294003427</v>
      </c>
      <c r="U33" s="11">
        <f t="shared" si="6"/>
        <v>1.0076317158254569</v>
      </c>
      <c r="V33" s="12">
        <f t="shared" si="7"/>
        <v>3.0640080161825622E-4</v>
      </c>
      <c r="W33" s="12">
        <f t="shared" si="4"/>
        <v>1.5329430318100634E-3</v>
      </c>
      <c r="X33" s="12">
        <f t="shared" si="5"/>
        <v>7.6317158254568529E-3</v>
      </c>
      <c r="Y33" s="5">
        <f t="shared" si="8"/>
        <v>7.6317158254568529E-3</v>
      </c>
      <c r="Z33" s="19" t="s">
        <v>53</v>
      </c>
      <c r="AA33" s="19" t="s">
        <v>53</v>
      </c>
      <c r="AB33" s="19" t="s">
        <v>53</v>
      </c>
    </row>
    <row r="34" spans="1:28" s="2" customFormat="1" x14ac:dyDescent="0.25">
      <c r="A34" s="1">
        <v>45146</v>
      </c>
      <c r="B34" s="1" t="str">
        <f t="shared" si="1"/>
        <v>202308</v>
      </c>
      <c r="C34" s="2">
        <f>C33*(1+((1+VLOOKUP($B34,'IPCA Hist'!$B:$C,2,0))^12 - 1)+$C$2)^(1/252)</f>
        <v>43731910.487408087</v>
      </c>
      <c r="D34" s="2">
        <f>D33*(1+((1+VLOOKUP($B34,'IPCA Hist'!$B:$C,2,0))^12 - 1)+$D$2)^(1/252)</f>
        <v>43749758.620742537</v>
      </c>
      <c r="E34" s="2">
        <f>E33*(1+((1+VLOOKUP($B34,'IPCA Hist'!$B:$C,2,0))^12 - 1)+$E$2)^(1/252)</f>
        <v>44013923.820785083</v>
      </c>
      <c r="F34" s="2">
        <f>F33*(1+((1+VLOOKUP($B34,'IPCA Hist'!$B:$C,2,0))^12 - 1)+$F$2)^(1/252)</f>
        <v>43995944.129027225</v>
      </c>
      <c r="G34" s="2">
        <f>G33*(1+((1+VLOOKUP($B34,'IPCA Hist'!$B:$C,2,0))^12 - 1)+$G$2)^(1/252)</f>
        <v>43977964.036418892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 t="shared" si="0"/>
        <v>219469501.09438181</v>
      </c>
      <c r="P34" s="2">
        <v>0</v>
      </c>
      <c r="Q34" s="2">
        <v>0</v>
      </c>
      <c r="R34" s="2">
        <f t="shared" si="9"/>
        <v>67225.034981459379</v>
      </c>
      <c r="S34" s="2">
        <f t="shared" si="2"/>
        <v>403041.43781530857</v>
      </c>
      <c r="T34" s="2">
        <f t="shared" si="3"/>
        <v>1605969.1643818021</v>
      </c>
      <c r="U34" s="11">
        <f t="shared" si="6"/>
        <v>1.0079404549988211</v>
      </c>
      <c r="V34" s="12">
        <f t="shared" si="7"/>
        <v>3.0640080945776305E-4</v>
      </c>
      <c r="W34" s="12">
        <f t="shared" si="4"/>
        <v>1.8398135362536205E-3</v>
      </c>
      <c r="X34" s="12">
        <f t="shared" si="5"/>
        <v>7.9404549988211226E-3</v>
      </c>
      <c r="Y34" s="5">
        <f t="shared" si="8"/>
        <v>7.9404549988211226E-3</v>
      </c>
      <c r="Z34" s="19" t="s">
        <v>53</v>
      </c>
      <c r="AA34" s="19" t="s">
        <v>53</v>
      </c>
      <c r="AB34" s="19" t="s">
        <v>53</v>
      </c>
    </row>
    <row r="35" spans="1:28" s="2" customFormat="1" x14ac:dyDescent="0.25">
      <c r="A35" s="1">
        <v>45147</v>
      </c>
      <c r="B35" s="1" t="str">
        <f t="shared" si="1"/>
        <v>202308</v>
      </c>
      <c r="C35" s="2">
        <f>C34*(1+((1+VLOOKUP($B35,'IPCA Hist'!$B:$C,2,0))^12 - 1)+$C$2)^(1/252)</f>
        <v>43745467.784106709</v>
      </c>
      <c r="D35" s="2">
        <f>D34*(1+((1+VLOOKUP($B35,'IPCA Hist'!$B:$C,2,0))^12 - 1)+$D$2)^(1/252)</f>
        <v>43763305.38825836</v>
      </c>
      <c r="E35" s="2">
        <f>E34*(1+((1+VLOOKUP($B35,'IPCA Hist'!$B:$C,2,0))^12 - 1)+$E$2)^(1/252)</f>
        <v>44027293.634233586</v>
      </c>
      <c r="F35" s="2">
        <f>F34*(1+((1+VLOOKUP($B35,'IPCA Hist'!$B:$C,2,0))^12 - 1)+$F$2)^(1/252)</f>
        <v>44009324.657403231</v>
      </c>
      <c r="G35" s="2">
        <f>G34*(1+((1+VLOOKUP($B35,'IPCA Hist'!$B:$C,2,0))^12 - 1)+$G$2)^(1/252)</f>
        <v>43991355.26488705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f t="shared" si="0"/>
        <v>219536746.72888893</v>
      </c>
      <c r="P35" s="2">
        <v>0</v>
      </c>
      <c r="Q35" s="2">
        <v>0</v>
      </c>
      <c r="R35" s="2">
        <f t="shared" si="9"/>
        <v>67245.634507119656</v>
      </c>
      <c r="S35" s="2">
        <f t="shared" si="2"/>
        <v>470287.07232242823</v>
      </c>
      <c r="T35" s="2">
        <f t="shared" si="3"/>
        <v>1673214.7988889217</v>
      </c>
      <c r="U35" s="11">
        <f t="shared" si="6"/>
        <v>1.0082492887780197</v>
      </c>
      <c r="V35" s="12">
        <f t="shared" si="7"/>
        <v>3.0640081729726987E-4</v>
      </c>
      <c r="W35" s="12">
        <f t="shared" si="4"/>
        <v>2.146778073922162E-3</v>
      </c>
      <c r="X35" s="12">
        <f t="shared" si="5"/>
        <v>8.24928877801967E-3</v>
      </c>
      <c r="Y35" s="5">
        <f t="shared" si="8"/>
        <v>8.24928877801967E-3</v>
      </c>
      <c r="Z35" s="19" t="s">
        <v>53</v>
      </c>
      <c r="AA35" s="19" t="s">
        <v>53</v>
      </c>
      <c r="AB35" s="19" t="s">
        <v>53</v>
      </c>
    </row>
    <row r="36" spans="1:28" s="2" customFormat="1" x14ac:dyDescent="0.25">
      <c r="A36" s="1">
        <v>45148</v>
      </c>
      <c r="B36" s="1" t="str">
        <f t="shared" si="1"/>
        <v>202308</v>
      </c>
      <c r="C36" s="2">
        <f>C35*(1+((1+VLOOKUP($B36,'IPCA Hist'!$B:$C,2,0))^12 - 1)+$C$2)^(1/252)</f>
        <v>43759029.283692688</v>
      </c>
      <c r="D36" s="2">
        <f>D35*(1+((1+VLOOKUP($B36,'IPCA Hist'!$B:$C,2,0))^12 - 1)+$D$2)^(1/252)</f>
        <v>43776856.35042385</v>
      </c>
      <c r="E36" s="2">
        <f>E35*(1+((1+VLOOKUP($B36,'IPCA Hist'!$B:$C,2,0))^12 - 1)+$E$2)^(1/252)</f>
        <v>44040667.508940354</v>
      </c>
      <c r="F36" s="2">
        <f>F35*(1+((1+VLOOKUP($B36,'IPCA Hist'!$B:$C,2,0))^12 - 1)+$F$2)^(1/252)</f>
        <v>44022709.255212069</v>
      </c>
      <c r="G36" s="2">
        <f>G35*(1+((1+VLOOKUP($B36,'IPCA Hist'!$B:$C,2,0))^12 - 1)+$G$2)^(1/252)</f>
        <v>44004750.570965521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f t="shared" si="0"/>
        <v>219604012.96923447</v>
      </c>
      <c r="P36" s="2">
        <v>0</v>
      </c>
      <c r="Q36" s="2">
        <v>0</v>
      </c>
      <c r="R36" s="2">
        <f t="shared" si="9"/>
        <v>67266.240345537663</v>
      </c>
      <c r="S36" s="2">
        <f t="shared" si="2"/>
        <v>537553.31266796589</v>
      </c>
      <c r="T36" s="2">
        <f t="shared" si="3"/>
        <v>1740481.0392344594</v>
      </c>
      <c r="U36" s="11">
        <f t="shared" si="6"/>
        <v>1.0085582171920446</v>
      </c>
      <c r="V36" s="12">
        <f t="shared" si="7"/>
        <v>3.0640082513655464E-4</v>
      </c>
      <c r="W36" s="12">
        <f t="shared" si="4"/>
        <v>2.4538366736319706E-3</v>
      </c>
      <c r="X36" s="12">
        <f t="shared" si="5"/>
        <v>8.558217192044637E-3</v>
      </c>
      <c r="Y36" s="5">
        <f t="shared" si="8"/>
        <v>8.558217192044637E-3</v>
      </c>
      <c r="Z36" s="19" t="s">
        <v>53</v>
      </c>
      <c r="AA36" s="19" t="s">
        <v>53</v>
      </c>
      <c r="AB36" s="19" t="s">
        <v>53</v>
      </c>
    </row>
    <row r="37" spans="1:28" s="2" customFormat="1" x14ac:dyDescent="0.25">
      <c r="A37" s="1">
        <v>45149</v>
      </c>
      <c r="B37" s="1" t="str">
        <f t="shared" si="1"/>
        <v>202308</v>
      </c>
      <c r="C37" s="2">
        <f>C36*(1+((1+VLOOKUP($B37,'IPCA Hist'!$B:$C,2,0))^12 - 1)+$C$2)^(1/252)</f>
        <v>43772594.987468958</v>
      </c>
      <c r="D37" s="2">
        <f>D36*(1+((1+VLOOKUP($B37,'IPCA Hist'!$B:$C,2,0))^12 - 1)+$D$2)^(1/252)</f>
        <v>43790411.508537836</v>
      </c>
      <c r="E37" s="2">
        <f>E36*(1+((1+VLOOKUP($B37,'IPCA Hist'!$B:$C,2,0))^12 - 1)+$E$2)^(1/252)</f>
        <v>44054045.446139038</v>
      </c>
      <c r="F37" s="2">
        <f>F36*(1+((1+VLOOKUP($B37,'IPCA Hist'!$B:$C,2,0))^12 - 1)+$F$2)^(1/252)</f>
        <v>44036097.923691384</v>
      </c>
      <c r="G37" s="2">
        <f>G36*(1+((1+VLOOKUP($B37,'IPCA Hist'!$B:$C,2,0))^12 - 1)+$G$2)^(1/252)</f>
        <v>44018149.955895938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f t="shared" si="0"/>
        <v>219671299.82173315</v>
      </c>
      <c r="P37" s="2">
        <v>0</v>
      </c>
      <c r="Q37" s="2">
        <v>0</v>
      </c>
      <c r="R37" s="2">
        <f t="shared" si="9"/>
        <v>67286.852498680353</v>
      </c>
      <c r="S37" s="2">
        <f t="shared" si="2"/>
        <v>604840.16516664624</v>
      </c>
      <c r="T37" s="2">
        <f t="shared" si="3"/>
        <v>1807767.8917331398</v>
      </c>
      <c r="U37" s="11">
        <f t="shared" si="6"/>
        <v>1.008867240269897</v>
      </c>
      <c r="V37" s="12">
        <f t="shared" si="7"/>
        <v>3.0640083297606147E-4</v>
      </c>
      <c r="W37" s="12">
        <f t="shared" si="4"/>
        <v>2.7609893642088768E-3</v>
      </c>
      <c r="X37" s="12">
        <f t="shared" si="5"/>
        <v>8.8672402698970476E-3</v>
      </c>
      <c r="Y37" s="5">
        <f t="shared" si="8"/>
        <v>8.8672402698970476E-3</v>
      </c>
      <c r="Z37" s="19" t="s">
        <v>53</v>
      </c>
      <c r="AA37" s="19" t="s">
        <v>53</v>
      </c>
      <c r="AB37" s="19" t="s">
        <v>53</v>
      </c>
    </row>
    <row r="38" spans="1:28" s="2" customFormat="1" x14ac:dyDescent="0.25">
      <c r="A38" s="1">
        <v>45152</v>
      </c>
      <c r="B38" s="1" t="str">
        <f t="shared" si="1"/>
        <v>202308</v>
      </c>
      <c r="C38" s="2">
        <f>C37*(1+((1+VLOOKUP($B38,'IPCA Hist'!$B:$C,2,0))^12 - 1)+$C$2)^(1/252)</f>
        <v>43786164.896738864</v>
      </c>
      <c r="D38" s="2">
        <f>D37*(1+((1+VLOOKUP($B38,'IPCA Hist'!$B:$C,2,0))^12 - 1)+$D$2)^(1/252)</f>
        <v>43803970.863899566</v>
      </c>
      <c r="E38" s="2">
        <f>E37*(1+((1+VLOOKUP($B38,'IPCA Hist'!$B:$C,2,0))^12 - 1)+$E$2)^(1/252)</f>
        <v>44067427.447063677</v>
      </c>
      <c r="F38" s="2">
        <f>F37*(1+((1+VLOOKUP($B38,'IPCA Hist'!$B:$C,2,0))^12 - 1)+$F$2)^(1/252)</f>
        <v>44049490.664079189</v>
      </c>
      <c r="G38" s="2">
        <f>G37*(1+((1+VLOOKUP($B38,'IPCA Hist'!$B:$C,2,0))^12 - 1)+$G$2)^(1/252)</f>
        <v>44031553.420920305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f t="shared" si="0"/>
        <v>219738607.2927016</v>
      </c>
      <c r="P38" s="2">
        <v>0</v>
      </c>
      <c r="Q38" s="2">
        <v>0</v>
      </c>
      <c r="R38" s="2">
        <f t="shared" si="9"/>
        <v>67307.470968455076</v>
      </c>
      <c r="S38" s="2">
        <f t="shared" si="2"/>
        <v>672147.63613510132</v>
      </c>
      <c r="T38" s="2">
        <f t="shared" si="3"/>
        <v>1875075.3627015948</v>
      </c>
      <c r="U38" s="11">
        <f t="shared" si="6"/>
        <v>1.0091763580405873</v>
      </c>
      <c r="V38" s="12">
        <f t="shared" si="7"/>
        <v>3.0640084081579033E-4</v>
      </c>
      <c r="W38" s="12">
        <f t="shared" si="4"/>
        <v>3.068236174487371E-3</v>
      </c>
      <c r="X38" s="12">
        <f t="shared" si="5"/>
        <v>9.1763580405872514E-3</v>
      </c>
      <c r="Y38" s="5">
        <f t="shared" si="8"/>
        <v>9.1763580405872514E-3</v>
      </c>
      <c r="Z38" s="19" t="s">
        <v>53</v>
      </c>
      <c r="AA38" s="19" t="s">
        <v>53</v>
      </c>
      <c r="AB38" s="19" t="s">
        <v>53</v>
      </c>
    </row>
    <row r="39" spans="1:28" s="14" customFormat="1" x14ac:dyDescent="0.25">
      <c r="A39" s="13">
        <v>45153</v>
      </c>
      <c r="B39" s="13" t="str">
        <f t="shared" si="1"/>
        <v>202308</v>
      </c>
      <c r="C39" s="14">
        <f>C38*(1+((1+VLOOKUP($B39,'IPCA Hist'!$B:$C,2,0))^12 - 1)+$C$2)^(1/252) - 1219261.856882</f>
        <v>42580477.155924141</v>
      </c>
      <c r="D39" s="14">
        <f>D38*(1+((1+VLOOKUP($B39,'IPCA Hist'!$B:$C,2,0))^12 - 1)+$D$2)^(1/252) - 1219261.856882</f>
        <v>42598272.560926683</v>
      </c>
      <c r="E39" s="14">
        <f>E38*(1+((1+VLOOKUP($B39,'IPCA Hist'!$B:$C,2,0))^12 - 1)+$E$2)^(1/252) - 1219261.856882</f>
        <v>42861551.656066686</v>
      </c>
      <c r="F39" s="14">
        <f>F38*(1+((1+VLOOKUP($B39,'IPCA Hist'!$B:$C,2,0))^12 - 1)+$F$2)^(1/252) - 1219261.856882</f>
        <v>42843625.620731883</v>
      </c>
      <c r="G39" s="14">
        <f>G38*(1+((1+VLOOKUP($B39,'IPCA Hist'!$B:$C,2,0))^12 - 1)+$G$2)^(1/252) - 1219261.856882</f>
        <v>42825699.110399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2">
        <v>0</v>
      </c>
      <c r="O39" s="14">
        <f t="shared" si="0"/>
        <v>213709626.1040484</v>
      </c>
      <c r="P39" s="14">
        <v>0</v>
      </c>
      <c r="Q39" s="14">
        <v>6096000</v>
      </c>
      <c r="R39" s="2">
        <f t="shared" si="9"/>
        <v>67018.811346799135</v>
      </c>
      <c r="S39" s="2">
        <f t="shared" si="2"/>
        <v>739166.44748190045</v>
      </c>
      <c r="T39" s="2">
        <f t="shared" si="3"/>
        <v>1942094.174048394</v>
      </c>
      <c r="U39" s="15">
        <f t="shared" si="6"/>
        <v>1.0094841501067537</v>
      </c>
      <c r="V39" s="16">
        <f t="shared" si="7"/>
        <v>3.0499333809608231E-4</v>
      </c>
      <c r="W39" s="16">
        <f t="shared" si="4"/>
        <v>3.3741653041763353E-3</v>
      </c>
      <c r="X39" s="16">
        <f t="shared" si="5"/>
        <v>9.4841501067537415E-3</v>
      </c>
      <c r="Y39" s="5">
        <f t="shared" si="8"/>
        <v>9.4841501067537415E-3</v>
      </c>
      <c r="Z39" s="19" t="s">
        <v>53</v>
      </c>
      <c r="AA39" s="19" t="s">
        <v>53</v>
      </c>
      <c r="AB39" s="19" t="s">
        <v>53</v>
      </c>
    </row>
    <row r="40" spans="1:28" s="2" customFormat="1" x14ac:dyDescent="0.25">
      <c r="A40" s="1">
        <v>45154</v>
      </c>
      <c r="B40" s="1" t="str">
        <f t="shared" si="1"/>
        <v>202308</v>
      </c>
      <c r="C40" s="2">
        <f>C39*(1+((1+VLOOKUP($B40,'IPCA Hist'!$B:$C,2,0))^12 - 1)+$C$2)^(1/252)</f>
        <v>42593677.497641154</v>
      </c>
      <c r="D40" s="2">
        <f>D39*(1+((1+VLOOKUP($B40,'IPCA Hist'!$B:$C,2,0))^12 - 1)+$D$2)^(1/252)</f>
        <v>42611462.779870771</v>
      </c>
      <c r="E40" s="2">
        <f>E39*(1+((1+VLOOKUP($B40,'IPCA Hist'!$B:$C,2,0))^12 - 1)+$E$2)^(1/252)</f>
        <v>42874571.421177574</v>
      </c>
      <c r="F40" s="2">
        <f>F39*(1+((1+VLOOKUP($B40,'IPCA Hist'!$B:$C,2,0))^12 - 1)+$F$2)^(1/252)</f>
        <v>42856655.693382852</v>
      </c>
      <c r="G40" s="2">
        <f>G39*(1+((1+VLOOKUP($B40,'IPCA Hist'!$B:$C,2,0))^12 - 1)+$G$2)^(1/252)</f>
        <v>42838739.475810662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f t="shared" si="0"/>
        <v>213775106.86788303</v>
      </c>
      <c r="P40" s="2">
        <v>0</v>
      </c>
      <c r="Q40" s="2">
        <v>0</v>
      </c>
      <c r="R40" s="2">
        <f t="shared" si="9"/>
        <v>65480.763834625483</v>
      </c>
      <c r="S40" s="2">
        <f t="shared" si="2"/>
        <v>804647.21131652594</v>
      </c>
      <c r="T40" s="2">
        <f t="shared" si="3"/>
        <v>2007574.9378830194</v>
      </c>
      <c r="U40" s="11">
        <f t="shared" si="6"/>
        <v>1.0097934566851843</v>
      </c>
      <c r="V40" s="12">
        <f t="shared" si="7"/>
        <v>3.064006288735488E-4</v>
      </c>
      <c r="W40" s="12">
        <f t="shared" si="4"/>
        <v>3.6815997794210631E-3</v>
      </c>
      <c r="X40" s="12">
        <f t="shared" si="5"/>
        <v>9.7934566851842764E-3</v>
      </c>
      <c r="Y40" s="5">
        <f t="shared" si="8"/>
        <v>9.7934566851842764E-3</v>
      </c>
      <c r="Z40" s="19" t="s">
        <v>53</v>
      </c>
      <c r="AA40" s="19" t="s">
        <v>53</v>
      </c>
      <c r="AB40" s="19" t="s">
        <v>53</v>
      </c>
    </row>
    <row r="41" spans="1:28" s="2" customFormat="1" x14ac:dyDescent="0.25">
      <c r="A41" s="1">
        <v>45155</v>
      </c>
      <c r="B41" s="1" t="str">
        <f t="shared" si="1"/>
        <v>202308</v>
      </c>
      <c r="C41" s="2">
        <f>C40*(1+((1+VLOOKUP($B41,'IPCA Hist'!$B:$C,2,0))^12 - 1)+$C$2)^(1/252)</f>
        <v>42606881.931586184</v>
      </c>
      <c r="D41" s="2">
        <f>D40*(1+((1+VLOOKUP($B41,'IPCA Hist'!$B:$C,2,0))^12 - 1)+$D$2)^(1/252)</f>
        <v>42624657.083062068</v>
      </c>
      <c r="E41" s="2">
        <f>E40*(1+((1+VLOOKUP($B41,'IPCA Hist'!$B:$C,2,0))^12 - 1)+$E$2)^(1/252)</f>
        <v>42887595.141214892</v>
      </c>
      <c r="F41" s="2">
        <f>F40*(1+((1+VLOOKUP($B41,'IPCA Hist'!$B:$C,2,0))^12 - 1)+$F$2)^(1/252)</f>
        <v>42869689.728882223</v>
      </c>
      <c r="G41" s="2">
        <f>G40*(1+((1+VLOOKUP($B41,'IPCA Hist'!$B:$C,2,0))^12 - 1)+$G$2)^(1/252)</f>
        <v>42851783.811995335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f t="shared" si="0"/>
        <v>213840607.69674069</v>
      </c>
      <c r="P41" s="2">
        <v>0</v>
      </c>
      <c r="Q41" s="2">
        <v>0</v>
      </c>
      <c r="R41" s="2">
        <f t="shared" si="9"/>
        <v>65500.828857660294</v>
      </c>
      <c r="S41" s="2">
        <f t="shared" si="2"/>
        <v>870148.04017418623</v>
      </c>
      <c r="T41" s="2">
        <f t="shared" si="3"/>
        <v>2073075.7667406797</v>
      </c>
      <c r="U41" s="11">
        <f t="shared" si="6"/>
        <v>1.0101028580432612</v>
      </c>
      <c r="V41" s="12">
        <f t="shared" si="7"/>
        <v>3.0640063671283357E-4</v>
      </c>
      <c r="W41" s="12">
        <f t="shared" si="4"/>
        <v>3.9891284606503596E-3</v>
      </c>
      <c r="X41" s="12">
        <f t="shared" si="5"/>
        <v>1.0102858043261165E-2</v>
      </c>
      <c r="Y41" s="5">
        <f t="shared" si="8"/>
        <v>1.0102858043261165E-2</v>
      </c>
      <c r="Z41" s="19" t="s">
        <v>53</v>
      </c>
      <c r="AA41" s="19" t="s">
        <v>53</v>
      </c>
      <c r="AB41" s="19" t="s">
        <v>53</v>
      </c>
    </row>
    <row r="42" spans="1:28" s="2" customFormat="1" x14ac:dyDescent="0.25">
      <c r="A42" s="1">
        <v>45156</v>
      </c>
      <c r="B42" s="1" t="str">
        <f t="shared" si="1"/>
        <v>202308</v>
      </c>
      <c r="C42" s="2">
        <f>C41*(1+((1+VLOOKUP($B42,'IPCA Hist'!$B:$C,2,0))^12 - 1)+$C$2)^(1/252)</f>
        <v>42620090.459027857</v>
      </c>
      <c r="D42" s="2">
        <f>D41*(1+((1+VLOOKUP($B42,'IPCA Hist'!$B:$C,2,0))^12 - 1)+$D$2)^(1/252)</f>
        <v>42637855.471765228</v>
      </c>
      <c r="E42" s="2">
        <f>E41*(1+((1+VLOOKUP($B42,'IPCA Hist'!$B:$C,2,0))^12 - 1)+$E$2)^(1/252)</f>
        <v>42900622.817380004</v>
      </c>
      <c r="F42" s="2">
        <f>F41*(1+((1+VLOOKUP($B42,'IPCA Hist'!$B:$C,2,0))^12 - 1)+$F$2)^(1/252)</f>
        <v>42882727.728435218</v>
      </c>
      <c r="G42" s="2">
        <f>G41*(1+((1+VLOOKUP($B42,'IPCA Hist'!$B:$C,2,0))^12 - 1)+$G$2)^(1/252)</f>
        <v>42864832.120162107</v>
      </c>
      <c r="H42" s="2">
        <v>43879326.990600005</v>
      </c>
      <c r="I42" s="2">
        <v>221640336.5325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f t="shared" si="0"/>
        <v>479425792.11987042</v>
      </c>
      <c r="P42" s="2">
        <v>265519663.52310002</v>
      </c>
      <c r="Q42" s="2">
        <v>0</v>
      </c>
      <c r="R42" s="2">
        <f t="shared" si="9"/>
        <v>65520.900029718876</v>
      </c>
      <c r="S42" s="2">
        <f t="shared" si="2"/>
        <v>935668.94020390511</v>
      </c>
      <c r="T42" s="2">
        <f t="shared" si="3"/>
        <v>2138596.6667703986</v>
      </c>
      <c r="U42" s="11">
        <f t="shared" si="6"/>
        <v>1.0104123542100296</v>
      </c>
      <c r="V42" s="12">
        <f t="shared" si="7"/>
        <v>3.0640064455211835E-4</v>
      </c>
      <c r="W42" s="12">
        <f t="shared" si="4"/>
        <v>4.2967513767340204E-3</v>
      </c>
      <c r="X42" s="12">
        <f t="shared" si="5"/>
        <v>1.0412354210029617E-2</v>
      </c>
      <c r="Y42" s="5">
        <f t="shared" si="8"/>
        <v>1.0412354210029617E-2</v>
      </c>
      <c r="Z42" s="19" t="s">
        <v>53</v>
      </c>
      <c r="AA42" s="19" t="s">
        <v>53</v>
      </c>
      <c r="AB42" s="19" t="s">
        <v>53</v>
      </c>
    </row>
    <row r="43" spans="1:28" s="2" customFormat="1" x14ac:dyDescent="0.25">
      <c r="A43" s="1">
        <v>45159</v>
      </c>
      <c r="B43" s="1" t="str">
        <f t="shared" si="1"/>
        <v>202308</v>
      </c>
      <c r="C43" s="2">
        <f>C42*(1+((1+VLOOKUP($B43,'IPCA Hist'!$B:$C,2,0))^12 - 1)+$C$2)^(1/252)</f>
        <v>42633303.081235193</v>
      </c>
      <c r="D43" s="2">
        <f>D42*(1+((1+VLOOKUP($B43,'IPCA Hist'!$B:$C,2,0))^12 - 1)+$D$2)^(1/252)</f>
        <v>42651057.9472453</v>
      </c>
      <c r="E43" s="2">
        <f>E42*(1+((1+VLOOKUP($B43,'IPCA Hist'!$B:$C,2,0))^12 - 1)+$E$2)^(1/252)</f>
        <v>42913654.450874634</v>
      </c>
      <c r="F43" s="2">
        <f>F42*(1+((1+VLOOKUP($B43,'IPCA Hist'!$B:$C,2,0))^12 - 1)+$F$2)^(1/252)</f>
        <v>42895769.69324743</v>
      </c>
      <c r="G43" s="2">
        <f>G42*(1+((1+VLOOKUP($B43,'IPCA Hist'!$B:$C,2,0))^12 - 1)+$G$2)^(1/252)</f>
        <v>42877884.401520446</v>
      </c>
      <c r="H43" s="2">
        <f>H42*(1+((1+VLOOKUP($B43,'IPCA Hist'!$B:$C,2,0))^12 - 1)+$H$2)^(1/252)</f>
        <v>43892494.50036025</v>
      </c>
      <c r="I43" s="2">
        <f>I42*(1+((1+VLOOKUP($B43,'IPCA Hist'!$B:$C,2,0))^12 - 1)+$I$2)^(1/252)</f>
        <v>221706765.80571178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f t="shared" si="0"/>
        <v>479570929.88019502</v>
      </c>
      <c r="P43" s="2">
        <v>0</v>
      </c>
      <c r="Q43" s="2">
        <v>0</v>
      </c>
      <c r="R43" s="2">
        <f t="shared" si="9"/>
        <v>145137.76032459736</v>
      </c>
      <c r="S43" s="2">
        <f t="shared" si="2"/>
        <v>1080806.7005285025</v>
      </c>
      <c r="T43" s="2">
        <f t="shared" si="3"/>
        <v>2283734.427094996</v>
      </c>
      <c r="U43" s="11">
        <f t="shared" si="6"/>
        <v>1.0107182388505827</v>
      </c>
      <c r="V43" s="12">
        <f t="shared" si="7"/>
        <v>3.0273248271206477E-4</v>
      </c>
      <c r="W43" s="12">
        <f t="shared" si="4"/>
        <v>4.6007846256579388E-3</v>
      </c>
      <c r="X43" s="12">
        <f t="shared" si="5"/>
        <v>1.0718238850582651E-2</v>
      </c>
      <c r="Y43" s="5">
        <f t="shared" si="8"/>
        <v>1.0718238850582651E-2</v>
      </c>
      <c r="Z43" s="19" t="s">
        <v>53</v>
      </c>
      <c r="AA43" s="19" t="s">
        <v>53</v>
      </c>
      <c r="AB43" s="19" t="s">
        <v>53</v>
      </c>
    </row>
    <row r="44" spans="1:28" s="2" customFormat="1" x14ac:dyDescent="0.25">
      <c r="A44" s="1">
        <v>45160</v>
      </c>
      <c r="B44" s="1" t="str">
        <f t="shared" si="1"/>
        <v>202308</v>
      </c>
      <c r="C44" s="2">
        <f>C43*(1+((1+VLOOKUP($B44,'IPCA Hist'!$B:$C,2,0))^12 - 1)+$C$2)^(1/252)</f>
        <v>42646519.799477607</v>
      </c>
      <c r="D44" s="2">
        <f>D43*(1+((1+VLOOKUP($B44,'IPCA Hist'!$B:$C,2,0))^12 - 1)+$D$2)^(1/252)</f>
        <v>42664264.510767721</v>
      </c>
      <c r="E44" s="2">
        <f>E43*(1+((1+VLOOKUP($B44,'IPCA Hist'!$B:$C,2,0))^12 - 1)+$E$2)^(1/252)</f>
        <v>42926690.042900875</v>
      </c>
      <c r="F44" s="2">
        <f>F43*(1+((1+VLOOKUP($B44,'IPCA Hist'!$B:$C,2,0))^12 - 1)+$F$2)^(1/252)</f>
        <v>42908815.624524817</v>
      </c>
      <c r="G44" s="2">
        <f>G43*(1+((1+VLOOKUP($B44,'IPCA Hist'!$B:$C,2,0))^12 - 1)+$G$2)^(1/252)</f>
        <v>42890940.657280184</v>
      </c>
      <c r="H44" s="2">
        <f>H43*(1+((1+VLOOKUP($B44,'IPCA Hist'!$B:$C,2,0))^12 - 1)+$H$2)^(1/252)</f>
        <v>43905665.961487234</v>
      </c>
      <c r="I44" s="2">
        <f>I43*(1+((1+VLOOKUP($B44,'IPCA Hist'!$B:$C,2,0))^12 - 1)+$I$2)^(1/252)</f>
        <v>221773214.988875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f t="shared" si="0"/>
        <v>479716111.58531344</v>
      </c>
      <c r="P44" s="2">
        <v>0</v>
      </c>
      <c r="Q44" s="2">
        <v>0</v>
      </c>
      <c r="R44" s="2">
        <f t="shared" si="9"/>
        <v>145181.70511841774</v>
      </c>
      <c r="S44" s="2">
        <f t="shared" si="2"/>
        <v>1225988.4056469202</v>
      </c>
      <c r="T44" s="2">
        <f t="shared" si="3"/>
        <v>2428916.1322134137</v>
      </c>
      <c r="U44" s="11">
        <f t="shared" si="6"/>
        <v>1.0110242161068506</v>
      </c>
      <c r="V44" s="12">
        <f t="shared" si="7"/>
        <v>3.0273249705659033E-4</v>
      </c>
      <c r="W44" s="12">
        <f t="shared" si="4"/>
        <v>4.9049099297326926E-3</v>
      </c>
      <c r="X44" s="12">
        <f t="shared" si="5"/>
        <v>1.102421610685056E-2</v>
      </c>
      <c r="Y44" s="5">
        <f t="shared" si="8"/>
        <v>1.102421610685056E-2</v>
      </c>
      <c r="Z44" s="19" t="s">
        <v>53</v>
      </c>
      <c r="AA44" s="19" t="s">
        <v>53</v>
      </c>
      <c r="AB44" s="19" t="s">
        <v>53</v>
      </c>
    </row>
    <row r="45" spans="1:28" s="2" customFormat="1" x14ac:dyDescent="0.25">
      <c r="A45" s="1">
        <v>45161</v>
      </c>
      <c r="B45" s="1" t="str">
        <f t="shared" si="1"/>
        <v>202308</v>
      </c>
      <c r="C45" s="2">
        <f>C44*(1+((1+VLOOKUP($B45,'IPCA Hist'!$B:$C,2,0))^12 - 1)+$C$2)^(1/252)</f>
        <v>42659740.615024909</v>
      </c>
      <c r="D45" s="2">
        <f>D44*(1+((1+VLOOKUP($B45,'IPCA Hist'!$B:$C,2,0))^12 - 1)+$D$2)^(1/252)</f>
        <v>42677475.163598321</v>
      </c>
      <c r="E45" s="2">
        <f>E44*(1+((1+VLOOKUP($B45,'IPCA Hist'!$B:$C,2,0))^12 - 1)+$E$2)^(1/252)</f>
        <v>42939729.594661184</v>
      </c>
      <c r="F45" s="2">
        <f>F44*(1+((1+VLOOKUP($B45,'IPCA Hist'!$B:$C,2,0))^12 - 1)+$F$2)^(1/252)</f>
        <v>42921865.52347371</v>
      </c>
      <c r="G45" s="2">
        <f>G44*(1+((1+VLOOKUP($B45,'IPCA Hist'!$B:$C,2,0))^12 - 1)+$G$2)^(1/252)</f>
        <v>42904000.888651513</v>
      </c>
      <c r="H45" s="2">
        <f>H44*(1+((1+VLOOKUP($B45,'IPCA Hist'!$B:$C,2,0))^12 - 1)+$H$2)^(1/252)</f>
        <v>43918841.375166707</v>
      </c>
      <c r="I45" s="2">
        <f>I44*(1+((1+VLOOKUP($B45,'IPCA Hist'!$B:$C,2,0))^12 - 1)+$I$2)^(1/252)</f>
        <v>221839684.08795702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f t="shared" si="0"/>
        <v>479861337.24853337</v>
      </c>
      <c r="P45" s="2">
        <v>0</v>
      </c>
      <c r="Q45" s="2">
        <v>0</v>
      </c>
      <c r="R45" s="2">
        <f t="shared" si="9"/>
        <v>145225.66321992874</v>
      </c>
      <c r="S45" s="2">
        <f t="shared" si="2"/>
        <v>1371214.0688668489</v>
      </c>
      <c r="T45" s="2">
        <f t="shared" si="3"/>
        <v>2574141.7954333425</v>
      </c>
      <c r="U45" s="11">
        <f t="shared" si="6"/>
        <v>1.0113302860068802</v>
      </c>
      <c r="V45" s="12">
        <f t="shared" si="7"/>
        <v>3.0273251140133794E-4</v>
      </c>
      <c r="W45" s="12">
        <f t="shared" si="4"/>
        <v>5.2091273168353158E-3</v>
      </c>
      <c r="X45" s="12">
        <f t="shared" si="5"/>
        <v>1.1330286006880241E-2</v>
      </c>
      <c r="Y45" s="5">
        <f t="shared" si="8"/>
        <v>1.1330286006880241E-2</v>
      </c>
      <c r="Z45" s="19" t="s">
        <v>53</v>
      </c>
      <c r="AA45" s="19" t="s">
        <v>53</v>
      </c>
      <c r="AB45" s="19" t="s">
        <v>53</v>
      </c>
    </row>
    <row r="46" spans="1:28" s="2" customFormat="1" x14ac:dyDescent="0.25">
      <c r="A46" s="1">
        <v>45162</v>
      </c>
      <c r="B46" s="1" t="str">
        <f t="shared" si="1"/>
        <v>202308</v>
      </c>
      <c r="C46" s="2">
        <f>C45*(1+((1+VLOOKUP($B46,'IPCA Hist'!$B:$C,2,0))^12 - 1)+$C$2)^(1/252)</f>
        <v>42672965.529147305</v>
      </c>
      <c r="D46" s="2">
        <f>D45*(1+((1+VLOOKUP($B46,'IPCA Hist'!$B:$C,2,0))^12 - 1)+$D$2)^(1/252)</f>
        <v>42690689.907003321</v>
      </c>
      <c r="E46" s="2">
        <f>E45*(1+((1+VLOOKUP($B46,'IPCA Hist'!$B:$C,2,0))^12 - 1)+$E$2)^(1/252)</f>
        <v>42952773.107358381</v>
      </c>
      <c r="F46" s="2">
        <f>F45*(1+((1+VLOOKUP($B46,'IPCA Hist'!$B:$C,2,0))^12 - 1)+$F$2)^(1/252)</f>
        <v>42934919.39130079</v>
      </c>
      <c r="G46" s="2">
        <f>G45*(1+((1+VLOOKUP($B46,'IPCA Hist'!$B:$C,2,0))^12 - 1)+$G$2)^(1/252)</f>
        <v>42917065.096845008</v>
      </c>
      <c r="H46" s="2">
        <f>H45*(1+((1+VLOOKUP($B46,'IPCA Hist'!$B:$C,2,0))^12 - 1)+$H$2)^(1/252)</f>
        <v>43932020.742584765</v>
      </c>
      <c r="I46" s="2">
        <f>I45*(1+((1+VLOOKUP($B46,'IPCA Hist'!$B:$C,2,0))^12 - 1)+$I$2)^(1/252)</f>
        <v>221906173.10892695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f t="shared" si="0"/>
        <v>480006606.88316655</v>
      </c>
      <c r="P46" s="2">
        <v>0</v>
      </c>
      <c r="Q46" s="2">
        <v>0</v>
      </c>
      <c r="R46" s="2">
        <f t="shared" si="9"/>
        <v>145269.63463318348</v>
      </c>
      <c r="S46" s="2">
        <f t="shared" si="2"/>
        <v>1516483.7035000324</v>
      </c>
      <c r="T46" s="2">
        <f t="shared" si="3"/>
        <v>2719411.4300665259</v>
      </c>
      <c r="U46" s="11">
        <f t="shared" si="6"/>
        <v>1.0116364485787266</v>
      </c>
      <c r="V46" s="12">
        <f t="shared" si="7"/>
        <v>3.0273252574608556E-4</v>
      </c>
      <c r="W46" s="12">
        <f t="shared" si="4"/>
        <v>5.5134368148510582E-3</v>
      </c>
      <c r="X46" s="12">
        <f t="shared" si="5"/>
        <v>1.1636448578726588E-2</v>
      </c>
      <c r="Y46" s="5">
        <f t="shared" si="8"/>
        <v>1.1636448578726588E-2</v>
      </c>
      <c r="Z46" s="19" t="s">
        <v>53</v>
      </c>
      <c r="AA46" s="19" t="s">
        <v>53</v>
      </c>
      <c r="AB46" s="19" t="s">
        <v>53</v>
      </c>
    </row>
    <row r="47" spans="1:28" s="2" customFormat="1" x14ac:dyDescent="0.25">
      <c r="A47" s="1">
        <v>45163</v>
      </c>
      <c r="B47" s="1" t="str">
        <f t="shared" si="1"/>
        <v>202308</v>
      </c>
      <c r="C47" s="2">
        <f>C46*(1+((1+VLOOKUP($B47,'IPCA Hist'!$B:$C,2,0))^12 - 1)+$C$2)^(1/252)</f>
        <v>42686194.543115385</v>
      </c>
      <c r="D47" s="2">
        <f>D46*(1+((1+VLOOKUP($B47,'IPCA Hist'!$B:$C,2,0))^12 - 1)+$D$2)^(1/252)</f>
        <v>42703908.742249332</v>
      </c>
      <c r="E47" s="2">
        <f>E46*(1+((1+VLOOKUP($B47,'IPCA Hist'!$B:$C,2,0))^12 - 1)+$E$2)^(1/252)</f>
        <v>42965820.582195655</v>
      </c>
      <c r="F47" s="2">
        <f>F46*(1+((1+VLOOKUP($B47,'IPCA Hist'!$B:$C,2,0))^12 - 1)+$F$2)^(1/252)</f>
        <v>42947977.229213126</v>
      </c>
      <c r="G47" s="2">
        <f>G46*(1+((1+VLOOKUP($B47,'IPCA Hist'!$B:$C,2,0))^12 - 1)+$G$2)^(1/252)</f>
        <v>42930133.283071607</v>
      </c>
      <c r="H47" s="2">
        <f>H46*(1+((1+VLOOKUP($B47,'IPCA Hist'!$B:$C,2,0))^12 - 1)+$H$2)^(1/252)</f>
        <v>43945204.064927861</v>
      </c>
      <c r="I47" s="2">
        <f>I46*(1+((1+VLOOKUP($B47,'IPCA Hist'!$B:$C,2,0))^12 - 1)+$I$2)^(1/252)</f>
        <v>221972682.05775571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f t="shared" si="0"/>
        <v>480151920.50252867</v>
      </c>
      <c r="P47" s="2">
        <v>0</v>
      </c>
      <c r="Q47" s="2">
        <v>0</v>
      </c>
      <c r="R47" s="2">
        <f t="shared" si="9"/>
        <v>145313.61936211586</v>
      </c>
      <c r="S47" s="2">
        <f t="shared" si="2"/>
        <v>1661797.3228621483</v>
      </c>
      <c r="T47" s="2">
        <f t="shared" si="3"/>
        <v>2864725.0494286418</v>
      </c>
      <c r="U47" s="11">
        <f t="shared" si="6"/>
        <v>1.0119427038504534</v>
      </c>
      <c r="V47" s="12">
        <f t="shared" si="7"/>
        <v>3.0273254009083317E-4</v>
      </c>
      <c r="W47" s="12">
        <f t="shared" si="4"/>
        <v>5.817838451673385E-3</v>
      </c>
      <c r="X47" s="12">
        <f t="shared" si="5"/>
        <v>1.1942703850453373E-2</v>
      </c>
      <c r="Y47" s="5">
        <f t="shared" si="8"/>
        <v>1.1942703850453373E-2</v>
      </c>
      <c r="Z47" s="19" t="s">
        <v>53</v>
      </c>
      <c r="AA47" s="19" t="s">
        <v>53</v>
      </c>
      <c r="AB47" s="19" t="s">
        <v>53</v>
      </c>
    </row>
    <row r="48" spans="1:28" s="2" customFormat="1" x14ac:dyDescent="0.25">
      <c r="A48" s="1">
        <v>45166</v>
      </c>
      <c r="B48" s="1" t="str">
        <f t="shared" si="1"/>
        <v>202308</v>
      </c>
      <c r="C48" s="2">
        <f>C47*(1+((1+VLOOKUP($B48,'IPCA Hist'!$B:$C,2,0))^12 - 1)+$C$2)^(1/252)</f>
        <v>42699427.658200137</v>
      </c>
      <c r="D48" s="2">
        <f>D47*(1+((1+VLOOKUP($B48,'IPCA Hist'!$B:$C,2,0))^12 - 1)+$D$2)^(1/252)</f>
        <v>42717131.670603365</v>
      </c>
      <c r="E48" s="2">
        <f>E47*(1+((1+VLOOKUP($B48,'IPCA Hist'!$B:$C,2,0))^12 - 1)+$E$2)^(1/252)</f>
        <v>42978872.020376556</v>
      </c>
      <c r="F48" s="2">
        <f>F47*(1+((1+VLOOKUP($B48,'IPCA Hist'!$B:$C,2,0))^12 - 1)+$F$2)^(1/252)</f>
        <v>42961039.038418137</v>
      </c>
      <c r="G48" s="2">
        <f>G47*(1+((1+VLOOKUP($B48,'IPCA Hist'!$B:$C,2,0))^12 - 1)+$G$2)^(1/252)</f>
        <v>42943205.44854261</v>
      </c>
      <c r="H48" s="2">
        <f>H47*(1+((1+VLOOKUP($B48,'IPCA Hist'!$B:$C,2,0))^12 - 1)+$H$2)^(1/252)</f>
        <v>43958391.343382813</v>
      </c>
      <c r="I48" s="2">
        <f>I47*(1+((1+VLOOKUP($B48,'IPCA Hist'!$B:$C,2,0))^12 - 1)+$I$2)^(1/252)</f>
        <v>222039210.94041604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f t="shared" si="0"/>
        <v>480297278.11993968</v>
      </c>
      <c r="P48" s="2">
        <v>0</v>
      </c>
      <c r="Q48" s="2">
        <v>0</v>
      </c>
      <c r="R48" s="2">
        <f t="shared" si="9"/>
        <v>145357.61741101742</v>
      </c>
      <c r="S48" s="2">
        <f t="shared" si="2"/>
        <v>1807154.9402731657</v>
      </c>
      <c r="T48" s="2">
        <f t="shared" si="3"/>
        <v>3010082.6668396592</v>
      </c>
      <c r="U48" s="11">
        <f t="shared" si="6"/>
        <v>1.0122490518501326</v>
      </c>
      <c r="V48" s="12">
        <f t="shared" si="7"/>
        <v>3.0273255443580283E-4</v>
      </c>
      <c r="W48" s="12">
        <f t="shared" si="4"/>
        <v>6.1223322552048653E-3</v>
      </c>
      <c r="X48" s="12">
        <f t="shared" si="5"/>
        <v>1.2249051850132586E-2</v>
      </c>
      <c r="Y48" s="5">
        <f t="shared" si="8"/>
        <v>1.2249051850132586E-2</v>
      </c>
      <c r="Z48" s="19" t="s">
        <v>53</v>
      </c>
      <c r="AA48" s="19" t="s">
        <v>53</v>
      </c>
      <c r="AB48" s="19" t="s">
        <v>53</v>
      </c>
    </row>
    <row r="49" spans="1:28" s="2" customFormat="1" x14ac:dyDescent="0.25">
      <c r="A49" s="1">
        <v>45167</v>
      </c>
      <c r="B49" s="1" t="str">
        <f t="shared" si="1"/>
        <v>202308</v>
      </c>
      <c r="C49" s="2">
        <f>C48*(1+((1+VLOOKUP($B49,'IPCA Hist'!$B:$C,2,0))^12 - 1)+$C$2)^(1/252)</f>
        <v>42712664.875672951</v>
      </c>
      <c r="D49" s="2">
        <f>D48*(1+((1+VLOOKUP($B49,'IPCA Hist'!$B:$C,2,0))^12 - 1)+$D$2)^(1/252)</f>
        <v>42730358.693332814</v>
      </c>
      <c r="E49" s="2">
        <f>E48*(1+((1+VLOOKUP($B49,'IPCA Hist'!$B:$C,2,0))^12 - 1)+$E$2)^(1/252)</f>
        <v>42991927.423105009</v>
      </c>
      <c r="F49" s="2">
        <f>F48*(1+((1+VLOOKUP($B49,'IPCA Hist'!$B:$C,2,0))^12 - 1)+$F$2)^(1/252)</f>
        <v>42974104.820123613</v>
      </c>
      <c r="G49" s="2">
        <f>G48*(1+((1+VLOOKUP($B49,'IPCA Hist'!$B:$C,2,0))^12 - 1)+$G$2)^(1/252)</f>
        <v>42956281.594469696</v>
      </c>
      <c r="H49" s="2">
        <f>H48*(1+((1+VLOOKUP($B49,'IPCA Hist'!$B:$C,2,0))^12 - 1)+$H$2)^(1/252)</f>
        <v>43971582.579136789</v>
      </c>
      <c r="I49" s="2">
        <f>I48*(1+((1+VLOOKUP($B49,'IPCA Hist'!$B:$C,2,0))^12 - 1)+$I$2)^(1/252)</f>
        <v>222105759.76288241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f t="shared" si="0"/>
        <v>480442679.74872327</v>
      </c>
      <c r="P49" s="2">
        <v>0</v>
      </c>
      <c r="Q49" s="2">
        <v>0</v>
      </c>
      <c r="R49" s="2">
        <f t="shared" si="9"/>
        <v>145401.62878358364</v>
      </c>
      <c r="S49" s="2">
        <f t="shared" si="2"/>
        <v>1952556.5690567493</v>
      </c>
      <c r="T49" s="2">
        <f t="shared" si="3"/>
        <v>3155484.2956232429</v>
      </c>
      <c r="U49" s="11">
        <f t="shared" si="6"/>
        <v>1.0125554926058449</v>
      </c>
      <c r="V49" s="12">
        <f t="shared" si="7"/>
        <v>3.0273256878055044E-4</v>
      </c>
      <c r="W49" s="12">
        <f t="shared" si="4"/>
        <v>6.426918253356062E-3</v>
      </c>
      <c r="X49" s="12">
        <f t="shared" si="5"/>
        <v>1.2555492605844876E-2</v>
      </c>
      <c r="Y49" s="5">
        <f t="shared" si="8"/>
        <v>1.2555492605844876E-2</v>
      </c>
      <c r="Z49" s="19" t="s">
        <v>53</v>
      </c>
      <c r="AA49" s="19" t="s">
        <v>53</v>
      </c>
      <c r="AB49" s="19" t="s">
        <v>53</v>
      </c>
    </row>
    <row r="50" spans="1:28" s="2" customFormat="1" x14ac:dyDescent="0.25">
      <c r="A50" s="1">
        <v>45168</v>
      </c>
      <c r="B50" s="1" t="str">
        <f t="shared" si="1"/>
        <v>202308</v>
      </c>
      <c r="C50" s="2">
        <f>C49*(1+((1+VLOOKUP($B50,'IPCA Hist'!$B:$C,2,0))^12 - 1)+$C$2)^(1/252)</f>
        <v>42725906.196805604</v>
      </c>
      <c r="D50" s="2">
        <f>D49*(1+((1+VLOOKUP($B50,'IPCA Hist'!$B:$C,2,0))^12 - 1)+$D$2)^(1/252)</f>
        <v>42743589.811705478</v>
      </c>
      <c r="E50" s="2">
        <f>E49*(1+((1+VLOOKUP($B50,'IPCA Hist'!$B:$C,2,0))^12 - 1)+$E$2)^(1/252)</f>
        <v>43004986.791585289</v>
      </c>
      <c r="F50" s="2">
        <f>F49*(1+((1+VLOOKUP($B50,'IPCA Hist'!$B:$C,2,0))^12 - 1)+$F$2)^(1/252)</f>
        <v>42987174.575537719</v>
      </c>
      <c r="G50" s="2">
        <f>G49*(1+((1+VLOOKUP($B50,'IPCA Hist'!$B:$C,2,0))^12 - 1)+$G$2)^(1/252)</f>
        <v>42969361.722064905</v>
      </c>
      <c r="H50" s="2">
        <f>H49*(1+((1+VLOOKUP($B50,'IPCA Hist'!$B:$C,2,0))^12 - 1)+$H$2)^(1/252)</f>
        <v>43984777.773377307</v>
      </c>
      <c r="I50" s="2">
        <f>I49*(1+((1+VLOOKUP($B50,'IPCA Hist'!$B:$C,2,0))^12 - 1)+$I$2)^(1/252)</f>
        <v>222172328.53113112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f t="shared" si="0"/>
        <v>480588125.40220737</v>
      </c>
      <c r="P50" s="2">
        <v>0</v>
      </c>
      <c r="Q50" s="2">
        <v>0</v>
      </c>
      <c r="R50" s="2">
        <f t="shared" si="9"/>
        <v>145445.65348410606</v>
      </c>
      <c r="S50" s="2">
        <f t="shared" si="2"/>
        <v>2098002.2225408554</v>
      </c>
      <c r="T50" s="2">
        <f t="shared" si="3"/>
        <v>3300929.9491073489</v>
      </c>
      <c r="U50" s="11">
        <f t="shared" si="6"/>
        <v>1.0128620261456793</v>
      </c>
      <c r="V50" s="12">
        <f t="shared" si="7"/>
        <v>3.0273258312552009E-4</v>
      </c>
      <c r="W50" s="12">
        <f t="shared" si="4"/>
        <v>6.7315964740459755E-3</v>
      </c>
      <c r="X50" s="12">
        <f t="shared" si="5"/>
        <v>1.2862026145679328E-2</v>
      </c>
      <c r="Y50" s="5">
        <f t="shared" si="8"/>
        <v>1.2862026145679328E-2</v>
      </c>
      <c r="Z50" s="19" t="s">
        <v>53</v>
      </c>
      <c r="AA50" s="19" t="s">
        <v>53</v>
      </c>
      <c r="AB50" s="19" t="s">
        <v>53</v>
      </c>
    </row>
    <row r="51" spans="1:28" s="2" customFormat="1" x14ac:dyDescent="0.25">
      <c r="A51" s="1">
        <v>45169</v>
      </c>
      <c r="B51" s="1" t="str">
        <f t="shared" si="1"/>
        <v>202308</v>
      </c>
      <c r="C51" s="2">
        <f>C50*(1+((1+VLOOKUP($B51,'IPCA Hist'!$B:$C,2,0))^12 - 1)+$C$2)^(1/252)</f>
        <v>42739151.622870266</v>
      </c>
      <c r="D51" s="2">
        <f>D50*(1+((1+VLOOKUP($B51,'IPCA Hist'!$B:$C,2,0))^12 - 1)+$D$2)^(1/252)</f>
        <v>42756825.026989534</v>
      </c>
      <c r="E51" s="2">
        <f>E50*(1+((1+VLOOKUP($B51,'IPCA Hist'!$B:$C,2,0))^12 - 1)+$E$2)^(1/252)</f>
        <v>43018050.12702205</v>
      </c>
      <c r="F51" s="2">
        <f>F50*(1+((1+VLOOKUP($B51,'IPCA Hist'!$B:$C,2,0))^12 - 1)+$F$2)^(1/252)</f>
        <v>43000248.305868983</v>
      </c>
      <c r="G51" s="2">
        <f>G50*(1+((1+VLOOKUP($B51,'IPCA Hist'!$B:$C,2,0))^12 - 1)+$G$2)^(1/252)</f>
        <v>42982445.832540654</v>
      </c>
      <c r="H51" s="2">
        <f>H50*(1+((1+VLOOKUP($B51,'IPCA Hist'!$B:$C,2,0))^12 - 1)+$H$2)^(1/252)</f>
        <v>43997976.92729225</v>
      </c>
      <c r="I51" s="2">
        <f>I50*(1+((1+VLOOKUP($B51,'IPCA Hist'!$B:$C,2,0))^12 - 1)+$I$2)^(1/252)</f>
        <v>222238917.25114024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f t="shared" si="0"/>
        <v>480733615.09372401</v>
      </c>
      <c r="P51" s="2">
        <v>0</v>
      </c>
      <c r="Q51" s="2">
        <v>0</v>
      </c>
      <c r="R51" s="2">
        <f t="shared" si="9"/>
        <v>145489.6915166378</v>
      </c>
      <c r="S51" s="2">
        <f t="shared" si="2"/>
        <v>2243491.9140574932</v>
      </c>
      <c r="T51" s="2">
        <f t="shared" si="3"/>
        <v>3446419.6406239867</v>
      </c>
      <c r="U51" s="11">
        <f t="shared" si="6"/>
        <v>1.0131686524977339</v>
      </c>
      <c r="V51" s="12">
        <f t="shared" si="7"/>
        <v>3.027325974707118E-4</v>
      </c>
      <c r="W51" s="12">
        <f t="shared" si="4"/>
        <v>7.036366945202488E-3</v>
      </c>
      <c r="X51" s="12">
        <f t="shared" si="5"/>
        <v>1.3168652497733913E-2</v>
      </c>
      <c r="Y51" s="5">
        <f t="shared" si="8"/>
        <v>1.3168652497733913E-2</v>
      </c>
      <c r="Z51" s="19" t="s">
        <v>53</v>
      </c>
      <c r="AA51" s="19" t="s">
        <v>53</v>
      </c>
      <c r="AB51" s="19" t="s">
        <v>53</v>
      </c>
    </row>
    <row r="52" spans="1:28" s="2" customFormat="1" x14ac:dyDescent="0.25">
      <c r="A52" s="1">
        <v>45170</v>
      </c>
      <c r="B52" s="1" t="str">
        <f t="shared" si="1"/>
        <v>202309</v>
      </c>
      <c r="C52" s="2">
        <f>C51*(1+((1+VLOOKUP($B52,'IPCA Hist'!$B:$C,2,0))^12 - 1)+$C$2)^(1/252)</f>
        <v>42752980.438445471</v>
      </c>
      <c r="D52" s="2">
        <f>D51*(1+((1+VLOOKUP($B52,'IPCA Hist'!$B:$C,2,0))^12 - 1)+$D$2)^(1/252)</f>
        <v>42770643.916602619</v>
      </c>
      <c r="E52" s="2">
        <f>E51*(1+((1+VLOOKUP($B52,'IPCA Hist'!$B:$C,2,0))^12 - 1)+$E$2)^(1/252)</f>
        <v>43031701.40706221</v>
      </c>
      <c r="F52" s="2">
        <f>F51*(1+((1+VLOOKUP($B52,'IPCA Hist'!$B:$C,2,0))^12 - 1)+$F$2)^(1/252)</f>
        <v>43013909.693344899</v>
      </c>
      <c r="G52" s="2">
        <f>G51*(1+((1+VLOOKUP($B52,'IPCA Hist'!$B:$C,2,0))^12 - 1)+$G$2)^(1/252)</f>
        <v>42996117.312750585</v>
      </c>
      <c r="H52" s="2">
        <f>H51*(1+((1+VLOOKUP($B52,'IPCA Hist'!$B:$C,2,0))^12 - 1)+$H$2)^(1/252)</f>
        <v>44011777.87180648</v>
      </c>
      <c r="I52" s="2">
        <f>I51*(1+((1+VLOOKUP($B52,'IPCA Hist'!$B:$C,2,0))^12 - 1)+$I$2)^(1/252)</f>
        <v>222308545.91509122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f t="shared" si="0"/>
        <v>480885676.55510342</v>
      </c>
      <c r="P52" s="2">
        <v>0</v>
      </c>
      <c r="Q52" s="2">
        <v>0</v>
      </c>
      <c r="R52" s="2">
        <f t="shared" si="9"/>
        <v>152061.46137940884</v>
      </c>
      <c r="S52" s="2">
        <f t="shared" si="2"/>
        <v>152061.46137940884</v>
      </c>
      <c r="T52" s="2">
        <f t="shared" si="3"/>
        <v>3598481.1020033956</v>
      </c>
      <c r="U52" s="11">
        <f t="shared" si="6"/>
        <v>1.0134891291631583</v>
      </c>
      <c r="V52" s="12">
        <f t="shared" si="7"/>
        <v>3.1631127219955424E-4</v>
      </c>
      <c r="W52" s="12">
        <f t="shared" si="4"/>
        <v>3.1631127219955424E-4</v>
      </c>
      <c r="X52" s="12">
        <f t="shared" si="5"/>
        <v>1.3489129163158253E-2</v>
      </c>
      <c r="Y52" s="5">
        <f t="shared" si="8"/>
        <v>1.3489129163158253E-2</v>
      </c>
      <c r="Z52" s="19" t="s">
        <v>53</v>
      </c>
      <c r="AA52" s="19" t="s">
        <v>53</v>
      </c>
      <c r="AB52" s="19" t="s">
        <v>53</v>
      </c>
    </row>
    <row r="53" spans="1:28" s="2" customFormat="1" x14ac:dyDescent="0.25">
      <c r="A53" s="1">
        <v>45173</v>
      </c>
      <c r="B53" s="1" t="str">
        <f t="shared" si="1"/>
        <v>202309</v>
      </c>
      <c r="C53" s="2">
        <f>C52*(1+((1+VLOOKUP($B53,'IPCA Hist'!$B:$C,2,0))^12 - 1)+$C$2)^(1/252)</f>
        <v>42766813.728516147</v>
      </c>
      <c r="D53" s="2">
        <f>D52*(1+((1+VLOOKUP($B53,'IPCA Hist'!$B:$C,2,0))^12 - 1)+$D$2)^(1/252)</f>
        <v>42784467.272443257</v>
      </c>
      <c r="E53" s="2">
        <f>E52*(1+((1+VLOOKUP($B53,'IPCA Hist'!$B:$C,2,0))^12 - 1)+$E$2)^(1/252)</f>
        <v>43045357.019178003</v>
      </c>
      <c r="F53" s="2">
        <f>F52*(1+((1+VLOOKUP($B53,'IPCA Hist'!$B:$C,2,0))^12 - 1)+$F$2)^(1/252)</f>
        <v>43027575.421109885</v>
      </c>
      <c r="G53" s="2">
        <f>G52*(1+((1+VLOOKUP($B53,'IPCA Hist'!$B:$C,2,0))^12 - 1)+$G$2)^(1/252)</f>
        <v>43009793.141465299</v>
      </c>
      <c r="H53" s="2">
        <f>H52*(1+((1+VLOOKUP($B53,'IPCA Hist'!$B:$C,2,0))^12 - 1)+$H$2)^(1/252)</f>
        <v>44025583.145294063</v>
      </c>
      <c r="I53" s="2">
        <f>I52*(1+((1+VLOOKUP($B53,'IPCA Hist'!$B:$C,2,0))^12 - 1)+$I$2)^(1/252)</f>
        <v>222378196.39408207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f t="shared" si="0"/>
        <v>481037786.12208873</v>
      </c>
      <c r="P53" s="2">
        <v>0</v>
      </c>
      <c r="Q53" s="2">
        <v>0</v>
      </c>
      <c r="R53" s="2">
        <f t="shared" si="9"/>
        <v>152109.56698530912</v>
      </c>
      <c r="S53" s="2">
        <f t="shared" si="2"/>
        <v>304171.02836471796</v>
      </c>
      <c r="T53" s="2">
        <f t="shared" si="3"/>
        <v>3750590.6689887047</v>
      </c>
      <c r="U53" s="11">
        <f t="shared" si="6"/>
        <v>1.0138097072134045</v>
      </c>
      <c r="V53" s="12">
        <f t="shared" si="7"/>
        <v>3.163112864474904E-4</v>
      </c>
      <c r="W53" s="12">
        <f t="shared" si="4"/>
        <v>6.3272261147240272E-4</v>
      </c>
      <c r="X53" s="12">
        <f t="shared" si="5"/>
        <v>1.3809707213404465E-2</v>
      </c>
      <c r="Y53" s="5">
        <f t="shared" si="8"/>
        <v>1.3809707213404465E-2</v>
      </c>
      <c r="Z53" s="19" t="s">
        <v>53</v>
      </c>
      <c r="AA53" s="19" t="s">
        <v>53</v>
      </c>
      <c r="AB53" s="19" t="s">
        <v>53</v>
      </c>
    </row>
    <row r="54" spans="1:28" s="2" customFormat="1" x14ac:dyDescent="0.25">
      <c r="A54" s="1">
        <v>45174</v>
      </c>
      <c r="B54" s="1" t="str">
        <f t="shared" si="1"/>
        <v>202309</v>
      </c>
      <c r="C54" s="2">
        <f>C53*(1+((1+VLOOKUP($B54,'IPCA Hist'!$B:$C,2,0))^12 - 1)+$C$2)^(1/252)</f>
        <v>42780651.494530067</v>
      </c>
      <c r="D54" s="2">
        <f>D53*(1+((1+VLOOKUP($B54,'IPCA Hist'!$B:$C,2,0))^12 - 1)+$D$2)^(1/252)</f>
        <v>42798295.095954925</v>
      </c>
      <c r="E54" s="2">
        <f>E53*(1+((1+VLOOKUP($B54,'IPCA Hist'!$B:$C,2,0))^12 - 1)+$E$2)^(1/252)</f>
        <v>43059016.964744166</v>
      </c>
      <c r="F54" s="2">
        <f>F53*(1+((1+VLOOKUP($B54,'IPCA Hist'!$B:$C,2,0))^12 - 1)+$F$2)^(1/252)</f>
        <v>43041245.490542874</v>
      </c>
      <c r="G54" s="2">
        <f>G53*(1+((1+VLOOKUP($B54,'IPCA Hist'!$B:$C,2,0))^12 - 1)+$G$2)^(1/252)</f>
        <v>43023473.320067927</v>
      </c>
      <c r="H54" s="2">
        <f>H53*(1+((1+VLOOKUP($B54,'IPCA Hist'!$B:$C,2,0))^12 - 1)+$H$2)^(1/252)</f>
        <v>44039392.749112867</v>
      </c>
      <c r="I54" s="2">
        <f>I53*(1+((1+VLOOKUP($B54,'IPCA Hist'!$B:$C,2,0))^12 - 1)+$I$2)^(1/252)</f>
        <v>222447868.69494757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f t="shared" si="0"/>
        <v>481189943.8099004</v>
      </c>
      <c r="P54" s="2">
        <v>0</v>
      </c>
      <c r="Q54" s="2">
        <v>0</v>
      </c>
      <c r="R54" s="2">
        <f t="shared" si="9"/>
        <v>152157.68781167269</v>
      </c>
      <c r="S54" s="2">
        <f t="shared" si="2"/>
        <v>456328.71617639065</v>
      </c>
      <c r="T54" s="2">
        <f t="shared" si="3"/>
        <v>3902748.3568003774</v>
      </c>
      <c r="U54" s="11">
        <f t="shared" si="6"/>
        <v>1.0141303866805504</v>
      </c>
      <c r="V54" s="12">
        <f t="shared" si="7"/>
        <v>3.1631130069498248E-4</v>
      </c>
      <c r="W54" s="12">
        <f t="shared" si="4"/>
        <v>9.4923404947966361E-4</v>
      </c>
      <c r="X54" s="12">
        <f t="shared" si="5"/>
        <v>1.4130386680550444E-2</v>
      </c>
      <c r="Y54" s="5">
        <f t="shared" si="8"/>
        <v>1.4130386680550444E-2</v>
      </c>
      <c r="Z54" s="19" t="s">
        <v>53</v>
      </c>
      <c r="AA54" s="19" t="s">
        <v>53</v>
      </c>
      <c r="AB54" s="19" t="s">
        <v>53</v>
      </c>
    </row>
    <row r="55" spans="1:28" s="2" customFormat="1" x14ac:dyDescent="0.25">
      <c r="A55" s="1">
        <v>45175</v>
      </c>
      <c r="B55" s="1" t="str">
        <f t="shared" si="1"/>
        <v>202309</v>
      </c>
      <c r="C55" s="2">
        <f>C54*(1+((1+VLOOKUP($B55,'IPCA Hist'!$B:$C,2,0))^12 - 1)+$C$2)^(1/252)</f>
        <v>42794493.737935491</v>
      </c>
      <c r="D55" s="2">
        <f>D54*(1+((1+VLOOKUP($B55,'IPCA Hist'!$B:$C,2,0))^12 - 1)+$D$2)^(1/252)</f>
        <v>42812127.388581559</v>
      </c>
      <c r="E55" s="2">
        <f>E54*(1+((1+VLOOKUP($B55,'IPCA Hist'!$B:$C,2,0))^12 - 1)+$E$2)^(1/252)</f>
        <v>43072681.245135866</v>
      </c>
      <c r="F55" s="2">
        <f>F54*(1+((1+VLOOKUP($B55,'IPCA Hist'!$B:$C,2,0))^12 - 1)+$F$2)^(1/252)</f>
        <v>43054919.903023235</v>
      </c>
      <c r="G55" s="2">
        <f>G54*(1+((1+VLOOKUP($B55,'IPCA Hist'!$B:$C,2,0))^12 - 1)+$G$2)^(1/252)</f>
        <v>43037157.849942043</v>
      </c>
      <c r="H55" s="2">
        <f>H54*(1+((1+VLOOKUP($B55,'IPCA Hist'!$B:$C,2,0))^12 - 1)+$H$2)^(1/252)</f>
        <v>44053206.684621207</v>
      </c>
      <c r="I55" s="2">
        <f>I54*(1+((1+VLOOKUP($B55,'IPCA Hist'!$B:$C,2,0))^12 - 1)+$I$2)^(1/252)</f>
        <v>222517562.82452464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f t="shared" si="0"/>
        <v>481342149.63376409</v>
      </c>
      <c r="P55" s="2">
        <v>0</v>
      </c>
      <c r="Q55" s="2">
        <v>0</v>
      </c>
      <c r="R55" s="2">
        <f t="shared" si="9"/>
        <v>152205.82386368513</v>
      </c>
      <c r="S55" s="2">
        <f t="shared" si="2"/>
        <v>608534.54004007578</v>
      </c>
      <c r="T55" s="2">
        <f t="shared" si="3"/>
        <v>4054954.1806640625</v>
      </c>
      <c r="U55" s="11">
        <f t="shared" si="6"/>
        <v>1.0144511675966847</v>
      </c>
      <c r="V55" s="12">
        <f t="shared" si="7"/>
        <v>3.163113149426966E-4</v>
      </c>
      <c r="W55" s="12">
        <f t="shared" si="4"/>
        <v>1.2658456178926691E-3</v>
      </c>
      <c r="X55" s="12">
        <f t="shared" si="5"/>
        <v>1.4451167596684744E-2</v>
      </c>
      <c r="Y55" s="5">
        <f t="shared" si="8"/>
        <v>1.4451167596684744E-2</v>
      </c>
      <c r="Z55" s="19" t="s">
        <v>53</v>
      </c>
      <c r="AA55" s="19" t="s">
        <v>53</v>
      </c>
      <c r="AB55" s="19" t="s">
        <v>53</v>
      </c>
    </row>
    <row r="56" spans="1:28" s="2" customFormat="1" x14ac:dyDescent="0.25">
      <c r="A56" s="1">
        <v>45177</v>
      </c>
      <c r="B56" s="1" t="str">
        <f t="shared" si="1"/>
        <v>202309</v>
      </c>
      <c r="C56" s="2">
        <f>C55*(1+((1+VLOOKUP($B56,'IPCA Hist'!$B:$C,2,0))^12 - 1)+$C$2)^(1/252)</f>
        <v>42808340.460181132</v>
      </c>
      <c r="D56" s="2">
        <f>D55*(1+((1+VLOOKUP($B56,'IPCA Hist'!$B:$C,2,0))^12 - 1)+$D$2)^(1/252)</f>
        <v>42825964.151767567</v>
      </c>
      <c r="E56" s="2">
        <f>E55*(1+((1+VLOOKUP($B56,'IPCA Hist'!$B:$C,2,0))^12 - 1)+$E$2)^(1/252)</f>
        <v>43086349.861728705</v>
      </c>
      <c r="F56" s="2">
        <f>F55*(1+((1+VLOOKUP($B56,'IPCA Hist'!$B:$C,2,0))^12 - 1)+$F$2)^(1/252)</f>
        <v>43068598.659930773</v>
      </c>
      <c r="G56" s="2">
        <f>G55*(1+((1+VLOOKUP($B56,'IPCA Hist'!$B:$C,2,0))^12 - 1)+$G$2)^(1/252)</f>
        <v>43050846.73247166</v>
      </c>
      <c r="H56" s="2">
        <f>H55*(1+((1+VLOOKUP($B56,'IPCA Hist'!$B:$C,2,0))^12 - 1)+$H$2)^(1/252)</f>
        <v>44067024.95317781</v>
      </c>
      <c r="I56" s="2">
        <f>I55*(1+((1+VLOOKUP($B56,'IPCA Hist'!$B:$C,2,0))^12 - 1)+$I$2)^(1/252)</f>
        <v>222587278.78965235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f t="shared" si="0"/>
        <v>481494403.60890996</v>
      </c>
      <c r="P56" s="2">
        <v>0</v>
      </c>
      <c r="Q56" s="2">
        <v>0</v>
      </c>
      <c r="R56" s="2">
        <f t="shared" si="9"/>
        <v>152253.97514587641</v>
      </c>
      <c r="S56" s="2">
        <f t="shared" si="2"/>
        <v>760788.51518595219</v>
      </c>
      <c r="T56" s="2">
        <f t="shared" si="3"/>
        <v>4207208.1558099389</v>
      </c>
      <c r="U56" s="11">
        <f t="shared" si="6"/>
        <v>1.0147720499939057</v>
      </c>
      <c r="V56" s="12">
        <f t="shared" si="7"/>
        <v>3.1631132919018867E-4</v>
      </c>
      <c r="W56" s="12">
        <f t="shared" si="4"/>
        <v>1.5825573483927435E-3</v>
      </c>
      <c r="X56" s="12">
        <f t="shared" si="5"/>
        <v>1.4772049993905689E-2</v>
      </c>
      <c r="Y56" s="5">
        <f t="shared" si="8"/>
        <v>1.4772049993905689E-2</v>
      </c>
      <c r="Z56" s="19" t="s">
        <v>53</v>
      </c>
      <c r="AA56" s="19" t="s">
        <v>53</v>
      </c>
      <c r="AB56" s="19" t="s">
        <v>53</v>
      </c>
    </row>
    <row r="57" spans="1:28" s="2" customFormat="1" x14ac:dyDescent="0.25">
      <c r="A57" s="1">
        <v>45180</v>
      </c>
      <c r="B57" s="1" t="str">
        <f t="shared" si="1"/>
        <v>202309</v>
      </c>
      <c r="C57" s="2">
        <f>C56*(1+((1+VLOOKUP($B57,'IPCA Hist'!$B:$C,2,0))^12 - 1)+$C$2)^(1/252)</f>
        <v>42822191.66271618</v>
      </c>
      <c r="D57" s="2">
        <f>D56*(1+((1+VLOOKUP($B57,'IPCA Hist'!$B:$C,2,0))^12 - 1)+$D$2)^(1/252)</f>
        <v>42839805.386957824</v>
      </c>
      <c r="E57" s="2">
        <f>E56*(1+((1+VLOOKUP($B57,'IPCA Hist'!$B:$C,2,0))^12 - 1)+$E$2)^(1/252)</f>
        <v>43100022.815898731</v>
      </c>
      <c r="F57" s="2">
        <f>F56*(1+((1+VLOOKUP($B57,'IPCA Hist'!$B:$C,2,0))^12 - 1)+$F$2)^(1/252)</f>
        <v>43082281.762645736</v>
      </c>
      <c r="G57" s="2">
        <f>G56*(1+((1+VLOOKUP($B57,'IPCA Hist'!$B:$C,2,0))^12 - 1)+$G$2)^(1/252)</f>
        <v>43064539.969041236</v>
      </c>
      <c r="H57" s="2">
        <f>H56*(1+((1+VLOOKUP($B57,'IPCA Hist'!$B:$C,2,0))^12 - 1)+$H$2)^(1/252)</f>
        <v>44080847.556141831</v>
      </c>
      <c r="I57" s="2">
        <f>I56*(1+((1+VLOOKUP($B57,'IPCA Hist'!$B:$C,2,0))^12 - 1)+$I$2)^(1/252)</f>
        <v>222657016.59717187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f t="shared" si="0"/>
        <v>481646705.7505734</v>
      </c>
      <c r="P57" s="2">
        <v>0</v>
      </c>
      <c r="Q57" s="2">
        <v>0</v>
      </c>
      <c r="R57" s="2">
        <f t="shared" si="9"/>
        <v>152302.14166343212</v>
      </c>
      <c r="S57" s="2">
        <f t="shared" si="2"/>
        <v>913090.65684938431</v>
      </c>
      <c r="T57" s="2">
        <f t="shared" si="3"/>
        <v>4359510.297473371</v>
      </c>
      <c r="U57" s="11">
        <f t="shared" si="6"/>
        <v>1.0150930339043227</v>
      </c>
      <c r="V57" s="12">
        <f t="shared" si="7"/>
        <v>3.1631134343812484E-4</v>
      </c>
      <c r="W57" s="12">
        <f t="shared" si="4"/>
        <v>1.8993692726718692E-3</v>
      </c>
      <c r="X57" s="12">
        <f t="shared" si="5"/>
        <v>1.5093033904322706E-2</v>
      </c>
      <c r="Y57" s="5">
        <f t="shared" si="8"/>
        <v>1.5093033904322706E-2</v>
      </c>
      <c r="Z57" s="19" t="s">
        <v>53</v>
      </c>
      <c r="AA57" s="19" t="s">
        <v>53</v>
      </c>
      <c r="AB57" s="19" t="s">
        <v>53</v>
      </c>
    </row>
    <row r="58" spans="1:28" s="2" customFormat="1" x14ac:dyDescent="0.25">
      <c r="A58" s="1">
        <v>45181</v>
      </c>
      <c r="B58" s="1" t="str">
        <f t="shared" si="1"/>
        <v>202309</v>
      </c>
      <c r="C58" s="2">
        <f>C57*(1+((1+VLOOKUP($B58,'IPCA Hist'!$B:$C,2,0))^12 - 1)+$C$2)^(1/252)</f>
        <v>42836047.346990287</v>
      </c>
      <c r="D58" s="2">
        <f>D57*(1+((1+VLOOKUP($B58,'IPCA Hist'!$B:$C,2,0))^12 - 1)+$D$2)^(1/252)</f>
        <v>42853651.095597662</v>
      </c>
      <c r="E58" s="2">
        <f>E57*(1+((1+VLOOKUP($B58,'IPCA Hist'!$B:$C,2,0))^12 - 1)+$E$2)^(1/252)</f>
        <v>43113700.109022431</v>
      </c>
      <c r="F58" s="2">
        <f>F57*(1+((1+VLOOKUP($B58,'IPCA Hist'!$B:$C,2,0))^12 - 1)+$F$2)^(1/252)</f>
        <v>43095969.212548807</v>
      </c>
      <c r="G58" s="2">
        <f>G57*(1+((1+VLOOKUP($B58,'IPCA Hist'!$B:$C,2,0))^12 - 1)+$G$2)^(1/252)</f>
        <v>43078237.561035663</v>
      </c>
      <c r="H58" s="2">
        <f>H57*(1+((1+VLOOKUP($B58,'IPCA Hist'!$B:$C,2,0))^12 - 1)+$H$2)^(1/252)</f>
        <v>44094674.494872853</v>
      </c>
      <c r="I58" s="2">
        <f>I57*(1+((1+VLOOKUP($B58,'IPCA Hist'!$B:$C,2,0))^12 - 1)+$I$2)^(1/252)</f>
        <v>222726776.25392655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f t="shared" si="0"/>
        <v>481799056.07399428</v>
      </c>
      <c r="P58" s="2">
        <v>0</v>
      </c>
      <c r="Q58" s="2">
        <v>0</v>
      </c>
      <c r="R58" s="2">
        <f t="shared" si="9"/>
        <v>152350.32342088223</v>
      </c>
      <c r="S58" s="2">
        <f t="shared" si="2"/>
        <v>1065440.9802702665</v>
      </c>
      <c r="T58" s="2">
        <f t="shared" si="3"/>
        <v>4511860.6208942533</v>
      </c>
      <c r="U58" s="11">
        <f t="shared" si="6"/>
        <v>1.0154141193600543</v>
      </c>
      <c r="V58" s="12">
        <f t="shared" si="7"/>
        <v>3.1631135768583896E-4</v>
      </c>
      <c r="W58" s="12">
        <f t="shared" si="4"/>
        <v>2.2162814224311322E-3</v>
      </c>
      <c r="X58" s="12">
        <f t="shared" si="5"/>
        <v>1.5414119360054324E-2</v>
      </c>
      <c r="Y58" s="5">
        <f t="shared" si="8"/>
        <v>1.5414119360054324E-2</v>
      </c>
      <c r="Z58" s="19" t="s">
        <v>53</v>
      </c>
      <c r="AA58" s="19" t="s">
        <v>53</v>
      </c>
      <c r="AB58" s="19" t="s">
        <v>53</v>
      </c>
    </row>
    <row r="59" spans="1:28" s="2" customFormat="1" x14ac:dyDescent="0.25">
      <c r="A59" s="1">
        <v>45182</v>
      </c>
      <c r="B59" s="1" t="str">
        <f t="shared" si="1"/>
        <v>202309</v>
      </c>
      <c r="C59" s="2">
        <f>C58*(1+((1+VLOOKUP($B59,'IPCA Hist'!$B:$C,2,0))^12 - 1)+$C$2)^(1/252)</f>
        <v>42849907.51445359</v>
      </c>
      <c r="D59" s="2">
        <f>D58*(1+((1+VLOOKUP($B59,'IPCA Hist'!$B:$C,2,0))^12 - 1)+$D$2)^(1/252)</f>
        <v>42867501.279132895</v>
      </c>
      <c r="E59" s="2">
        <f>E58*(1+((1+VLOOKUP($B59,'IPCA Hist'!$B:$C,2,0))^12 - 1)+$E$2)^(1/252)</f>
        <v>43127381.742476709</v>
      </c>
      <c r="F59" s="2">
        <f>F58*(1+((1+VLOOKUP($B59,'IPCA Hist'!$B:$C,2,0))^12 - 1)+$F$2)^(1/252)</f>
        <v>43109661.011021107</v>
      </c>
      <c r="G59" s="2">
        <f>G58*(1+((1+VLOOKUP($B59,'IPCA Hist'!$B:$C,2,0))^12 - 1)+$G$2)^(1/252)</f>
        <v>43091939.509840272</v>
      </c>
      <c r="H59" s="2">
        <f>H58*(1+((1+VLOOKUP($B59,'IPCA Hist'!$B:$C,2,0))^12 - 1)+$H$2)^(1/252)</f>
        <v>44108505.77073089</v>
      </c>
      <c r="I59" s="2">
        <f>I58*(1+((1+VLOOKUP($B59,'IPCA Hist'!$B:$C,2,0))^12 - 1)+$I$2)^(1/252)</f>
        <v>222796557.76676187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f t="shared" si="0"/>
        <v>481951454.59441733</v>
      </c>
      <c r="P59" s="2">
        <v>0</v>
      </c>
      <c r="Q59" s="2">
        <v>0</v>
      </c>
      <c r="R59" s="2">
        <f t="shared" si="9"/>
        <v>152398.5204230547</v>
      </c>
      <c r="S59" s="2">
        <f t="shared" si="2"/>
        <v>1217839.5006933212</v>
      </c>
      <c r="T59" s="2">
        <f t="shared" si="3"/>
        <v>4664259.1413173079</v>
      </c>
      <c r="U59" s="11">
        <f t="shared" si="6"/>
        <v>1.0157353063932297</v>
      </c>
      <c r="V59" s="12">
        <f t="shared" si="7"/>
        <v>3.1631137193355308E-4</v>
      </c>
      <c r="W59" s="12">
        <f t="shared" si="4"/>
        <v>2.5332938293820551E-3</v>
      </c>
      <c r="X59" s="12">
        <f t="shared" si="5"/>
        <v>1.5735306393229731E-2</v>
      </c>
      <c r="Y59" s="5">
        <f t="shared" si="8"/>
        <v>1.5735306393229731E-2</v>
      </c>
      <c r="Z59" s="19" t="s">
        <v>53</v>
      </c>
      <c r="AA59" s="19" t="s">
        <v>53</v>
      </c>
      <c r="AB59" s="19" t="s">
        <v>53</v>
      </c>
    </row>
    <row r="60" spans="1:28" s="2" customFormat="1" x14ac:dyDescent="0.25">
      <c r="A60" s="1">
        <v>45183</v>
      </c>
      <c r="B60" s="1" t="str">
        <f t="shared" si="1"/>
        <v>202309</v>
      </c>
      <c r="C60" s="2">
        <f>C59*(1+((1+VLOOKUP($B60,'IPCA Hist'!$B:$C,2,0))^12 - 1)+$C$2)^(1/252)</f>
        <v>42863772.166556671</v>
      </c>
      <c r="D60" s="2">
        <f>D59*(1+((1+VLOOKUP($B60,'IPCA Hist'!$B:$C,2,0))^12 - 1)+$D$2)^(1/252)</f>
        <v>42881355.939009793</v>
      </c>
      <c r="E60" s="2">
        <f>E59*(1+((1+VLOOKUP($B60,'IPCA Hist'!$B:$C,2,0))^12 - 1)+$E$2)^(1/252)</f>
        <v>43141067.717638925</v>
      </c>
      <c r="F60" s="2">
        <f>F59*(1+((1+VLOOKUP($B60,'IPCA Hist'!$B:$C,2,0))^12 - 1)+$F$2)^(1/252)</f>
        <v>43123357.159444198</v>
      </c>
      <c r="G60" s="2">
        <f>G59*(1+((1+VLOOKUP($B60,'IPCA Hist'!$B:$C,2,0))^12 - 1)+$G$2)^(1/252)</f>
        <v>43105645.81684085</v>
      </c>
      <c r="H60" s="2">
        <f>H59*(1+((1+VLOOKUP($B60,'IPCA Hist'!$B:$C,2,0))^12 - 1)+$H$2)^(1/252)</f>
        <v>44122341.385076374</v>
      </c>
      <c r="I60" s="2">
        <f>I59*(1+((1+VLOOKUP($B60,'IPCA Hist'!$B:$C,2,0))^12 - 1)+$I$2)^(1/252)</f>
        <v>222866361.14252546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f t="shared" si="0"/>
        <v>482103901.32709229</v>
      </c>
      <c r="P60" s="2">
        <v>0</v>
      </c>
      <c r="Q60" s="2">
        <v>0</v>
      </c>
      <c r="R60" s="2">
        <f t="shared" si="9"/>
        <v>152446.73267495632</v>
      </c>
      <c r="S60" s="2">
        <f t="shared" si="2"/>
        <v>1370286.2333682775</v>
      </c>
      <c r="T60" s="2">
        <f t="shared" si="3"/>
        <v>4816705.8739922643</v>
      </c>
      <c r="U60" s="11">
        <f t="shared" si="6"/>
        <v>1.0160565950359886</v>
      </c>
      <c r="V60" s="12">
        <f t="shared" si="7"/>
        <v>3.1631138618148924E-4</v>
      </c>
      <c r="W60" s="12">
        <f t="shared" si="4"/>
        <v>2.8504065252463739E-3</v>
      </c>
      <c r="X60" s="12">
        <f t="shared" si="5"/>
        <v>1.6056595035988552E-2</v>
      </c>
      <c r="Y60" s="5">
        <f t="shared" si="8"/>
        <v>1.6056595035988552E-2</v>
      </c>
      <c r="Z60" s="19" t="s">
        <v>53</v>
      </c>
      <c r="AA60" s="19" t="s">
        <v>53</v>
      </c>
      <c r="AB60" s="19" t="s">
        <v>53</v>
      </c>
    </row>
    <row r="61" spans="1:28" s="2" customFormat="1" x14ac:dyDescent="0.25">
      <c r="A61" s="1">
        <v>45184</v>
      </c>
      <c r="B61" s="1" t="str">
        <f t="shared" si="1"/>
        <v>202309</v>
      </c>
      <c r="C61" s="2">
        <f>C60*(1+((1+VLOOKUP($B61,'IPCA Hist'!$B:$C,2,0))^12 - 1)+$C$2)^(1/252)</f>
        <v>42877641.304750606</v>
      </c>
      <c r="D61" s="2">
        <f>D60*(1+((1+VLOOKUP($B61,'IPCA Hist'!$B:$C,2,0))^12 - 1)+$D$2)^(1/252)</f>
        <v>42895215.076675102</v>
      </c>
      <c r="E61" s="2">
        <f>E60*(1+((1+VLOOKUP($B61,'IPCA Hist'!$B:$C,2,0))^12 - 1)+$E$2)^(1/252)</f>
        <v>43154758.035886869</v>
      </c>
      <c r="F61" s="2">
        <f>F60*(1+((1+VLOOKUP($B61,'IPCA Hist'!$B:$C,2,0))^12 - 1)+$F$2)^(1/252)</f>
        <v>43137057.65920008</v>
      </c>
      <c r="G61" s="2">
        <f>G60*(1+((1+VLOOKUP($B61,'IPCA Hist'!$B:$C,2,0))^12 - 1)+$G$2)^(1/252)</f>
        <v>43119356.483423606</v>
      </c>
      <c r="H61" s="2">
        <f>H60*(1+((1+VLOOKUP($B61,'IPCA Hist'!$B:$C,2,0))^12 - 1)+$H$2)^(1/252)</f>
        <v>44136181.339270167</v>
      </c>
      <c r="I61" s="2">
        <f>I60*(1+((1+VLOOKUP($B61,'IPCA Hist'!$B:$C,2,0))^12 - 1)+$I$2)^(1/252)</f>
        <v>222936186.3880671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f t="shared" si="0"/>
        <v>482256396.28727353</v>
      </c>
      <c r="P61" s="2">
        <v>0</v>
      </c>
      <c r="Q61" s="2">
        <v>0</v>
      </c>
      <c r="R61" s="2">
        <f t="shared" si="9"/>
        <v>152494.96018123627</v>
      </c>
      <c r="S61" s="2">
        <f t="shared" si="2"/>
        <v>1522781.1935495138</v>
      </c>
      <c r="T61" s="2">
        <f t="shared" si="3"/>
        <v>4969200.8341735005</v>
      </c>
      <c r="U61" s="11">
        <f t="shared" si="6"/>
        <v>1.01637798532048</v>
      </c>
      <c r="V61" s="12">
        <f t="shared" si="7"/>
        <v>3.163114004294254E-4</v>
      </c>
      <c r="W61" s="12">
        <f t="shared" si="4"/>
        <v>3.1676195417555952E-3</v>
      </c>
      <c r="X61" s="12">
        <f t="shared" si="5"/>
        <v>1.637798532047996E-2</v>
      </c>
      <c r="Y61" s="5">
        <f t="shared" si="8"/>
        <v>1.637798532047996E-2</v>
      </c>
      <c r="Z61" s="19" t="s">
        <v>53</v>
      </c>
      <c r="AA61" s="19" t="s">
        <v>53</v>
      </c>
      <c r="AB61" s="19" t="s">
        <v>53</v>
      </c>
    </row>
    <row r="62" spans="1:28" s="2" customFormat="1" x14ac:dyDescent="0.25">
      <c r="A62" s="1">
        <v>45187</v>
      </c>
      <c r="B62" s="1" t="str">
        <f t="shared" si="1"/>
        <v>202309</v>
      </c>
      <c r="C62" s="2">
        <f>C61*(1+((1+VLOOKUP($B62,'IPCA Hist'!$B:$C,2,0))^12 - 1)+$C$2)^(1/252)</f>
        <v>42891514.930486917</v>
      </c>
      <c r="D62" s="2">
        <f>D61*(1+((1+VLOOKUP($B62,'IPCA Hist'!$B:$C,2,0))^12 - 1)+$D$2)^(1/252)</f>
        <v>42909078.693576023</v>
      </c>
      <c r="E62" s="2">
        <f>E61*(1+((1+VLOOKUP($B62,'IPCA Hist'!$B:$C,2,0))^12 - 1)+$E$2)^(1/252)</f>
        <v>43168452.698598772</v>
      </c>
      <c r="F62" s="2">
        <f>F61*(1+((1+VLOOKUP($B62,'IPCA Hist'!$B:$C,2,0))^12 - 1)+$F$2)^(1/252)</f>
        <v>43150762.511671193</v>
      </c>
      <c r="G62" s="2">
        <f>G61*(1+((1+VLOOKUP($B62,'IPCA Hist'!$B:$C,2,0))^12 - 1)+$G$2)^(1/252)</f>
        <v>43133071.510975197</v>
      </c>
      <c r="H62" s="2">
        <f>H61*(1+((1+VLOOKUP($B62,'IPCA Hist'!$B:$C,2,0))^12 - 1)+$H$2)^(1/252)</f>
        <v>44150025.634673566</v>
      </c>
      <c r="I62" s="2">
        <f>I61*(1+((1+VLOOKUP($B62,'IPCA Hist'!$B:$C,2,0))^12 - 1)+$I$2)^(1/252)</f>
        <v>223006033.51023871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f t="shared" si="0"/>
        <v>482408939.49022043</v>
      </c>
      <c r="P62" s="2">
        <v>0</v>
      </c>
      <c r="Q62" s="2">
        <v>0</v>
      </c>
      <c r="R62" s="2">
        <f t="shared" si="9"/>
        <v>152543.20294690132</v>
      </c>
      <c r="S62" s="2">
        <f t="shared" si="2"/>
        <v>1675324.3964964151</v>
      </c>
      <c r="T62" s="2">
        <f t="shared" si="3"/>
        <v>5121744.0371204019</v>
      </c>
      <c r="U62" s="11">
        <f t="shared" si="6"/>
        <v>1.0166994772788638</v>
      </c>
      <c r="V62" s="12">
        <f t="shared" si="7"/>
        <v>3.1631141467758361E-4</v>
      </c>
      <c r="W62" s="12">
        <f t="shared" si="4"/>
        <v>3.4849329106516613E-3</v>
      </c>
      <c r="X62" s="12">
        <f t="shared" si="5"/>
        <v>1.6699477278863784E-2</v>
      </c>
      <c r="Y62" s="5">
        <f t="shared" si="8"/>
        <v>1.6699477278863784E-2</v>
      </c>
      <c r="Z62" s="19" t="s">
        <v>53</v>
      </c>
      <c r="AA62" s="19" t="s">
        <v>53</v>
      </c>
      <c r="AB62" s="19" t="s">
        <v>53</v>
      </c>
    </row>
    <row r="63" spans="1:28" s="2" customFormat="1" x14ac:dyDescent="0.25">
      <c r="A63" s="1">
        <v>45188</v>
      </c>
      <c r="B63" s="1" t="str">
        <f t="shared" si="1"/>
        <v>202309</v>
      </c>
      <c r="C63" s="2">
        <f>C62*(1+((1+VLOOKUP($B63,'IPCA Hist'!$B:$C,2,0))^12 - 1)+$C$2)^(1/252)</f>
        <v>42905393.045217618</v>
      </c>
      <c r="D63" s="2">
        <f>D62*(1+((1+VLOOKUP($B63,'IPCA Hist'!$B:$C,2,0))^12 - 1)+$D$2)^(1/252)</f>
        <v>42922946.791160241</v>
      </c>
      <c r="E63" s="2">
        <f>E62*(1+((1+VLOOKUP($B63,'IPCA Hist'!$B:$C,2,0))^12 - 1)+$E$2)^(1/252)</f>
        <v>43182151.707153298</v>
      </c>
      <c r="F63" s="2">
        <f>F62*(1+((1+VLOOKUP($B63,'IPCA Hist'!$B:$C,2,0))^12 - 1)+$F$2)^(1/252)</f>
        <v>43164471.718240418</v>
      </c>
      <c r="G63" s="2">
        <f>G62*(1+((1+VLOOKUP($B63,'IPCA Hist'!$B:$C,2,0))^12 - 1)+$G$2)^(1/252)</f>
        <v>43146790.900882728</v>
      </c>
      <c r="H63" s="2">
        <f>H62*(1+((1+VLOOKUP($B63,'IPCA Hist'!$B:$C,2,0))^12 - 1)+$H$2)^(1/252)</f>
        <v>44163874.272648282</v>
      </c>
      <c r="I63" s="2">
        <f>I62*(1+((1+VLOOKUP($B63,'IPCA Hist'!$B:$C,2,0))^12 - 1)+$I$2)^(1/252)</f>
        <v>223075902.51589435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f t="shared" si="0"/>
        <v>482561530.95119691</v>
      </c>
      <c r="P63" s="2">
        <v>0</v>
      </c>
      <c r="Q63" s="2">
        <v>0</v>
      </c>
      <c r="R63" s="2">
        <f t="shared" si="9"/>
        <v>152591.46097648144</v>
      </c>
      <c r="S63" s="2">
        <f t="shared" si="2"/>
        <v>1827915.8574728966</v>
      </c>
      <c r="T63" s="2">
        <f t="shared" si="3"/>
        <v>5274335.4980968833</v>
      </c>
      <c r="U63" s="11">
        <f t="shared" si="6"/>
        <v>1.0170210709433094</v>
      </c>
      <c r="V63" s="12">
        <f t="shared" si="7"/>
        <v>3.1631142892529773E-4</v>
      </c>
      <c r="W63" s="12">
        <f t="shared" si="4"/>
        <v>3.8023466636856185E-3</v>
      </c>
      <c r="X63" s="12">
        <f t="shared" si="5"/>
        <v>1.7021070943309402E-2</v>
      </c>
      <c r="Y63" s="5">
        <f t="shared" si="8"/>
        <v>1.7021070943309402E-2</v>
      </c>
      <c r="Z63" s="19" t="s">
        <v>53</v>
      </c>
      <c r="AA63" s="19" t="s">
        <v>53</v>
      </c>
      <c r="AB63" s="19" t="s">
        <v>53</v>
      </c>
    </row>
    <row r="64" spans="1:28" s="2" customFormat="1" x14ac:dyDescent="0.25">
      <c r="A64" s="1">
        <v>45189</v>
      </c>
      <c r="B64" s="1" t="str">
        <f t="shared" si="1"/>
        <v>202309</v>
      </c>
      <c r="C64" s="2">
        <f>C63*(1+((1+VLOOKUP($B64,'IPCA Hist'!$B:$C,2,0))^12 - 1)+$C$2)^(1/252)</f>
        <v>42919275.650395177</v>
      </c>
      <c r="D64" s="2">
        <f>D63*(1+((1+VLOOKUP($B64,'IPCA Hist'!$B:$C,2,0))^12 - 1)+$D$2)^(1/252)</f>
        <v>42936819.370875895</v>
      </c>
      <c r="E64" s="2">
        <f>E63*(1+((1+VLOOKUP($B64,'IPCA Hist'!$B:$C,2,0))^12 - 1)+$E$2)^(1/252)</f>
        <v>43195855.062929548</v>
      </c>
      <c r="F64" s="2">
        <f>F63*(1+((1+VLOOKUP($B64,'IPCA Hist'!$B:$C,2,0))^12 - 1)+$F$2)^(1/252)</f>
        <v>43178185.280291073</v>
      </c>
      <c r="G64" s="2">
        <f>G63*(1+((1+VLOOKUP($B64,'IPCA Hist'!$B:$C,2,0))^12 - 1)+$G$2)^(1/252)</f>
        <v>43160514.654533736</v>
      </c>
      <c r="H64" s="2">
        <f>H63*(1+((1+VLOOKUP($B64,'IPCA Hist'!$B:$C,2,0))^12 - 1)+$H$2)^(1/252)</f>
        <v>44177727.254556462</v>
      </c>
      <c r="I64" s="2">
        <f>I63*(1+((1+VLOOKUP($B64,'IPCA Hist'!$B:$C,2,0))^12 - 1)+$I$2)^(1/252)</f>
        <v>223145793.41189024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f t="shared" si="0"/>
        <v>482714170.68547213</v>
      </c>
      <c r="P64" s="2">
        <v>0</v>
      </c>
      <c r="Q64" s="2">
        <v>0</v>
      </c>
      <c r="R64" s="2">
        <f t="shared" si="9"/>
        <v>152639.73427522182</v>
      </c>
      <c r="S64" s="2">
        <f t="shared" si="2"/>
        <v>1980555.5917481184</v>
      </c>
      <c r="T64" s="2">
        <f t="shared" si="3"/>
        <v>5426975.2323721051</v>
      </c>
      <c r="U64" s="11">
        <f t="shared" si="6"/>
        <v>1.0173427663459975</v>
      </c>
      <c r="V64" s="12">
        <f t="shared" si="7"/>
        <v>3.1631144317367799E-4</v>
      </c>
      <c r="W64" s="12">
        <f t="shared" si="4"/>
        <v>4.1198608326198372E-3</v>
      </c>
      <c r="X64" s="12">
        <f t="shared" si="5"/>
        <v>1.7342766345997518E-2</v>
      </c>
      <c r="Y64" s="5">
        <f t="shared" si="8"/>
        <v>1.7342766345997518E-2</v>
      </c>
      <c r="Z64" s="19" t="s">
        <v>53</v>
      </c>
      <c r="AA64" s="19" t="s">
        <v>53</v>
      </c>
      <c r="AB64" s="19" t="s">
        <v>53</v>
      </c>
    </row>
    <row r="65" spans="1:28" s="2" customFormat="1" x14ac:dyDescent="0.25">
      <c r="A65" s="1">
        <v>45190</v>
      </c>
      <c r="B65" s="1" t="str">
        <f t="shared" si="1"/>
        <v>202309</v>
      </c>
      <c r="C65" s="2">
        <f>C64*(1+((1+VLOOKUP($B65,'IPCA Hist'!$B:$C,2,0))^12 - 1)+$C$2)^(1/252)</f>
        <v>42933162.74747254</v>
      </c>
      <c r="D65" s="2">
        <f>D64*(1+((1+VLOOKUP($B65,'IPCA Hist'!$B:$C,2,0))^12 - 1)+$D$2)^(1/252)</f>
        <v>42950696.434171602</v>
      </c>
      <c r="E65" s="2">
        <f>E64*(1+((1+VLOOKUP($B65,'IPCA Hist'!$B:$C,2,0))^12 - 1)+$E$2)^(1/252)</f>
        <v>43209562.767307058</v>
      </c>
      <c r="F65" s="2">
        <f>F64*(1+((1+VLOOKUP($B65,'IPCA Hist'!$B:$C,2,0))^12 - 1)+$F$2)^(1/252)</f>
        <v>43191903.199206911</v>
      </c>
      <c r="G65" s="2">
        <f>G64*(1+((1+VLOOKUP($B65,'IPCA Hist'!$B:$C,2,0))^12 - 1)+$G$2)^(1/252)</f>
        <v>43174242.773316197</v>
      </c>
      <c r="H65" s="2">
        <f>H64*(1+((1+VLOOKUP($B65,'IPCA Hist'!$B:$C,2,0))^12 - 1)+$H$2)^(1/252)</f>
        <v>44191584.581760675</v>
      </c>
      <c r="I65" s="2">
        <f>I64*(1+((1+VLOOKUP($B65,'IPCA Hist'!$B:$C,2,0))^12 - 1)+$I$2)^(1/252)</f>
        <v>223215706.20508474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f t="shared" si="0"/>
        <v>482866858.70831972</v>
      </c>
      <c r="P65" s="2">
        <v>0</v>
      </c>
      <c r="Q65" s="2">
        <v>0</v>
      </c>
      <c r="R65" s="2">
        <f t="shared" si="9"/>
        <v>152688.02284759283</v>
      </c>
      <c r="S65" s="2">
        <f t="shared" si="2"/>
        <v>2133243.6145957112</v>
      </c>
      <c r="T65" s="2">
        <f t="shared" si="3"/>
        <v>5579663.255219698</v>
      </c>
      <c r="U65" s="11">
        <f t="shared" si="6"/>
        <v>1.0176645635191177</v>
      </c>
      <c r="V65" s="12">
        <f t="shared" si="7"/>
        <v>3.1631145742161415E-4</v>
      </c>
      <c r="W65" s="12">
        <f t="shared" si="4"/>
        <v>4.4374754492257917E-3</v>
      </c>
      <c r="X65" s="12">
        <f t="shared" si="5"/>
        <v>1.7664563519117715E-2</v>
      </c>
      <c r="Y65" s="5">
        <f t="shared" si="8"/>
        <v>1.7664563519117715E-2</v>
      </c>
      <c r="Z65" s="19" t="s">
        <v>53</v>
      </c>
      <c r="AA65" s="19" t="s">
        <v>53</v>
      </c>
      <c r="AB65" s="19" t="s">
        <v>53</v>
      </c>
    </row>
    <row r="66" spans="1:28" s="2" customFormat="1" x14ac:dyDescent="0.25">
      <c r="A66" s="1">
        <v>45191</v>
      </c>
      <c r="B66" s="1" t="str">
        <f t="shared" si="1"/>
        <v>202309</v>
      </c>
      <c r="C66" s="2">
        <f>C65*(1+((1+VLOOKUP($B66,'IPCA Hist'!$B:$C,2,0))^12 - 1)+$C$2)^(1/252)</f>
        <v>42947054.337903112</v>
      </c>
      <c r="D66" s="2">
        <f>D65*(1+((1+VLOOKUP($B66,'IPCA Hist'!$B:$C,2,0))^12 - 1)+$D$2)^(1/252)</f>
        <v>42964577.98249644</v>
      </c>
      <c r="E66" s="2">
        <f>E65*(1+((1+VLOOKUP($B66,'IPCA Hist'!$B:$C,2,0))^12 - 1)+$E$2)^(1/252)</f>
        <v>43223274.821665816</v>
      </c>
      <c r="F66" s="2">
        <f>F65*(1+((1+VLOOKUP($B66,'IPCA Hist'!$B:$C,2,0))^12 - 1)+$F$2)^(1/252)</f>
        <v>43205625.476372138</v>
      </c>
      <c r="G66" s="2">
        <f>G65*(1+((1+VLOOKUP($B66,'IPCA Hist'!$B:$C,2,0))^12 - 1)+$G$2)^(1/252)</f>
        <v>43187975.258618541</v>
      </c>
      <c r="H66" s="2">
        <f>H65*(1+((1+VLOOKUP($B66,'IPCA Hist'!$B:$C,2,0))^12 - 1)+$H$2)^(1/252)</f>
        <v>44205446.255623922</v>
      </c>
      <c r="I66" s="2">
        <f>I65*(1+((1+VLOOKUP($B66,'IPCA Hist'!$B:$C,2,0))^12 - 1)+$I$2)^(1/252)</f>
        <v>223285640.90233836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f t="shared" si="0"/>
        <v>483019595.03501832</v>
      </c>
      <c r="P66" s="2">
        <v>0</v>
      </c>
      <c r="Q66" s="2">
        <v>0</v>
      </c>
      <c r="R66" s="2">
        <f t="shared" si="9"/>
        <v>152736.32669860125</v>
      </c>
      <c r="S66" s="2">
        <f t="shared" si="2"/>
        <v>2285979.9412943125</v>
      </c>
      <c r="T66" s="2">
        <f t="shared" si="3"/>
        <v>5732399.5819182992</v>
      </c>
      <c r="U66" s="11">
        <f t="shared" si="6"/>
        <v>1.0179864624948707</v>
      </c>
      <c r="V66" s="12">
        <f t="shared" si="7"/>
        <v>3.1631147166977236E-4</v>
      </c>
      <c r="W66" s="12">
        <f t="shared" si="4"/>
        <v>4.7551905452853926E-3</v>
      </c>
      <c r="X66" s="12">
        <f t="shared" si="5"/>
        <v>1.7986462494870681E-2</v>
      </c>
      <c r="Y66" s="5">
        <f t="shared" si="8"/>
        <v>1.7986462494870681E-2</v>
      </c>
      <c r="Z66" s="19" t="s">
        <v>53</v>
      </c>
      <c r="AA66" s="19" t="s">
        <v>53</v>
      </c>
      <c r="AB66" s="19" t="s">
        <v>53</v>
      </c>
    </row>
    <row r="67" spans="1:28" s="2" customFormat="1" x14ac:dyDescent="0.25">
      <c r="A67" s="1">
        <v>45194</v>
      </c>
      <c r="B67" s="1" t="str">
        <f t="shared" si="1"/>
        <v>202309</v>
      </c>
      <c r="C67" s="2">
        <f>C66*(1+((1+VLOOKUP($B67,'IPCA Hist'!$B:$C,2,0))^12 - 1)+$C$2)^(1/252)</f>
        <v>42960950.423140787</v>
      </c>
      <c r="D67" s="2">
        <f>D66*(1+((1+VLOOKUP($B67,'IPCA Hist'!$B:$C,2,0))^12 - 1)+$D$2)^(1/252)</f>
        <v>42978464.017299958</v>
      </c>
      <c r="E67" s="2">
        <f>E66*(1+((1+VLOOKUP($B67,'IPCA Hist'!$B:$C,2,0))^12 - 1)+$E$2)^(1/252)</f>
        <v>43236991.227386229</v>
      </c>
      <c r="F67" s="2">
        <f>F66*(1+((1+VLOOKUP($B67,'IPCA Hist'!$B:$C,2,0))^12 - 1)+$F$2)^(1/252)</f>
        <v>43219352.113171384</v>
      </c>
      <c r="G67" s="2">
        <f>G66*(1+((1+VLOOKUP($B67,'IPCA Hist'!$B:$C,2,0))^12 - 1)+$G$2)^(1/252)</f>
        <v>43201712.111829631</v>
      </c>
      <c r="H67" s="2">
        <f>H66*(1+((1+VLOOKUP($B67,'IPCA Hist'!$B:$C,2,0))^12 - 1)+$H$2)^(1/252)</f>
        <v>44219312.27750963</v>
      </c>
      <c r="I67" s="2">
        <f>I66*(1+((1+VLOOKUP($B67,'IPCA Hist'!$B:$C,2,0))^12 - 1)+$I$2)^(1/252)</f>
        <v>223355597.51051375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f t="shared" ref="O67:O130" si="10">SUM(C67:N67)</f>
        <v>483172379.68085134</v>
      </c>
      <c r="P67" s="2">
        <v>0</v>
      </c>
      <c r="Q67" s="2">
        <v>0</v>
      </c>
      <c r="R67" s="2">
        <f t="shared" si="9"/>
        <v>152784.64583301544</v>
      </c>
      <c r="S67" s="2">
        <f t="shared" si="2"/>
        <v>2438764.5871273279</v>
      </c>
      <c r="T67" s="2">
        <f t="shared" si="3"/>
        <v>5885184.2277513146</v>
      </c>
      <c r="U67" s="11">
        <f t="shared" si="6"/>
        <v>1.0183084633054669</v>
      </c>
      <c r="V67" s="12">
        <f t="shared" si="7"/>
        <v>3.1631148591793057E-4</v>
      </c>
      <c r="W67" s="12">
        <f t="shared" si="4"/>
        <v>5.0730061525905423E-3</v>
      </c>
      <c r="X67" s="12">
        <f t="shared" si="5"/>
        <v>1.8308463305466871E-2</v>
      </c>
      <c r="Y67" s="5">
        <f t="shared" si="8"/>
        <v>1.8308463305466871E-2</v>
      </c>
      <c r="Z67" s="19" t="s">
        <v>53</v>
      </c>
      <c r="AA67" s="19" t="s">
        <v>53</v>
      </c>
      <c r="AB67" s="19" t="s">
        <v>53</v>
      </c>
    </row>
    <row r="68" spans="1:28" s="2" customFormat="1" x14ac:dyDescent="0.25">
      <c r="A68" s="1">
        <v>45195</v>
      </c>
      <c r="B68" s="1" t="str">
        <f t="shared" ref="B68:B131" si="11">_xlfn.CONCAT(TEXT(YEAR(A68),"0000"),TEXT(MONTH(A68),"00"))</f>
        <v>202309</v>
      </c>
      <c r="C68" s="2">
        <f>C67*(1+((1+VLOOKUP($B68,'IPCA Hist'!$B:$C,2,0))^12 - 1)+$C$2)^(1/252)</f>
        <v>42974851.004639909</v>
      </c>
      <c r="D68" s="2">
        <f>D67*(1+((1+VLOOKUP($B68,'IPCA Hist'!$B:$C,2,0))^12 - 1)+$D$2)^(1/252)</f>
        <v>42992354.540032178</v>
      </c>
      <c r="E68" s="2">
        <f>E67*(1+((1+VLOOKUP($B68,'IPCA Hist'!$B:$C,2,0))^12 - 1)+$E$2)^(1/252)</f>
        <v>43250711.985849157</v>
      </c>
      <c r="F68" s="2">
        <f>F67*(1+((1+VLOOKUP($B68,'IPCA Hist'!$B:$C,2,0))^12 - 1)+$F$2)^(1/252)</f>
        <v>43233083.110989727</v>
      </c>
      <c r="G68" s="2">
        <f>G67*(1+((1+VLOOKUP($B68,'IPCA Hist'!$B:$C,2,0))^12 - 1)+$G$2)^(1/252)</f>
        <v>43215453.334338769</v>
      </c>
      <c r="H68" s="2">
        <f>H67*(1+((1+VLOOKUP($B68,'IPCA Hist'!$B:$C,2,0))^12 - 1)+$H$2)^(1/252)</f>
        <v>44233182.64878165</v>
      </c>
      <c r="I68" s="2">
        <f>I67*(1+((1+VLOOKUP($B68,'IPCA Hist'!$B:$C,2,0))^12 - 1)+$I$2)^(1/252)</f>
        <v>223425576.03647575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f t="shared" si="10"/>
        <v>483325212.66110718</v>
      </c>
      <c r="P68" s="2">
        <v>0</v>
      </c>
      <c r="Q68" s="2">
        <v>0</v>
      </c>
      <c r="R68" s="2">
        <f t="shared" si="9"/>
        <v>152832.98025584221</v>
      </c>
      <c r="S68" s="2">
        <f t="shared" ref="S68:S131" si="12">IF(MONTH(A68)=MONTH(A67),R68+S67,R68)</f>
        <v>2591597.5673831701</v>
      </c>
      <c r="T68" s="2">
        <f t="shared" ref="T68:T131" si="13">IF(YEAR(A68)=YEAR(A67),R68+T67,R68)</f>
        <v>6038017.2080071568</v>
      </c>
      <c r="U68" s="11">
        <f t="shared" si="6"/>
        <v>1.0186305659831274</v>
      </c>
      <c r="V68" s="12">
        <f t="shared" si="7"/>
        <v>3.1631150016653287E-4</v>
      </c>
      <c r="W68" s="12">
        <f t="shared" ref="W68:W131" si="14">IF(MONTH(A68)=MONTH(A67),(1+V68)*(1+W67) - 1,V68)</f>
        <v>5.3909223029435793E-3</v>
      </c>
      <c r="X68" s="12">
        <f t="shared" ref="X68:X131" si="15">IF(YEAR(A68)=YEAR(A67),(1+V68)*(1+X67) - 1,V68)</f>
        <v>1.8630565983127401E-2</v>
      </c>
      <c r="Y68" s="5">
        <f t="shared" si="8"/>
        <v>1.8630565983127401E-2</v>
      </c>
      <c r="Z68" s="19" t="s">
        <v>53</v>
      </c>
      <c r="AA68" s="19" t="s">
        <v>53</v>
      </c>
      <c r="AB68" s="19" t="s">
        <v>53</v>
      </c>
    </row>
    <row r="69" spans="1:28" s="2" customFormat="1" x14ac:dyDescent="0.25">
      <c r="A69" s="1">
        <v>45196</v>
      </c>
      <c r="B69" s="1" t="str">
        <f t="shared" si="11"/>
        <v>202309</v>
      </c>
      <c r="C69" s="2">
        <f>C68*(1+((1+VLOOKUP($B69,'IPCA Hist'!$B:$C,2,0))^12 - 1)+$C$2)^(1/252)</f>
        <v>42988756.083855309</v>
      </c>
      <c r="D69" s="2">
        <f>D68*(1+((1+VLOOKUP($B69,'IPCA Hist'!$B:$C,2,0))^12 - 1)+$D$2)^(1/252)</f>
        <v>43006249.552143581</v>
      </c>
      <c r="E69" s="2">
        <f>E68*(1+((1+VLOOKUP($B69,'IPCA Hist'!$B:$C,2,0))^12 - 1)+$E$2)^(1/252)</f>
        <v>43264437.098435894</v>
      </c>
      <c r="F69" s="2">
        <f>F68*(1+((1+VLOOKUP($B69,'IPCA Hist'!$B:$C,2,0))^12 - 1)+$F$2)^(1/252)</f>
        <v>43246818.471212685</v>
      </c>
      <c r="G69" s="2">
        <f>G68*(1+((1+VLOOKUP($B69,'IPCA Hist'!$B:$C,2,0))^12 - 1)+$G$2)^(1/252)</f>
        <v>43229198.927535713</v>
      </c>
      <c r="H69" s="2">
        <f>H68*(1+((1+VLOOKUP($B69,'IPCA Hist'!$B:$C,2,0))^12 - 1)+$H$2)^(1/252)</f>
        <v>44247057.370804265</v>
      </c>
      <c r="I69" s="2">
        <f>I68*(1+((1+VLOOKUP($B69,'IPCA Hist'!$B:$C,2,0))^12 - 1)+$I$2)^(1/252)</f>
        <v>223495576.4870913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f t="shared" si="10"/>
        <v>483478093.99107873</v>
      </c>
      <c r="P69" s="2">
        <v>0</v>
      </c>
      <c r="Q69" s="2">
        <v>0</v>
      </c>
      <c r="R69" s="2">
        <f t="shared" si="9"/>
        <v>152881.3299715519</v>
      </c>
      <c r="S69" s="2">
        <f t="shared" si="12"/>
        <v>2744478.897354722</v>
      </c>
      <c r="T69" s="2">
        <f t="shared" si="13"/>
        <v>6190898.5379787087</v>
      </c>
      <c r="U69" s="11">
        <f t="shared" ref="U69:U132" si="16">(1+(O69-O68-P69+Q69)/O68)*U68</f>
        <v>1.0189527705600825</v>
      </c>
      <c r="V69" s="12">
        <f t="shared" ref="V69:V132" si="17">U69/U68 - 1</f>
        <v>3.1631151441446903E-4</v>
      </c>
      <c r="W69" s="12">
        <f t="shared" si="14"/>
        <v>5.708939028155724E-3</v>
      </c>
      <c r="X69" s="12">
        <f t="shared" si="15"/>
        <v>1.8952770560082488E-2</v>
      </c>
      <c r="Y69" s="5">
        <f t="shared" ref="Y69:Y132" si="18">(1+V69)*(1+Y68) - 1</f>
        <v>1.8952770560082488E-2</v>
      </c>
      <c r="Z69" s="19" t="s">
        <v>53</v>
      </c>
      <c r="AA69" s="19" t="s">
        <v>53</v>
      </c>
      <c r="AB69" s="19" t="s">
        <v>53</v>
      </c>
    </row>
    <row r="70" spans="1:28" s="2" customFormat="1" x14ac:dyDescent="0.25">
      <c r="A70" s="1">
        <v>45197</v>
      </c>
      <c r="B70" s="1" t="str">
        <f t="shared" si="11"/>
        <v>202309</v>
      </c>
      <c r="C70" s="2">
        <f>C69*(1+((1+VLOOKUP($B70,'IPCA Hist'!$B:$C,2,0))^12 - 1)+$C$2)^(1/252)</f>
        <v>43002665.662242286</v>
      </c>
      <c r="D70" s="2">
        <f>D69*(1+((1+VLOOKUP($B70,'IPCA Hist'!$B:$C,2,0))^12 - 1)+$D$2)^(1/252)</f>
        <v>43020149.05508513</v>
      </c>
      <c r="E70" s="2">
        <f>E69*(1+((1+VLOOKUP($B70,'IPCA Hist'!$B:$C,2,0))^12 - 1)+$E$2)^(1/252)</f>
        <v>43278166.566528164</v>
      </c>
      <c r="F70" s="2">
        <f>F69*(1+((1+VLOOKUP($B70,'IPCA Hist'!$B:$C,2,0))^12 - 1)+$F$2)^(1/252)</f>
        <v>43260558.195226215</v>
      </c>
      <c r="G70" s="2">
        <f>G69*(1+((1+VLOOKUP($B70,'IPCA Hist'!$B:$C,2,0))^12 - 1)+$G$2)^(1/252)</f>
        <v>43242948.892810643</v>
      </c>
      <c r="H70" s="2">
        <f>H69*(1+((1+VLOOKUP($B70,'IPCA Hist'!$B:$C,2,0))^12 - 1)+$H$2)^(1/252)</f>
        <v>44260936.444942191</v>
      </c>
      <c r="I70" s="2">
        <f>I69*(1+((1+VLOOKUP($B70,'IPCA Hist'!$B:$C,2,0))^12 - 1)+$I$2)^(1/252)</f>
        <v>223565598.86922953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f t="shared" si="10"/>
        <v>483631023.68606412</v>
      </c>
      <c r="P70" s="2">
        <v>0</v>
      </c>
      <c r="Q70" s="2">
        <v>0</v>
      </c>
      <c r="R70" s="2">
        <f t="shared" si="9"/>
        <v>152929.69498538971</v>
      </c>
      <c r="S70" s="2">
        <f t="shared" si="12"/>
        <v>2897408.5923401117</v>
      </c>
      <c r="T70" s="2">
        <f t="shared" si="13"/>
        <v>6343828.2329640985</v>
      </c>
      <c r="U70" s="11">
        <f t="shared" si="16"/>
        <v>1.0192750770685739</v>
      </c>
      <c r="V70" s="12">
        <f t="shared" si="17"/>
        <v>3.1631152866307133E-4</v>
      </c>
      <c r="W70" s="12">
        <f t="shared" si="14"/>
        <v>6.0270563600497429E-3</v>
      </c>
      <c r="X70" s="12">
        <f t="shared" si="15"/>
        <v>1.9275077068573898E-2</v>
      </c>
      <c r="Y70" s="5">
        <f t="shared" si="18"/>
        <v>1.9275077068573898E-2</v>
      </c>
      <c r="Z70" s="19" t="s">
        <v>53</v>
      </c>
      <c r="AA70" s="19" t="s">
        <v>53</v>
      </c>
      <c r="AB70" s="19" t="s">
        <v>53</v>
      </c>
    </row>
    <row r="71" spans="1:28" s="2" customFormat="1" x14ac:dyDescent="0.25">
      <c r="A71" s="1">
        <v>45198</v>
      </c>
      <c r="B71" s="1" t="str">
        <f t="shared" si="11"/>
        <v>202309</v>
      </c>
      <c r="C71" s="2">
        <f>C70*(1+((1+VLOOKUP($B71,'IPCA Hist'!$B:$C,2,0))^12 - 1)+$C$2)^(1/252)</f>
        <v>43016579.741256602</v>
      </c>
      <c r="D71" s="2">
        <f>D70*(1+((1+VLOOKUP($B71,'IPCA Hist'!$B:$C,2,0))^12 - 1)+$D$2)^(1/252)</f>
        <v>43034053.050308242</v>
      </c>
      <c r="E71" s="2">
        <f>E70*(1+((1+VLOOKUP($B71,'IPCA Hist'!$B:$C,2,0))^12 - 1)+$E$2)^(1/252)</f>
        <v>43291900.39150814</v>
      </c>
      <c r="F71" s="2">
        <f>F70*(1+((1+VLOOKUP($B71,'IPCA Hist'!$B:$C,2,0))^12 - 1)+$F$2)^(1/252)</f>
        <v>43274302.284416713</v>
      </c>
      <c r="G71" s="2">
        <f>G70*(1+((1+VLOOKUP($B71,'IPCA Hist'!$B:$C,2,0))^12 - 1)+$G$2)^(1/252)</f>
        <v>43256703.231554195</v>
      </c>
      <c r="H71" s="2">
        <f>H70*(1+((1+VLOOKUP($B71,'IPCA Hist'!$B:$C,2,0))^12 - 1)+$H$2)^(1/252)</f>
        <v>44274819.872560561</v>
      </c>
      <c r="I71" s="2">
        <f>I70*(1+((1+VLOOKUP($B71,'IPCA Hist'!$B:$C,2,0))^12 - 1)+$I$2)^(1/252)</f>
        <v>223635643.1897617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f t="shared" si="10"/>
        <v>483784001.76136613</v>
      </c>
      <c r="P71" s="2">
        <v>0</v>
      </c>
      <c r="Q71" s="2">
        <v>0</v>
      </c>
      <c r="R71" s="2">
        <f t="shared" si="9"/>
        <v>152978.07530200481</v>
      </c>
      <c r="S71" s="2">
        <f t="shared" si="12"/>
        <v>3050386.6676421165</v>
      </c>
      <c r="T71" s="2">
        <f t="shared" si="13"/>
        <v>6496806.3082661033</v>
      </c>
      <c r="U71" s="11">
        <f t="shared" si="16"/>
        <v>1.0195974855408527</v>
      </c>
      <c r="V71" s="12">
        <f t="shared" si="17"/>
        <v>3.1631154291145158E-4</v>
      </c>
      <c r="W71" s="12">
        <f t="shared" si="14"/>
        <v>6.3452743304577286E-3</v>
      </c>
      <c r="X71" s="12">
        <f t="shared" si="15"/>
        <v>1.9597485540852722E-2</v>
      </c>
      <c r="Y71" s="5">
        <f t="shared" si="18"/>
        <v>1.9597485540852722E-2</v>
      </c>
      <c r="Z71" s="19" t="s">
        <v>53</v>
      </c>
      <c r="AA71" s="19" t="s">
        <v>53</v>
      </c>
      <c r="AB71" s="19" t="s">
        <v>53</v>
      </c>
    </row>
    <row r="72" spans="1:28" s="2" customFormat="1" x14ac:dyDescent="0.25">
      <c r="A72" s="1">
        <v>45201</v>
      </c>
      <c r="B72" s="1" t="str">
        <f t="shared" si="11"/>
        <v>202310</v>
      </c>
      <c r="C72" s="2">
        <f>C71*(1+((1+VLOOKUP($B72,'IPCA Hist'!$B:$C,2,0))^12 - 1)+$C$2)^(1/252)</f>
        <v>43030109.633717842</v>
      </c>
      <c r="D72" s="2">
        <f>D71*(1+((1+VLOOKUP($B72,'IPCA Hist'!$B:$C,2,0))^12 - 1)+$D$2)^(1/252)</f>
        <v>43047572.657000966</v>
      </c>
      <c r="E72" s="2">
        <f>E71*(1+((1+VLOOKUP($B72,'IPCA Hist'!$B:$C,2,0))^12 - 1)+$E$2)^(1/252)</f>
        <v>43305246.786224715</v>
      </c>
      <c r="F72" s="2">
        <f>F71*(1+((1+VLOOKUP($B72,'IPCA Hist'!$B:$C,2,0))^12 - 1)+$F$2)^(1/252)</f>
        <v>43287659.146946691</v>
      </c>
      <c r="G72" s="2">
        <f>G71*(1+((1+VLOOKUP($B72,'IPCA Hist'!$B:$C,2,0))^12 - 1)+$G$2)^(1/252)</f>
        <v>43270070.547215089</v>
      </c>
      <c r="H72" s="2">
        <f>H71*(1+((1+VLOOKUP($B72,'IPCA Hist'!$B:$C,2,0))^12 - 1)+$H$2)^(1/252)</f>
        <v>44288306.601954885</v>
      </c>
      <c r="I72" s="2">
        <f>I71*(1+((1+VLOOKUP($B72,'IPCA Hist'!$B:$C,2,0))^12 - 1)+$I$2)^(1/252)</f>
        <v>223703683.51787806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f t="shared" si="10"/>
        <v>483932648.89093822</v>
      </c>
      <c r="P72" s="2">
        <v>0</v>
      </c>
      <c r="Q72" s="2">
        <v>0</v>
      </c>
      <c r="R72" s="2">
        <f t="shared" si="9"/>
        <v>148647.12957209349</v>
      </c>
      <c r="S72" s="2">
        <f t="shared" si="12"/>
        <v>148647.12957209349</v>
      </c>
      <c r="T72" s="2">
        <f t="shared" si="13"/>
        <v>6645453.4378381968</v>
      </c>
      <c r="U72" s="11">
        <f t="shared" si="16"/>
        <v>1.0199107663417737</v>
      </c>
      <c r="V72" s="12">
        <f t="shared" si="17"/>
        <v>3.0725929140040797E-4</v>
      </c>
      <c r="W72" s="12">
        <f t="shared" si="14"/>
        <v>3.0725929140040797E-4</v>
      </c>
      <c r="X72" s="12">
        <f t="shared" si="15"/>
        <v>1.9910766341773689E-2</v>
      </c>
      <c r="Y72" s="5">
        <f t="shared" si="18"/>
        <v>1.9910766341773689E-2</v>
      </c>
      <c r="Z72" s="19" t="s">
        <v>53</v>
      </c>
      <c r="AA72" s="19" t="s">
        <v>53</v>
      </c>
      <c r="AB72" s="19" t="s">
        <v>53</v>
      </c>
    </row>
    <row r="73" spans="1:28" x14ac:dyDescent="0.25">
      <c r="A73" s="1">
        <v>45202</v>
      </c>
      <c r="B73" s="1" t="str">
        <f t="shared" si="11"/>
        <v>202310</v>
      </c>
      <c r="C73" s="2">
        <f>C72*(1+((1+VLOOKUP($B73,'IPCA Hist'!$B:$C,2,0))^12 - 1)+$C$2)^(1/252)</f>
        <v>43043643.78170082</v>
      </c>
      <c r="D73" s="2">
        <f>D72*(1+((1+VLOOKUP($B73,'IPCA Hist'!$B:$C,2,0))^12 - 1)+$D$2)^(1/252)</f>
        <v>43061096.511022314</v>
      </c>
      <c r="E73" s="2">
        <f>E72*(1+((1+VLOOKUP($B73,'IPCA Hist'!$B:$C,2,0))^12 - 1)+$E$2)^(1/252)</f>
        <v>43318597.295481198</v>
      </c>
      <c r="F73" s="2">
        <f>F72*(1+((1+VLOOKUP($B73,'IPCA Hist'!$B:$C,2,0))^12 - 1)+$F$2)^(1/252)</f>
        <v>43301020.132149182</v>
      </c>
      <c r="G73" s="2">
        <f>G72*(1+((1+VLOOKUP($B73,'IPCA Hist'!$B:$C,2,0))^12 - 1)+$G$2)^(1/252)</f>
        <v>43283441.9936838</v>
      </c>
      <c r="H73" s="2">
        <f>H72*(1+((1+VLOOKUP($B73,'IPCA Hist'!$B:$C,2,0))^12 - 1)+$H$2)^(1/252)</f>
        <v>44301797.439595617</v>
      </c>
      <c r="I73" s="2">
        <f>I72*(1+((1+VLOOKUP($B73,'IPCA Hist'!$B:$C,2,0))^12 - 1)+$I$2)^(1/252)</f>
        <v>223771744.54701588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f t="shared" si="10"/>
        <v>484081341.70064878</v>
      </c>
      <c r="P73" s="2">
        <v>0</v>
      </c>
      <c r="Q73" s="2">
        <v>0</v>
      </c>
      <c r="R73" s="2">
        <f t="shared" ref="R73:R136" si="19">O73-O72-P73+Q73</f>
        <v>148692.80971056223</v>
      </c>
      <c r="S73" s="2">
        <f t="shared" si="12"/>
        <v>297339.93928265572</v>
      </c>
      <c r="T73" s="2">
        <f t="shared" si="13"/>
        <v>6794146.247548759</v>
      </c>
      <c r="U73" s="11">
        <f t="shared" si="16"/>
        <v>1.0202241434157302</v>
      </c>
      <c r="V73" s="12">
        <f t="shared" si="17"/>
        <v>3.0725930571406934E-4</v>
      </c>
      <c r="W73" s="12">
        <f t="shared" si="14"/>
        <v>6.1461300539100705E-4</v>
      </c>
      <c r="X73" s="12">
        <f t="shared" si="15"/>
        <v>2.02241434157302E-2</v>
      </c>
      <c r="Y73" s="5">
        <f t="shared" si="18"/>
        <v>2.02241434157302E-2</v>
      </c>
      <c r="Z73" s="19" t="s">
        <v>53</v>
      </c>
      <c r="AA73" s="19" t="s">
        <v>53</v>
      </c>
      <c r="AB73" s="19" t="s">
        <v>53</v>
      </c>
    </row>
    <row r="74" spans="1:28" x14ac:dyDescent="0.25">
      <c r="A74" s="1">
        <v>45203</v>
      </c>
      <c r="B74" s="1" t="str">
        <f t="shared" si="11"/>
        <v>202310</v>
      </c>
      <c r="C74" s="2">
        <f>C73*(1+((1+VLOOKUP($B74,'IPCA Hist'!$B:$C,2,0))^12 - 1)+$C$2)^(1/252)</f>
        <v>43057182.186544009</v>
      </c>
      <c r="D74" s="2">
        <f>D73*(1+((1+VLOOKUP($B74,'IPCA Hist'!$B:$C,2,0))^12 - 1)+$D$2)^(1/252)</f>
        <v>43074624.613706626</v>
      </c>
      <c r="E74" s="2">
        <f>E73*(1+((1+VLOOKUP($B74,'IPCA Hist'!$B:$C,2,0))^12 - 1)+$E$2)^(1/252)</f>
        <v>43331951.920546055</v>
      </c>
      <c r="F74" s="2">
        <f>F73*(1+((1+VLOOKUP($B74,'IPCA Hist'!$B:$C,2,0))^12 - 1)+$F$2)^(1/252)</f>
        <v>43314385.241296671</v>
      </c>
      <c r="G74" s="2">
        <f>G73*(1+((1+VLOOKUP($B74,'IPCA Hist'!$B:$C,2,0))^12 - 1)+$G$2)^(1/252)</f>
        <v>43296817.572236851</v>
      </c>
      <c r="H74" s="2">
        <f>H73*(1+((1+VLOOKUP($B74,'IPCA Hist'!$B:$C,2,0))^12 - 1)+$H$2)^(1/252)</f>
        <v>44315292.386734188</v>
      </c>
      <c r="I74" s="2">
        <f>I73*(1+((1+VLOOKUP($B74,'IPCA Hist'!$B:$C,2,0))^12 - 1)+$I$2)^(1/252)</f>
        <v>223839826.28347337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f t="shared" si="10"/>
        <v>484230080.20453775</v>
      </c>
      <c r="P74" s="2">
        <v>0</v>
      </c>
      <c r="Q74" s="2">
        <v>0</v>
      </c>
      <c r="R74" s="2">
        <f t="shared" si="19"/>
        <v>148738.50388896465</v>
      </c>
      <c r="S74" s="2">
        <f t="shared" si="12"/>
        <v>446078.44317162037</v>
      </c>
      <c r="T74" s="2">
        <f t="shared" si="13"/>
        <v>6942884.7514377236</v>
      </c>
      <c r="U74" s="11">
        <f t="shared" si="16"/>
        <v>1.0205376167923117</v>
      </c>
      <c r="V74" s="12">
        <f t="shared" si="17"/>
        <v>3.0725932002750866E-4</v>
      </c>
      <c r="W74" s="12">
        <f t="shared" si="14"/>
        <v>9.22061170992583E-4</v>
      </c>
      <c r="X74" s="12">
        <f t="shared" si="15"/>
        <v>2.0537616792311697E-2</v>
      </c>
      <c r="Y74" s="5">
        <f t="shared" si="18"/>
        <v>2.0537616792311697E-2</v>
      </c>
      <c r="Z74" s="19" t="s">
        <v>53</v>
      </c>
      <c r="AA74" s="19" t="s">
        <v>53</v>
      </c>
      <c r="AB74" s="19" t="s">
        <v>53</v>
      </c>
    </row>
    <row r="75" spans="1:28" x14ac:dyDescent="0.25">
      <c r="A75" s="1">
        <v>45204</v>
      </c>
      <c r="B75" s="1" t="str">
        <f t="shared" si="11"/>
        <v>202310</v>
      </c>
      <c r="C75" s="2">
        <f>C74*(1+((1+VLOOKUP($B75,'IPCA Hist'!$B:$C,2,0))^12 - 1)+$C$2)^(1/252)</f>
        <v>43070724.849586308</v>
      </c>
      <c r="D75" s="2">
        <f>D74*(1+((1+VLOOKUP($B75,'IPCA Hist'!$B:$C,2,0))^12 - 1)+$D$2)^(1/252)</f>
        <v>43088156.966388658</v>
      </c>
      <c r="E75" s="2">
        <f>E74*(1+((1+VLOOKUP($B75,'IPCA Hist'!$B:$C,2,0))^12 - 1)+$E$2)^(1/252)</f>
        <v>43345310.662688144</v>
      </c>
      <c r="F75" s="2">
        <f>F74*(1+((1+VLOOKUP($B75,'IPCA Hist'!$B:$C,2,0))^12 - 1)+$F$2)^(1/252)</f>
        <v>43327754.475662045</v>
      </c>
      <c r="G75" s="2">
        <f>G74*(1+((1+VLOOKUP($B75,'IPCA Hist'!$B:$C,2,0))^12 - 1)+$G$2)^(1/252)</f>
        <v>43310197.284151144</v>
      </c>
      <c r="H75" s="2">
        <f>H74*(1+((1+VLOOKUP($B75,'IPCA Hist'!$B:$C,2,0))^12 - 1)+$H$2)^(1/252)</f>
        <v>44328791.444622405</v>
      </c>
      <c r="I75" s="2">
        <f>I74*(1+((1+VLOOKUP($B75,'IPCA Hist'!$B:$C,2,0))^12 - 1)+$I$2)^(1/252)</f>
        <v>223907928.7335507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f t="shared" si="10"/>
        <v>484378864.4166494</v>
      </c>
      <c r="P75" s="2">
        <v>0</v>
      </c>
      <c r="Q75" s="2">
        <v>0</v>
      </c>
      <c r="R75" s="2">
        <f t="shared" si="19"/>
        <v>148784.2121116519</v>
      </c>
      <c r="S75" s="2">
        <f t="shared" si="12"/>
        <v>594862.65528327227</v>
      </c>
      <c r="T75" s="2">
        <f t="shared" si="13"/>
        <v>7091668.9635493755</v>
      </c>
      <c r="U75" s="11">
        <f t="shared" si="16"/>
        <v>1.0208511865011174</v>
      </c>
      <c r="V75" s="12">
        <f t="shared" si="17"/>
        <v>3.0725933434117003E-4</v>
      </c>
      <c r="W75" s="12">
        <f t="shared" si="14"/>
        <v>1.2296038172354695E-3</v>
      </c>
      <c r="X75" s="12">
        <f t="shared" si="15"/>
        <v>2.0851186501117391E-2</v>
      </c>
      <c r="Y75" s="5">
        <f t="shared" si="18"/>
        <v>2.0851186501117391E-2</v>
      </c>
      <c r="Z75" s="19" t="s">
        <v>53</v>
      </c>
      <c r="AA75" s="19" t="s">
        <v>53</v>
      </c>
      <c r="AB75" s="19" t="s">
        <v>53</v>
      </c>
    </row>
    <row r="76" spans="1:28" x14ac:dyDescent="0.25">
      <c r="A76" s="1">
        <v>45205</v>
      </c>
      <c r="B76" s="1" t="str">
        <f t="shared" si="11"/>
        <v>202310</v>
      </c>
      <c r="C76" s="2">
        <f>C75*(1+((1+VLOOKUP($B76,'IPCA Hist'!$B:$C,2,0))^12 - 1)+$C$2)^(1/252)</f>
        <v>43084271.772167042</v>
      </c>
      <c r="D76" s="2">
        <f>D75*(1+((1+VLOOKUP($B76,'IPCA Hist'!$B:$C,2,0))^12 - 1)+$D$2)^(1/252)</f>
        <v>43101693.570403598</v>
      </c>
      <c r="E76" s="2">
        <f>E75*(1+((1+VLOOKUP($B76,'IPCA Hist'!$B:$C,2,0))^12 - 1)+$E$2)^(1/252)</f>
        <v>43358673.523176715</v>
      </c>
      <c r="F76" s="2">
        <f>F75*(1+((1+VLOOKUP($B76,'IPCA Hist'!$B:$C,2,0))^12 - 1)+$F$2)^(1/252)</f>
        <v>43341127.836518571</v>
      </c>
      <c r="G76" s="2">
        <f>G75*(1+((1+VLOOKUP($B76,'IPCA Hist'!$B:$C,2,0))^12 - 1)+$G$2)^(1/252)</f>
        <v>43323581.130703986</v>
      </c>
      <c r="H76" s="2">
        <f>H75*(1+((1+VLOOKUP($B76,'IPCA Hist'!$B:$C,2,0))^12 - 1)+$H$2)^(1/252)</f>
        <v>44342294.614512466</v>
      </c>
      <c r="I76" s="2">
        <f>I75*(1+((1+VLOOKUP($B76,'IPCA Hist'!$B:$C,2,0))^12 - 1)+$I$2)^(1/252)</f>
        <v>223976051.90354985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f t="shared" si="10"/>
        <v>484527694.35103226</v>
      </c>
      <c r="P76" s="2">
        <v>0</v>
      </c>
      <c r="Q76" s="2">
        <v>0</v>
      </c>
      <c r="R76" s="2">
        <f t="shared" si="19"/>
        <v>148829.93438285589</v>
      </c>
      <c r="S76" s="2">
        <f t="shared" si="12"/>
        <v>743692.58966612816</v>
      </c>
      <c r="T76" s="2">
        <f t="shared" si="13"/>
        <v>7240498.8979322314</v>
      </c>
      <c r="U76" s="11">
        <f t="shared" si="16"/>
        <v>1.0211648525717552</v>
      </c>
      <c r="V76" s="12">
        <f t="shared" si="17"/>
        <v>3.072593486548314E-4</v>
      </c>
      <c r="W76" s="12">
        <f t="shared" si="14"/>
        <v>1.537240973158216E-3</v>
      </c>
      <c r="X76" s="12">
        <f t="shared" si="15"/>
        <v>2.1164852571755155E-2</v>
      </c>
      <c r="Y76" s="5">
        <f t="shared" si="18"/>
        <v>2.1164852571755155E-2</v>
      </c>
      <c r="Z76" s="19" t="s">
        <v>53</v>
      </c>
      <c r="AA76" s="19" t="s">
        <v>53</v>
      </c>
      <c r="AB76" s="19" t="s">
        <v>53</v>
      </c>
    </row>
    <row r="77" spans="1:28" x14ac:dyDescent="0.25">
      <c r="A77" s="1">
        <v>45208</v>
      </c>
      <c r="B77" s="1" t="str">
        <f t="shared" si="11"/>
        <v>202310</v>
      </c>
      <c r="C77" s="2">
        <f>C76*(1+((1+VLOOKUP($B77,'IPCA Hist'!$B:$C,2,0))^12 - 1)+$C$2)^(1/252)</f>
        <v>43097822.955625944</v>
      </c>
      <c r="D77" s="2">
        <f>D76*(1+((1+VLOOKUP($B77,'IPCA Hist'!$B:$C,2,0))^12 - 1)+$D$2)^(1/252)</f>
        <v>43115234.427087054</v>
      </c>
      <c r="E77" s="2">
        <f>E76*(1+((1+VLOOKUP($B77,'IPCA Hist'!$B:$C,2,0))^12 - 1)+$E$2)^(1/252)</f>
        <v>43372040.5032814</v>
      </c>
      <c r="F77" s="2">
        <f>F76*(1+((1+VLOOKUP($B77,'IPCA Hist'!$B:$C,2,0))^12 - 1)+$F$2)^(1/252)</f>
        <v>43354505.325139917</v>
      </c>
      <c r="G77" s="2">
        <f>G76*(1+((1+VLOOKUP($B77,'IPCA Hist'!$B:$C,2,0))^12 - 1)+$G$2)^(1/252)</f>
        <v>43336969.113173068</v>
      </c>
      <c r="H77" s="2">
        <f>H76*(1+((1+VLOOKUP($B77,'IPCA Hist'!$B:$C,2,0))^12 - 1)+$H$2)^(1/252)</f>
        <v>44355801.89765694</v>
      </c>
      <c r="I77" s="2">
        <f>I76*(1+((1+VLOOKUP($B77,'IPCA Hist'!$B:$C,2,0))^12 - 1)+$I$2)^(1/252)</f>
        <v>224044195.79977483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f t="shared" si="10"/>
        <v>484676570.02173913</v>
      </c>
      <c r="P77" s="2">
        <v>0</v>
      </c>
      <c r="Q77" s="2">
        <v>0</v>
      </c>
      <c r="R77" s="2">
        <f t="shared" si="19"/>
        <v>148875.67070686817</v>
      </c>
      <c r="S77" s="2">
        <f t="shared" si="12"/>
        <v>892568.26037299633</v>
      </c>
      <c r="T77" s="2">
        <f t="shared" si="13"/>
        <v>7389374.5686390996</v>
      </c>
      <c r="U77" s="11">
        <f t="shared" si="16"/>
        <v>1.0214786150338422</v>
      </c>
      <c r="V77" s="12">
        <f t="shared" si="17"/>
        <v>3.0725936296849277E-4</v>
      </c>
      <c r="W77" s="12">
        <f t="shared" si="14"/>
        <v>1.8449726678089196E-3</v>
      </c>
      <c r="X77" s="12">
        <f t="shared" si="15"/>
        <v>2.1478615033842186E-2</v>
      </c>
      <c r="Y77" s="5">
        <f t="shared" si="18"/>
        <v>2.1478615033842186E-2</v>
      </c>
      <c r="Z77" s="19" t="s">
        <v>53</v>
      </c>
      <c r="AA77" s="19" t="s">
        <v>53</v>
      </c>
      <c r="AB77" s="19" t="s">
        <v>53</v>
      </c>
    </row>
    <row r="78" spans="1:28" x14ac:dyDescent="0.25">
      <c r="A78" s="1">
        <v>45209</v>
      </c>
      <c r="B78" s="1" t="str">
        <f t="shared" si="11"/>
        <v>202310</v>
      </c>
      <c r="C78" s="2">
        <f>C77*(1+((1+VLOOKUP($B78,'IPCA Hist'!$B:$C,2,0))^12 - 1)+$C$2)^(1/252)</f>
        <v>43111378.401303187</v>
      </c>
      <c r="D78" s="2">
        <f>D77*(1+((1+VLOOKUP($B78,'IPCA Hist'!$B:$C,2,0))^12 - 1)+$D$2)^(1/252)</f>
        <v>43128779.53777504</v>
      </c>
      <c r="E78" s="2">
        <f>E77*(1+((1+VLOOKUP($B78,'IPCA Hist'!$B:$C,2,0))^12 - 1)+$E$2)^(1/252)</f>
        <v>43385411.604272231</v>
      </c>
      <c r="F78" s="2">
        <f>F77*(1+((1+VLOOKUP($B78,'IPCA Hist'!$B:$C,2,0))^12 - 1)+$F$2)^(1/252)</f>
        <v>43367886.942800142</v>
      </c>
      <c r="G78" s="2">
        <f>G77*(1+((1+VLOOKUP($B78,'IPCA Hist'!$B:$C,2,0))^12 - 1)+$G$2)^(1/252)</f>
        <v>43350361.232836492</v>
      </c>
      <c r="H78" s="2">
        <f>H77*(1+((1+VLOOKUP($B78,'IPCA Hist'!$B:$C,2,0))^12 - 1)+$H$2)^(1/252)</f>
        <v>44369313.295308784</v>
      </c>
      <c r="I78" s="2">
        <f>I77*(1+((1+VLOOKUP($B78,'IPCA Hist'!$B:$C,2,0))^12 - 1)+$I$2)^(1/252)</f>
        <v>224112360.42853147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f t="shared" si="10"/>
        <v>484825491.44282734</v>
      </c>
      <c r="P78" s="2">
        <v>0</v>
      </c>
      <c r="Q78" s="2">
        <v>0</v>
      </c>
      <c r="R78" s="2">
        <f t="shared" si="19"/>
        <v>148921.42108821869</v>
      </c>
      <c r="S78" s="2">
        <f t="shared" si="12"/>
        <v>1041489.681461215</v>
      </c>
      <c r="T78" s="2">
        <f t="shared" si="13"/>
        <v>7538295.9897273183</v>
      </c>
      <c r="U78" s="11">
        <f t="shared" si="16"/>
        <v>1.0217924739170048</v>
      </c>
      <c r="V78" s="12">
        <f t="shared" si="17"/>
        <v>3.0725937728237618E-4</v>
      </c>
      <c r="W78" s="12">
        <f t="shared" si="14"/>
        <v>2.1527989302443373E-3</v>
      </c>
      <c r="X78" s="12">
        <f t="shared" si="15"/>
        <v>2.1792473917004784E-2</v>
      </c>
      <c r="Y78" s="5">
        <f t="shared" si="18"/>
        <v>2.1792473917004784E-2</v>
      </c>
      <c r="Z78" s="19" t="s">
        <v>53</v>
      </c>
      <c r="AA78" s="19" t="s">
        <v>53</v>
      </c>
      <c r="AB78" s="19" t="s">
        <v>53</v>
      </c>
    </row>
    <row r="79" spans="1:28" x14ac:dyDescent="0.25">
      <c r="A79" s="1">
        <v>45210</v>
      </c>
      <c r="B79" s="1" t="str">
        <f t="shared" si="11"/>
        <v>202310</v>
      </c>
      <c r="C79" s="2">
        <f>C78*(1+((1+VLOOKUP($B79,'IPCA Hist'!$B:$C,2,0))^12 - 1)+$C$2)^(1/252)</f>
        <v>43124938.110539347</v>
      </c>
      <c r="D79" s="2">
        <f>D78*(1+((1+VLOOKUP($B79,'IPCA Hist'!$B:$C,2,0))^12 - 1)+$D$2)^(1/252)</f>
        <v>43142328.903803997</v>
      </c>
      <c r="E79" s="2">
        <f>E78*(1+((1+VLOOKUP($B79,'IPCA Hist'!$B:$C,2,0))^12 - 1)+$E$2)^(1/252)</f>
        <v>43398786.827419639</v>
      </c>
      <c r="F79" s="2">
        <f>F78*(1+((1+VLOOKUP($B79,'IPCA Hist'!$B:$C,2,0))^12 - 1)+$F$2)^(1/252)</f>
        <v>43381272.690773696</v>
      </c>
      <c r="G79" s="2">
        <f>G78*(1+((1+VLOOKUP($B79,'IPCA Hist'!$B:$C,2,0))^12 - 1)+$G$2)^(1/252)</f>
        <v>43363757.490972742</v>
      </c>
      <c r="H79" s="2">
        <f>H78*(1+((1+VLOOKUP($B79,'IPCA Hist'!$B:$C,2,0))^12 - 1)+$H$2)^(1/252)</f>
        <v>44382828.808721334</v>
      </c>
      <c r="I79" s="2">
        <f>I78*(1+((1+VLOOKUP($B79,'IPCA Hist'!$B:$C,2,0))^12 - 1)+$I$2)^(1/252)</f>
        <v>224180545.79612759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f t="shared" si="10"/>
        <v>484974458.62835836</v>
      </c>
      <c r="P79" s="2">
        <v>0</v>
      </c>
      <c r="Q79" s="2">
        <v>0</v>
      </c>
      <c r="R79" s="2">
        <f t="shared" si="19"/>
        <v>148967.18553102016</v>
      </c>
      <c r="S79" s="2">
        <f t="shared" si="12"/>
        <v>1190456.8669922352</v>
      </c>
      <c r="T79" s="2">
        <f t="shared" si="13"/>
        <v>7687263.1752583385</v>
      </c>
      <c r="U79" s="11">
        <f t="shared" si="16"/>
        <v>1.0221064292508779</v>
      </c>
      <c r="V79" s="12">
        <f t="shared" si="17"/>
        <v>3.0725939159603755E-4</v>
      </c>
      <c r="W79" s="12">
        <f t="shared" si="14"/>
        <v>2.460719789529886E-3</v>
      </c>
      <c r="X79" s="12">
        <f t="shared" si="15"/>
        <v>2.2106429250877913E-2</v>
      </c>
      <c r="Y79" s="5">
        <f t="shared" si="18"/>
        <v>2.2106429250877913E-2</v>
      </c>
      <c r="Z79" s="19" t="s">
        <v>53</v>
      </c>
      <c r="AA79" s="19" t="s">
        <v>53</v>
      </c>
      <c r="AB79" s="19" t="s">
        <v>53</v>
      </c>
    </row>
    <row r="80" spans="1:28" x14ac:dyDescent="0.25">
      <c r="A80" s="1">
        <v>45212</v>
      </c>
      <c r="B80" s="1" t="str">
        <f t="shared" si="11"/>
        <v>202310</v>
      </c>
      <c r="C80" s="2">
        <f>C79*(1+((1+VLOOKUP($B80,'IPCA Hist'!$B:$C,2,0))^12 - 1)+$C$2)^(1/252)</f>
        <v>43138502.084675431</v>
      </c>
      <c r="D80" s="2">
        <f>D79*(1+((1+VLOOKUP($B80,'IPCA Hist'!$B:$C,2,0))^12 - 1)+$D$2)^(1/252)</f>
        <v>43155882.526510783</v>
      </c>
      <c r="E80" s="2">
        <f>E79*(1+((1+VLOOKUP($B80,'IPCA Hist'!$B:$C,2,0))^12 - 1)+$E$2)^(1/252)</f>
        <v>43412166.173994429</v>
      </c>
      <c r="F80" s="2">
        <f>F79*(1+((1+VLOOKUP($B80,'IPCA Hist'!$B:$C,2,0))^12 - 1)+$F$2)^(1/252)</f>
        <v>43394662.570335418</v>
      </c>
      <c r="G80" s="2">
        <f>G79*(1+((1+VLOOKUP($B80,'IPCA Hist'!$B:$C,2,0))^12 - 1)+$G$2)^(1/252)</f>
        <v>43377157.888860703</v>
      </c>
      <c r="H80" s="2">
        <f>H79*(1+((1+VLOOKUP($B80,'IPCA Hist'!$B:$C,2,0))^12 - 1)+$H$2)^(1/252)</f>
        <v>44396348.439148307</v>
      </c>
      <c r="I80" s="2">
        <f>I79*(1+((1+VLOOKUP($B80,'IPCA Hist'!$B:$C,2,0))^12 - 1)+$I$2)^(1/252)</f>
        <v>224248751.9088729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f t="shared" si="10"/>
        <v>485123471.59239793</v>
      </c>
      <c r="P80" s="2">
        <v>0</v>
      </c>
      <c r="Q80" s="2">
        <v>0</v>
      </c>
      <c r="R80" s="2">
        <f t="shared" si="19"/>
        <v>149012.96403956413</v>
      </c>
      <c r="S80" s="2">
        <f t="shared" si="12"/>
        <v>1339469.8310317993</v>
      </c>
      <c r="T80" s="2">
        <f t="shared" si="13"/>
        <v>7836276.1392979026</v>
      </c>
      <c r="U80" s="11">
        <f t="shared" si="16"/>
        <v>1.0224204810651061</v>
      </c>
      <c r="V80" s="12">
        <f t="shared" si="17"/>
        <v>3.0725940590969891E-4</v>
      </c>
      <c r="W80" s="12">
        <f t="shared" si="14"/>
        <v>2.7687352747403082E-3</v>
      </c>
      <c r="X80" s="12">
        <f t="shared" si="15"/>
        <v>2.2420481065106079E-2</v>
      </c>
      <c r="Y80" s="5">
        <f t="shared" si="18"/>
        <v>2.2420481065106079E-2</v>
      </c>
      <c r="Z80" s="19" t="s">
        <v>53</v>
      </c>
      <c r="AA80" s="19" t="s">
        <v>53</v>
      </c>
      <c r="AB80" s="19" t="s">
        <v>53</v>
      </c>
    </row>
    <row r="81" spans="1:28" x14ac:dyDescent="0.25">
      <c r="A81" s="1">
        <v>45215</v>
      </c>
      <c r="B81" s="1" t="str">
        <f t="shared" si="11"/>
        <v>202310</v>
      </c>
      <c r="C81" s="2">
        <f>C80*(1+((1+VLOOKUP($B81,'IPCA Hist'!$B:$C,2,0))^12 - 1)+$C$2)^(1/252)</f>
        <v>43152070.325052872</v>
      </c>
      <c r="D81" s="2">
        <f>D80*(1+((1+VLOOKUP($B81,'IPCA Hist'!$B:$C,2,0))^12 - 1)+$D$2)^(1/252)</f>
        <v>43169440.407232679</v>
      </c>
      <c r="E81" s="2">
        <f>E80*(1+((1+VLOOKUP($B81,'IPCA Hist'!$B:$C,2,0))^12 - 1)+$E$2)^(1/252)</f>
        <v>43425549.645267807</v>
      </c>
      <c r="F81" s="2">
        <f>F80*(1+((1+VLOOKUP($B81,'IPCA Hist'!$B:$C,2,0))^12 - 1)+$F$2)^(1/252)</f>
        <v>43408056.582760558</v>
      </c>
      <c r="G81" s="2">
        <f>G80*(1+((1+VLOOKUP($B81,'IPCA Hist'!$B:$C,2,0))^12 - 1)+$G$2)^(1/252)</f>
        <v>43390562.427779652</v>
      </c>
      <c r="H81" s="2">
        <f>H80*(1+((1+VLOOKUP($B81,'IPCA Hist'!$B:$C,2,0))^12 - 1)+$H$2)^(1/252)</f>
        <v>44409872.1878438</v>
      </c>
      <c r="I81" s="2">
        <f>I80*(1+((1+VLOOKUP($B81,'IPCA Hist'!$B:$C,2,0))^12 - 1)+$I$2)^(1/252)</f>
        <v>224316978.77307907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f t="shared" si="10"/>
        <v>485272530.34901643</v>
      </c>
      <c r="P81" s="2">
        <v>0</v>
      </c>
      <c r="Q81" s="2">
        <v>0</v>
      </c>
      <c r="R81" s="2">
        <f t="shared" si="19"/>
        <v>149058.75661849976</v>
      </c>
      <c r="S81" s="2">
        <f t="shared" si="12"/>
        <v>1488528.5876502991</v>
      </c>
      <c r="T81" s="2">
        <f t="shared" si="13"/>
        <v>7985334.8959164023</v>
      </c>
      <c r="U81" s="11">
        <f t="shared" si="16"/>
        <v>1.0227346293893433</v>
      </c>
      <c r="V81" s="12">
        <f t="shared" si="17"/>
        <v>3.0725942022402641E-4</v>
      </c>
      <c r="W81" s="12">
        <f t="shared" si="14"/>
        <v>3.0768454149596725E-3</v>
      </c>
      <c r="X81" s="12">
        <f t="shared" si="15"/>
        <v>2.2734629389343342E-2</v>
      </c>
      <c r="Y81" s="5">
        <f t="shared" si="18"/>
        <v>2.2734629389343342E-2</v>
      </c>
      <c r="Z81" s="19" t="s">
        <v>53</v>
      </c>
      <c r="AA81" s="19" t="s">
        <v>53</v>
      </c>
      <c r="AB81" s="19" t="s">
        <v>53</v>
      </c>
    </row>
    <row r="82" spans="1:28" x14ac:dyDescent="0.25">
      <c r="A82" s="1">
        <v>45216</v>
      </c>
      <c r="B82" s="1" t="str">
        <f t="shared" si="11"/>
        <v>202310</v>
      </c>
      <c r="C82" s="2">
        <f>C81*(1+((1+VLOOKUP($B82,'IPCA Hist'!$B:$C,2,0))^12 - 1)+$C$2)^(1/252)</f>
        <v>43165642.83301352</v>
      </c>
      <c r="D82" s="2">
        <f>D81*(1+((1+VLOOKUP($B82,'IPCA Hist'!$B:$C,2,0))^12 - 1)+$D$2)^(1/252)</f>
        <v>43183002.547307394</v>
      </c>
      <c r="E82" s="2">
        <f>E81*(1+((1+VLOOKUP($B82,'IPCA Hist'!$B:$C,2,0))^12 - 1)+$E$2)^(1/252)</f>
        <v>43438937.242511369</v>
      </c>
      <c r="F82" s="2">
        <f>F81*(1+((1+VLOOKUP($B82,'IPCA Hist'!$B:$C,2,0))^12 - 1)+$F$2)^(1/252)</f>
        <v>43421454.729324736</v>
      </c>
      <c r="G82" s="2">
        <f>G81*(1+((1+VLOOKUP($B82,'IPCA Hist'!$B:$C,2,0))^12 - 1)+$G$2)^(1/252)</f>
        <v>43403971.109009266</v>
      </c>
      <c r="H82" s="2">
        <f>H81*(1+((1+VLOOKUP($B82,'IPCA Hist'!$B:$C,2,0))^12 - 1)+$H$2)^(1/252)</f>
        <v>44423400.056062303</v>
      </c>
      <c r="I82" s="2">
        <f>I81*(1+((1+VLOOKUP($B82,'IPCA Hist'!$B:$C,2,0))^12 - 1)+$I$2)^(1/252)</f>
        <v>224385226.39505962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f t="shared" si="10"/>
        <v>485421634.91228819</v>
      </c>
      <c r="P82" s="2">
        <v>0</v>
      </c>
      <c r="Q82" s="2">
        <v>0</v>
      </c>
      <c r="R82" s="2">
        <f t="shared" si="19"/>
        <v>149104.56327176094</v>
      </c>
      <c r="S82" s="2">
        <f t="shared" si="12"/>
        <v>1637633.15092206</v>
      </c>
      <c r="T82" s="2">
        <f t="shared" si="13"/>
        <v>8134439.4591881633</v>
      </c>
      <c r="U82" s="11">
        <f t="shared" si="16"/>
        <v>1.0230488742532515</v>
      </c>
      <c r="V82" s="12">
        <f t="shared" si="17"/>
        <v>3.0725943453768778E-4</v>
      </c>
      <c r="W82" s="12">
        <f t="shared" si="14"/>
        <v>3.3850502392798187E-3</v>
      </c>
      <c r="X82" s="12">
        <f t="shared" si="15"/>
        <v>2.3048874253251528E-2</v>
      </c>
      <c r="Y82" s="5">
        <f t="shared" si="18"/>
        <v>2.3048874253251528E-2</v>
      </c>
      <c r="Z82" s="19" t="s">
        <v>53</v>
      </c>
      <c r="AA82" s="19" t="s">
        <v>53</v>
      </c>
      <c r="AB82" s="19" t="s">
        <v>53</v>
      </c>
    </row>
    <row r="83" spans="1:28" x14ac:dyDescent="0.25">
      <c r="A83" s="1">
        <v>45217</v>
      </c>
      <c r="B83" s="1" t="str">
        <f t="shared" si="11"/>
        <v>202310</v>
      </c>
      <c r="C83" s="2">
        <f>C82*(1+((1+VLOOKUP($B83,'IPCA Hist'!$B:$C,2,0))^12 - 1)+$C$2)^(1/252)</f>
        <v>43179219.60989964</v>
      </c>
      <c r="D83" s="2">
        <f>D82*(1+((1+VLOOKUP($B83,'IPCA Hist'!$B:$C,2,0))^12 - 1)+$D$2)^(1/252)</f>
        <v>43196568.948073044</v>
      </c>
      <c r="E83" s="2">
        <f>E82*(1+((1+VLOOKUP($B83,'IPCA Hist'!$B:$C,2,0))^12 - 1)+$E$2)^(1/252)</f>
        <v>43452328.966997102</v>
      </c>
      <c r="F83" s="2">
        <f>F82*(1+((1+VLOOKUP($B83,'IPCA Hist'!$B:$C,2,0))^12 - 1)+$F$2)^(1/252)</f>
        <v>43434857.011303984</v>
      </c>
      <c r="G83" s="2">
        <f>G82*(1+((1+VLOOKUP($B83,'IPCA Hist'!$B:$C,2,0))^12 - 1)+$G$2)^(1/252)</f>
        <v>43417383.933829606</v>
      </c>
      <c r="H83" s="2">
        <f>H82*(1+((1+VLOOKUP($B83,'IPCA Hist'!$B:$C,2,0))^12 - 1)+$H$2)^(1/252)</f>
        <v>44436932.045058675</v>
      </c>
      <c r="I83" s="2">
        <f>I82*(1+((1+VLOOKUP($B83,'IPCA Hist'!$B:$C,2,0))^12 - 1)+$I$2)^(1/252)</f>
        <v>224453494.78113005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f t="shared" si="10"/>
        <v>485570785.29629207</v>
      </c>
      <c r="P83" s="2">
        <v>0</v>
      </c>
      <c r="Q83" s="2">
        <v>0</v>
      </c>
      <c r="R83" s="2">
        <f t="shared" si="19"/>
        <v>149150.38400387764</v>
      </c>
      <c r="S83" s="2">
        <f t="shared" si="12"/>
        <v>1786783.5349259377</v>
      </c>
      <c r="T83" s="2">
        <f t="shared" si="13"/>
        <v>8283589.8431920409</v>
      </c>
      <c r="U83" s="11">
        <f t="shared" si="16"/>
        <v>1.0233632156865031</v>
      </c>
      <c r="V83" s="12">
        <f t="shared" si="17"/>
        <v>3.0725944885179324E-4</v>
      </c>
      <c r="W83" s="12">
        <f t="shared" si="14"/>
        <v>3.6933497768025791E-3</v>
      </c>
      <c r="X83" s="12">
        <f t="shared" si="15"/>
        <v>2.3363215686503125E-2</v>
      </c>
      <c r="Y83" s="5">
        <f t="shared" si="18"/>
        <v>2.3363215686503125E-2</v>
      </c>
      <c r="Z83" s="19" t="s">
        <v>53</v>
      </c>
      <c r="AA83" s="19" t="s">
        <v>53</v>
      </c>
      <c r="AB83" s="19" t="s">
        <v>53</v>
      </c>
    </row>
    <row r="84" spans="1:28" x14ac:dyDescent="0.25">
      <c r="A84" s="1">
        <v>45218</v>
      </c>
      <c r="B84" s="1" t="str">
        <f t="shared" si="11"/>
        <v>202310</v>
      </c>
      <c r="C84" s="2">
        <f>C83*(1+((1+VLOOKUP($B84,'IPCA Hist'!$B:$C,2,0))^12 - 1)+$C$2)^(1/252)</f>
        <v>43192800.657053933</v>
      </c>
      <c r="D84" s="2">
        <f>D83*(1+((1+VLOOKUP($B84,'IPCA Hist'!$B:$C,2,0))^12 - 1)+$D$2)^(1/252)</f>
        <v>43210139.610868171</v>
      </c>
      <c r="E84" s="2">
        <f>E83*(1+((1+VLOOKUP($B84,'IPCA Hist'!$B:$C,2,0))^12 - 1)+$E$2)^(1/252)</f>
        <v>43465724.819997393</v>
      </c>
      <c r="F84" s="2">
        <f>F83*(1+((1+VLOOKUP($B84,'IPCA Hist'!$B:$C,2,0))^12 - 1)+$F$2)^(1/252)</f>
        <v>43448263.429974727</v>
      </c>
      <c r="G84" s="2">
        <f>G83*(1+((1+VLOOKUP($B84,'IPCA Hist'!$B:$C,2,0))^12 - 1)+$G$2)^(1/252)</f>
        <v>43430800.903521143</v>
      </c>
      <c r="H84" s="2">
        <f>H83*(1+((1+VLOOKUP($B84,'IPCA Hist'!$B:$C,2,0))^12 - 1)+$H$2)^(1/252)</f>
        <v>44450468.156088166</v>
      </c>
      <c r="I84" s="2">
        <f>I83*(1+((1+VLOOKUP($B84,'IPCA Hist'!$B:$C,2,0))^12 - 1)+$I$2)^(1/252)</f>
        <v>224521783.93760774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f t="shared" si="10"/>
        <v>485719981.51511133</v>
      </c>
      <c r="P84" s="2">
        <v>0</v>
      </c>
      <c r="Q84" s="2">
        <v>0</v>
      </c>
      <c r="R84" s="2">
        <f t="shared" si="19"/>
        <v>149196.2188192606</v>
      </c>
      <c r="S84" s="2">
        <f t="shared" si="12"/>
        <v>1935979.7537451982</v>
      </c>
      <c r="T84" s="2">
        <f t="shared" si="13"/>
        <v>8432786.0620113015</v>
      </c>
      <c r="U84" s="11">
        <f t="shared" si="16"/>
        <v>1.0236776537187788</v>
      </c>
      <c r="V84" s="12">
        <f t="shared" si="17"/>
        <v>3.0725946316612074E-4</v>
      </c>
      <c r="W84" s="12">
        <f t="shared" si="14"/>
        <v>4.0017440566384455E-3</v>
      </c>
      <c r="X84" s="12">
        <f t="shared" si="15"/>
        <v>2.3677653718778835E-2</v>
      </c>
      <c r="Y84" s="5">
        <f t="shared" si="18"/>
        <v>2.3677653718778835E-2</v>
      </c>
      <c r="Z84" s="19" t="s">
        <v>53</v>
      </c>
      <c r="AA84" s="19" t="s">
        <v>53</v>
      </c>
      <c r="AB84" s="19" t="s">
        <v>53</v>
      </c>
    </row>
    <row r="85" spans="1:28" x14ac:dyDescent="0.25">
      <c r="A85" s="1">
        <v>45219</v>
      </c>
      <c r="B85" s="1" t="str">
        <f t="shared" si="11"/>
        <v>202310</v>
      </c>
      <c r="C85" s="2">
        <f>C84*(1+((1+VLOOKUP($B85,'IPCA Hist'!$B:$C,2,0))^12 - 1)+$C$2)^(1/252)</f>
        <v>43206385.975819506</v>
      </c>
      <c r="D85" s="2">
        <f>D84*(1+((1+VLOOKUP($B85,'IPCA Hist'!$B:$C,2,0))^12 - 1)+$D$2)^(1/252)</f>
        <v>43223714.537031732</v>
      </c>
      <c r="E85" s="2">
        <f>E84*(1+((1+VLOOKUP($B85,'IPCA Hist'!$B:$C,2,0))^12 - 1)+$E$2)^(1/252)</f>
        <v>43479124.802785017</v>
      </c>
      <c r="F85" s="2">
        <f>F84*(1+((1+VLOOKUP($B85,'IPCA Hist'!$B:$C,2,0))^12 - 1)+$F$2)^(1/252)</f>
        <v>43461673.986613773</v>
      </c>
      <c r="G85" s="2">
        <f>G84*(1+((1+VLOOKUP($B85,'IPCA Hist'!$B:$C,2,0))^12 - 1)+$G$2)^(1/252)</f>
        <v>43444222.019364737</v>
      </c>
      <c r="H85" s="2">
        <f>H84*(1+((1+VLOOKUP($B85,'IPCA Hist'!$B:$C,2,0))^12 - 1)+$H$2)^(1/252)</f>
        <v>44464008.3904064</v>
      </c>
      <c r="I85" s="2">
        <f>I84*(1+((1+VLOOKUP($B85,'IPCA Hist'!$B:$C,2,0))^12 - 1)+$I$2)^(1/252)</f>
        <v>224590093.870812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f t="shared" si="10"/>
        <v>485869223.58283317</v>
      </c>
      <c r="P85" s="2">
        <v>0</v>
      </c>
      <c r="Q85" s="2">
        <v>0</v>
      </c>
      <c r="R85" s="2">
        <f t="shared" si="19"/>
        <v>149242.06772184372</v>
      </c>
      <c r="S85" s="2">
        <f t="shared" si="12"/>
        <v>2085221.821467042</v>
      </c>
      <c r="T85" s="2">
        <f t="shared" si="13"/>
        <v>8582028.1297331452</v>
      </c>
      <c r="U85" s="11">
        <f t="shared" si="16"/>
        <v>1.0239921883797682</v>
      </c>
      <c r="V85" s="12">
        <f t="shared" si="17"/>
        <v>3.0725947747978211E-4</v>
      </c>
      <c r="W85" s="12">
        <f t="shared" si="14"/>
        <v>4.3102331079061251E-3</v>
      </c>
      <c r="X85" s="12">
        <f t="shared" si="15"/>
        <v>2.3992188379768242E-2</v>
      </c>
      <c r="Y85" s="5">
        <f t="shared" si="18"/>
        <v>2.3992188379768242E-2</v>
      </c>
      <c r="Z85" s="19" t="s">
        <v>53</v>
      </c>
      <c r="AA85" s="19" t="s">
        <v>53</v>
      </c>
      <c r="AB85" s="19" t="s">
        <v>53</v>
      </c>
    </row>
    <row r="86" spans="1:28" x14ac:dyDescent="0.25">
      <c r="A86" s="1">
        <v>45222</v>
      </c>
      <c r="B86" s="1" t="str">
        <f t="shared" si="11"/>
        <v>202310</v>
      </c>
      <c r="C86" s="2">
        <f>C85*(1+((1+VLOOKUP($B86,'IPCA Hist'!$B:$C,2,0))^12 - 1)+$C$2)^(1/252)</f>
        <v>43219975.567539908</v>
      </c>
      <c r="D86" s="2">
        <f>D85*(1+((1+VLOOKUP($B86,'IPCA Hist'!$B:$C,2,0))^12 - 1)+$D$2)^(1/252)</f>
        <v>43237293.727903113</v>
      </c>
      <c r="E86" s="2">
        <f>E85*(1+((1+VLOOKUP($B86,'IPCA Hist'!$B:$C,2,0))^12 - 1)+$E$2)^(1/252)</f>
        <v>43492528.916633137</v>
      </c>
      <c r="F86" s="2">
        <f>F85*(1+((1+VLOOKUP($B86,'IPCA Hist'!$B:$C,2,0))^12 - 1)+$F$2)^(1/252)</f>
        <v>43475088.682498328</v>
      </c>
      <c r="G86" s="2">
        <f>G85*(1+((1+VLOOKUP($B86,'IPCA Hist'!$B:$C,2,0))^12 - 1)+$G$2)^(1/252)</f>
        <v>43457647.282641649</v>
      </c>
      <c r="H86" s="2">
        <f>H85*(1+((1+VLOOKUP($B86,'IPCA Hist'!$B:$C,2,0))^12 - 1)+$H$2)^(1/252)</f>
        <v>44477552.749269389</v>
      </c>
      <c r="I86" s="2">
        <f>I85*(1+((1+VLOOKUP($B86,'IPCA Hist'!$B:$C,2,0))^12 - 1)+$I$2)^(1/252)</f>
        <v>224658424.58706409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f t="shared" si="10"/>
        <v>486018511.51354963</v>
      </c>
      <c r="P86" s="2">
        <v>0</v>
      </c>
      <c r="Q86" s="2">
        <v>0</v>
      </c>
      <c r="R86" s="2">
        <f t="shared" si="19"/>
        <v>149287.93071645498</v>
      </c>
      <c r="S86" s="2">
        <f t="shared" si="12"/>
        <v>2234509.752183497</v>
      </c>
      <c r="T86" s="2">
        <f t="shared" si="13"/>
        <v>8731316.0604496002</v>
      </c>
      <c r="U86" s="11">
        <f t="shared" si="16"/>
        <v>1.0243068196991709</v>
      </c>
      <c r="V86" s="12">
        <f t="shared" si="17"/>
        <v>3.0725949179410961E-4</v>
      </c>
      <c r="W86" s="12">
        <f t="shared" si="14"/>
        <v>4.6188169597345397E-3</v>
      </c>
      <c r="X86" s="12">
        <f t="shared" si="15"/>
        <v>2.4306819699170923E-2</v>
      </c>
      <c r="Y86" s="5">
        <f t="shared" si="18"/>
        <v>2.4306819699170923E-2</v>
      </c>
      <c r="Z86" s="19" t="s">
        <v>53</v>
      </c>
      <c r="AA86" s="19" t="s">
        <v>53</v>
      </c>
      <c r="AB86" s="19" t="s">
        <v>53</v>
      </c>
    </row>
    <row r="87" spans="1:28" x14ac:dyDescent="0.25">
      <c r="A87" s="1">
        <v>45223</v>
      </c>
      <c r="B87" s="1" t="str">
        <f t="shared" si="11"/>
        <v>202310</v>
      </c>
      <c r="C87" s="2">
        <f>C86*(1+((1+VLOOKUP($B87,'IPCA Hist'!$B:$C,2,0))^12 - 1)+$C$2)^(1/252)</f>
        <v>43233569.433559097</v>
      </c>
      <c r="D87" s="2">
        <f>D86*(1+((1+VLOOKUP($B87,'IPCA Hist'!$B:$C,2,0))^12 - 1)+$D$2)^(1/252)</f>
        <v>43250877.18482212</v>
      </c>
      <c r="E87" s="2">
        <f>E86*(1+((1+VLOOKUP($B87,'IPCA Hist'!$B:$C,2,0))^12 - 1)+$E$2)^(1/252)</f>
        <v>43505937.16281531</v>
      </c>
      <c r="F87" s="2">
        <f>F86*(1+((1+VLOOKUP($B87,'IPCA Hist'!$B:$C,2,0))^12 - 1)+$F$2)^(1/252)</f>
        <v>43488507.518905997</v>
      </c>
      <c r="G87" s="2">
        <f>G86*(1+((1+VLOOKUP($B87,'IPCA Hist'!$B:$C,2,0))^12 - 1)+$G$2)^(1/252)</f>
        <v>43471076.694633521</v>
      </c>
      <c r="H87" s="2">
        <f>H86*(1+((1+VLOOKUP($B87,'IPCA Hist'!$B:$C,2,0))^12 - 1)+$H$2)^(1/252)</f>
        <v>44491101.233933531</v>
      </c>
      <c r="I87" s="2">
        <f>I86*(1+((1+VLOOKUP($B87,'IPCA Hist'!$B:$C,2,0))^12 - 1)+$I$2)^(1/252)</f>
        <v>224726776.09268719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f t="shared" si="10"/>
        <v>486167845.32135677</v>
      </c>
      <c r="P87" s="2">
        <v>0</v>
      </c>
      <c r="Q87" s="2">
        <v>0</v>
      </c>
      <c r="R87" s="2">
        <f t="shared" si="19"/>
        <v>149333.8078071475</v>
      </c>
      <c r="S87" s="2">
        <f t="shared" si="12"/>
        <v>2383843.5599906445</v>
      </c>
      <c r="T87" s="2">
        <f t="shared" si="13"/>
        <v>8880649.8682567477</v>
      </c>
      <c r="U87" s="11">
        <f t="shared" si="16"/>
        <v>1.0246215477066949</v>
      </c>
      <c r="V87" s="12">
        <f t="shared" si="17"/>
        <v>3.0725950610821506E-4</v>
      </c>
      <c r="W87" s="12">
        <f t="shared" si="14"/>
        <v>4.9274956412606041E-3</v>
      </c>
      <c r="X87" s="12">
        <f t="shared" si="15"/>
        <v>2.4621547706694891E-2</v>
      </c>
      <c r="Y87" s="5">
        <f t="shared" si="18"/>
        <v>2.4621547706694891E-2</v>
      </c>
      <c r="Z87" s="19" t="s">
        <v>53</v>
      </c>
      <c r="AA87" s="19" t="s">
        <v>53</v>
      </c>
      <c r="AB87" s="19" t="s">
        <v>53</v>
      </c>
    </row>
    <row r="88" spans="1:28" x14ac:dyDescent="0.25">
      <c r="A88" s="1">
        <v>45224</v>
      </c>
      <c r="B88" s="1" t="str">
        <f t="shared" si="11"/>
        <v>202310</v>
      </c>
      <c r="C88" s="2">
        <f>C87*(1+((1+VLOOKUP($B88,'IPCA Hist'!$B:$C,2,0))^12 - 1)+$C$2)^(1/252)</f>
        <v>43247167.575221457</v>
      </c>
      <c r="D88" s="2">
        <f>D87*(1+((1+VLOOKUP($B88,'IPCA Hist'!$B:$C,2,0))^12 - 1)+$D$2)^(1/252)</f>
        <v>43264464.909128979</v>
      </c>
      <c r="E88" s="2">
        <f>E87*(1+((1+VLOOKUP($B88,'IPCA Hist'!$B:$C,2,0))^12 - 1)+$E$2)^(1/252)</f>
        <v>43519349.542605489</v>
      </c>
      <c r="F88" s="2">
        <f>F87*(1+((1+VLOOKUP($B88,'IPCA Hist'!$B:$C,2,0))^12 - 1)+$F$2)^(1/252)</f>
        <v>43501930.497114778</v>
      </c>
      <c r="G88" s="2">
        <f>G87*(1+((1+VLOOKUP($B88,'IPCA Hist'!$B:$C,2,0))^12 - 1)+$G$2)^(1/252)</f>
        <v>43484510.256622411</v>
      </c>
      <c r="H88" s="2">
        <f>H87*(1+((1+VLOOKUP($B88,'IPCA Hist'!$B:$C,2,0))^12 - 1)+$H$2)^(1/252)</f>
        <v>44504653.845655605</v>
      </c>
      <c r="I88" s="2">
        <f>I87*(1+((1+VLOOKUP($B88,'IPCA Hist'!$B:$C,2,0))^12 - 1)+$I$2)^(1/252)</f>
        <v>224795148.39400637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f t="shared" si="10"/>
        <v>486317225.02035511</v>
      </c>
      <c r="P88" s="2">
        <v>0</v>
      </c>
      <c r="Q88" s="2">
        <v>0</v>
      </c>
      <c r="R88" s="2">
        <f t="shared" si="19"/>
        <v>149379.69899833202</v>
      </c>
      <c r="S88" s="2">
        <f t="shared" si="12"/>
        <v>2533223.2589889765</v>
      </c>
      <c r="T88" s="2">
        <f t="shared" si="13"/>
        <v>9030029.5672550797</v>
      </c>
      <c r="U88" s="11">
        <f t="shared" si="16"/>
        <v>1.0249363724320579</v>
      </c>
      <c r="V88" s="12">
        <f t="shared" si="17"/>
        <v>3.0725952042254256E-4</v>
      </c>
      <c r="W88" s="12">
        <f t="shared" si="14"/>
        <v>5.2362691816307816E-3</v>
      </c>
      <c r="X88" s="12">
        <f t="shared" si="15"/>
        <v>2.4936372432057929E-2</v>
      </c>
      <c r="Y88" s="5">
        <f t="shared" si="18"/>
        <v>2.4936372432057929E-2</v>
      </c>
      <c r="Z88" s="19" t="s">
        <v>53</v>
      </c>
      <c r="AA88" s="19" t="s">
        <v>53</v>
      </c>
      <c r="AB88" s="19" t="s">
        <v>53</v>
      </c>
    </row>
    <row r="89" spans="1:28" x14ac:dyDescent="0.25">
      <c r="A89" s="1">
        <v>45225</v>
      </c>
      <c r="B89" s="1" t="str">
        <f t="shared" si="11"/>
        <v>202310</v>
      </c>
      <c r="C89" s="2">
        <f>C88*(1+((1+VLOOKUP($B89,'IPCA Hist'!$B:$C,2,0))^12 - 1)+$C$2)^(1/252)</f>
        <v>43260769.993871793</v>
      </c>
      <c r="D89" s="2">
        <f>D88*(1+((1+VLOOKUP($B89,'IPCA Hist'!$B:$C,2,0))^12 - 1)+$D$2)^(1/252)</f>
        <v>43278056.902164333</v>
      </c>
      <c r="E89" s="2">
        <f>E88*(1+((1+VLOOKUP($B89,'IPCA Hist'!$B:$C,2,0))^12 - 1)+$E$2)^(1/252)</f>
        <v>43532766.057278015</v>
      </c>
      <c r="F89" s="2">
        <f>F88*(1+((1+VLOOKUP($B89,'IPCA Hist'!$B:$C,2,0))^12 - 1)+$F$2)^(1/252)</f>
        <v>43515357.618403055</v>
      </c>
      <c r="G89" s="2">
        <f>G88*(1+((1+VLOOKUP($B89,'IPCA Hist'!$B:$C,2,0))^12 - 1)+$G$2)^(1/252)</f>
        <v>43497947.969890758</v>
      </c>
      <c r="H89" s="2">
        <f>H88*(1+((1+VLOOKUP($B89,'IPCA Hist'!$B:$C,2,0))^12 - 1)+$H$2)^(1/252)</f>
        <v>44518210.585692763</v>
      </c>
      <c r="I89" s="2">
        <f>I88*(1+((1+VLOOKUP($B89,'IPCA Hist'!$B:$C,2,0))^12 - 1)+$I$2)^(1/252)</f>
        <v>224863541.49734867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f t="shared" si="10"/>
        <v>486466650.62464935</v>
      </c>
      <c r="P89" s="2">
        <v>0</v>
      </c>
      <c r="Q89" s="2">
        <v>0</v>
      </c>
      <c r="R89" s="2">
        <f t="shared" si="19"/>
        <v>149425.60429424047</v>
      </c>
      <c r="S89" s="2">
        <f t="shared" si="12"/>
        <v>2682648.863283217</v>
      </c>
      <c r="T89" s="2">
        <f t="shared" si="13"/>
        <v>9179455.1715493202</v>
      </c>
      <c r="U89" s="11">
        <f t="shared" si="16"/>
        <v>1.0252512939049863</v>
      </c>
      <c r="V89" s="12">
        <f t="shared" si="17"/>
        <v>3.0725953473687007E-4</v>
      </c>
      <c r="W89" s="12">
        <f t="shared" si="14"/>
        <v>5.5451376100001948E-3</v>
      </c>
      <c r="X89" s="12">
        <f t="shared" si="15"/>
        <v>2.5251293904986261E-2</v>
      </c>
      <c r="Y89" s="5">
        <f t="shared" si="18"/>
        <v>2.5251293904986261E-2</v>
      </c>
      <c r="Z89" s="19" t="s">
        <v>53</v>
      </c>
      <c r="AA89" s="19" t="s">
        <v>53</v>
      </c>
      <c r="AB89" s="19" t="s">
        <v>53</v>
      </c>
    </row>
    <row r="90" spans="1:28" x14ac:dyDescent="0.25">
      <c r="A90" s="1">
        <v>45226</v>
      </c>
      <c r="B90" s="1" t="str">
        <f t="shared" si="11"/>
        <v>202310</v>
      </c>
      <c r="C90" s="2">
        <f>C89*(1+((1+VLOOKUP($B90,'IPCA Hist'!$B:$C,2,0))^12 - 1)+$C$2)^(1/252)</f>
        <v>43274376.690855332</v>
      </c>
      <c r="D90" s="2">
        <f>D89*(1+((1+VLOOKUP($B90,'IPCA Hist'!$B:$C,2,0))^12 - 1)+$D$2)^(1/252)</f>
        <v>43291653.165269241</v>
      </c>
      <c r="E90" s="2">
        <f>E89*(1+((1+VLOOKUP($B90,'IPCA Hist'!$B:$C,2,0))^12 - 1)+$E$2)^(1/252)</f>
        <v>43546186.708107628</v>
      </c>
      <c r="F90" s="2">
        <f>F89*(1+((1+VLOOKUP($B90,'IPCA Hist'!$B:$C,2,0))^12 - 1)+$F$2)^(1/252)</f>
        <v>43528788.884049617</v>
      </c>
      <c r="G90" s="2">
        <f>G89*(1+((1+VLOOKUP($B90,'IPCA Hist'!$B:$C,2,0))^12 - 1)+$G$2)^(1/252)</f>
        <v>43511389.835721403</v>
      </c>
      <c r="H90" s="2">
        <f>H89*(1+((1+VLOOKUP($B90,'IPCA Hist'!$B:$C,2,0))^12 - 1)+$H$2)^(1/252)</f>
        <v>44531771.455302551</v>
      </c>
      <c r="I90" s="2">
        <f>I89*(1+((1+VLOOKUP($B90,'IPCA Hist'!$B:$C,2,0))^12 - 1)+$I$2)^(1/252)</f>
        <v>224931955.40904298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f t="shared" si="10"/>
        <v>486616122.14834881</v>
      </c>
      <c r="P90" s="2">
        <v>0</v>
      </c>
      <c r="Q90" s="2">
        <v>0</v>
      </c>
      <c r="R90" s="2">
        <f t="shared" si="19"/>
        <v>149471.52369946241</v>
      </c>
      <c r="S90" s="2">
        <f t="shared" si="12"/>
        <v>2832120.3869826794</v>
      </c>
      <c r="T90" s="2">
        <f t="shared" si="13"/>
        <v>9328926.6952487826</v>
      </c>
      <c r="U90" s="11">
        <f t="shared" si="16"/>
        <v>1.0255663121552159</v>
      </c>
      <c r="V90" s="12">
        <f t="shared" si="17"/>
        <v>3.0725954905141961E-4</v>
      </c>
      <c r="W90" s="12">
        <f t="shared" si="14"/>
        <v>5.8541009555330703E-3</v>
      </c>
      <c r="X90" s="12">
        <f t="shared" si="15"/>
        <v>2.5566312155215876E-2</v>
      </c>
      <c r="Y90" s="5">
        <f t="shared" si="18"/>
        <v>2.5566312155215876E-2</v>
      </c>
      <c r="Z90" s="19" t="s">
        <v>53</v>
      </c>
      <c r="AA90" s="19" t="s">
        <v>53</v>
      </c>
      <c r="AB90" s="19" t="s">
        <v>53</v>
      </c>
    </row>
    <row r="91" spans="1:28" x14ac:dyDescent="0.25">
      <c r="A91" s="1">
        <v>45229</v>
      </c>
      <c r="B91" s="1" t="str">
        <f t="shared" si="11"/>
        <v>202310</v>
      </c>
      <c r="C91" s="2">
        <f>C90*(1+((1+VLOOKUP($B91,'IPCA Hist'!$B:$C,2,0))^12 - 1)+$C$2)^(1/252)</f>
        <v>43287987.667517729</v>
      </c>
      <c r="D91" s="2">
        <f>D90*(1+((1+VLOOKUP($B91,'IPCA Hist'!$B:$C,2,0))^12 - 1)+$D$2)^(1/252)</f>
        <v>43305253.699785203</v>
      </c>
      <c r="E91" s="2">
        <f>E90*(1+((1+VLOOKUP($B91,'IPCA Hist'!$B:$C,2,0))^12 - 1)+$E$2)^(1/252)</f>
        <v>43559611.496369451</v>
      </c>
      <c r="F91" s="2">
        <f>F90*(1+((1+VLOOKUP($B91,'IPCA Hist'!$B:$C,2,0))^12 - 1)+$F$2)^(1/252)</f>
        <v>43542224.295333646</v>
      </c>
      <c r="G91" s="2">
        <f>G90*(1+((1+VLOOKUP($B91,'IPCA Hist'!$B:$C,2,0))^12 - 1)+$G$2)^(1/252)</f>
        <v>43524835.855397582</v>
      </c>
      <c r="H91" s="2">
        <f>H90*(1+((1+VLOOKUP($B91,'IPCA Hist'!$B:$C,2,0))^12 - 1)+$H$2)^(1/252)</f>
        <v>44545336.455742896</v>
      </c>
      <c r="I91" s="2">
        <f>I90*(1+((1+VLOOKUP($B91,'IPCA Hist'!$B:$C,2,0))^12 - 1)+$I$2)^(1/252)</f>
        <v>225000390.1354202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f t="shared" si="10"/>
        <v>486765639.60556674</v>
      </c>
      <c r="P91" s="2">
        <v>0</v>
      </c>
      <c r="Q91" s="2">
        <v>0</v>
      </c>
      <c r="R91" s="2">
        <f t="shared" si="19"/>
        <v>149517.45721793175</v>
      </c>
      <c r="S91" s="2">
        <f t="shared" si="12"/>
        <v>2981637.8442006111</v>
      </c>
      <c r="T91" s="2">
        <f t="shared" si="13"/>
        <v>9478444.1524667144</v>
      </c>
      <c r="U91" s="11">
        <f t="shared" si="16"/>
        <v>1.025881427212491</v>
      </c>
      <c r="V91" s="12">
        <f t="shared" si="17"/>
        <v>3.0725956336552507E-4</v>
      </c>
      <c r="W91" s="12">
        <f t="shared" si="14"/>
        <v>6.1631592474020724E-3</v>
      </c>
      <c r="X91" s="12">
        <f t="shared" si="15"/>
        <v>2.5881427212490982E-2</v>
      </c>
      <c r="Y91" s="5">
        <f t="shared" si="18"/>
        <v>2.5881427212490982E-2</v>
      </c>
      <c r="Z91" s="19" t="s">
        <v>53</v>
      </c>
      <c r="AA91" s="19" t="s">
        <v>53</v>
      </c>
      <c r="AB91" s="19" t="s">
        <v>53</v>
      </c>
    </row>
    <row r="92" spans="1:28" x14ac:dyDescent="0.25">
      <c r="A92" s="1">
        <v>45230</v>
      </c>
      <c r="B92" s="1" t="str">
        <f t="shared" si="11"/>
        <v>202310</v>
      </c>
      <c r="C92" s="2">
        <f>C91*(1+((1+VLOOKUP($B92,'IPCA Hist'!$B:$C,2,0))^12 - 1)+$C$2)^(1/252)</f>
        <v>43301602.925205067</v>
      </c>
      <c r="D92" s="2">
        <f>D91*(1+((1+VLOOKUP($B92,'IPCA Hist'!$B:$C,2,0))^12 - 1)+$D$2)^(1/252)</f>
        <v>43318858.50705412</v>
      </c>
      <c r="E92" s="2">
        <f>E91*(1+((1+VLOOKUP($B92,'IPCA Hist'!$B:$C,2,0))^12 - 1)+$E$2)^(1/252)</f>
        <v>43573040.423339017</v>
      </c>
      <c r="F92" s="2">
        <f>F91*(1+((1+VLOOKUP($B92,'IPCA Hist'!$B:$C,2,0))^12 - 1)+$F$2)^(1/252)</f>
        <v>43555663.853534713</v>
      </c>
      <c r="G92" s="2">
        <f>G91*(1+((1+VLOOKUP($B92,'IPCA Hist'!$B:$C,2,0))^12 - 1)+$G$2)^(1/252)</f>
        <v>43538286.030202933</v>
      </c>
      <c r="H92" s="2">
        <f>H91*(1+((1+VLOOKUP($B92,'IPCA Hist'!$B:$C,2,0))^12 - 1)+$H$2)^(1/252)</f>
        <v>44558905.588272102</v>
      </c>
      <c r="I92" s="2">
        <f>I91*(1+((1+VLOOKUP($B92,'IPCA Hist'!$B:$C,2,0))^12 - 1)+$I$2)^(1/252)</f>
        <v>225068845.68281314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f t="shared" si="10"/>
        <v>486915203.01042104</v>
      </c>
      <c r="P92" s="2">
        <v>0</v>
      </c>
      <c r="Q92" s="2">
        <v>0</v>
      </c>
      <c r="R92" s="2">
        <f t="shared" si="19"/>
        <v>149563.40485429764</v>
      </c>
      <c r="S92" s="2">
        <f t="shared" si="12"/>
        <v>3131201.2490549088</v>
      </c>
      <c r="T92" s="2">
        <f t="shared" si="13"/>
        <v>9628007.557321012</v>
      </c>
      <c r="U92" s="11">
        <f t="shared" si="16"/>
        <v>1.026196639106566</v>
      </c>
      <c r="V92" s="12">
        <f t="shared" si="17"/>
        <v>3.0725957767985257E-4</v>
      </c>
      <c r="W92" s="12">
        <f t="shared" si="14"/>
        <v>6.4723125147894134E-3</v>
      </c>
      <c r="X92" s="12">
        <f t="shared" si="15"/>
        <v>2.6196639106566E-2</v>
      </c>
      <c r="Y92" s="5">
        <f t="shared" si="18"/>
        <v>2.6196639106566E-2</v>
      </c>
      <c r="Z92" s="19" t="s">
        <v>53</v>
      </c>
      <c r="AA92" s="19" t="s">
        <v>53</v>
      </c>
      <c r="AB92" s="19" t="s">
        <v>53</v>
      </c>
    </row>
    <row r="93" spans="1:28" x14ac:dyDescent="0.25">
      <c r="A93" s="1">
        <v>45231</v>
      </c>
      <c r="B93" s="1" t="str">
        <f t="shared" si="11"/>
        <v>202311</v>
      </c>
      <c r="C93" s="2">
        <f>C92*(1+((1+VLOOKUP($B93,'IPCA Hist'!$B:$C,2,0))^12 - 1)+$C$2)^(1/252)</f>
        <v>43316004.964843556</v>
      </c>
      <c r="D93" s="2">
        <f>D92*(1+((1+VLOOKUP($B93,'IPCA Hist'!$B:$C,2,0))^12 - 1)+$D$2)^(1/252)</f>
        <v>43333250.471695058</v>
      </c>
      <c r="E93" s="2">
        <f>E92*(1+((1+VLOOKUP($B93,'IPCA Hist'!$B:$C,2,0))^12 - 1)+$E$2)^(1/252)</f>
        <v>43587262.125815637</v>
      </c>
      <c r="F93" s="2">
        <f>F92*(1+((1+VLOOKUP($B93,'IPCA Hist'!$B:$C,2,0))^12 - 1)+$F$2)^(1/252)</f>
        <v>43569895.808475874</v>
      </c>
      <c r="G93" s="2">
        <f>G92*(1+((1+VLOOKUP($B93,'IPCA Hist'!$B:$C,2,0))^12 - 1)+$G$2)^(1/252)</f>
        <v>43552528.223032743</v>
      </c>
      <c r="H93" s="2">
        <f>H92*(1+((1+VLOOKUP($B93,'IPCA Hist'!$B:$C,2,0))^12 - 1)+$H$2)^(1/252)</f>
        <v>44573286.075242028</v>
      </c>
      <c r="I93" s="2">
        <f>I92*(1+((1+VLOOKUP($B93,'IPCA Hist'!$B:$C,2,0))^12 - 1)+$I$2)^(1/252)</f>
        <v>225141399.73943904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f t="shared" si="10"/>
        <v>487073627.40854394</v>
      </c>
      <c r="P93" s="2">
        <v>0</v>
      </c>
      <c r="Q93" s="2">
        <v>0</v>
      </c>
      <c r="R93" s="2">
        <f t="shared" si="19"/>
        <v>158424.39812290668</v>
      </c>
      <c r="S93" s="2">
        <f t="shared" si="12"/>
        <v>158424.39812290668</v>
      </c>
      <c r="T93" s="2">
        <f t="shared" si="13"/>
        <v>9786431.9554439187</v>
      </c>
      <c r="U93" s="11">
        <f t="shared" si="16"/>
        <v>1.0265305259597617</v>
      </c>
      <c r="V93" s="12">
        <f t="shared" si="17"/>
        <v>3.253634249731352E-4</v>
      </c>
      <c r="W93" s="12">
        <f t="shared" si="14"/>
        <v>3.253634249731352E-4</v>
      </c>
      <c r="X93" s="12">
        <f t="shared" si="15"/>
        <v>2.6530525959761686E-2</v>
      </c>
      <c r="Y93" s="5">
        <f t="shared" si="18"/>
        <v>2.6530525959761686E-2</v>
      </c>
      <c r="Z93" s="19" t="s">
        <v>53</v>
      </c>
      <c r="AA93" s="19" t="s">
        <v>53</v>
      </c>
      <c r="AB93" s="19" t="s">
        <v>53</v>
      </c>
    </row>
    <row r="94" spans="1:28" x14ac:dyDescent="0.25">
      <c r="A94" s="1">
        <v>45233</v>
      </c>
      <c r="B94" s="1" t="str">
        <f t="shared" si="11"/>
        <v>202311</v>
      </c>
      <c r="C94" s="2">
        <f>C93*(1+((1+VLOOKUP($B94,'IPCA Hist'!$B:$C,2,0))^12 - 1)+$C$2)^(1/252)</f>
        <v>43330411.794575989</v>
      </c>
      <c r="D94" s="2">
        <f>D93*(1+((1+VLOOKUP($B94,'IPCA Hist'!$B:$C,2,0))^12 - 1)+$D$2)^(1/252)</f>
        <v>43347647.217825018</v>
      </c>
      <c r="E94" s="2">
        <f>E93*(1+((1+VLOOKUP($B94,'IPCA Hist'!$B:$C,2,0))^12 - 1)+$E$2)^(1/252)</f>
        <v>43601488.470080376</v>
      </c>
      <c r="F94" s="2">
        <f>F93*(1+((1+VLOOKUP($B94,'IPCA Hist'!$B:$C,2,0))^12 - 1)+$F$2)^(1/252)</f>
        <v>43584132.413754642</v>
      </c>
      <c r="G94" s="2">
        <f>G93*(1+((1+VLOOKUP($B94,'IPCA Hist'!$B:$C,2,0))^12 - 1)+$G$2)^(1/252)</f>
        <v>43566775.074751891</v>
      </c>
      <c r="H94" s="2">
        <f>H93*(1+((1+VLOOKUP($B94,'IPCA Hist'!$B:$C,2,0))^12 - 1)+$H$2)^(1/252)</f>
        <v>44587671.203223728</v>
      </c>
      <c r="I94" s="2">
        <f>I93*(1+((1+VLOOKUP($B94,'IPCA Hist'!$B:$C,2,0))^12 - 1)+$I$2)^(1/252)</f>
        <v>225213977.18486902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f t="shared" si="10"/>
        <v>487232103.35908067</v>
      </c>
      <c r="P94" s="2">
        <v>0</v>
      </c>
      <c r="Q94" s="2">
        <v>0</v>
      </c>
      <c r="R94" s="2">
        <f t="shared" si="19"/>
        <v>158475.95053672791</v>
      </c>
      <c r="S94" s="2">
        <f t="shared" si="12"/>
        <v>316900.34865963459</v>
      </c>
      <c r="T94" s="2">
        <f t="shared" si="13"/>
        <v>9944907.9059806466</v>
      </c>
      <c r="U94" s="11">
        <f t="shared" si="16"/>
        <v>1.0268645214620884</v>
      </c>
      <c r="V94" s="12">
        <f t="shared" si="17"/>
        <v>3.2536343915778865E-4</v>
      </c>
      <c r="W94" s="12">
        <f t="shared" si="14"/>
        <v>6.5083272549393278E-4</v>
      </c>
      <c r="X94" s="12">
        <f t="shared" si="15"/>
        <v>2.6864521462088398E-2</v>
      </c>
      <c r="Y94" s="5">
        <f t="shared" si="18"/>
        <v>2.6864521462088398E-2</v>
      </c>
      <c r="Z94" s="19" t="s">
        <v>53</v>
      </c>
      <c r="AA94" s="19" t="s">
        <v>53</v>
      </c>
      <c r="AB94" s="19" t="s">
        <v>53</v>
      </c>
    </row>
    <row r="95" spans="1:28" x14ac:dyDescent="0.25">
      <c r="A95" s="1">
        <v>45236</v>
      </c>
      <c r="B95" s="1" t="str">
        <f t="shared" si="11"/>
        <v>202311</v>
      </c>
      <c r="C95" s="2">
        <f>C94*(1+((1+VLOOKUP($B95,'IPCA Hist'!$B:$C,2,0))^12 - 1)+$C$2)^(1/252)</f>
        <v>43344823.415995538</v>
      </c>
      <c r="D95" s="2">
        <f>D94*(1+((1+VLOOKUP($B95,'IPCA Hist'!$B:$C,2,0))^12 - 1)+$D$2)^(1/252)</f>
        <v>43362048.747032568</v>
      </c>
      <c r="E95" s="2">
        <f>E94*(1+((1+VLOOKUP($B95,'IPCA Hist'!$B:$C,2,0))^12 - 1)+$E$2)^(1/252)</f>
        <v>43615719.457648255</v>
      </c>
      <c r="F95" s="2">
        <f>F94*(1+((1+VLOOKUP($B95,'IPCA Hist'!$B:$C,2,0))^12 - 1)+$F$2)^(1/252)</f>
        <v>43598373.670890525</v>
      </c>
      <c r="G95" s="2">
        <f>G94*(1+((1+VLOOKUP($B95,'IPCA Hist'!$B:$C,2,0))^12 - 1)+$G$2)^(1/252)</f>
        <v>43581026.586884394</v>
      </c>
      <c r="H95" s="2">
        <f>H94*(1+((1+VLOOKUP($B95,'IPCA Hist'!$B:$C,2,0))^12 - 1)+$H$2)^(1/252)</f>
        <v>44602060.973715</v>
      </c>
      <c r="I95" s="2">
        <f>I94*(1+((1+VLOOKUP($B95,'IPCA Hist'!$B:$C,2,0))^12 - 1)+$I$2)^(1/252)</f>
        <v>225286578.02664277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f t="shared" si="10"/>
        <v>487390630.87880909</v>
      </c>
      <c r="P95" s="2">
        <v>0</v>
      </c>
      <c r="Q95" s="2">
        <v>0</v>
      </c>
      <c r="R95" s="2">
        <f t="shared" si="19"/>
        <v>158527.51972842216</v>
      </c>
      <c r="S95" s="2">
        <f t="shared" si="12"/>
        <v>475427.86838805676</v>
      </c>
      <c r="T95" s="2">
        <f t="shared" si="13"/>
        <v>10103435.425709069</v>
      </c>
      <c r="U95" s="11">
        <f t="shared" si="16"/>
        <v>1.0271986256489065</v>
      </c>
      <c r="V95" s="12">
        <f t="shared" si="17"/>
        <v>3.2536345334288619E-4</v>
      </c>
      <c r="W95" s="12">
        <f t="shared" si="14"/>
        <v>9.7640793601994069E-4</v>
      </c>
      <c r="X95" s="12">
        <f t="shared" si="15"/>
        <v>2.7198625648906516E-2</v>
      </c>
      <c r="Y95" s="5">
        <f t="shared" si="18"/>
        <v>2.7198625648906516E-2</v>
      </c>
      <c r="Z95" s="19" t="s">
        <v>53</v>
      </c>
      <c r="AA95" s="19" t="s">
        <v>53</v>
      </c>
      <c r="AB95" s="19" t="s">
        <v>53</v>
      </c>
    </row>
    <row r="96" spans="1:28" x14ac:dyDescent="0.25">
      <c r="A96" s="1">
        <v>45237</v>
      </c>
      <c r="B96" s="1" t="str">
        <f t="shared" si="11"/>
        <v>202311</v>
      </c>
      <c r="C96" s="2">
        <f>C95*(1+((1+VLOOKUP($B96,'IPCA Hist'!$B:$C,2,0))^12 - 1)+$C$2)^(1/252)</f>
        <v>43359239.830695905</v>
      </c>
      <c r="D96" s="2">
        <f>D95*(1+((1+VLOOKUP($B96,'IPCA Hist'!$B:$C,2,0))^12 - 1)+$D$2)^(1/252)</f>
        <v>43376455.060906798</v>
      </c>
      <c r="E96" s="2">
        <f>E95*(1+((1+VLOOKUP($B96,'IPCA Hist'!$B:$C,2,0))^12 - 1)+$E$2)^(1/252)</f>
        <v>43629955.090034798</v>
      </c>
      <c r="F96" s="2">
        <f>F95*(1+((1+VLOOKUP($B96,'IPCA Hist'!$B:$C,2,0))^12 - 1)+$F$2)^(1/252)</f>
        <v>43612619.581403531</v>
      </c>
      <c r="G96" s="2">
        <f>G95*(1+((1+VLOOKUP($B96,'IPCA Hist'!$B:$C,2,0))^12 - 1)+$G$2)^(1/252)</f>
        <v>43595282.760954753</v>
      </c>
      <c r="H96" s="2">
        <f>H95*(1+((1+VLOOKUP($B96,'IPCA Hist'!$B:$C,2,0))^12 - 1)+$H$2)^(1/252)</f>
        <v>44616455.388214111</v>
      </c>
      <c r="I96" s="2">
        <f>I95*(1+((1+VLOOKUP($B96,'IPCA Hist'!$B:$C,2,0))^12 - 1)+$I$2)^(1/252)</f>
        <v>225359202.27230242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f t="shared" si="10"/>
        <v>487549209.98451233</v>
      </c>
      <c r="P96" s="2">
        <v>0</v>
      </c>
      <c r="Q96" s="2">
        <v>0</v>
      </c>
      <c r="R96" s="2">
        <f t="shared" si="19"/>
        <v>158579.10570323467</v>
      </c>
      <c r="S96" s="2">
        <f t="shared" si="12"/>
        <v>634006.97409129143</v>
      </c>
      <c r="T96" s="2">
        <f t="shared" si="13"/>
        <v>10262014.531412303</v>
      </c>
      <c r="U96" s="11">
        <f t="shared" si="16"/>
        <v>1.0275328385555873</v>
      </c>
      <c r="V96" s="12">
        <f t="shared" si="17"/>
        <v>3.2536346752776169E-4</v>
      </c>
      <c r="W96" s="12">
        <f t="shared" si="14"/>
        <v>1.302089091019587E-3</v>
      </c>
      <c r="X96" s="12">
        <f t="shared" si="15"/>
        <v>2.7532838555587302E-2</v>
      </c>
      <c r="Y96" s="5">
        <f t="shared" si="18"/>
        <v>2.7532838555587302E-2</v>
      </c>
      <c r="Z96" s="19" t="s">
        <v>53</v>
      </c>
      <c r="AA96" s="19" t="s">
        <v>53</v>
      </c>
      <c r="AB96" s="19" t="s">
        <v>53</v>
      </c>
    </row>
    <row r="97" spans="1:28" x14ac:dyDescent="0.25">
      <c r="A97" s="1">
        <v>45238</v>
      </c>
      <c r="B97" s="1" t="str">
        <f t="shared" si="11"/>
        <v>202311</v>
      </c>
      <c r="C97" s="2">
        <f>C96*(1+((1+VLOOKUP($B97,'IPCA Hist'!$B:$C,2,0))^12 - 1)+$C$2)^(1/252)</f>
        <v>43373661.040271334</v>
      </c>
      <c r="D97" s="2">
        <f>D96*(1+((1+VLOOKUP($B97,'IPCA Hist'!$B:$C,2,0))^12 - 1)+$D$2)^(1/252)</f>
        <v>43390866.161037341</v>
      </c>
      <c r="E97" s="2">
        <f>E96*(1+((1+VLOOKUP($B97,'IPCA Hist'!$B:$C,2,0))^12 - 1)+$E$2)^(1/252)</f>
        <v>43644195.368756004</v>
      </c>
      <c r="F97" s="2">
        <f>F96*(1+((1+VLOOKUP($B97,'IPCA Hist'!$B:$C,2,0))^12 - 1)+$F$2)^(1/252)</f>
        <v>43626870.146814175</v>
      </c>
      <c r="G97" s="2">
        <f>G96*(1+((1+VLOOKUP($B97,'IPCA Hist'!$B:$C,2,0))^12 - 1)+$G$2)^(1/252)</f>
        <v>43609543.598487973</v>
      </c>
      <c r="H97" s="2">
        <f>H96*(1+((1+VLOOKUP($B97,'IPCA Hist'!$B:$C,2,0))^12 - 1)+$H$2)^(1/252)</f>
        <v>44630854.448219828</v>
      </c>
      <c r="I97" s="2">
        <f>I96*(1+((1+VLOOKUP($B97,'IPCA Hist'!$B:$C,2,0))^12 - 1)+$I$2)^(1/252)</f>
        <v>225431849.92939255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f t="shared" si="10"/>
        <v>487707840.69297922</v>
      </c>
      <c r="P97" s="2">
        <v>0</v>
      </c>
      <c r="Q97" s="2">
        <v>0</v>
      </c>
      <c r="R97" s="2">
        <f t="shared" si="19"/>
        <v>158630.70846688747</v>
      </c>
      <c r="S97" s="2">
        <f t="shared" si="12"/>
        <v>792637.6825581789</v>
      </c>
      <c r="T97" s="2">
        <f t="shared" si="13"/>
        <v>10420645.239879191</v>
      </c>
      <c r="U97" s="11">
        <f t="shared" si="16"/>
        <v>1.027867160217514</v>
      </c>
      <c r="V97" s="12">
        <f t="shared" si="17"/>
        <v>3.2536348171285923E-4</v>
      </c>
      <c r="W97" s="12">
        <f t="shared" si="14"/>
        <v>1.6278762249726242E-3</v>
      </c>
      <c r="X97" s="12">
        <f t="shared" si="15"/>
        <v>2.7867160217514009E-2</v>
      </c>
      <c r="Y97" s="5">
        <f t="shared" si="18"/>
        <v>2.7867160217514009E-2</v>
      </c>
      <c r="Z97" s="19" t="s">
        <v>53</v>
      </c>
      <c r="AA97" s="19" t="s">
        <v>53</v>
      </c>
      <c r="AB97" s="19" t="s">
        <v>53</v>
      </c>
    </row>
    <row r="98" spans="1:28" x14ac:dyDescent="0.25">
      <c r="A98" s="1">
        <v>45239</v>
      </c>
      <c r="B98" s="1" t="str">
        <f t="shared" si="11"/>
        <v>202311</v>
      </c>
      <c r="C98" s="2">
        <f>C97*(1+((1+VLOOKUP($B98,'IPCA Hist'!$B:$C,2,0))^12 - 1)+$C$2)^(1/252)</f>
        <v>43388087.046316594</v>
      </c>
      <c r="D98" s="2">
        <f>D97*(1+((1+VLOOKUP($B98,'IPCA Hist'!$B:$C,2,0))^12 - 1)+$D$2)^(1/252)</f>
        <v>43405282.049014345</v>
      </c>
      <c r="E98" s="2">
        <f>E97*(1+((1+VLOOKUP($B98,'IPCA Hist'!$B:$C,2,0))^12 - 1)+$E$2)^(1/252)</f>
        <v>43658440.295328386</v>
      </c>
      <c r="F98" s="2">
        <f>F97*(1+((1+VLOOKUP($B98,'IPCA Hist'!$B:$C,2,0))^12 - 1)+$F$2)^(1/252)</f>
        <v>43641125.368643448</v>
      </c>
      <c r="G98" s="2">
        <f>G97*(1+((1+VLOOKUP($B98,'IPCA Hist'!$B:$C,2,0))^12 - 1)+$G$2)^(1/252)</f>
        <v>43623809.10100957</v>
      </c>
      <c r="H98" s="2">
        <f>H97*(1+((1+VLOOKUP($B98,'IPCA Hist'!$B:$C,2,0))^12 - 1)+$H$2)^(1/252)</f>
        <v>44645258.155231394</v>
      </c>
      <c r="I98" s="2">
        <f>I97*(1+((1+VLOOKUP($B98,'IPCA Hist'!$B:$C,2,0))^12 - 1)+$I$2)^(1/252)</f>
        <v>225504521.00546014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f t="shared" si="10"/>
        <v>487866523.0210039</v>
      </c>
      <c r="P98" s="2">
        <v>0</v>
      </c>
      <c r="Q98" s="2">
        <v>0</v>
      </c>
      <c r="R98" s="2">
        <f t="shared" si="19"/>
        <v>158682.32802468538</v>
      </c>
      <c r="S98" s="2">
        <f t="shared" si="12"/>
        <v>951320.01058286428</v>
      </c>
      <c r="T98" s="2">
        <f t="shared" si="13"/>
        <v>10579327.567903876</v>
      </c>
      <c r="U98" s="11">
        <f t="shared" si="16"/>
        <v>1.028201590670081</v>
      </c>
      <c r="V98" s="12">
        <f t="shared" si="17"/>
        <v>3.2536349589795677E-4</v>
      </c>
      <c r="W98" s="12">
        <f t="shared" si="14"/>
        <v>1.9537693723701288E-3</v>
      </c>
      <c r="X98" s="12">
        <f t="shared" si="15"/>
        <v>2.8201590670080989E-2</v>
      </c>
      <c r="Y98" s="5">
        <f t="shared" si="18"/>
        <v>2.8201590670080989E-2</v>
      </c>
      <c r="Z98" s="19" t="s">
        <v>53</v>
      </c>
      <c r="AA98" s="19" t="s">
        <v>53</v>
      </c>
      <c r="AB98" s="19" t="s">
        <v>53</v>
      </c>
    </row>
    <row r="99" spans="1:28" x14ac:dyDescent="0.25">
      <c r="A99" s="1">
        <v>45240</v>
      </c>
      <c r="B99" s="1" t="str">
        <f t="shared" si="11"/>
        <v>202311</v>
      </c>
      <c r="C99" s="2">
        <f>C98*(1+((1+VLOOKUP($B99,'IPCA Hist'!$B:$C,2,0))^12 - 1)+$C$2)^(1/252)</f>
        <v>43402517.850426979</v>
      </c>
      <c r="D99" s="2">
        <f>D98*(1+((1+VLOOKUP($B99,'IPCA Hist'!$B:$C,2,0))^12 - 1)+$D$2)^(1/252)</f>
        <v>43419702.726428494</v>
      </c>
      <c r="E99" s="2">
        <f>E98*(1+((1+VLOOKUP($B99,'IPCA Hist'!$B:$C,2,0))^12 - 1)+$E$2)^(1/252)</f>
        <v>43672689.87126895</v>
      </c>
      <c r="F99" s="2">
        <f>F98*(1+((1+VLOOKUP($B99,'IPCA Hist'!$B:$C,2,0))^12 - 1)+$F$2)^(1/252)</f>
        <v>43655385.248412855</v>
      </c>
      <c r="G99" s="2">
        <f>G98*(1+((1+VLOOKUP($B99,'IPCA Hist'!$B:$C,2,0))^12 - 1)+$G$2)^(1/252)</f>
        <v>43638079.270045541</v>
      </c>
      <c r="H99" s="2">
        <f>H98*(1+((1+VLOOKUP($B99,'IPCA Hist'!$B:$C,2,0))^12 - 1)+$H$2)^(1/252)</f>
        <v>44659666.510748528</v>
      </c>
      <c r="I99" s="2">
        <f>I98*(1+((1+VLOOKUP($B99,'IPCA Hist'!$B:$C,2,0))^12 - 1)+$I$2)^(1/252)</f>
        <v>225577215.50805464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f t="shared" si="10"/>
        <v>488025256.98538601</v>
      </c>
      <c r="P99" s="2">
        <v>0</v>
      </c>
      <c r="Q99" s="2">
        <v>0</v>
      </c>
      <c r="R99" s="2">
        <f t="shared" si="19"/>
        <v>158733.96438211203</v>
      </c>
      <c r="S99" s="2">
        <f t="shared" si="12"/>
        <v>1110053.9749649763</v>
      </c>
      <c r="T99" s="2">
        <f t="shared" si="13"/>
        <v>10738061.532285988</v>
      </c>
      <c r="U99" s="11">
        <f t="shared" si="16"/>
        <v>1.0285361299486944</v>
      </c>
      <c r="V99" s="12">
        <f t="shared" si="17"/>
        <v>3.2536351008305431E-4</v>
      </c>
      <c r="W99" s="12">
        <f t="shared" si="14"/>
        <v>2.2797685677140578E-3</v>
      </c>
      <c r="X99" s="12">
        <f t="shared" si="15"/>
        <v>2.8536129948694366E-2</v>
      </c>
      <c r="Y99" s="5">
        <f t="shared" si="18"/>
        <v>2.8536129948694366E-2</v>
      </c>
      <c r="Z99" s="19" t="s">
        <v>53</v>
      </c>
      <c r="AA99" s="19" t="s">
        <v>53</v>
      </c>
      <c r="AB99" s="19" t="s">
        <v>53</v>
      </c>
    </row>
    <row r="100" spans="1:28" x14ac:dyDescent="0.25">
      <c r="A100" s="1">
        <v>45243</v>
      </c>
      <c r="B100" s="1" t="str">
        <f t="shared" si="11"/>
        <v>202311</v>
      </c>
      <c r="C100" s="2">
        <f>C99*(1+((1+VLOOKUP($B100,'IPCA Hist'!$B:$C,2,0))^12 - 1)+$C$2)^(1/252)</f>
        <v>43416953.454198316</v>
      </c>
      <c r="D100" s="2">
        <f>D99*(1+((1+VLOOKUP($B100,'IPCA Hist'!$B:$C,2,0))^12 - 1)+$D$2)^(1/252)</f>
        <v>43434128.194871001</v>
      </c>
      <c r="E100" s="2">
        <f>E99*(1+((1+VLOOKUP($B100,'IPCA Hist'!$B:$C,2,0))^12 - 1)+$E$2)^(1/252)</f>
        <v>43686944.098095186</v>
      </c>
      <c r="F100" s="2">
        <f>F99*(1+((1+VLOOKUP($B100,'IPCA Hist'!$B:$C,2,0))^12 - 1)+$F$2)^(1/252)</f>
        <v>43669649.787644394</v>
      </c>
      <c r="G100" s="2">
        <f>G99*(1+((1+VLOOKUP($B100,'IPCA Hist'!$B:$C,2,0))^12 - 1)+$G$2)^(1/252)</f>
        <v>43652354.107122399</v>
      </c>
      <c r="H100" s="2">
        <f>H99*(1+((1+VLOOKUP($B100,'IPCA Hist'!$B:$C,2,0))^12 - 1)+$H$2)^(1/252)</f>
        <v>44674079.51627145</v>
      </c>
      <c r="I100" s="2">
        <f>I99*(1+((1+VLOOKUP($B100,'IPCA Hist'!$B:$C,2,0))^12 - 1)+$I$2)^(1/252)</f>
        <v>225649933.4447279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f t="shared" si="10"/>
        <v>488184042.60293061</v>
      </c>
      <c r="P100" s="2">
        <v>0</v>
      </c>
      <c r="Q100" s="2">
        <v>0</v>
      </c>
      <c r="R100" s="2">
        <f t="shared" si="19"/>
        <v>158785.61754459143</v>
      </c>
      <c r="S100" s="2">
        <f t="shared" si="12"/>
        <v>1268839.5925095677</v>
      </c>
      <c r="T100" s="2">
        <f t="shared" si="13"/>
        <v>10896847.14983058</v>
      </c>
      <c r="U100" s="11">
        <f t="shared" si="16"/>
        <v>1.0288707780887716</v>
      </c>
      <c r="V100" s="12">
        <f t="shared" si="17"/>
        <v>3.2536352426815185E-4</v>
      </c>
      <c r="W100" s="12">
        <f t="shared" si="14"/>
        <v>2.6058738455179142E-3</v>
      </c>
      <c r="X100" s="12">
        <f t="shared" si="15"/>
        <v>2.8870778088771587E-2</v>
      </c>
      <c r="Y100" s="5">
        <f t="shared" si="18"/>
        <v>2.8870778088771587E-2</v>
      </c>
      <c r="Z100" s="19" t="s">
        <v>53</v>
      </c>
      <c r="AA100" s="19" t="s">
        <v>53</v>
      </c>
      <c r="AB100" s="19" t="s">
        <v>53</v>
      </c>
    </row>
    <row r="101" spans="1:28" x14ac:dyDescent="0.25">
      <c r="A101" s="1">
        <v>45244</v>
      </c>
      <c r="B101" s="1" t="str">
        <f t="shared" si="11"/>
        <v>202311</v>
      </c>
      <c r="C101" s="2">
        <f>C100*(1+((1+VLOOKUP($B101,'IPCA Hist'!$B:$C,2,0))^12 - 1)+$C$2)^(1/252)</f>
        <v>43431393.859226964</v>
      </c>
      <c r="D101" s="2">
        <f>D100*(1+((1+VLOOKUP($B101,'IPCA Hist'!$B:$C,2,0))^12 - 1)+$D$2)^(1/252)</f>
        <v>43448558.455933601</v>
      </c>
      <c r="E101" s="2">
        <f>E100*(1+((1+VLOOKUP($B101,'IPCA Hist'!$B:$C,2,0))^12 - 1)+$E$2)^(1/252)</f>
        <v>43701202.977325082</v>
      </c>
      <c r="F101" s="2">
        <f>F100*(1+((1+VLOOKUP($B101,'IPCA Hist'!$B:$C,2,0))^12 - 1)+$F$2)^(1/252)</f>
        <v>43683918.98786056</v>
      </c>
      <c r="G101" s="2">
        <f>G100*(1+((1+VLOOKUP($B101,'IPCA Hist'!$B:$C,2,0))^12 - 1)+$G$2)^(1/252)</f>
        <v>43666633.61376714</v>
      </c>
      <c r="H101" s="2">
        <f>H100*(1+((1+VLOOKUP($B101,'IPCA Hist'!$B:$C,2,0))^12 - 1)+$H$2)^(1/252)</f>
        <v>44688497.173300855</v>
      </c>
      <c r="I101" s="2">
        <f>I100*(1+((1+VLOOKUP($B101,'IPCA Hist'!$B:$C,2,0))^12 - 1)+$I$2)^(1/252)</f>
        <v>225722674.82303423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f t="shared" si="10"/>
        <v>488342879.89044845</v>
      </c>
      <c r="P101" s="2">
        <v>0</v>
      </c>
      <c r="Q101" s="2">
        <v>0</v>
      </c>
      <c r="R101" s="2">
        <f t="shared" si="19"/>
        <v>158837.28751784563</v>
      </c>
      <c r="S101" s="2">
        <f t="shared" si="12"/>
        <v>1427676.8800274134</v>
      </c>
      <c r="T101" s="2">
        <f t="shared" si="13"/>
        <v>11055684.437348425</v>
      </c>
      <c r="U101" s="11">
        <f t="shared" si="16"/>
        <v>1.0292055351257419</v>
      </c>
      <c r="V101" s="12">
        <f t="shared" si="17"/>
        <v>3.2536353845347143E-4</v>
      </c>
      <c r="W101" s="12">
        <f t="shared" si="14"/>
        <v>2.9320852403065256E-3</v>
      </c>
      <c r="X101" s="12">
        <f t="shared" si="15"/>
        <v>2.9205535125741866E-2</v>
      </c>
      <c r="Y101" s="5">
        <f t="shared" si="18"/>
        <v>2.9205535125741866E-2</v>
      </c>
      <c r="Z101" s="19" t="s">
        <v>53</v>
      </c>
      <c r="AA101" s="19" t="s">
        <v>53</v>
      </c>
      <c r="AB101" s="19" t="s">
        <v>53</v>
      </c>
    </row>
    <row r="102" spans="1:28" s="17" customFormat="1" x14ac:dyDescent="0.25">
      <c r="A102" s="13">
        <v>45246</v>
      </c>
      <c r="B102" s="13" t="str">
        <f t="shared" si="11"/>
        <v>202311</v>
      </c>
      <c r="C102" s="14">
        <f>C101*(1+((1+VLOOKUP($B102,'IPCA Hist'!$B:$C,2,0))^12 - 1)+$C$2)^(1/252)</f>
        <v>43445839.067109823</v>
      </c>
      <c r="D102" s="14">
        <f>D101*(1+((1+VLOOKUP($B102,'IPCA Hist'!$B:$C,2,0))^12 - 1)+$D$2)^(1/252)</f>
        <v>43462993.511208564</v>
      </c>
      <c r="E102" s="14">
        <f>E101*(1+((1+VLOOKUP($B102,'IPCA Hist'!$B:$C,2,0))^12 - 1)+$E$2)^(1/252)</f>
        <v>43715466.510477133</v>
      </c>
      <c r="F102" s="14">
        <f>F101*(1+((1+VLOOKUP($B102,'IPCA Hist'!$B:$C,2,0))^12 - 1)+$F$2)^(1/252)</f>
        <v>43698192.850584343</v>
      </c>
      <c r="G102" s="14">
        <f>G101*(1+((1+VLOOKUP($B102,'IPCA Hist'!$B:$C,2,0))^12 - 1)+$G$2)^(1/252)</f>
        <v>43680917.791507274</v>
      </c>
      <c r="H102" s="14">
        <f>H101*(1+((1+VLOOKUP($B102,'IPCA Hist'!$B:$C,2,0))^12 - 1)+$H$2)^(1/252)</f>
        <v>44702919.483337916</v>
      </c>
      <c r="I102" s="14">
        <f>I101*(1+((1+VLOOKUP($B102,'IPCA Hist'!$B:$C,2,0))^12 - 1)+$I$2)^(1/252)</f>
        <v>225795439.65053034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f t="shared" si="10"/>
        <v>488501768.86475539</v>
      </c>
      <c r="P102" s="14">
        <v>0</v>
      </c>
      <c r="Q102" s="14">
        <v>0</v>
      </c>
      <c r="R102" s="2">
        <f t="shared" si="19"/>
        <v>158888.97430694103</v>
      </c>
      <c r="S102" s="2">
        <f t="shared" si="12"/>
        <v>1586565.8543343544</v>
      </c>
      <c r="T102" s="2">
        <f t="shared" si="13"/>
        <v>11214573.411655366</v>
      </c>
      <c r="U102" s="15">
        <f t="shared" si="16"/>
        <v>1.0295404010950457</v>
      </c>
      <c r="V102" s="16">
        <f t="shared" si="17"/>
        <v>3.2536355263856898E-4</v>
      </c>
      <c r="W102" s="16">
        <f t="shared" si="14"/>
        <v>3.2584027866155996E-3</v>
      </c>
      <c r="X102" s="16">
        <f t="shared" si="15"/>
        <v>2.9540401095045743E-2</v>
      </c>
      <c r="Y102" s="5">
        <f t="shared" si="18"/>
        <v>2.9540401095045743E-2</v>
      </c>
      <c r="Z102" s="19" t="s">
        <v>53</v>
      </c>
      <c r="AA102" s="19" t="s">
        <v>53</v>
      </c>
      <c r="AB102" s="19" t="s">
        <v>53</v>
      </c>
    </row>
    <row r="103" spans="1:28" x14ac:dyDescent="0.25">
      <c r="A103" s="1">
        <v>45247</v>
      </c>
      <c r="B103" s="1" t="str">
        <f t="shared" si="11"/>
        <v>202311</v>
      </c>
      <c r="C103" s="2">
        <f>C102*(1+((1+VLOOKUP($B103,'IPCA Hist'!$B:$C,2,0))^12 - 1)+$C$2)^(1/252)</f>
        <v>43460289.079444304</v>
      </c>
      <c r="D103" s="2">
        <f>D102*(1+((1+VLOOKUP($B103,'IPCA Hist'!$B:$C,2,0))^12 - 1)+$D$2)^(1/252)</f>
        <v>43477433.362288684</v>
      </c>
      <c r="E103" s="2">
        <f>E102*(1+((1+VLOOKUP($B103,'IPCA Hist'!$B:$C,2,0))^12 - 1)+$E$2)^(1/252)</f>
        <v>43729734.69907032</v>
      </c>
      <c r="F103" s="2">
        <f>F102*(1+((1+VLOOKUP($B103,'IPCA Hist'!$B:$C,2,0))^12 - 1)+$F$2)^(1/252)</f>
        <v>43712471.377339236</v>
      </c>
      <c r="G103" s="2">
        <f>G102*(1+((1+VLOOKUP($B103,'IPCA Hist'!$B:$C,2,0))^12 - 1)+$G$2)^(1/252)</f>
        <v>43695206.641870797</v>
      </c>
      <c r="H103" s="2">
        <f>H102*(1+((1+VLOOKUP($B103,'IPCA Hist'!$B:$C,2,0))^12 - 1)+$H$2)^(1/252)</f>
        <v>44717346.447884306</v>
      </c>
      <c r="I103" s="2">
        <f>I102*(1+((1+VLOOKUP($B103,'IPCA Hist'!$B:$C,2,0))^12 - 1)+$I$2)^(1/252)</f>
        <v>225868227.93477544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f t="shared" si="10"/>
        <v>488660709.54267311</v>
      </c>
      <c r="P103" s="2">
        <v>0</v>
      </c>
      <c r="Q103" s="2">
        <v>0</v>
      </c>
      <c r="R103" s="2">
        <f t="shared" si="19"/>
        <v>158940.67791771889</v>
      </c>
      <c r="S103" s="2">
        <f t="shared" si="12"/>
        <v>1745506.5322520733</v>
      </c>
      <c r="T103" s="2">
        <f t="shared" si="13"/>
        <v>11373514.089573085</v>
      </c>
      <c r="U103" s="11">
        <f t="shared" si="16"/>
        <v>1.0298753760321355</v>
      </c>
      <c r="V103" s="12">
        <f t="shared" si="17"/>
        <v>3.2536356682411061E-4</v>
      </c>
      <c r="W103" s="12">
        <f t="shared" si="14"/>
        <v>3.5848265189926121E-3</v>
      </c>
      <c r="X103" s="12">
        <f t="shared" si="15"/>
        <v>2.9875376032135526E-2</v>
      </c>
      <c r="Y103" s="5">
        <f t="shared" si="18"/>
        <v>2.9875376032135526E-2</v>
      </c>
      <c r="Z103" s="19" t="s">
        <v>53</v>
      </c>
      <c r="AA103" s="19" t="s">
        <v>53</v>
      </c>
      <c r="AB103" s="19" t="s">
        <v>53</v>
      </c>
    </row>
    <row r="104" spans="1:28" x14ac:dyDescent="0.25">
      <c r="A104" s="1">
        <v>45250</v>
      </c>
      <c r="B104" s="1" t="str">
        <f t="shared" si="11"/>
        <v>202311</v>
      </c>
      <c r="C104" s="2">
        <f>C103*(1+((1+VLOOKUP($B104,'IPCA Hist'!$B:$C,2,0))^12 - 1)+$C$2)^(1/252)</f>
        <v>43474743.897828363</v>
      </c>
      <c r="D104" s="2">
        <f>D103*(1+((1+VLOOKUP($B104,'IPCA Hist'!$B:$C,2,0))^12 - 1)+$D$2)^(1/252)</f>
        <v>43491878.010767289</v>
      </c>
      <c r="E104" s="2">
        <f>E103*(1+((1+VLOOKUP($B104,'IPCA Hist'!$B:$C,2,0))^12 - 1)+$E$2)^(1/252)</f>
        <v>43744007.54462412</v>
      </c>
      <c r="F104" s="2">
        <f>F103*(1+((1+VLOOKUP($B104,'IPCA Hist'!$B:$C,2,0))^12 - 1)+$F$2)^(1/252)</f>
        <v>43726754.569649227</v>
      </c>
      <c r="G104" s="2">
        <f>G103*(1+((1+VLOOKUP($B104,'IPCA Hist'!$B:$C,2,0))^12 - 1)+$G$2)^(1/252)</f>
        <v>43709500.166386217</v>
      </c>
      <c r="H104" s="2">
        <f>H103*(1+((1+VLOOKUP($B104,'IPCA Hist'!$B:$C,2,0))^12 - 1)+$H$2)^(1/252)</f>
        <v>44731778.068442166</v>
      </c>
      <c r="I104" s="2">
        <f>I103*(1+((1+VLOOKUP($B104,'IPCA Hist'!$B:$C,2,0))^12 - 1)+$I$2)^(1/252)</f>
        <v>225941039.6833311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f t="shared" si="10"/>
        <v>488819701.94102848</v>
      </c>
      <c r="P104" s="2">
        <v>0</v>
      </c>
      <c r="Q104" s="2">
        <v>0</v>
      </c>
      <c r="R104" s="2">
        <f t="shared" si="19"/>
        <v>158992.3983553648</v>
      </c>
      <c r="S104" s="2">
        <f t="shared" si="12"/>
        <v>1904498.9306074381</v>
      </c>
      <c r="T104" s="2">
        <f t="shared" si="13"/>
        <v>11532506.48792845</v>
      </c>
      <c r="U104" s="11">
        <f t="shared" si="16"/>
        <v>1.0302104599724748</v>
      </c>
      <c r="V104" s="12">
        <f t="shared" si="17"/>
        <v>3.2536358100943019E-4</v>
      </c>
      <c r="W104" s="12">
        <f t="shared" si="14"/>
        <v>3.9113564719954752E-3</v>
      </c>
      <c r="X104" s="12">
        <f t="shared" si="15"/>
        <v>3.0210459972474846E-2</v>
      </c>
      <c r="Y104" s="5">
        <f t="shared" si="18"/>
        <v>3.0210459972474846E-2</v>
      </c>
      <c r="Z104" s="19" t="s">
        <v>53</v>
      </c>
      <c r="AA104" s="19" t="s">
        <v>53</v>
      </c>
      <c r="AB104" s="19" t="s">
        <v>53</v>
      </c>
    </row>
    <row r="105" spans="1:28" x14ac:dyDescent="0.25">
      <c r="A105" s="1">
        <v>45251</v>
      </c>
      <c r="B105" s="1" t="str">
        <f t="shared" si="11"/>
        <v>202311</v>
      </c>
      <c r="C105" s="2">
        <f>C104*(1+((1+VLOOKUP($B105,'IPCA Hist'!$B:$C,2,0))^12 - 1)+$C$2)^(1/252)</f>
        <v>43489203.523860477</v>
      </c>
      <c r="D105" s="2">
        <f>D104*(1+((1+VLOOKUP($B105,'IPCA Hist'!$B:$C,2,0))^12 - 1)+$D$2)^(1/252)</f>
        <v>43506327.458238237</v>
      </c>
      <c r="E105" s="2">
        <f>E104*(1+((1+VLOOKUP($B105,'IPCA Hist'!$B:$C,2,0))^12 - 1)+$E$2)^(1/252)</f>
        <v>43758285.048658505</v>
      </c>
      <c r="F105" s="2">
        <f>F104*(1+((1+VLOOKUP($B105,'IPCA Hist'!$B:$C,2,0))^12 - 1)+$F$2)^(1/252)</f>
        <v>43741042.429038793</v>
      </c>
      <c r="G105" s="2">
        <f>G104*(1+((1+VLOOKUP($B105,'IPCA Hist'!$B:$C,2,0))^12 - 1)+$G$2)^(1/252)</f>
        <v>43723798.366582535</v>
      </c>
      <c r="H105" s="2">
        <f>H104*(1+((1+VLOOKUP($B105,'IPCA Hist'!$B:$C,2,0))^12 - 1)+$H$2)^(1/252)</f>
        <v>44746214.346514136</v>
      </c>
      <c r="I105" s="2">
        <f>I104*(1+((1+VLOOKUP($B105,'IPCA Hist'!$B:$C,2,0))^12 - 1)+$I$2)^(1/252)</f>
        <v>226013874.90376139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f t="shared" si="10"/>
        <v>488978746.07665408</v>
      </c>
      <c r="P105" s="2">
        <v>0</v>
      </c>
      <c r="Q105" s="2">
        <v>0</v>
      </c>
      <c r="R105" s="2">
        <f t="shared" si="19"/>
        <v>159044.13562560081</v>
      </c>
      <c r="S105" s="2">
        <f t="shared" si="12"/>
        <v>2063543.0662330389</v>
      </c>
      <c r="T105" s="2">
        <f t="shared" si="13"/>
        <v>11691550.623554051</v>
      </c>
      <c r="U105" s="11">
        <f t="shared" si="16"/>
        <v>1.0305456529515387</v>
      </c>
      <c r="V105" s="12">
        <f t="shared" si="17"/>
        <v>3.2536359519474978E-4</v>
      </c>
      <c r="W105" s="12">
        <f t="shared" si="14"/>
        <v>4.2379926801940915E-3</v>
      </c>
      <c r="X105" s="12">
        <f t="shared" si="15"/>
        <v>3.054565295153866E-2</v>
      </c>
      <c r="Y105" s="5">
        <f t="shared" si="18"/>
        <v>3.054565295153866E-2</v>
      </c>
      <c r="Z105" s="19" t="s">
        <v>53</v>
      </c>
      <c r="AA105" s="19" t="s">
        <v>53</v>
      </c>
      <c r="AB105" s="19" t="s">
        <v>53</v>
      </c>
    </row>
    <row r="106" spans="1:28" x14ac:dyDescent="0.25">
      <c r="A106" s="1">
        <v>45252</v>
      </c>
      <c r="B106" s="1" t="str">
        <f t="shared" si="11"/>
        <v>202311</v>
      </c>
      <c r="C106" s="2">
        <f>C105*(1+((1+VLOOKUP($B106,'IPCA Hist'!$B:$C,2,0))^12 - 1)+$C$2)^(1/252)</f>
        <v>43503667.959139667</v>
      </c>
      <c r="D106" s="2">
        <f>D105*(1+((1+VLOOKUP($B106,'IPCA Hist'!$B:$C,2,0))^12 - 1)+$D$2)^(1/252)</f>
        <v>43520781.706295907</v>
      </c>
      <c r="E106" s="2">
        <f>E105*(1+((1+VLOOKUP($B106,'IPCA Hist'!$B:$C,2,0))^12 - 1)+$E$2)^(1/252)</f>
        <v>43772567.212693952</v>
      </c>
      <c r="F106" s="2">
        <f>F105*(1+((1+VLOOKUP($B106,'IPCA Hist'!$B:$C,2,0))^12 - 1)+$F$2)^(1/252)</f>
        <v>43755334.957032926</v>
      </c>
      <c r="G106" s="2">
        <f>G105*(1+((1+VLOOKUP($B106,'IPCA Hist'!$B:$C,2,0))^12 - 1)+$G$2)^(1/252)</f>
        <v>43738101.243989259</v>
      </c>
      <c r="H106" s="2">
        <f>H105*(1+((1+VLOOKUP($B106,'IPCA Hist'!$B:$C,2,0))^12 - 1)+$H$2)^(1/252)</f>
        <v>44760655.283603333</v>
      </c>
      <c r="I106" s="2">
        <f>I105*(1+((1+VLOOKUP($B106,'IPCA Hist'!$B:$C,2,0))^12 - 1)+$I$2)^(1/252)</f>
        <v>226086733.60363278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f t="shared" si="10"/>
        <v>489137841.96638787</v>
      </c>
      <c r="P106" s="2">
        <v>0</v>
      </c>
      <c r="Q106" s="2">
        <v>0</v>
      </c>
      <c r="R106" s="2">
        <f t="shared" si="19"/>
        <v>159095.88973379135</v>
      </c>
      <c r="S106" s="2">
        <f t="shared" si="12"/>
        <v>2222638.9559668303</v>
      </c>
      <c r="T106" s="2">
        <f t="shared" si="13"/>
        <v>11850646.513287842</v>
      </c>
      <c r="U106" s="11">
        <f t="shared" si="16"/>
        <v>1.0308809550048141</v>
      </c>
      <c r="V106" s="12">
        <f t="shared" si="17"/>
        <v>3.2536360938029141E-4</v>
      </c>
      <c r="W106" s="12">
        <f t="shared" si="14"/>
        <v>4.5647351781692436E-3</v>
      </c>
      <c r="X106" s="12">
        <f t="shared" si="15"/>
        <v>3.0880955004814137E-2</v>
      </c>
      <c r="Y106" s="5">
        <f t="shared" si="18"/>
        <v>3.0880955004814137E-2</v>
      </c>
      <c r="Z106" s="19" t="s">
        <v>53</v>
      </c>
      <c r="AA106" s="19" t="s">
        <v>53</v>
      </c>
      <c r="AB106" s="19" t="s">
        <v>53</v>
      </c>
    </row>
    <row r="107" spans="1:28" x14ac:dyDescent="0.25">
      <c r="A107" s="1">
        <v>45253</v>
      </c>
      <c r="B107" s="1" t="str">
        <f t="shared" si="11"/>
        <v>202311</v>
      </c>
      <c r="C107" s="2">
        <f>C106*(1+((1+VLOOKUP($B107,'IPCA Hist'!$B:$C,2,0))^12 - 1)+$C$2)^(1/252)</f>
        <v>43518137.205265485</v>
      </c>
      <c r="D107" s="2">
        <f>D106*(1+((1+VLOOKUP($B107,'IPCA Hist'!$B:$C,2,0))^12 - 1)+$D$2)^(1/252)</f>
        <v>43535240.756535217</v>
      </c>
      <c r="E107" s="2">
        <f>E106*(1+((1+VLOOKUP($B107,'IPCA Hist'!$B:$C,2,0))^12 - 1)+$E$2)^(1/252)</f>
        <v>43786854.038251422</v>
      </c>
      <c r="F107" s="2">
        <f>F106*(1+((1+VLOOKUP($B107,'IPCA Hist'!$B:$C,2,0))^12 - 1)+$F$2)^(1/252)</f>
        <v>43769632.155157104</v>
      </c>
      <c r="G107" s="2">
        <f>G106*(1+((1+VLOOKUP($B107,'IPCA Hist'!$B:$C,2,0))^12 - 1)+$G$2)^(1/252)</f>
        <v>43752408.800136387</v>
      </c>
      <c r="H107" s="2">
        <f>H106*(1+((1+VLOOKUP($B107,'IPCA Hist'!$B:$C,2,0))^12 - 1)+$H$2)^(1/252)</f>
        <v>44775100.88121336</v>
      </c>
      <c r="I107" s="2">
        <f>I106*(1+((1+VLOOKUP($B107,'IPCA Hist'!$B:$C,2,0))^12 - 1)+$I$2)^(1/252)</f>
        <v>226159615.7905142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f t="shared" si="10"/>
        <v>489296989.62707317</v>
      </c>
      <c r="P107" s="2">
        <v>0</v>
      </c>
      <c r="Q107" s="2">
        <v>0</v>
      </c>
      <c r="R107" s="2">
        <f t="shared" si="19"/>
        <v>159147.66068530083</v>
      </c>
      <c r="S107" s="2">
        <f t="shared" si="12"/>
        <v>2381786.6166521311</v>
      </c>
      <c r="T107" s="2">
        <f t="shared" si="13"/>
        <v>12009794.173973143</v>
      </c>
      <c r="U107" s="11">
        <f t="shared" si="16"/>
        <v>1.0312163661677993</v>
      </c>
      <c r="V107" s="12">
        <f t="shared" si="17"/>
        <v>3.2536362356561099E-4</v>
      </c>
      <c r="W107" s="12">
        <f t="shared" si="14"/>
        <v>4.8915840005130384E-3</v>
      </c>
      <c r="X107" s="12">
        <f t="shared" si="15"/>
        <v>3.1216366167799325E-2</v>
      </c>
      <c r="Y107" s="5">
        <f t="shared" si="18"/>
        <v>3.1216366167799325E-2</v>
      </c>
      <c r="Z107" s="19" t="s">
        <v>53</v>
      </c>
      <c r="AA107" s="19" t="s">
        <v>53</v>
      </c>
      <c r="AB107" s="19" t="s">
        <v>53</v>
      </c>
    </row>
    <row r="108" spans="1:28" x14ac:dyDescent="0.25">
      <c r="A108" s="1">
        <v>45254</v>
      </c>
      <c r="B108" s="1" t="str">
        <f t="shared" si="11"/>
        <v>202311</v>
      </c>
      <c r="C108" s="2">
        <f>C107*(1+((1+VLOOKUP($B108,'IPCA Hist'!$B:$C,2,0))^12 - 1)+$C$2)^(1/252)</f>
        <v>43532611.263838008</v>
      </c>
      <c r="D108" s="2">
        <f>D107*(1+((1+VLOOKUP($B108,'IPCA Hist'!$B:$C,2,0))^12 - 1)+$D$2)^(1/252)</f>
        <v>43549704.610551611</v>
      </c>
      <c r="E108" s="2">
        <f>E107*(1+((1+VLOOKUP($B108,'IPCA Hist'!$B:$C,2,0))^12 - 1)+$E$2)^(1/252)</f>
        <v>43801145.526852384</v>
      </c>
      <c r="F108" s="2">
        <f>F107*(1+((1+VLOOKUP($B108,'IPCA Hist'!$B:$C,2,0))^12 - 1)+$F$2)^(1/252)</f>
        <v>43783934.024937309</v>
      </c>
      <c r="G108" s="2">
        <f>G107*(1+((1+VLOOKUP($B108,'IPCA Hist'!$B:$C,2,0))^12 - 1)+$G$2)^(1/252)</f>
        <v>43766721.036554426</v>
      </c>
      <c r="H108" s="2">
        <f>H107*(1+((1+VLOOKUP($B108,'IPCA Hist'!$B:$C,2,0))^12 - 1)+$H$2)^(1/252)</f>
        <v>44789551.140848301</v>
      </c>
      <c r="I108" s="2">
        <f>I107*(1+((1+VLOOKUP($B108,'IPCA Hist'!$B:$C,2,0))^12 - 1)+$I$2)^(1/252)</f>
        <v>226232521.47197703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f t="shared" si="10"/>
        <v>489456189.07555908</v>
      </c>
      <c r="P108" s="2">
        <v>0</v>
      </c>
      <c r="Q108" s="2">
        <v>0</v>
      </c>
      <c r="R108" s="2">
        <f t="shared" si="19"/>
        <v>159199.44848591089</v>
      </c>
      <c r="S108" s="2">
        <f t="shared" si="12"/>
        <v>2540986.065138042</v>
      </c>
      <c r="T108" s="2">
        <f t="shared" si="13"/>
        <v>12168993.622459054</v>
      </c>
      <c r="U108" s="11">
        <f t="shared" si="16"/>
        <v>1.0315518864760045</v>
      </c>
      <c r="V108" s="12">
        <f t="shared" si="17"/>
        <v>3.2536363775137467E-4</v>
      </c>
      <c r="W108" s="12">
        <f t="shared" si="14"/>
        <v>5.2185391818291293E-3</v>
      </c>
      <c r="X108" s="12">
        <f t="shared" si="15"/>
        <v>3.1551886476004487E-2</v>
      </c>
      <c r="Y108" s="5">
        <f t="shared" si="18"/>
        <v>3.1551886476004487E-2</v>
      </c>
      <c r="Z108" s="19" t="s">
        <v>53</v>
      </c>
      <c r="AA108" s="19" t="s">
        <v>53</v>
      </c>
      <c r="AB108" s="19" t="s">
        <v>53</v>
      </c>
    </row>
    <row r="109" spans="1:28" x14ac:dyDescent="0.25">
      <c r="A109" s="1">
        <v>45257</v>
      </c>
      <c r="B109" s="1" t="str">
        <f t="shared" si="11"/>
        <v>202311</v>
      </c>
      <c r="C109" s="2">
        <f>C108*(1+((1+VLOOKUP($B109,'IPCA Hist'!$B:$C,2,0))^12 - 1)+$C$2)^(1/252)</f>
        <v>43547090.136457846</v>
      </c>
      <c r="D109" s="2">
        <f>D108*(1+((1+VLOOKUP($B109,'IPCA Hist'!$B:$C,2,0))^12 - 1)+$D$2)^(1/252)</f>
        <v>43564173.269941062</v>
      </c>
      <c r="E109" s="2">
        <f>E108*(1+((1+VLOOKUP($B109,'IPCA Hist'!$B:$C,2,0))^12 - 1)+$E$2)^(1/252)</f>
        <v>43815441.68001879</v>
      </c>
      <c r="F109" s="2">
        <f>F108*(1+((1+VLOOKUP($B109,'IPCA Hist'!$B:$C,2,0))^12 - 1)+$F$2)^(1/252)</f>
        <v>43798240.567900017</v>
      </c>
      <c r="G109" s="2">
        <f>G108*(1+((1+VLOOKUP($B109,'IPCA Hist'!$B:$C,2,0))^12 - 1)+$G$2)^(1/252)</f>
        <v>43781037.95477438</v>
      </c>
      <c r="H109" s="2">
        <f>H108*(1+((1+VLOOKUP($B109,'IPCA Hist'!$B:$C,2,0))^12 - 1)+$H$2)^(1/252)</f>
        <v>44804006.064012736</v>
      </c>
      <c r="I109" s="2">
        <f>I108*(1+((1+VLOOKUP($B109,'IPCA Hist'!$B:$C,2,0))^12 - 1)+$I$2)^(1/252)</f>
        <v>226305450.65559506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f t="shared" si="10"/>
        <v>489615440.32869995</v>
      </c>
      <c r="P109" s="2">
        <v>0</v>
      </c>
      <c r="Q109" s="2">
        <v>0</v>
      </c>
      <c r="R109" s="2">
        <f t="shared" si="19"/>
        <v>159251.25314086676</v>
      </c>
      <c r="S109" s="2">
        <f t="shared" si="12"/>
        <v>2700237.3182789087</v>
      </c>
      <c r="T109" s="2">
        <f t="shared" si="13"/>
        <v>12328244.875599921</v>
      </c>
      <c r="U109" s="11">
        <f t="shared" si="16"/>
        <v>1.031887515964951</v>
      </c>
      <c r="V109" s="12">
        <f t="shared" si="17"/>
        <v>3.2536365193713834E-4</v>
      </c>
      <c r="W109" s="12">
        <f t="shared" si="14"/>
        <v>5.5456007567322718E-3</v>
      </c>
      <c r="X109" s="12">
        <f t="shared" si="15"/>
        <v>3.1887515964950985E-2</v>
      </c>
      <c r="Y109" s="5">
        <f t="shared" si="18"/>
        <v>3.1887515964950985E-2</v>
      </c>
      <c r="Z109" s="19" t="s">
        <v>53</v>
      </c>
      <c r="AA109" s="19" t="s">
        <v>53</v>
      </c>
      <c r="AB109" s="19" t="s">
        <v>53</v>
      </c>
    </row>
    <row r="110" spans="1:28" x14ac:dyDescent="0.25">
      <c r="A110" s="1">
        <v>45258</v>
      </c>
      <c r="B110" s="1" t="str">
        <f t="shared" si="11"/>
        <v>202311</v>
      </c>
      <c r="C110" s="2">
        <f>C109*(1+((1+VLOOKUP($B110,'IPCA Hist'!$B:$C,2,0))^12 - 1)+$C$2)^(1/252)</f>
        <v>43561573.824726142</v>
      </c>
      <c r="D110" s="2">
        <f>D109*(1+((1+VLOOKUP($B110,'IPCA Hist'!$B:$C,2,0))^12 - 1)+$D$2)^(1/252)</f>
        <v>43578646.736300081</v>
      </c>
      <c r="E110" s="2">
        <f>E109*(1+((1+VLOOKUP($B110,'IPCA Hist'!$B:$C,2,0))^12 - 1)+$E$2)^(1/252)</f>
        <v>43829742.499273099</v>
      </c>
      <c r="F110" s="2">
        <f>F109*(1+((1+VLOOKUP($B110,'IPCA Hist'!$B:$C,2,0))^12 - 1)+$F$2)^(1/252)</f>
        <v>43812551.785572208</v>
      </c>
      <c r="G110" s="2">
        <f>G109*(1+((1+VLOOKUP($B110,'IPCA Hist'!$B:$C,2,0))^12 - 1)+$G$2)^(1/252)</f>
        <v>43795359.556327753</v>
      </c>
      <c r="H110" s="2">
        <f>H109*(1+((1+VLOOKUP($B110,'IPCA Hist'!$B:$C,2,0))^12 - 1)+$H$2)^(1/252)</f>
        <v>44818465.652211726</v>
      </c>
      <c r="I110" s="2">
        <f>I109*(1+((1+VLOOKUP($B110,'IPCA Hist'!$B:$C,2,0))^12 - 1)+$I$2)^(1/252)</f>
        <v>226378403.34894454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f t="shared" si="10"/>
        <v>489774743.40335554</v>
      </c>
      <c r="P110" s="2">
        <v>0</v>
      </c>
      <c r="Q110" s="2">
        <v>0</v>
      </c>
      <c r="R110" s="2">
        <f t="shared" si="19"/>
        <v>159303.07465559244</v>
      </c>
      <c r="S110" s="2">
        <f t="shared" si="12"/>
        <v>2859540.3929345012</v>
      </c>
      <c r="T110" s="2">
        <f t="shared" si="13"/>
        <v>12487547.950255513</v>
      </c>
      <c r="U110" s="11">
        <f t="shared" si="16"/>
        <v>1.0322232546701715</v>
      </c>
      <c r="V110" s="12">
        <f t="shared" si="17"/>
        <v>3.2536366612267997E-4</v>
      </c>
      <c r="W110" s="12">
        <f t="shared" si="14"/>
        <v>5.8727687598481015E-3</v>
      </c>
      <c r="X110" s="12">
        <f t="shared" si="15"/>
        <v>3.2223254670171508E-2</v>
      </c>
      <c r="Y110" s="5">
        <f t="shared" si="18"/>
        <v>3.2223254670171508E-2</v>
      </c>
      <c r="Z110" s="19" t="s">
        <v>53</v>
      </c>
      <c r="AA110" s="19" t="s">
        <v>53</v>
      </c>
      <c r="AB110" s="19" t="s">
        <v>53</v>
      </c>
    </row>
    <row r="111" spans="1:28" x14ac:dyDescent="0.25">
      <c r="A111" s="1">
        <v>45259</v>
      </c>
      <c r="B111" s="1" t="str">
        <f t="shared" si="11"/>
        <v>202311</v>
      </c>
      <c r="C111" s="2">
        <f>C110*(1+((1+VLOOKUP($B111,'IPCA Hist'!$B:$C,2,0))^12 - 1)+$C$2)^(1/252)</f>
        <v>43576062.330244571</v>
      </c>
      <c r="D111" s="2">
        <f>D110*(1+((1+VLOOKUP($B111,'IPCA Hist'!$B:$C,2,0))^12 - 1)+$D$2)^(1/252)</f>
        <v>43593125.011225693</v>
      </c>
      <c r="E111" s="2">
        <f>E110*(1+((1+VLOOKUP($B111,'IPCA Hist'!$B:$C,2,0))^12 - 1)+$E$2)^(1/252)</f>
        <v>43844047.986138269</v>
      </c>
      <c r="F111" s="2">
        <f>F110*(1+((1+VLOOKUP($B111,'IPCA Hist'!$B:$C,2,0))^12 - 1)+$F$2)^(1/252)</f>
        <v>43826867.679481357</v>
      </c>
      <c r="G111" s="2">
        <f>G110*(1+((1+VLOOKUP($B111,'IPCA Hist'!$B:$C,2,0))^12 - 1)+$G$2)^(1/252)</f>
        <v>43809685.842746548</v>
      </c>
      <c r="H111" s="2">
        <f>H110*(1+((1+VLOOKUP($B111,'IPCA Hist'!$B:$C,2,0))^12 - 1)+$H$2)^(1/252)</f>
        <v>44832929.906950817</v>
      </c>
      <c r="I111" s="2">
        <f>I110*(1+((1+VLOOKUP($B111,'IPCA Hist'!$B:$C,2,0))^12 - 1)+$I$2)^(1/252)</f>
        <v>226451379.55960414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f t="shared" si="10"/>
        <v>489934098.31639147</v>
      </c>
      <c r="P111" s="2">
        <v>0</v>
      </c>
      <c r="Q111" s="2">
        <v>0</v>
      </c>
      <c r="R111" s="2">
        <f t="shared" si="19"/>
        <v>159354.9130359292</v>
      </c>
      <c r="S111" s="2">
        <f t="shared" si="12"/>
        <v>3018895.3059704304</v>
      </c>
      <c r="T111" s="2">
        <f t="shared" si="13"/>
        <v>12646902.863291442</v>
      </c>
      <c r="U111" s="11">
        <f t="shared" si="16"/>
        <v>1.0325591026272112</v>
      </c>
      <c r="V111" s="12">
        <f t="shared" si="17"/>
        <v>3.2536368030866569E-4</v>
      </c>
      <c r="W111" s="12">
        <f t="shared" si="14"/>
        <v>6.2000432258140226E-3</v>
      </c>
      <c r="X111" s="12">
        <f t="shared" si="15"/>
        <v>3.2559102627211178E-2</v>
      </c>
      <c r="Y111" s="5">
        <f t="shared" si="18"/>
        <v>3.2559102627211178E-2</v>
      </c>
      <c r="Z111" s="19" t="s">
        <v>53</v>
      </c>
      <c r="AA111" s="19" t="s">
        <v>53</v>
      </c>
      <c r="AB111" s="19" t="s">
        <v>53</v>
      </c>
    </row>
    <row r="112" spans="1:28" x14ac:dyDescent="0.25">
      <c r="A112" s="1">
        <v>45260</v>
      </c>
      <c r="B112" s="1" t="str">
        <f t="shared" si="11"/>
        <v>202311</v>
      </c>
      <c r="C112" s="2">
        <f>C111*(1+((1+VLOOKUP($B112,'IPCA Hist'!$B:$C,2,0))^12 - 1)+$C$2)^(1/252)</f>
        <v>43590555.654615343</v>
      </c>
      <c r="D112" s="2">
        <f>D111*(1+((1+VLOOKUP($B112,'IPCA Hist'!$B:$C,2,0))^12 - 1)+$D$2)^(1/252)</f>
        <v>43607608.096315473</v>
      </c>
      <c r="E112" s="2">
        <f>E111*(1+((1+VLOOKUP($B112,'IPCA Hist'!$B:$C,2,0))^12 - 1)+$E$2)^(1/252)</f>
        <v>43858358.142137751</v>
      </c>
      <c r="F112" s="2">
        <f>F111*(1+((1+VLOOKUP($B112,'IPCA Hist'!$B:$C,2,0))^12 - 1)+$F$2)^(1/252)</f>
        <v>43841188.251155436</v>
      </c>
      <c r="G112" s="2">
        <f>G111*(1+((1+VLOOKUP($B112,'IPCA Hist'!$B:$C,2,0))^12 - 1)+$G$2)^(1/252)</f>
        <v>43824016.815563284</v>
      </c>
      <c r="H112" s="2">
        <f>H111*(1+((1+VLOOKUP($B112,'IPCA Hist'!$B:$C,2,0))^12 - 1)+$H$2)^(1/252)</f>
        <v>44847398.829736039</v>
      </c>
      <c r="I112" s="2">
        <f>I111*(1+((1+VLOOKUP($B112,'IPCA Hist'!$B:$C,2,0))^12 - 1)+$I$2)^(1/252)</f>
        <v>226524379.29515499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f t="shared" si="10"/>
        <v>490093505.08467829</v>
      </c>
      <c r="P112" s="2">
        <v>0</v>
      </c>
      <c r="Q112" s="2">
        <v>0</v>
      </c>
      <c r="R112" s="2">
        <f t="shared" si="19"/>
        <v>159406.76828682423</v>
      </c>
      <c r="S112" s="2">
        <f t="shared" si="12"/>
        <v>3178302.0742572546</v>
      </c>
      <c r="T112" s="2">
        <f t="shared" si="13"/>
        <v>12806309.631578267</v>
      </c>
      <c r="U112" s="11">
        <f t="shared" si="16"/>
        <v>1.0328950598716253</v>
      </c>
      <c r="V112" s="12">
        <f t="shared" si="17"/>
        <v>3.2536369449398528E-4</v>
      </c>
      <c r="W112" s="12">
        <f t="shared" si="14"/>
        <v>6.527424189277875E-3</v>
      </c>
      <c r="X112" s="12">
        <f t="shared" si="15"/>
        <v>3.2895059871625332E-2</v>
      </c>
      <c r="Y112" s="5">
        <f t="shared" si="18"/>
        <v>3.2895059871625332E-2</v>
      </c>
      <c r="Z112" s="19" t="s">
        <v>53</v>
      </c>
      <c r="AA112" s="19" t="s">
        <v>53</v>
      </c>
      <c r="AB112" s="19" t="s">
        <v>53</v>
      </c>
    </row>
    <row r="113" spans="1:28" x14ac:dyDescent="0.25">
      <c r="A113" s="1">
        <v>45261</v>
      </c>
      <c r="B113" s="1" t="str">
        <f t="shared" si="11"/>
        <v>202312</v>
      </c>
      <c r="C113" s="2">
        <f>C112*(1+((1+VLOOKUP($B113,'IPCA Hist'!$B:$C,2,0))^12 - 1)+$C$2)^(1/252)</f>
        <v>43610564.579673529</v>
      </c>
      <c r="D113" s="2">
        <f>D112*(1+((1+VLOOKUP($B113,'IPCA Hist'!$B:$C,2,0))^12 - 1)+$D$2)^(1/252)</f>
        <v>43627609.426248506</v>
      </c>
      <c r="E113" s="2">
        <f>E112*(1+((1+VLOOKUP($B113,'IPCA Hist'!$B:$C,2,0))^12 - 1)+$E$2)^(1/252)</f>
        <v>43878226.115820989</v>
      </c>
      <c r="F113" s="2">
        <f>F112*(1+((1+VLOOKUP($B113,'IPCA Hist'!$B:$C,2,0))^12 - 1)+$F$2)^(1/252)</f>
        <v>43861063.974009521</v>
      </c>
      <c r="G113" s="2">
        <f>G112*(1+((1+VLOOKUP($B113,'IPCA Hist'!$B:$C,2,0))^12 - 1)+$G$2)^(1/252)</f>
        <v>43843900.273346312</v>
      </c>
      <c r="H113" s="2">
        <f>H112*(1+((1+VLOOKUP($B113,'IPCA Hist'!$B:$C,2,0))^12 - 1)+$H$2)^(1/252)</f>
        <v>44867555.928739876</v>
      </c>
      <c r="I113" s="2">
        <f>I112*(1+((1+VLOOKUP($B113,'IPCA Hist'!$B:$C,2,0))^12 - 1)+$I$2)^(1/252)</f>
        <v>226626112.57126299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f t="shared" si="10"/>
        <v>490315032.8691017</v>
      </c>
      <c r="P113" s="2">
        <v>0</v>
      </c>
      <c r="Q113" s="2">
        <v>0</v>
      </c>
      <c r="R113" s="2">
        <f t="shared" si="19"/>
        <v>221527.78442341089</v>
      </c>
      <c r="S113" s="2">
        <f t="shared" si="12"/>
        <v>221527.78442341089</v>
      </c>
      <c r="T113" s="2">
        <f t="shared" si="13"/>
        <v>13027837.416001678</v>
      </c>
      <c r="U113" s="11">
        <f t="shared" si="16"/>
        <v>1.03336194007261</v>
      </c>
      <c r="V113" s="12">
        <f t="shared" si="17"/>
        <v>4.5201126341209985E-4</v>
      </c>
      <c r="W113" s="12">
        <f t="shared" si="14"/>
        <v>4.5201126341209985E-4</v>
      </c>
      <c r="X113" s="12">
        <f t="shared" si="15"/>
        <v>3.3361940072609952E-2</v>
      </c>
      <c r="Y113" s="5">
        <f t="shared" si="18"/>
        <v>3.3361940072609952E-2</v>
      </c>
      <c r="Z113" s="19" t="s">
        <v>53</v>
      </c>
      <c r="AA113" s="19" t="s">
        <v>53</v>
      </c>
      <c r="AB113" s="19" t="s">
        <v>53</v>
      </c>
    </row>
    <row r="114" spans="1:28" x14ac:dyDescent="0.25">
      <c r="A114" s="1">
        <v>45264</v>
      </c>
      <c r="B114" s="1" t="str">
        <f t="shared" si="11"/>
        <v>202312</v>
      </c>
      <c r="C114" s="2">
        <f>C113*(1+((1+VLOOKUP($B114,'IPCA Hist'!$B:$C,2,0))^12 - 1)+$C$2)^(1/252)</f>
        <v>43630582.689223081</v>
      </c>
      <c r="D114" s="2">
        <f>D113*(1+((1+VLOOKUP($B114,'IPCA Hist'!$B:$C,2,0))^12 - 1)+$D$2)^(1/252)</f>
        <v>43647619.930112801</v>
      </c>
      <c r="E114" s="2">
        <f>E113*(1+((1+VLOOKUP($B114,'IPCA Hist'!$B:$C,2,0))^12 - 1)+$E$2)^(1/252)</f>
        <v>43898103.089758568</v>
      </c>
      <c r="F114" s="2">
        <f>F113*(1+((1+VLOOKUP($B114,'IPCA Hist'!$B:$C,2,0))^12 - 1)+$F$2)^(1/252)</f>
        <v>43880948.707667708</v>
      </c>
      <c r="G114" s="2">
        <f>G113*(1+((1+VLOOKUP($B114,'IPCA Hist'!$B:$C,2,0))^12 - 1)+$G$2)^(1/252)</f>
        <v>43863792.75248161</v>
      </c>
      <c r="H114" s="2">
        <f>H113*(1+((1+VLOOKUP($B114,'IPCA Hist'!$B:$C,2,0))^12 - 1)+$H$2)^(1/252)</f>
        <v>44887722.087547638</v>
      </c>
      <c r="I114" s="2">
        <f>I113*(1+((1+VLOOKUP($B114,'IPCA Hist'!$B:$C,2,0))^12 - 1)+$I$2)^(1/252)</f>
        <v>226727891.53631404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f t="shared" si="10"/>
        <v>490536660.79310548</v>
      </c>
      <c r="P114" s="2">
        <v>0</v>
      </c>
      <c r="Q114" s="2">
        <v>0</v>
      </c>
      <c r="R114" s="2">
        <f t="shared" si="19"/>
        <v>221627.92400377989</v>
      </c>
      <c r="S114" s="2">
        <f t="shared" si="12"/>
        <v>443155.70842719078</v>
      </c>
      <c r="T114" s="2">
        <f t="shared" si="13"/>
        <v>13249465.340005457</v>
      </c>
      <c r="U114" s="11">
        <f t="shared" si="16"/>
        <v>1.0338290313224594</v>
      </c>
      <c r="V114" s="12">
        <f t="shared" si="17"/>
        <v>4.5201127672322983E-4</v>
      </c>
      <c r="W114" s="12">
        <f t="shared" si="14"/>
        <v>9.0422685432356431E-4</v>
      </c>
      <c r="X114" s="12">
        <f t="shared" si="15"/>
        <v>3.3829031322459402E-2</v>
      </c>
      <c r="Y114" s="5">
        <f t="shared" si="18"/>
        <v>3.3829031322459402E-2</v>
      </c>
      <c r="Z114" s="19" t="s">
        <v>53</v>
      </c>
      <c r="AA114" s="19" t="s">
        <v>53</v>
      </c>
      <c r="AB114" s="19" t="s">
        <v>53</v>
      </c>
    </row>
    <row r="115" spans="1:28" x14ac:dyDescent="0.25">
      <c r="A115" s="1">
        <v>45265</v>
      </c>
      <c r="B115" s="1" t="str">
        <f t="shared" si="11"/>
        <v>202312</v>
      </c>
      <c r="C115" s="2">
        <f>C114*(1+((1+VLOOKUP($B115,'IPCA Hist'!$B:$C,2,0))^12 - 1)+$C$2)^(1/252)</f>
        <v>43650609.987479858</v>
      </c>
      <c r="D115" s="2">
        <f>D114*(1+((1+VLOOKUP($B115,'IPCA Hist'!$B:$C,2,0))^12 - 1)+$D$2)^(1/252)</f>
        <v>43667639.612116128</v>
      </c>
      <c r="E115" s="2">
        <f>E114*(1+((1+VLOOKUP($B115,'IPCA Hist'!$B:$C,2,0))^12 - 1)+$E$2)^(1/252)</f>
        <v>43917989.06802763</v>
      </c>
      <c r="F115" s="2">
        <f>F114*(1+((1+VLOOKUP($B115,'IPCA Hist'!$B:$C,2,0))^12 - 1)+$F$2)^(1/252)</f>
        <v>43900842.456215113</v>
      </c>
      <c r="G115" s="2">
        <f>G114*(1+((1+VLOOKUP($B115,'IPCA Hist'!$B:$C,2,0))^12 - 1)+$G$2)^(1/252)</f>
        <v>43883694.257062264</v>
      </c>
      <c r="H115" s="2">
        <f>H114*(1+((1+VLOOKUP($B115,'IPCA Hist'!$B:$C,2,0))^12 - 1)+$H$2)^(1/252)</f>
        <v>44907897.31023135</v>
      </c>
      <c r="I115" s="2">
        <f>I114*(1+((1+VLOOKUP($B115,'IPCA Hist'!$B:$C,2,0))^12 - 1)+$I$2)^(1/252)</f>
        <v>226829716.21082729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f t="shared" si="10"/>
        <v>490758388.90195966</v>
      </c>
      <c r="P115" s="2">
        <v>0</v>
      </c>
      <c r="Q115" s="2">
        <v>0</v>
      </c>
      <c r="R115" s="2">
        <f t="shared" si="19"/>
        <v>221728.10885417461</v>
      </c>
      <c r="S115" s="2">
        <f t="shared" si="12"/>
        <v>664883.81728136539</v>
      </c>
      <c r="T115" s="2">
        <f t="shared" si="13"/>
        <v>13471193.448859632</v>
      </c>
      <c r="U115" s="11">
        <f t="shared" si="16"/>
        <v>1.0342963337165823</v>
      </c>
      <c r="V115" s="12">
        <f t="shared" si="17"/>
        <v>4.5201129003413776E-4</v>
      </c>
      <c r="W115" s="12">
        <f t="shared" si="14"/>
        <v>1.3566468651045049E-3</v>
      </c>
      <c r="X115" s="12">
        <f t="shared" si="15"/>
        <v>3.429633371658225E-2</v>
      </c>
      <c r="Y115" s="5">
        <f t="shared" si="18"/>
        <v>3.429633371658225E-2</v>
      </c>
      <c r="Z115" s="19" t="s">
        <v>53</v>
      </c>
      <c r="AA115" s="19" t="s">
        <v>53</v>
      </c>
      <c r="AB115" s="19" t="s">
        <v>53</v>
      </c>
    </row>
    <row r="116" spans="1:28" x14ac:dyDescent="0.25">
      <c r="A116" s="1">
        <v>45266</v>
      </c>
      <c r="B116" s="1" t="str">
        <f t="shared" si="11"/>
        <v>202312</v>
      </c>
      <c r="C116" s="2">
        <f>C115*(1+((1+VLOOKUP($B116,'IPCA Hist'!$B:$C,2,0))^12 - 1)+$C$2)^(1/252)</f>
        <v>43670646.478661656</v>
      </c>
      <c r="D116" s="2">
        <f>D115*(1+((1+VLOOKUP($B116,'IPCA Hist'!$B:$C,2,0))^12 - 1)+$D$2)^(1/252)</f>
        <v>43687668.476468183</v>
      </c>
      <c r="E116" s="2">
        <f>E115*(1+((1+VLOOKUP($B116,'IPCA Hist'!$B:$C,2,0))^12 - 1)+$E$2)^(1/252)</f>
        <v>43937884.05470717</v>
      </c>
      <c r="F116" s="2">
        <f>F115*(1+((1+VLOOKUP($B116,'IPCA Hist'!$B:$C,2,0))^12 - 1)+$F$2)^(1/252)</f>
        <v>43920745.2237387</v>
      </c>
      <c r="G116" s="2">
        <f>G115*(1+((1+VLOOKUP($B116,'IPCA Hist'!$B:$C,2,0))^12 - 1)+$G$2)^(1/252)</f>
        <v>43903604.791183226</v>
      </c>
      <c r="H116" s="2">
        <f>H115*(1+((1+VLOOKUP($B116,'IPCA Hist'!$B:$C,2,0))^12 - 1)+$H$2)^(1/252)</f>
        <v>44928081.600864857</v>
      </c>
      <c r="I116" s="2">
        <f>I115*(1+((1+VLOOKUP($B116,'IPCA Hist'!$B:$C,2,0))^12 - 1)+$I$2)^(1/252)</f>
        <v>226931586.61533111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f t="shared" si="10"/>
        <v>490980217.24095488</v>
      </c>
      <c r="P116" s="2">
        <v>0</v>
      </c>
      <c r="Q116" s="2">
        <v>0</v>
      </c>
      <c r="R116" s="2">
        <f t="shared" si="19"/>
        <v>221828.33899521828</v>
      </c>
      <c r="S116" s="2">
        <f t="shared" si="12"/>
        <v>886712.15627658367</v>
      </c>
      <c r="T116" s="2">
        <f t="shared" si="13"/>
        <v>13693021.78785485</v>
      </c>
      <c r="U116" s="11">
        <f t="shared" si="16"/>
        <v>1.0347638473504308</v>
      </c>
      <c r="V116" s="12">
        <f t="shared" si="17"/>
        <v>4.5201130334526773E-4</v>
      </c>
      <c r="W116" s="12">
        <f t="shared" si="14"/>
        <v>1.8092713881674438E-3</v>
      </c>
      <c r="X116" s="12">
        <f t="shared" si="15"/>
        <v>3.476384735043081E-2</v>
      </c>
      <c r="Y116" s="5">
        <f t="shared" si="18"/>
        <v>3.476384735043081E-2</v>
      </c>
      <c r="Z116" s="19" t="s">
        <v>53</v>
      </c>
      <c r="AA116" s="19" t="s">
        <v>53</v>
      </c>
      <c r="AB116" s="19" t="s">
        <v>53</v>
      </c>
    </row>
    <row r="117" spans="1:28" x14ac:dyDescent="0.25">
      <c r="A117" s="1">
        <v>45267</v>
      </c>
      <c r="B117" s="1" t="str">
        <f t="shared" si="11"/>
        <v>202312</v>
      </c>
      <c r="C117" s="2">
        <f>C116*(1+((1+VLOOKUP($B117,'IPCA Hist'!$B:$C,2,0))^12 - 1)+$C$2)^(1/252)</f>
        <v>43690692.166988216</v>
      </c>
      <c r="D117" s="2">
        <f>D116*(1+((1+VLOOKUP($B117,'IPCA Hist'!$B:$C,2,0))^12 - 1)+$D$2)^(1/252)</f>
        <v>43707706.527380601</v>
      </c>
      <c r="E117" s="2">
        <f>E116*(1+((1+VLOOKUP($B117,'IPCA Hist'!$B:$C,2,0))^12 - 1)+$E$2)^(1/252)</f>
        <v>43957788.053878024</v>
      </c>
      <c r="F117" s="2">
        <f>F116*(1+((1+VLOOKUP($B117,'IPCA Hist'!$B:$C,2,0))^12 - 1)+$F$2)^(1/252)</f>
        <v>43940657.014327288</v>
      </c>
      <c r="G117" s="2">
        <f>G116*(1+((1+VLOOKUP($B117,'IPCA Hist'!$B:$C,2,0))^12 - 1)+$G$2)^(1/252)</f>
        <v>43923524.358941294</v>
      </c>
      <c r="H117" s="2">
        <f>H116*(1+((1+VLOOKUP($B117,'IPCA Hist'!$B:$C,2,0))^12 - 1)+$H$2)^(1/252)</f>
        <v>44948274.963523842</v>
      </c>
      <c r="I117" s="2">
        <f>I116*(1+((1+VLOOKUP($B117,'IPCA Hist'!$B:$C,2,0))^12 - 1)+$I$2)^(1/252)</f>
        <v>227033502.77036306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f t="shared" si="10"/>
        <v>491202145.85540235</v>
      </c>
      <c r="P117" s="2">
        <v>0</v>
      </c>
      <c r="Q117" s="2">
        <v>0</v>
      </c>
      <c r="R117" s="2">
        <f t="shared" si="19"/>
        <v>221928.61444747448</v>
      </c>
      <c r="S117" s="2">
        <f t="shared" si="12"/>
        <v>1108640.7707240582</v>
      </c>
      <c r="T117" s="2">
        <f t="shared" si="13"/>
        <v>13914950.402302325</v>
      </c>
      <c r="U117" s="11">
        <f t="shared" si="16"/>
        <v>1.0352315723195002</v>
      </c>
      <c r="V117" s="12">
        <f t="shared" si="17"/>
        <v>4.5201131665661975E-4</v>
      </c>
      <c r="W117" s="12">
        <f t="shared" si="14"/>
        <v>2.2621005159664254E-3</v>
      </c>
      <c r="X117" s="12">
        <f t="shared" si="15"/>
        <v>3.5231572319500248E-2</v>
      </c>
      <c r="Y117" s="5">
        <f t="shared" si="18"/>
        <v>3.5231572319500248E-2</v>
      </c>
      <c r="Z117" s="19" t="s">
        <v>53</v>
      </c>
      <c r="AA117" s="19" t="s">
        <v>53</v>
      </c>
      <c r="AB117" s="19" t="s">
        <v>53</v>
      </c>
    </row>
    <row r="118" spans="1:28" x14ac:dyDescent="0.25">
      <c r="A118" s="1">
        <v>45268</v>
      </c>
      <c r="B118" s="1" t="str">
        <f t="shared" si="11"/>
        <v>202312</v>
      </c>
      <c r="C118" s="2">
        <f>C117*(1+((1+VLOOKUP($B118,'IPCA Hist'!$B:$C,2,0))^12 - 1)+$C$2)^(1/252)</f>
        <v>43710747.056681208</v>
      </c>
      <c r="D118" s="2">
        <f>D117*(1+((1+VLOOKUP($B118,'IPCA Hist'!$B:$C,2,0))^12 - 1)+$D$2)^(1/252)</f>
        <v>43727753.769066945</v>
      </c>
      <c r="E118" s="2">
        <f>E117*(1+((1+VLOOKUP($B118,'IPCA Hist'!$B:$C,2,0))^12 - 1)+$E$2)^(1/252)</f>
        <v>43977701.069622874</v>
      </c>
      <c r="F118" s="2">
        <f>F117*(1+((1+VLOOKUP($B118,'IPCA Hist'!$B:$C,2,0))^12 - 1)+$F$2)^(1/252)</f>
        <v>43960577.83207155</v>
      </c>
      <c r="G118" s="2">
        <f>G117*(1+((1+VLOOKUP($B118,'IPCA Hist'!$B:$C,2,0))^12 - 1)+$G$2)^(1/252)</f>
        <v>43943452.964435138</v>
      </c>
      <c r="H118" s="2">
        <f>H117*(1+((1+VLOOKUP($B118,'IPCA Hist'!$B:$C,2,0))^12 - 1)+$H$2)^(1/252)</f>
        <v>44968477.402285807</v>
      </c>
      <c r="I118" s="2">
        <f>I117*(1+((1+VLOOKUP($B118,'IPCA Hist'!$B:$C,2,0))^12 - 1)+$I$2)^(1/252)</f>
        <v>227135464.69646996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f t="shared" si="10"/>
        <v>491424174.79063344</v>
      </c>
      <c r="P118" s="2">
        <v>0</v>
      </c>
      <c r="Q118" s="2">
        <v>0</v>
      </c>
      <c r="R118" s="2">
        <f t="shared" si="19"/>
        <v>222028.93523108959</v>
      </c>
      <c r="S118" s="2">
        <f t="shared" si="12"/>
        <v>1330669.7059551477</v>
      </c>
      <c r="T118" s="2">
        <f t="shared" si="13"/>
        <v>14136979.337533414</v>
      </c>
      <c r="U118" s="11">
        <f t="shared" si="16"/>
        <v>1.035699508719329</v>
      </c>
      <c r="V118" s="12">
        <f t="shared" si="17"/>
        <v>4.5201132996774973E-4</v>
      </c>
      <c r="W118" s="12">
        <f t="shared" si="14"/>
        <v>2.7151343409970163E-3</v>
      </c>
      <c r="X118" s="12">
        <f t="shared" si="15"/>
        <v>3.5699508719329032E-2</v>
      </c>
      <c r="Y118" s="5">
        <f t="shared" si="18"/>
        <v>3.5699508719329032E-2</v>
      </c>
      <c r="Z118" s="19" t="s">
        <v>53</v>
      </c>
      <c r="AA118" s="19" t="s">
        <v>53</v>
      </c>
      <c r="AB118" s="19" t="s">
        <v>53</v>
      </c>
    </row>
    <row r="119" spans="1:28" x14ac:dyDescent="0.25">
      <c r="A119" s="1">
        <v>45271</v>
      </c>
      <c r="B119" s="1" t="str">
        <f t="shared" si="11"/>
        <v>202312</v>
      </c>
      <c r="C119" s="2">
        <f>C118*(1+((1+VLOOKUP($B119,'IPCA Hist'!$B:$C,2,0))^12 - 1)+$C$2)^(1/252)</f>
        <v>43730811.15196424</v>
      </c>
      <c r="D119" s="2">
        <f>D118*(1+((1+VLOOKUP($B119,'IPCA Hist'!$B:$C,2,0))^12 - 1)+$D$2)^(1/252)</f>
        <v>43747810.205742717</v>
      </c>
      <c r="E119" s="2">
        <f>E118*(1+((1+VLOOKUP($B119,'IPCA Hist'!$B:$C,2,0))^12 - 1)+$E$2)^(1/252)</f>
        <v>43997623.106026262</v>
      </c>
      <c r="F119" s="2">
        <f>F118*(1+((1+VLOOKUP($B119,'IPCA Hist'!$B:$C,2,0))^12 - 1)+$F$2)^(1/252)</f>
        <v>43980507.681064017</v>
      </c>
      <c r="G119" s="2">
        <f>G118*(1+((1+VLOOKUP($B119,'IPCA Hist'!$B:$C,2,0))^12 - 1)+$G$2)^(1/252)</f>
        <v>43963390.61176528</v>
      </c>
      <c r="H119" s="2">
        <f>H118*(1+((1+VLOOKUP($B119,'IPCA Hist'!$B:$C,2,0))^12 - 1)+$H$2)^(1/252)</f>
        <v>44988688.9212301</v>
      </c>
      <c r="I119" s="2">
        <f>I118*(1+((1+VLOOKUP($B119,'IPCA Hist'!$B:$C,2,0))^12 - 1)+$I$2)^(1/252)</f>
        <v>227237472.41420782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f t="shared" si="10"/>
        <v>491646304.09200048</v>
      </c>
      <c r="P119" s="2">
        <v>0</v>
      </c>
      <c r="Q119" s="2">
        <v>0</v>
      </c>
      <c r="R119" s="2">
        <f t="shared" si="19"/>
        <v>222129.30136704445</v>
      </c>
      <c r="S119" s="2">
        <f t="shared" si="12"/>
        <v>1552799.0073221922</v>
      </c>
      <c r="T119" s="2">
        <f t="shared" si="13"/>
        <v>14359108.638900459</v>
      </c>
      <c r="U119" s="11">
        <f t="shared" si="16"/>
        <v>1.0361676566454989</v>
      </c>
      <c r="V119" s="12">
        <f t="shared" si="17"/>
        <v>4.520113432793238E-4</v>
      </c>
      <c r="W119" s="12">
        <f t="shared" si="14"/>
        <v>3.168372955796972E-3</v>
      </c>
      <c r="X119" s="12">
        <f t="shared" si="15"/>
        <v>3.6167656645498925E-2</v>
      </c>
      <c r="Y119" s="5">
        <f t="shared" si="18"/>
        <v>3.6167656645498925E-2</v>
      </c>
      <c r="Z119" s="19" t="s">
        <v>53</v>
      </c>
      <c r="AA119" s="19" t="s">
        <v>53</v>
      </c>
      <c r="AB119" s="19" t="s">
        <v>53</v>
      </c>
    </row>
    <row r="120" spans="1:28" x14ac:dyDescent="0.25">
      <c r="A120" s="1">
        <v>45272</v>
      </c>
      <c r="B120" s="1" t="str">
        <f t="shared" si="11"/>
        <v>202312</v>
      </c>
      <c r="C120" s="2">
        <f>C119*(1+((1+VLOOKUP($B120,'IPCA Hist'!$B:$C,2,0))^12 - 1)+$C$2)^(1/252)</f>
        <v>43750884.457062855</v>
      </c>
      <c r="D120" s="2">
        <f>D119*(1+((1+VLOOKUP($B120,'IPCA Hist'!$B:$C,2,0))^12 - 1)+$D$2)^(1/252)</f>
        <v>43767875.84162534</v>
      </c>
      <c r="E120" s="2">
        <f>E119*(1+((1+VLOOKUP($B120,'IPCA Hist'!$B:$C,2,0))^12 - 1)+$E$2)^(1/252)</f>
        <v>44017554.16717457</v>
      </c>
      <c r="F120" s="2">
        <f>F119*(1+((1+VLOOKUP($B120,'IPCA Hist'!$B:$C,2,0))^12 - 1)+$F$2)^(1/252)</f>
        <v>44000446.565399066</v>
      </c>
      <c r="G120" s="2">
        <f>G119*(1+((1+VLOOKUP($B120,'IPCA Hist'!$B:$C,2,0))^12 - 1)+$G$2)^(1/252)</f>
        <v>43983337.305034108</v>
      </c>
      <c r="H120" s="2">
        <f>H119*(1+((1+VLOOKUP($B120,'IPCA Hist'!$B:$C,2,0))^12 - 1)+$H$2)^(1/252)</f>
        <v>45008909.524437897</v>
      </c>
      <c r="I120" s="2">
        <f>I119*(1+((1+VLOOKUP($B120,'IPCA Hist'!$B:$C,2,0))^12 - 1)+$I$2)^(1/252)</f>
        <v>227339525.94414189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f t="shared" si="10"/>
        <v>491868533.80487573</v>
      </c>
      <c r="P120" s="2">
        <v>0</v>
      </c>
      <c r="Q120" s="2">
        <v>0</v>
      </c>
      <c r="R120" s="2">
        <f t="shared" si="19"/>
        <v>222229.712875247</v>
      </c>
      <c r="S120" s="2">
        <f t="shared" si="12"/>
        <v>1775028.7201974392</v>
      </c>
      <c r="T120" s="2">
        <f t="shared" si="13"/>
        <v>14581338.351775706</v>
      </c>
      <c r="U120" s="11">
        <f t="shared" si="16"/>
        <v>1.0366360161936341</v>
      </c>
      <c r="V120" s="12">
        <f t="shared" si="17"/>
        <v>4.5201135659023173E-4</v>
      </c>
      <c r="W120" s="12">
        <f t="shared" si="14"/>
        <v>3.6218164529451258E-3</v>
      </c>
      <c r="X120" s="12">
        <f t="shared" si="15"/>
        <v>3.6636016193634102E-2</v>
      </c>
      <c r="Y120" s="5">
        <f t="shared" si="18"/>
        <v>3.6636016193634102E-2</v>
      </c>
      <c r="Z120" s="19" t="s">
        <v>53</v>
      </c>
      <c r="AA120" s="19" t="s">
        <v>53</v>
      </c>
      <c r="AB120" s="19" t="s">
        <v>53</v>
      </c>
    </row>
    <row r="121" spans="1:28" x14ac:dyDescent="0.25">
      <c r="A121" s="1">
        <v>45273</v>
      </c>
      <c r="B121" s="1" t="str">
        <f t="shared" si="11"/>
        <v>202312</v>
      </c>
      <c r="C121" s="2">
        <f>C120*(1+((1+VLOOKUP($B121,'IPCA Hist'!$B:$C,2,0))^12 - 1)+$C$2)^(1/252)</f>
        <v>43770966.976204544</v>
      </c>
      <c r="D121" s="2">
        <f>D120*(1+((1+VLOOKUP($B121,'IPCA Hist'!$B:$C,2,0))^12 - 1)+$D$2)^(1/252)</f>
        <v>43787950.680934176</v>
      </c>
      <c r="E121" s="2">
        <f>E120*(1+((1+VLOOKUP($B121,'IPCA Hist'!$B:$C,2,0))^12 - 1)+$E$2)^(1/252)</f>
        <v>44037494.257156044</v>
      </c>
      <c r="F121" s="2">
        <f>F120*(1+((1+VLOOKUP($B121,'IPCA Hist'!$B:$C,2,0))^12 - 1)+$F$2)^(1/252)</f>
        <v>44020394.489172935</v>
      </c>
      <c r="G121" s="2">
        <f>G120*(1+((1+VLOOKUP($B121,'IPCA Hist'!$B:$C,2,0))^12 - 1)+$G$2)^(1/252)</f>
        <v>44003293.048345864</v>
      </c>
      <c r="H121" s="2">
        <f>H120*(1+((1+VLOOKUP($B121,'IPCA Hist'!$B:$C,2,0))^12 - 1)+$H$2)^(1/252)</f>
        <v>45029139.215992205</v>
      </c>
      <c r="I121" s="2">
        <f>I120*(1+((1+VLOOKUP($B121,'IPCA Hist'!$B:$C,2,0))^12 - 1)+$I$2)^(1/252)</f>
        <v>227441625.30684671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f t="shared" si="10"/>
        <v>492090863.97465253</v>
      </c>
      <c r="P121" s="2">
        <v>0</v>
      </c>
      <c r="Q121" s="2">
        <v>0</v>
      </c>
      <c r="R121" s="2">
        <f t="shared" si="19"/>
        <v>222330.16977679729</v>
      </c>
      <c r="S121" s="2">
        <f t="shared" si="12"/>
        <v>1997358.8899742365</v>
      </c>
      <c r="T121" s="2">
        <f t="shared" si="13"/>
        <v>14803668.521552503</v>
      </c>
      <c r="U121" s="11">
        <f t="shared" si="16"/>
        <v>1.0371045874594036</v>
      </c>
      <c r="V121" s="12">
        <f t="shared" si="17"/>
        <v>4.5201136990202784E-4</v>
      </c>
      <c r="W121" s="12">
        <f t="shared" si="14"/>
        <v>4.0754649250636099E-3</v>
      </c>
      <c r="X121" s="12">
        <f t="shared" si="15"/>
        <v>3.7104587459403593E-2</v>
      </c>
      <c r="Y121" s="5">
        <f t="shared" si="18"/>
        <v>3.7104587459403593E-2</v>
      </c>
      <c r="Z121" s="19" t="s">
        <v>53</v>
      </c>
      <c r="AA121" s="19" t="s">
        <v>53</v>
      </c>
      <c r="AB121" s="19" t="s">
        <v>53</v>
      </c>
    </row>
    <row r="122" spans="1:28" x14ac:dyDescent="0.25">
      <c r="A122" s="1">
        <v>45274</v>
      </c>
      <c r="B122" s="1" t="str">
        <f t="shared" si="11"/>
        <v>202312</v>
      </c>
      <c r="C122" s="2">
        <f>C121*(1+((1+VLOOKUP($B122,'IPCA Hist'!$B:$C,2,0))^12 - 1)+$C$2)^(1/252)</f>
        <v>43791058.713618733</v>
      </c>
      <c r="D122" s="2">
        <f>D121*(1+((1+VLOOKUP($B122,'IPCA Hist'!$B:$C,2,0))^12 - 1)+$D$2)^(1/252)</f>
        <v>43808034.727890529</v>
      </c>
      <c r="E122" s="2">
        <f>E121*(1+((1+VLOOKUP($B122,'IPCA Hist'!$B:$C,2,0))^12 - 1)+$E$2)^(1/252)</f>
        <v>44057443.38006077</v>
      </c>
      <c r="F122" s="2">
        <f>F121*(1+((1+VLOOKUP($B122,'IPCA Hist'!$B:$C,2,0))^12 - 1)+$F$2)^(1/252)</f>
        <v>44040351.456483722</v>
      </c>
      <c r="G122" s="2">
        <f>G121*(1+((1+VLOOKUP($B122,'IPCA Hist'!$B:$C,2,0))^12 - 1)+$G$2)^(1/252)</f>
        <v>44023257.845806658</v>
      </c>
      <c r="H122" s="2">
        <f>H121*(1+((1+VLOOKUP($B122,'IPCA Hist'!$B:$C,2,0))^12 - 1)+$H$2)^(1/252)</f>
        <v>45049377.999977872</v>
      </c>
      <c r="I122" s="2">
        <f>I121*(1+((1+VLOOKUP($B122,'IPCA Hist'!$B:$C,2,0))^12 - 1)+$I$2)^(1/252)</f>
        <v>227543770.52290598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f t="shared" si="10"/>
        <v>492313294.64674425</v>
      </c>
      <c r="P122" s="2">
        <v>0</v>
      </c>
      <c r="Q122" s="2">
        <v>0</v>
      </c>
      <c r="R122" s="2">
        <f t="shared" si="19"/>
        <v>222430.67209172249</v>
      </c>
      <c r="S122" s="2">
        <f t="shared" si="12"/>
        <v>2219789.562065959</v>
      </c>
      <c r="T122" s="2">
        <f t="shared" si="13"/>
        <v>15026099.193644226</v>
      </c>
      <c r="U122" s="11">
        <f t="shared" si="16"/>
        <v>1.0375733705385177</v>
      </c>
      <c r="V122" s="12">
        <f t="shared" si="17"/>
        <v>4.5201138321315781E-4</v>
      </c>
      <c r="W122" s="12">
        <f t="shared" si="14"/>
        <v>4.5293184648147466E-3</v>
      </c>
      <c r="X122" s="12">
        <f t="shared" si="15"/>
        <v>3.7573370538517725E-2</v>
      </c>
      <c r="Y122" s="5">
        <f t="shared" si="18"/>
        <v>3.7573370538517725E-2</v>
      </c>
      <c r="Z122" s="19" t="s">
        <v>53</v>
      </c>
      <c r="AA122" s="19" t="s">
        <v>53</v>
      </c>
      <c r="AB122" s="19" t="s">
        <v>53</v>
      </c>
    </row>
    <row r="123" spans="1:28" x14ac:dyDescent="0.25">
      <c r="A123" s="1">
        <v>45275</v>
      </c>
      <c r="B123" s="1" t="str">
        <f t="shared" si="11"/>
        <v>202312</v>
      </c>
      <c r="C123" s="2">
        <f>C122*(1+((1+VLOOKUP($B123,'IPCA Hist'!$B:$C,2,0))^12 - 1)+$C$2)^(1/252)</f>
        <v>43811159.673536792</v>
      </c>
      <c r="D123" s="2">
        <f>D122*(1+((1+VLOOKUP($B123,'IPCA Hist'!$B:$C,2,0))^12 - 1)+$D$2)^(1/252)</f>
        <v>43828127.986717634</v>
      </c>
      <c r="E123" s="2">
        <f>E122*(1+((1+VLOOKUP($B123,'IPCA Hist'!$B:$C,2,0))^12 - 1)+$E$2)^(1/252)</f>
        <v>44077401.539980687</v>
      </c>
      <c r="F123" s="2">
        <f>F122*(1+((1+VLOOKUP($B123,'IPCA Hist'!$B:$C,2,0))^12 - 1)+$F$2)^(1/252)</f>
        <v>44060317.471431375</v>
      </c>
      <c r="G123" s="2">
        <f>G122*(1+((1+VLOOKUP($B123,'IPCA Hist'!$B:$C,2,0))^12 - 1)+$G$2)^(1/252)</f>
        <v>44043231.701524459</v>
      </c>
      <c r="H123" s="2">
        <f>H122*(1+((1+VLOOKUP($B123,'IPCA Hist'!$B:$C,2,0))^12 - 1)+$H$2)^(1/252)</f>
        <v>45069625.880481578</v>
      </c>
      <c r="I123" s="2">
        <f>I122*(1+((1+VLOOKUP($B123,'IPCA Hist'!$B:$C,2,0))^12 - 1)+$I$2)^(1/252)</f>
        <v>227645961.61291265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f t="shared" si="10"/>
        <v>492535825.86658514</v>
      </c>
      <c r="P123" s="2">
        <v>0</v>
      </c>
      <c r="Q123" s="2">
        <v>0</v>
      </c>
      <c r="R123" s="2">
        <f t="shared" si="19"/>
        <v>222531.21984088421</v>
      </c>
      <c r="S123" s="2">
        <f t="shared" si="12"/>
        <v>2442320.7819068432</v>
      </c>
      <c r="T123" s="2">
        <f t="shared" si="13"/>
        <v>15248630.41348511</v>
      </c>
      <c r="U123" s="11">
        <f t="shared" si="16"/>
        <v>1.0380423655267315</v>
      </c>
      <c r="V123" s="12">
        <f t="shared" si="17"/>
        <v>4.5201139652450983E-4</v>
      </c>
      <c r="W123" s="12">
        <f t="shared" si="14"/>
        <v>4.9833771649039349E-3</v>
      </c>
      <c r="X123" s="12">
        <f t="shared" si="15"/>
        <v>3.8042365526731459E-2</v>
      </c>
      <c r="Y123" s="5">
        <f t="shared" si="18"/>
        <v>3.8042365526731459E-2</v>
      </c>
      <c r="Z123" s="19" t="s">
        <v>53</v>
      </c>
      <c r="AA123" s="19" t="s">
        <v>53</v>
      </c>
      <c r="AB123" s="19" t="s">
        <v>53</v>
      </c>
    </row>
    <row r="124" spans="1:28" x14ac:dyDescent="0.25">
      <c r="A124" s="1">
        <v>45278</v>
      </c>
      <c r="B124" s="1" t="str">
        <f t="shared" si="11"/>
        <v>202312</v>
      </c>
      <c r="C124" s="2">
        <f>C123*(1+((1+VLOOKUP($B124,'IPCA Hist'!$B:$C,2,0))^12 - 1)+$C$2)^(1/252)</f>
        <v>43831269.860192031</v>
      </c>
      <c r="D124" s="2">
        <f>D123*(1+((1+VLOOKUP($B124,'IPCA Hist'!$B:$C,2,0))^12 - 1)+$D$2)^(1/252)</f>
        <v>43848230.461640663</v>
      </c>
      <c r="E124" s="2">
        <f>E123*(1+((1+VLOOKUP($B124,'IPCA Hist'!$B:$C,2,0))^12 - 1)+$E$2)^(1/252)</f>
        <v>44097368.741009593</v>
      </c>
      <c r="F124" s="2">
        <f>F123*(1+((1+VLOOKUP($B124,'IPCA Hist'!$B:$C,2,0))^12 - 1)+$F$2)^(1/252)</f>
        <v>44080292.538117714</v>
      </c>
      <c r="G124" s="2">
        <f>G123*(1+((1+VLOOKUP($B124,'IPCA Hist'!$B:$C,2,0))^12 - 1)+$G$2)^(1/252)</f>
        <v>44063214.619609103</v>
      </c>
      <c r="H124" s="2">
        <f>H123*(1+((1+VLOOKUP($B124,'IPCA Hist'!$B:$C,2,0))^12 - 1)+$H$2)^(1/252)</f>
        <v>45089882.861591846</v>
      </c>
      <c r="I124" s="2">
        <f>I123*(1+((1+VLOOKUP($B124,'IPCA Hist'!$B:$C,2,0))^12 - 1)+$I$2)^(1/252)</f>
        <v>227748198.597469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f t="shared" si="10"/>
        <v>492758457.67962992</v>
      </c>
      <c r="P124" s="2">
        <v>0</v>
      </c>
      <c r="Q124" s="2">
        <v>0</v>
      </c>
      <c r="R124" s="2">
        <f t="shared" si="19"/>
        <v>222631.81304478645</v>
      </c>
      <c r="S124" s="2">
        <f t="shared" si="12"/>
        <v>2664952.5949516296</v>
      </c>
      <c r="T124" s="2">
        <f t="shared" si="13"/>
        <v>15471262.226529896</v>
      </c>
      <c r="U124" s="11">
        <f t="shared" si="16"/>
        <v>1.0385115725198428</v>
      </c>
      <c r="V124" s="12">
        <f t="shared" si="17"/>
        <v>4.520114098360839E-4</v>
      </c>
      <c r="W124" s="12">
        <f t="shared" si="14"/>
        <v>5.4376411180780959E-3</v>
      </c>
      <c r="X124" s="12">
        <f t="shared" si="15"/>
        <v>3.8511572519842829E-2</v>
      </c>
      <c r="Y124" s="5">
        <f t="shared" si="18"/>
        <v>3.8511572519842829E-2</v>
      </c>
      <c r="Z124" s="19" t="s">
        <v>53</v>
      </c>
      <c r="AA124" s="19" t="s">
        <v>53</v>
      </c>
      <c r="AB124" s="19" t="s">
        <v>53</v>
      </c>
    </row>
    <row r="125" spans="1:28" x14ac:dyDescent="0.25">
      <c r="A125" s="1">
        <v>45279</v>
      </c>
      <c r="B125" s="1" t="str">
        <f t="shared" si="11"/>
        <v>202312</v>
      </c>
      <c r="C125" s="2">
        <v>131465107.05</v>
      </c>
      <c r="D125" s="2">
        <v>0</v>
      </c>
      <c r="E125" s="2">
        <v>0</v>
      </c>
      <c r="F125" s="2">
        <f>F124*(1+((1+VLOOKUP($B125,'IPCA Hist'!$B:$C,2,0))^12 - 1)+$F$2)^(1/252)</f>
        <v>44100276.660646409</v>
      </c>
      <c r="G125" s="2">
        <f>G124*(1+((1+VLOOKUP($B125,'IPCA Hist'!$B:$C,2,0))^12 - 1)+$G$2)^(1/252)</f>
        <v>44083206.604172289</v>
      </c>
      <c r="H125" s="2">
        <f>H124*(1+((1+VLOOKUP($B125,'IPCA Hist'!$B:$C,2,0))^12 - 1)+$H$2)^(1/252)</f>
        <v>45110148.947399028</v>
      </c>
      <c r="I125" s="2">
        <f>I124*(1+((1+VLOOKUP($B125,'IPCA Hist'!$B:$C,2,0))^12 - 1)+$I$2)^(1/252)</f>
        <v>227850481.49718651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f t="shared" si="10"/>
        <v>492609220.75940418</v>
      </c>
      <c r="P125" s="2">
        <v>0</v>
      </c>
      <c r="Q125" s="2">
        <v>0</v>
      </c>
      <c r="R125" s="2">
        <f t="shared" si="19"/>
        <v>-149236.92022573948</v>
      </c>
      <c r="S125" s="2">
        <f t="shared" si="12"/>
        <v>2515715.6747258902</v>
      </c>
      <c r="T125" s="2">
        <f t="shared" si="13"/>
        <v>15322025.306304157</v>
      </c>
      <c r="U125" s="11">
        <f t="shared" si="16"/>
        <v>1.038197048707443</v>
      </c>
      <c r="V125" s="12">
        <f t="shared" si="17"/>
        <v>-3.0286019022074395E-4</v>
      </c>
      <c r="W125" s="12">
        <f t="shared" si="14"/>
        <v>5.1331340828340011E-3</v>
      </c>
      <c r="X125" s="12">
        <f t="shared" si="15"/>
        <v>3.8197048707443004E-2</v>
      </c>
      <c r="Y125" s="5">
        <f t="shared" si="18"/>
        <v>3.8197048707443004E-2</v>
      </c>
      <c r="Z125" s="19" t="s">
        <v>53</v>
      </c>
      <c r="AA125" s="19" t="s">
        <v>53</v>
      </c>
      <c r="AB125" s="19" t="s">
        <v>53</v>
      </c>
    </row>
    <row r="126" spans="1:28" x14ac:dyDescent="0.25">
      <c r="A126" s="1">
        <v>45280</v>
      </c>
      <c r="B126" s="1" t="str">
        <f t="shared" si="11"/>
        <v>202312</v>
      </c>
      <c r="C126" s="2">
        <v>0</v>
      </c>
      <c r="D126" s="2">
        <v>0</v>
      </c>
      <c r="E126" s="2">
        <v>0</v>
      </c>
      <c r="F126" s="2">
        <f>F125*(1+((1+VLOOKUP($B126,'IPCA Hist'!$B:$C,2,0))^12 - 1)+$F$2)^(1/252)</f>
        <v>44120269.843122989</v>
      </c>
      <c r="G126" s="2">
        <f>G125*(1+((1+VLOOKUP($B126,'IPCA Hist'!$B:$C,2,0))^12 - 1)+$G$2)^(1/252)</f>
        <v>44103207.659327582</v>
      </c>
      <c r="H126" s="2">
        <f>H125*(1+((1+VLOOKUP($B126,'IPCA Hist'!$B:$C,2,0))^12 - 1)+$H$2)^(1/252)</f>
        <v>45130424.141995318</v>
      </c>
      <c r="I126" s="2">
        <f>I125*(1+((1+VLOOKUP($B126,'IPCA Hist'!$B:$C,2,0))^12 - 1)+$I$2)^(1/252)</f>
        <v>227952810.33268589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f t="shared" si="10"/>
        <v>361306711.97713178</v>
      </c>
      <c r="P126" s="2">
        <v>0</v>
      </c>
      <c r="Q126" s="2">
        <v>131465107.05</v>
      </c>
      <c r="R126" s="2">
        <f t="shared" si="19"/>
        <v>162598.26772759855</v>
      </c>
      <c r="S126" s="2">
        <f t="shared" si="12"/>
        <v>2678313.9424534887</v>
      </c>
      <c r="T126" s="2">
        <f t="shared" si="13"/>
        <v>15484623.574031755</v>
      </c>
      <c r="U126" s="11">
        <f t="shared" si="16"/>
        <v>1.0385397321866916</v>
      </c>
      <c r="V126" s="12">
        <f t="shared" si="17"/>
        <v>3.300755667483557E-4</v>
      </c>
      <c r="W126" s="12">
        <f t="shared" si="14"/>
        <v>5.4649039717238335E-3</v>
      </c>
      <c r="X126" s="12">
        <f t="shared" si="15"/>
        <v>3.85397321866916E-2</v>
      </c>
      <c r="Y126" s="5">
        <f t="shared" si="18"/>
        <v>3.85397321866916E-2</v>
      </c>
      <c r="Z126" s="19" t="s">
        <v>53</v>
      </c>
      <c r="AA126" s="19" t="s">
        <v>53</v>
      </c>
      <c r="AB126" s="19" t="s">
        <v>53</v>
      </c>
    </row>
    <row r="127" spans="1:28" x14ac:dyDescent="0.25">
      <c r="A127" s="1">
        <v>45281</v>
      </c>
      <c r="B127" s="1" t="str">
        <f t="shared" si="11"/>
        <v>202312</v>
      </c>
      <c r="C127" s="2">
        <v>0</v>
      </c>
      <c r="D127" s="2">
        <v>0</v>
      </c>
      <c r="E127" s="2">
        <v>0</v>
      </c>
      <c r="F127" s="2">
        <f>F126*(1+((1+VLOOKUP($B127,'IPCA Hist'!$B:$C,2,0))^12 - 1)+$F$2)^(1/252)</f>
        <v>44140272.089654848</v>
      </c>
      <c r="G127" s="2">
        <f>G126*(1+((1+VLOOKUP($B127,'IPCA Hist'!$B:$C,2,0))^12 - 1)+$G$2)^(1/252)</f>
        <v>44123217.789190419</v>
      </c>
      <c r="H127" s="2">
        <f>H126*(1+((1+VLOOKUP($B127,'IPCA Hist'!$B:$C,2,0))^12 - 1)+$H$2)^(1/252)</f>
        <v>45150708.449474752</v>
      </c>
      <c r="I127" s="2">
        <f>I126*(1+((1+VLOOKUP($B127,'IPCA Hist'!$B:$C,2,0))^12 - 1)+$I$2)^(1/252)</f>
        <v>228055185.12459713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f t="shared" si="10"/>
        <v>361469383.45291716</v>
      </c>
      <c r="P127" s="2">
        <v>0</v>
      </c>
      <c r="Q127" s="2">
        <v>0</v>
      </c>
      <c r="R127" s="2">
        <f t="shared" si="19"/>
        <v>162671.47578537464</v>
      </c>
      <c r="S127" s="2">
        <f t="shared" si="12"/>
        <v>2840985.4182388633</v>
      </c>
      <c r="T127" s="2">
        <f t="shared" si="13"/>
        <v>15647295.04981713</v>
      </c>
      <c r="U127" s="11">
        <f t="shared" si="16"/>
        <v>1.0390073149503001</v>
      </c>
      <c r="V127" s="12">
        <f t="shared" si="17"/>
        <v>4.5023098213481383E-4</v>
      </c>
      <c r="W127" s="12">
        <f t="shared" si="14"/>
        <v>5.9175954229411243E-3</v>
      </c>
      <c r="X127" s="12">
        <f t="shared" si="15"/>
        <v>3.9007314950300076E-2</v>
      </c>
      <c r="Y127" s="5">
        <f t="shared" si="18"/>
        <v>3.9007314950300076E-2</v>
      </c>
      <c r="Z127" s="19" t="s">
        <v>53</v>
      </c>
      <c r="AA127" s="19" t="s">
        <v>53</v>
      </c>
      <c r="AB127" s="19" t="s">
        <v>53</v>
      </c>
    </row>
    <row r="128" spans="1:28" x14ac:dyDescent="0.25">
      <c r="A128" s="1">
        <v>45282</v>
      </c>
      <c r="B128" s="1" t="str">
        <f t="shared" si="11"/>
        <v>202312</v>
      </c>
      <c r="C128" s="2">
        <v>0</v>
      </c>
      <c r="D128" s="2">
        <v>0</v>
      </c>
      <c r="E128" s="2">
        <v>0</v>
      </c>
      <c r="F128" s="2">
        <f>F127*(1+((1+VLOOKUP($B128,'IPCA Hist'!$B:$C,2,0))^12 - 1)+$F$2)^(1/252)</f>
        <v>44160283.404351249</v>
      </c>
      <c r="G128" s="2">
        <f>G127*(1+((1+VLOOKUP($B128,'IPCA Hist'!$B:$C,2,0))^12 - 1)+$G$2)^(1/252)</f>
        <v>44143236.99787809</v>
      </c>
      <c r="H128" s="2">
        <f>H127*(1+((1+VLOOKUP($B128,'IPCA Hist'!$B:$C,2,0))^12 - 1)+$H$2)^(1/252)</f>
        <v>45171001.873933204</v>
      </c>
      <c r="I128" s="2">
        <f>I127*(1+((1+VLOOKUP($B128,'IPCA Hist'!$B:$C,2,0))^12 - 1)+$I$2)^(1/252)</f>
        <v>228157605.89355955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f t="shared" si="10"/>
        <v>361632128.16972208</v>
      </c>
      <c r="P128" s="2">
        <v>0</v>
      </c>
      <c r="Q128" s="2">
        <v>0</v>
      </c>
      <c r="R128" s="2">
        <f t="shared" si="19"/>
        <v>162744.71680492163</v>
      </c>
      <c r="S128" s="2">
        <f t="shared" si="12"/>
        <v>3003730.135043785</v>
      </c>
      <c r="T128" s="2">
        <f t="shared" si="13"/>
        <v>15810039.766622052</v>
      </c>
      <c r="U128" s="11">
        <f t="shared" si="16"/>
        <v>1.0394751082378382</v>
      </c>
      <c r="V128" s="12">
        <f t="shared" si="17"/>
        <v>4.5023098567931186E-4</v>
      </c>
      <c r="W128" s="12">
        <f t="shared" si="14"/>
        <v>6.3704906934405336E-3</v>
      </c>
      <c r="X128" s="12">
        <f t="shared" si="15"/>
        <v>3.9475108237838175E-2</v>
      </c>
      <c r="Y128" s="5">
        <f t="shared" si="18"/>
        <v>3.9475108237838175E-2</v>
      </c>
      <c r="Z128" s="19" t="s">
        <v>53</v>
      </c>
      <c r="AA128" s="19" t="s">
        <v>53</v>
      </c>
      <c r="AB128" s="19" t="s">
        <v>53</v>
      </c>
    </row>
    <row r="129" spans="1:28" x14ac:dyDescent="0.25">
      <c r="A129" s="1">
        <v>45286</v>
      </c>
      <c r="B129" s="1" t="str">
        <f t="shared" si="11"/>
        <v>202312</v>
      </c>
      <c r="C129" s="2">
        <v>0</v>
      </c>
      <c r="D129" s="2">
        <v>0</v>
      </c>
      <c r="E129" s="2">
        <v>0</v>
      </c>
      <c r="F129" s="2">
        <f>F128*(1+((1+VLOOKUP($B129,'IPCA Hist'!$B:$C,2,0))^12 - 1)+$F$2)^(1/252)</f>
        <v>44180303.791323304</v>
      </c>
      <c r="G129" s="2">
        <f>G128*(1+((1+VLOOKUP($B129,'IPCA Hist'!$B:$C,2,0))^12 - 1)+$G$2)^(1/252)</f>
        <v>44163265.289509766</v>
      </c>
      <c r="H129" s="2">
        <f>H128*(1+((1+VLOOKUP($B129,'IPCA Hist'!$B:$C,2,0))^12 - 1)+$H$2)^(1/252)</f>
        <v>45191304.419468388</v>
      </c>
      <c r="I129" s="2">
        <f>I128*(1+((1+VLOOKUP($B129,'IPCA Hist'!$B:$C,2,0))^12 - 1)+$I$2)^(1/252)</f>
        <v>228260072.66022164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f t="shared" si="10"/>
        <v>361794946.16052312</v>
      </c>
      <c r="P129" s="2">
        <v>0</v>
      </c>
      <c r="Q129" s="2">
        <v>0</v>
      </c>
      <c r="R129" s="2">
        <f t="shared" si="19"/>
        <v>162817.99080103636</v>
      </c>
      <c r="S129" s="2">
        <f t="shared" si="12"/>
        <v>3166548.1258448213</v>
      </c>
      <c r="T129" s="2">
        <f t="shared" si="13"/>
        <v>15972857.757423088</v>
      </c>
      <c r="U129" s="11">
        <f t="shared" si="16"/>
        <v>1.0399431121440939</v>
      </c>
      <c r="V129" s="12">
        <f t="shared" si="17"/>
        <v>4.5023098922403193E-4</v>
      </c>
      <c r="W129" s="12">
        <f t="shared" si="14"/>
        <v>6.8235898749913204E-3</v>
      </c>
      <c r="X129" s="12">
        <f t="shared" si="15"/>
        <v>3.9943112144093851E-2</v>
      </c>
      <c r="Y129" s="5">
        <f t="shared" si="18"/>
        <v>3.9943112144093851E-2</v>
      </c>
      <c r="Z129" s="19">
        <f>U129/U3 - 1</f>
        <v>3.9943112144093851E-2</v>
      </c>
      <c r="AA129" s="19" t="s">
        <v>53</v>
      </c>
      <c r="AB129" s="19" t="s">
        <v>53</v>
      </c>
    </row>
    <row r="130" spans="1:28" x14ac:dyDescent="0.25">
      <c r="A130" s="1">
        <v>45287</v>
      </c>
      <c r="B130" s="1" t="str">
        <f t="shared" si="11"/>
        <v>202312</v>
      </c>
      <c r="C130" s="2">
        <v>0</v>
      </c>
      <c r="D130" s="2">
        <v>0</v>
      </c>
      <c r="E130" s="2">
        <v>0</v>
      </c>
      <c r="F130" s="2">
        <f>F129*(1+((1+VLOOKUP($B130,'IPCA Hist'!$B:$C,2,0))^12 - 1)+$F$2)^(1/252)</f>
        <v>44200333.254683994</v>
      </c>
      <c r="G130" s="2">
        <f>G129*(1+((1+VLOOKUP($B130,'IPCA Hist'!$B:$C,2,0))^12 - 1)+$G$2)^(1/252)</f>
        <v>44183302.668206483</v>
      </c>
      <c r="H130" s="2">
        <f>H129*(1+((1+VLOOKUP($B130,'IPCA Hist'!$B:$C,2,0))^12 - 1)+$H$2)^(1/252)</f>
        <v>45211616.090179861</v>
      </c>
      <c r="I130" s="2">
        <f>I129*(1+((1+VLOOKUP($B130,'IPCA Hist'!$B:$C,2,0))^12 - 1)+$I$2)^(1/252)</f>
        <v>228362585.44524118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f t="shared" si="10"/>
        <v>361957837.45831156</v>
      </c>
      <c r="P130" s="2">
        <v>0</v>
      </c>
      <c r="Q130" s="2">
        <v>0</v>
      </c>
      <c r="R130" s="2">
        <f t="shared" si="19"/>
        <v>162891.29778844118</v>
      </c>
      <c r="S130" s="2">
        <f t="shared" si="12"/>
        <v>3329439.4236332625</v>
      </c>
      <c r="T130" s="2">
        <f t="shared" si="13"/>
        <v>16135749.055211529</v>
      </c>
      <c r="U130" s="11">
        <f t="shared" si="16"/>
        <v>1.040411326763897</v>
      </c>
      <c r="V130" s="12">
        <f t="shared" si="17"/>
        <v>4.5023099276830791E-4</v>
      </c>
      <c r="W130" s="12">
        <f t="shared" si="14"/>
        <v>7.2768930594033776E-3</v>
      </c>
      <c r="X130" s="12">
        <f t="shared" si="15"/>
        <v>4.0411326763897026E-2</v>
      </c>
      <c r="Y130" s="5">
        <f t="shared" si="18"/>
        <v>4.0411326763897026E-2</v>
      </c>
      <c r="Z130" s="19">
        <f t="shared" ref="Z130:Z193" si="20">U130/U4 - 1</f>
        <v>4.0234822924253955E-2</v>
      </c>
      <c r="AA130" s="19" t="s">
        <v>53</v>
      </c>
      <c r="AB130" s="19" t="s">
        <v>53</v>
      </c>
    </row>
    <row r="131" spans="1:28" x14ac:dyDescent="0.25">
      <c r="A131" s="1">
        <v>45288</v>
      </c>
      <c r="B131" s="1" t="str">
        <f t="shared" si="11"/>
        <v>202312</v>
      </c>
      <c r="C131" s="2">
        <v>0</v>
      </c>
      <c r="D131" s="2">
        <v>0</v>
      </c>
      <c r="E131" s="2">
        <v>0</v>
      </c>
      <c r="F131" s="2">
        <f>F130*(1+((1+VLOOKUP($B131,'IPCA Hist'!$B:$C,2,0))^12 - 1)+$F$2)^(1/252)</f>
        <v>44220371.798548169</v>
      </c>
      <c r="G131" s="2">
        <f>G130*(1+((1+VLOOKUP($B131,'IPCA Hist'!$B:$C,2,0))^12 - 1)+$G$2)^(1/252)</f>
        <v>44203349.138091147</v>
      </c>
      <c r="H131" s="2">
        <f>H130*(1+((1+VLOOKUP($B131,'IPCA Hist'!$B:$C,2,0))^12 - 1)+$H$2)^(1/252)</f>
        <v>45231936.890169017</v>
      </c>
      <c r="I131" s="2">
        <f>I130*(1+((1+VLOOKUP($B131,'IPCA Hist'!$B:$C,2,0))^12 - 1)+$I$2)^(1/252)</f>
        <v>228465144.26928532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f t="shared" ref="O131:O194" si="21">SUM(C131:N131)</f>
        <v>362120802.09609365</v>
      </c>
      <c r="P131" s="2">
        <v>0</v>
      </c>
      <c r="Q131" s="2">
        <v>0</v>
      </c>
      <c r="R131" s="2">
        <f t="shared" si="19"/>
        <v>162964.63778209686</v>
      </c>
      <c r="S131" s="2">
        <f t="shared" si="12"/>
        <v>3492404.0614153594</v>
      </c>
      <c r="T131" s="2">
        <f t="shared" si="13"/>
        <v>16298713.692993626</v>
      </c>
      <c r="U131" s="11">
        <f t="shared" si="16"/>
        <v>1.0408797521921211</v>
      </c>
      <c r="V131" s="12">
        <f t="shared" si="17"/>
        <v>4.5023099631280594E-4</v>
      </c>
      <c r="W131" s="12">
        <f t="shared" si="14"/>
        <v>7.7304003385283426E-3</v>
      </c>
      <c r="X131" s="12">
        <f t="shared" si="15"/>
        <v>4.0879752192121144E-2</v>
      </c>
      <c r="Y131" s="5">
        <f t="shared" si="18"/>
        <v>4.0879752192121144E-2</v>
      </c>
      <c r="Z131" s="19">
        <f t="shared" si="20"/>
        <v>4.0526615534826504E-2</v>
      </c>
      <c r="AA131" s="19" t="s">
        <v>53</v>
      </c>
      <c r="AB131" s="19" t="s">
        <v>53</v>
      </c>
    </row>
    <row r="132" spans="1:28" x14ac:dyDescent="0.25">
      <c r="A132" s="1">
        <v>45289</v>
      </c>
      <c r="B132" s="1" t="str">
        <f t="shared" ref="B132:B195" si="22">_xlfn.CONCAT(TEXT(YEAR(A132),"0000"),TEXT(MONTH(A132),"00"))</f>
        <v>202312</v>
      </c>
      <c r="C132" s="2">
        <v>0</v>
      </c>
      <c r="D132" s="2">
        <v>0</v>
      </c>
      <c r="E132" s="2">
        <v>0</v>
      </c>
      <c r="F132" s="2">
        <f>F131*(1+((1+VLOOKUP($B132,'IPCA Hist'!$B:$C,2,0))^12 - 1)+$F$2)^(1/252)</f>
        <v>44240419.427032538</v>
      </c>
      <c r="G132" s="2">
        <f>G131*(1+((1+VLOOKUP($B132,'IPCA Hist'!$B:$C,2,0))^12 - 1)+$G$2)^(1/252)</f>
        <v>44223404.703288533</v>
      </c>
      <c r="H132" s="2">
        <f>H131*(1+((1+VLOOKUP($B132,'IPCA Hist'!$B:$C,2,0))^12 - 1)+$H$2)^(1/252)</f>
        <v>45252266.823539108</v>
      </c>
      <c r="I132" s="2">
        <f>I131*(1+((1+VLOOKUP($B132,'IPCA Hist'!$B:$C,2,0))^12 - 1)+$I$2)^(1/252)</f>
        <v>228567749.15303037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f t="shared" si="21"/>
        <v>362283840.10689056</v>
      </c>
      <c r="P132" s="2">
        <v>0</v>
      </c>
      <c r="Q132" s="2">
        <v>0</v>
      </c>
      <c r="R132" s="2">
        <f t="shared" si="19"/>
        <v>163038.01079690456</v>
      </c>
      <c r="S132" s="2">
        <f t="shared" ref="S132:S195" si="23">IF(MONTH(A132)=MONTH(A131),R132+S131,R132)</f>
        <v>3655442.0722122639</v>
      </c>
      <c r="T132" s="2">
        <f t="shared" ref="T132:T195" si="24">IF(YEAR(A132)=YEAR(A131),R132+T131,R132)</f>
        <v>16461751.703790531</v>
      </c>
      <c r="U132" s="11">
        <f t="shared" si="16"/>
        <v>1.0413483885236821</v>
      </c>
      <c r="V132" s="12">
        <f t="shared" si="17"/>
        <v>4.5023099985752602E-4</v>
      </c>
      <c r="W132" s="12">
        <f t="shared" ref="W132:W195" si="25">IF(MONTH(A132)=MONTH(A131),(1+V132)*(1+W131) - 1,V132)</f>
        <v>8.1841118042595973E-3</v>
      </c>
      <c r="X132" s="12">
        <f t="shared" ref="X132:X195" si="26">IF(YEAR(A132)=YEAR(A131),(1+V132)*(1+X131) - 1,V132)</f>
        <v>4.1348388523682056E-2</v>
      </c>
      <c r="Y132" s="5">
        <f t="shared" si="18"/>
        <v>4.1348388523682056E-2</v>
      </c>
      <c r="Z132" s="19">
        <f t="shared" si="20"/>
        <v>4.0818489998768026E-2</v>
      </c>
      <c r="AA132" s="19" t="s">
        <v>53</v>
      </c>
      <c r="AB132" s="19" t="s">
        <v>53</v>
      </c>
    </row>
    <row r="133" spans="1:28" x14ac:dyDescent="0.25">
      <c r="A133" s="1">
        <v>45293</v>
      </c>
      <c r="B133" s="1" t="str">
        <f t="shared" si="22"/>
        <v>202401</v>
      </c>
      <c r="C133" s="2">
        <v>0</v>
      </c>
      <c r="D133" s="2">
        <v>0</v>
      </c>
      <c r="E133" s="2">
        <v>0</v>
      </c>
      <c r="F133" s="2">
        <f>F132*(1+((1+VLOOKUP($B133,'IPCA Hist'!$B:$C,2,0))^12 - 1)+$F$2)^(1/252)</f>
        <v>44257676.402154468</v>
      </c>
      <c r="G133" s="2">
        <f>G132*(1+((1+VLOOKUP($B133,'IPCA Hist'!$B:$C,2,0))^12 - 1)+$G$2)^(1/252)</f>
        <v>44240670.953233443</v>
      </c>
      <c r="H133" s="2">
        <f>H132*(1+((1+VLOOKUP($B133,'IPCA Hist'!$B:$C,2,0))^12 - 1)+$H$2)^(1/252)</f>
        <v>45269739.293628991</v>
      </c>
      <c r="I133" s="2">
        <f>I132*(1+((1+VLOOKUP($B133,'IPCA Hist'!$B:$C,2,0))^12 - 1)+$I$2)^(1/252)</f>
        <v>228655919.71037197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f t="shared" si="21"/>
        <v>362424006.35938889</v>
      </c>
      <c r="P133" s="2">
        <v>0</v>
      </c>
      <c r="Q133" s="2">
        <v>0</v>
      </c>
      <c r="R133" s="2">
        <f t="shared" si="19"/>
        <v>140166.25249832869</v>
      </c>
      <c r="S133" s="2">
        <f t="shared" si="23"/>
        <v>140166.25249832869</v>
      </c>
      <c r="T133" s="2">
        <f t="shared" si="24"/>
        <v>140166.25249832869</v>
      </c>
      <c r="U133" s="11">
        <f t="shared" ref="U133:U196" si="27">(1+(O133-O132-P133+Q133)/O132)*U132</f>
        <v>1.0417512822909598</v>
      </c>
      <c r="V133" s="12">
        <f t="shared" ref="V133:V196" si="28">U133/U132 - 1</f>
        <v>3.8689623157628361E-4</v>
      </c>
      <c r="W133" s="12">
        <f t="shared" si="25"/>
        <v>3.8689623157628361E-4</v>
      </c>
      <c r="X133" s="12">
        <f t="shared" si="26"/>
        <v>3.8689623157628361E-4</v>
      </c>
      <c r="Y133" s="5">
        <f t="shared" ref="Y133:Y196" si="29">(1+V133)*(1+Y132) - 1</f>
        <v>4.1751282290959812E-2</v>
      </c>
      <c r="Z133" s="19">
        <f t="shared" si="20"/>
        <v>4.1044537520669611E-2</v>
      </c>
      <c r="AA133" s="19" t="s">
        <v>53</v>
      </c>
      <c r="AB133" s="19" t="s">
        <v>53</v>
      </c>
    </row>
    <row r="134" spans="1:28" x14ac:dyDescent="0.25">
      <c r="A134" s="1">
        <v>45294</v>
      </c>
      <c r="B134" s="1" t="str">
        <f t="shared" si="22"/>
        <v>202401</v>
      </c>
      <c r="C134" s="2">
        <v>0</v>
      </c>
      <c r="D134" s="2">
        <v>0</v>
      </c>
      <c r="E134" s="2">
        <v>0</v>
      </c>
      <c r="F134" s="2">
        <f>F133*(1+((1+VLOOKUP($B134,'IPCA Hist'!$B:$C,2,0))^12 - 1)+$F$2)^(1/252)</f>
        <v>44274940.108749427</v>
      </c>
      <c r="G134" s="2">
        <f>G133*(1+((1+VLOOKUP($B134,'IPCA Hist'!$B:$C,2,0))^12 - 1)+$G$2)^(1/252)</f>
        <v>44257943.944481723</v>
      </c>
      <c r="H134" s="2">
        <f>H133*(1+((1+VLOOKUP($B134,'IPCA Hist'!$B:$C,2,0))^12 - 1)+$H$2)^(1/252)</f>
        <v>45287218.51005961</v>
      </c>
      <c r="I134" s="2">
        <f>I133*(1+((1+VLOOKUP($B134,'IPCA Hist'!$B:$C,2,0))^12 - 1)+$I$2)^(1/252)</f>
        <v>228744124.2797175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f t="shared" si="21"/>
        <v>362564226.84300828</v>
      </c>
      <c r="P134" s="2">
        <v>0</v>
      </c>
      <c r="Q134" s="2">
        <v>0</v>
      </c>
      <c r="R134" s="2">
        <f t="shared" si="19"/>
        <v>140220.48361939192</v>
      </c>
      <c r="S134" s="2">
        <f t="shared" si="23"/>
        <v>280386.7361177206</v>
      </c>
      <c r="T134" s="2">
        <f t="shared" si="24"/>
        <v>280386.7361177206</v>
      </c>
      <c r="U134" s="11">
        <f t="shared" si="27"/>
        <v>1.0421543319401299</v>
      </c>
      <c r="V134" s="12">
        <f t="shared" si="28"/>
        <v>3.8689623523535666E-4</v>
      </c>
      <c r="W134" s="12">
        <f t="shared" si="25"/>
        <v>7.7394215550707912E-4</v>
      </c>
      <c r="X134" s="12">
        <f t="shared" si="26"/>
        <v>7.7394215550707912E-4</v>
      </c>
      <c r="Y134" s="5">
        <f t="shared" si="29"/>
        <v>4.2154331940129852E-2</v>
      </c>
      <c r="Z134" s="19">
        <f t="shared" si="20"/>
        <v>4.117649013667668E-2</v>
      </c>
      <c r="AA134" s="19" t="s">
        <v>53</v>
      </c>
      <c r="AB134" s="19" t="s">
        <v>53</v>
      </c>
    </row>
    <row r="135" spans="1:28" x14ac:dyDescent="0.25">
      <c r="A135" s="1">
        <v>45295</v>
      </c>
      <c r="B135" s="1" t="str">
        <f t="shared" si="22"/>
        <v>202401</v>
      </c>
      <c r="C135" s="2">
        <v>0</v>
      </c>
      <c r="D135" s="2">
        <v>0</v>
      </c>
      <c r="E135" s="2">
        <v>0</v>
      </c>
      <c r="F135" s="2">
        <f>F134*(1+((1+VLOOKUP($B135,'IPCA Hist'!$B:$C,2,0))^12 - 1)+$F$2)^(1/252)</f>
        <v>44292210.549443185</v>
      </c>
      <c r="G135" s="2">
        <f>G134*(1+((1+VLOOKUP($B135,'IPCA Hist'!$B:$C,2,0))^12 - 1)+$G$2)^(1/252)</f>
        <v>44275223.679665394</v>
      </c>
      <c r="H135" s="2">
        <f>H134*(1+((1+VLOOKUP($B135,'IPCA Hist'!$B:$C,2,0))^12 - 1)+$H$2)^(1/252)</f>
        <v>45304704.475435808</v>
      </c>
      <c r="I135" s="2">
        <f>I134*(1+((1+VLOOKUP($B135,'IPCA Hist'!$B:$C,2,0))^12 - 1)+$I$2)^(1/252)</f>
        <v>228832362.87418717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f t="shared" si="21"/>
        <v>362704501.57873154</v>
      </c>
      <c r="P135" s="2">
        <v>0</v>
      </c>
      <c r="Q135" s="2">
        <v>0</v>
      </c>
      <c r="R135" s="2">
        <f t="shared" si="19"/>
        <v>140274.73572325706</v>
      </c>
      <c r="S135" s="2">
        <f t="shared" si="23"/>
        <v>420661.47184097767</v>
      </c>
      <c r="T135" s="2">
        <f t="shared" si="24"/>
        <v>420661.47184097767</v>
      </c>
      <c r="U135" s="11">
        <f t="shared" si="27"/>
        <v>1.042557537531505</v>
      </c>
      <c r="V135" s="12">
        <f t="shared" si="28"/>
        <v>3.868962388944297E-4</v>
      </c>
      <c r="W135" s="12">
        <f t="shared" si="25"/>
        <v>1.1611378297105013E-3</v>
      </c>
      <c r="X135" s="12">
        <f t="shared" si="26"/>
        <v>1.1611378297105013E-3</v>
      </c>
      <c r="Y135" s="5">
        <f t="shared" si="29"/>
        <v>4.2557537531505041E-2</v>
      </c>
      <c r="Z135" s="19">
        <f t="shared" si="20"/>
        <v>4.1312069867238677E-2</v>
      </c>
      <c r="AA135" s="19" t="s">
        <v>53</v>
      </c>
      <c r="AB135" s="19" t="s">
        <v>53</v>
      </c>
    </row>
    <row r="136" spans="1:28" x14ac:dyDescent="0.25">
      <c r="A136" s="1">
        <v>45296</v>
      </c>
      <c r="B136" s="1" t="str">
        <f t="shared" si="22"/>
        <v>202401</v>
      </c>
      <c r="C136" s="2">
        <v>0</v>
      </c>
      <c r="D136" s="2">
        <v>0</v>
      </c>
      <c r="E136" s="2">
        <v>0</v>
      </c>
      <c r="F136" s="2">
        <f>F135*(1+((1+VLOOKUP($B136,'IPCA Hist'!$B:$C,2,0))^12 - 1)+$F$2)^(1/252)</f>
        <v>44309487.726862527</v>
      </c>
      <c r="G136" s="2">
        <f>G135*(1+((1+VLOOKUP($B136,'IPCA Hist'!$B:$C,2,0))^12 - 1)+$G$2)^(1/252)</f>
        <v>44292510.161417507</v>
      </c>
      <c r="H136" s="2">
        <f>H135*(1+((1+VLOOKUP($B136,'IPCA Hist'!$B:$C,2,0))^12 - 1)+$H$2)^(1/252)</f>
        <v>45322197.192363441</v>
      </c>
      <c r="I136" s="2">
        <f>I135*(1+((1+VLOOKUP($B136,'IPCA Hist'!$B:$C,2,0))^12 - 1)+$I$2)^(1/252)</f>
        <v>228920635.50690624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f t="shared" si="21"/>
        <v>362844830.58754969</v>
      </c>
      <c r="P136" s="2">
        <v>0</v>
      </c>
      <c r="Q136" s="2">
        <v>0</v>
      </c>
      <c r="R136" s="2">
        <f t="shared" si="19"/>
        <v>140329.00881814957</v>
      </c>
      <c r="S136" s="2">
        <f t="shared" si="23"/>
        <v>560990.48065912724</v>
      </c>
      <c r="T136" s="2">
        <f t="shared" si="24"/>
        <v>560990.48065912724</v>
      </c>
      <c r="U136" s="11">
        <f t="shared" si="27"/>
        <v>1.042960899125422</v>
      </c>
      <c r="V136" s="12">
        <f t="shared" si="28"/>
        <v>3.8689624255372479E-4</v>
      </c>
      <c r="W136" s="12">
        <f t="shared" si="25"/>
        <v>1.5484833121275354E-3</v>
      </c>
      <c r="X136" s="12">
        <f t="shared" si="26"/>
        <v>1.5484833121275354E-3</v>
      </c>
      <c r="Y136" s="5">
        <f t="shared" si="29"/>
        <v>4.2960899125422003E-2</v>
      </c>
      <c r="Z136" s="19">
        <f t="shared" si="20"/>
        <v>4.1447667248137643E-2</v>
      </c>
      <c r="AA136" s="19" t="s">
        <v>53</v>
      </c>
      <c r="AB136" s="19" t="s">
        <v>53</v>
      </c>
    </row>
    <row r="137" spans="1:28" x14ac:dyDescent="0.25">
      <c r="A137" s="1">
        <v>45299</v>
      </c>
      <c r="B137" s="1" t="str">
        <f t="shared" si="22"/>
        <v>202401</v>
      </c>
      <c r="C137" s="2">
        <v>0</v>
      </c>
      <c r="D137" s="2">
        <v>0</v>
      </c>
      <c r="E137" s="2">
        <v>0</v>
      </c>
      <c r="F137" s="2">
        <f>F136*(1+((1+VLOOKUP($B137,'IPCA Hist'!$B:$C,2,0))^12 - 1)+$F$2)^(1/252)</f>
        <v>44326771.643635266</v>
      </c>
      <c r="G137" s="2">
        <f>G136*(1+((1+VLOOKUP($B137,'IPCA Hist'!$B:$C,2,0))^12 - 1)+$G$2)^(1/252)</f>
        <v>44309803.392372146</v>
      </c>
      <c r="H137" s="2">
        <f>H136*(1+((1+VLOOKUP($B137,'IPCA Hist'!$B:$C,2,0))^12 - 1)+$H$2)^(1/252)</f>
        <v>45339696.663449369</v>
      </c>
      <c r="I137" s="2">
        <f>I136*(1+((1+VLOOKUP($B137,'IPCA Hist'!$B:$C,2,0))^12 - 1)+$I$2)^(1/252)</f>
        <v>229008942.19100508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f t="shared" si="21"/>
        <v>362985213.89046186</v>
      </c>
      <c r="P137" s="2">
        <v>0</v>
      </c>
      <c r="Q137" s="2">
        <v>0</v>
      </c>
      <c r="R137" s="2">
        <f t="shared" ref="R137:R200" si="30">O137-O136-P137+Q137</f>
        <v>140383.30291217566</v>
      </c>
      <c r="S137" s="2">
        <f t="shared" si="23"/>
        <v>701373.78357130289</v>
      </c>
      <c r="T137" s="2">
        <f t="shared" si="24"/>
        <v>701373.78357130289</v>
      </c>
      <c r="U137" s="11">
        <f t="shared" si="27"/>
        <v>1.0433644167822409</v>
      </c>
      <c r="V137" s="12">
        <f t="shared" si="28"/>
        <v>3.8689624621324192E-4</v>
      </c>
      <c r="W137" s="12">
        <f t="shared" si="25"/>
        <v>1.9359786607215934E-3</v>
      </c>
      <c r="X137" s="12">
        <f t="shared" si="26"/>
        <v>1.9359786607215934E-3</v>
      </c>
      <c r="Y137" s="5">
        <f t="shared" si="29"/>
        <v>4.33644167822409E-2</v>
      </c>
      <c r="Z137" s="19">
        <f t="shared" si="20"/>
        <v>4.1583282281671741E-2</v>
      </c>
      <c r="AA137" s="19" t="s">
        <v>53</v>
      </c>
      <c r="AB137" s="19" t="s">
        <v>53</v>
      </c>
    </row>
    <row r="138" spans="1:28" x14ac:dyDescent="0.25">
      <c r="A138" s="1">
        <v>45300</v>
      </c>
      <c r="B138" s="1" t="str">
        <f t="shared" si="22"/>
        <v>202401</v>
      </c>
      <c r="C138" s="2">
        <v>0</v>
      </c>
      <c r="D138" s="2">
        <v>0</v>
      </c>
      <c r="E138" s="2">
        <v>0</v>
      </c>
      <c r="F138" s="2">
        <f>F137*(1+((1+VLOOKUP($B138,'IPCA Hist'!$B:$C,2,0))^12 - 1)+$F$2)^(1/252)</f>
        <v>44344062.302390233</v>
      </c>
      <c r="G138" s="2">
        <f>G137*(1+((1+VLOOKUP($B138,'IPCA Hist'!$B:$C,2,0))^12 - 1)+$G$2)^(1/252)</f>
        <v>44327103.375164412</v>
      </c>
      <c r="H138" s="2">
        <f>H137*(1+((1+VLOOKUP($B138,'IPCA Hist'!$B:$C,2,0))^12 - 1)+$H$2)^(1/252)</f>
        <v>45357202.891301461</v>
      </c>
      <c r="I138" s="2">
        <f>I137*(1+((1+VLOOKUP($B138,'IPCA Hist'!$B:$C,2,0))^12 - 1)+$I$2)^(1/252)</f>
        <v>229097282.93961906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f t="shared" si="21"/>
        <v>363125651.50847518</v>
      </c>
      <c r="P138" s="2">
        <v>0</v>
      </c>
      <c r="Q138" s="2">
        <v>0</v>
      </c>
      <c r="R138" s="2">
        <f t="shared" si="30"/>
        <v>140437.61801332235</v>
      </c>
      <c r="S138" s="2">
        <f t="shared" si="23"/>
        <v>841811.40158462524</v>
      </c>
      <c r="T138" s="2">
        <f t="shared" si="24"/>
        <v>841811.40158462524</v>
      </c>
      <c r="U138" s="11">
        <f t="shared" si="27"/>
        <v>1.0437680905623441</v>
      </c>
      <c r="V138" s="12">
        <f t="shared" si="28"/>
        <v>3.8689624987231497E-4</v>
      </c>
      <c r="W138" s="12">
        <f t="shared" si="25"/>
        <v>2.3236239334776254E-3</v>
      </c>
      <c r="X138" s="12">
        <f t="shared" si="26"/>
        <v>2.3236239334776254E-3</v>
      </c>
      <c r="Y138" s="5">
        <f t="shared" si="29"/>
        <v>4.3768090562344097E-2</v>
      </c>
      <c r="Z138" s="19">
        <f t="shared" si="20"/>
        <v>4.1718914970136911E-2</v>
      </c>
      <c r="AA138" s="19" t="s">
        <v>53</v>
      </c>
      <c r="AB138" s="19" t="s">
        <v>53</v>
      </c>
    </row>
    <row r="139" spans="1:28" x14ac:dyDescent="0.25">
      <c r="A139" s="1">
        <v>45301</v>
      </c>
      <c r="B139" s="1" t="str">
        <f t="shared" si="22"/>
        <v>202401</v>
      </c>
      <c r="C139" s="2">
        <v>0</v>
      </c>
      <c r="D139" s="2">
        <v>0</v>
      </c>
      <c r="E139" s="2">
        <v>0</v>
      </c>
      <c r="F139" s="2">
        <f>F138*(1+((1+VLOOKUP($B139,'IPCA Hist'!$B:$C,2,0))^12 - 1)+$F$2)^(1/252)</f>
        <v>44361359.705757298</v>
      </c>
      <c r="G139" s="2">
        <f>G138*(1+((1+VLOOKUP($B139,'IPCA Hist'!$B:$C,2,0))^12 - 1)+$G$2)^(1/252)</f>
        <v>44344410.112430446</v>
      </c>
      <c r="H139" s="2">
        <f>H138*(1+((1+VLOOKUP($B139,'IPCA Hist'!$B:$C,2,0))^12 - 1)+$H$2)^(1/252)</f>
        <v>45374715.87852858</v>
      </c>
      <c r="I139" s="2">
        <f>I138*(1+((1+VLOOKUP($B139,'IPCA Hist'!$B:$C,2,0))^12 - 1)+$I$2)^(1/252)</f>
        <v>229185657.76588866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f t="shared" si="21"/>
        <v>363266143.462605</v>
      </c>
      <c r="P139" s="2">
        <v>0</v>
      </c>
      <c r="Q139" s="2">
        <v>0</v>
      </c>
      <c r="R139" s="2">
        <f t="shared" si="30"/>
        <v>140491.9541298151</v>
      </c>
      <c r="S139" s="2">
        <f t="shared" si="23"/>
        <v>982303.35571444035</v>
      </c>
      <c r="T139" s="2">
        <f t="shared" si="24"/>
        <v>982303.35571444035</v>
      </c>
      <c r="U139" s="11">
        <f t="shared" si="27"/>
        <v>1.0441719205261386</v>
      </c>
      <c r="V139" s="12">
        <f t="shared" si="28"/>
        <v>3.8689625353161006E-4</v>
      </c>
      <c r="W139" s="12">
        <f t="shared" si="25"/>
        <v>2.7114191884036742E-3</v>
      </c>
      <c r="X139" s="12">
        <f t="shared" si="26"/>
        <v>2.7114191884036742E-3</v>
      </c>
      <c r="Y139" s="5">
        <f t="shared" si="29"/>
        <v>4.4171920526138608E-2</v>
      </c>
      <c r="Z139" s="19">
        <f t="shared" si="20"/>
        <v>4.1854565315832648E-2</v>
      </c>
      <c r="AA139" s="19" t="s">
        <v>53</v>
      </c>
      <c r="AB139" s="19" t="s">
        <v>53</v>
      </c>
    </row>
    <row r="140" spans="1:28" x14ac:dyDescent="0.25">
      <c r="A140" s="1">
        <v>45302</v>
      </c>
      <c r="B140" s="1" t="str">
        <f t="shared" si="22"/>
        <v>202401</v>
      </c>
      <c r="C140" s="2">
        <v>0</v>
      </c>
      <c r="D140" s="2">
        <v>0</v>
      </c>
      <c r="E140" s="2">
        <v>0</v>
      </c>
      <c r="F140" s="2">
        <f>F139*(1+((1+VLOOKUP($B140,'IPCA Hist'!$B:$C,2,0))^12 - 1)+$F$2)^(1/252)</f>
        <v>44378663.85636735</v>
      </c>
      <c r="G140" s="2">
        <f>G139*(1+((1+VLOOKUP($B140,'IPCA Hist'!$B:$C,2,0))^12 - 1)+$G$2)^(1/252)</f>
        <v>44361723.606807411</v>
      </c>
      <c r="H140" s="2">
        <f>H139*(1+((1+VLOOKUP($B140,'IPCA Hist'!$B:$C,2,0))^12 - 1)+$H$2)^(1/252)</f>
        <v>45392235.627740614</v>
      </c>
      <c r="I140" s="2">
        <f>I139*(1+((1+VLOOKUP($B140,'IPCA Hist'!$B:$C,2,0))^12 - 1)+$I$2)^(1/252)</f>
        <v>229274066.68295941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f t="shared" si="21"/>
        <v>363406689.77387476</v>
      </c>
      <c r="P140" s="2">
        <v>0</v>
      </c>
      <c r="Q140" s="2">
        <v>0</v>
      </c>
      <c r="R140" s="2">
        <f t="shared" si="30"/>
        <v>140546.31126976013</v>
      </c>
      <c r="S140" s="2">
        <f t="shared" si="23"/>
        <v>1122849.6669842005</v>
      </c>
      <c r="T140" s="2">
        <f t="shared" si="24"/>
        <v>1122849.6669842005</v>
      </c>
      <c r="U140" s="11">
        <f t="shared" si="27"/>
        <v>1.0445759067340539</v>
      </c>
      <c r="V140" s="12">
        <f t="shared" si="28"/>
        <v>3.868962571906831E-4</v>
      </c>
      <c r="W140" s="12">
        <f t="shared" si="25"/>
        <v>3.0993644835299872E-3</v>
      </c>
      <c r="X140" s="12">
        <f t="shared" si="26"/>
        <v>3.0993644835299872E-3</v>
      </c>
      <c r="Y140" s="5">
        <f t="shared" si="29"/>
        <v>4.4575906734053872E-2</v>
      </c>
      <c r="Z140" s="19">
        <f t="shared" si="20"/>
        <v>4.1990233321055559E-2</v>
      </c>
      <c r="AA140" s="19" t="s">
        <v>53</v>
      </c>
      <c r="AB140" s="19" t="s">
        <v>53</v>
      </c>
    </row>
    <row r="141" spans="1:28" x14ac:dyDescent="0.25">
      <c r="A141" s="1">
        <v>45303</v>
      </c>
      <c r="B141" s="1" t="str">
        <f t="shared" si="22"/>
        <v>202401</v>
      </c>
      <c r="C141" s="2">
        <v>0</v>
      </c>
      <c r="D141" s="2">
        <v>0</v>
      </c>
      <c r="E141" s="2">
        <v>0</v>
      </c>
      <c r="F141" s="2">
        <f>F140*(1+((1+VLOOKUP($B141,'IPCA Hist'!$B:$C,2,0))^12 - 1)+$F$2)^(1/252)</f>
        <v>44395974.756852299</v>
      </c>
      <c r="G141" s="2">
        <f>G140*(1+((1+VLOOKUP($B141,'IPCA Hist'!$B:$C,2,0))^12 - 1)+$G$2)^(1/252)</f>
        <v>44379043.860933505</v>
      </c>
      <c r="H141" s="2">
        <f>H140*(1+((1+VLOOKUP($B141,'IPCA Hist'!$B:$C,2,0))^12 - 1)+$H$2)^(1/252)</f>
        <v>45409762.141548447</v>
      </c>
      <c r="I141" s="2">
        <f>I140*(1+((1+VLOOKUP($B141,'IPCA Hist'!$B:$C,2,0))^12 - 1)+$I$2)^(1/252)</f>
        <v>229362509.70398194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f t="shared" si="21"/>
        <v>363547290.4633162</v>
      </c>
      <c r="P141" s="2">
        <v>0</v>
      </c>
      <c r="Q141" s="2">
        <v>0</v>
      </c>
      <c r="R141" s="2">
        <f t="shared" si="30"/>
        <v>140600.68944144249</v>
      </c>
      <c r="S141" s="2">
        <f t="shared" si="23"/>
        <v>1263450.356425643</v>
      </c>
      <c r="T141" s="2">
        <f t="shared" si="24"/>
        <v>1263450.356425643</v>
      </c>
      <c r="U141" s="11">
        <f t="shared" si="27"/>
        <v>1.0449800492465435</v>
      </c>
      <c r="V141" s="12">
        <f t="shared" si="28"/>
        <v>3.8689626085020024E-4</v>
      </c>
      <c r="W141" s="12">
        <f t="shared" si="25"/>
        <v>3.4874598769099041E-3</v>
      </c>
      <c r="X141" s="12">
        <f t="shared" si="26"/>
        <v>3.4874598769099041E-3</v>
      </c>
      <c r="Y141" s="5">
        <f t="shared" si="29"/>
        <v>4.498004924654353E-2</v>
      </c>
      <c r="Z141" s="19">
        <f t="shared" si="20"/>
        <v>4.2125918988104916E-2</v>
      </c>
      <c r="AA141" s="19" t="s">
        <v>53</v>
      </c>
      <c r="AB141" s="19" t="s">
        <v>53</v>
      </c>
    </row>
    <row r="142" spans="1:28" x14ac:dyDescent="0.25">
      <c r="A142" s="1">
        <v>45306</v>
      </c>
      <c r="B142" s="1" t="str">
        <f t="shared" si="22"/>
        <v>202401</v>
      </c>
      <c r="C142" s="2">
        <v>0</v>
      </c>
      <c r="D142" s="2">
        <v>0</v>
      </c>
      <c r="E142" s="2">
        <v>0</v>
      </c>
      <c r="F142" s="2">
        <f>F141*(1+((1+VLOOKUP($B142,'IPCA Hist'!$B:$C,2,0))^12 - 1)+$F$2)^(1/252)</f>
        <v>44413292.409845084</v>
      </c>
      <c r="G142" s="2">
        <f>G141*(1+((1+VLOOKUP($B142,'IPCA Hist'!$B:$C,2,0))^12 - 1)+$G$2)^(1/252)</f>
        <v>44396370.877447948</v>
      </c>
      <c r="H142" s="2">
        <f>H141*(1+((1+VLOOKUP($B142,'IPCA Hist'!$B:$C,2,0))^12 - 1)+$H$2)^(1/252)</f>
        <v>45427295.422563978</v>
      </c>
      <c r="I142" s="2">
        <f>I141*(1+((1+VLOOKUP($B142,'IPCA Hist'!$B:$C,2,0))^12 - 1)+$I$2)^(1/252)</f>
        <v>229450986.84211189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f t="shared" si="21"/>
        <v>363687945.55196893</v>
      </c>
      <c r="P142" s="2">
        <v>0</v>
      </c>
      <c r="Q142" s="2">
        <v>0</v>
      </c>
      <c r="R142" s="2">
        <f t="shared" si="30"/>
        <v>140655.08865272999</v>
      </c>
      <c r="S142" s="2">
        <f t="shared" si="23"/>
        <v>1404105.445078373</v>
      </c>
      <c r="T142" s="2">
        <f t="shared" si="24"/>
        <v>1404105.445078373</v>
      </c>
      <c r="U142" s="11">
        <f t="shared" si="27"/>
        <v>1.0453843481240837</v>
      </c>
      <c r="V142" s="12">
        <f t="shared" si="28"/>
        <v>3.8689626450927328E-4</v>
      </c>
      <c r="W142" s="12">
        <f t="shared" si="25"/>
        <v>3.8757054266180813E-3</v>
      </c>
      <c r="X142" s="12">
        <f t="shared" si="26"/>
        <v>3.8757054266180813E-3</v>
      </c>
      <c r="Y142" s="5">
        <f t="shared" si="29"/>
        <v>4.5384348124083651E-2</v>
      </c>
      <c r="Z142" s="19">
        <f t="shared" si="20"/>
        <v>4.2261622319279102E-2</v>
      </c>
      <c r="AA142" s="19" t="s">
        <v>53</v>
      </c>
      <c r="AB142" s="19" t="s">
        <v>53</v>
      </c>
    </row>
    <row r="143" spans="1:28" x14ac:dyDescent="0.25">
      <c r="A143" s="1">
        <v>45307</v>
      </c>
      <c r="B143" s="1" t="str">
        <f t="shared" si="22"/>
        <v>202401</v>
      </c>
      <c r="C143" s="2">
        <v>0</v>
      </c>
      <c r="D143" s="2">
        <v>0</v>
      </c>
      <c r="E143" s="2">
        <v>0</v>
      </c>
      <c r="F143" s="2">
        <f>F142*(1+((1+VLOOKUP($B143,'IPCA Hist'!$B:$C,2,0))^12 - 1)+$F$2)^(1/252)</f>
        <v>44430616.817979679</v>
      </c>
      <c r="G143" s="2">
        <f>G142*(1+((1+VLOOKUP($B143,'IPCA Hist'!$B:$C,2,0))^12 - 1)+$G$2)^(1/252)</f>
        <v>44413704.658991002</v>
      </c>
      <c r="H143" s="2">
        <f>H142*(1+((1+VLOOKUP($B143,'IPCA Hist'!$B:$C,2,0))^12 - 1)+$H$2)^(1/252)</f>
        <v>45444835.473400109</v>
      </c>
      <c r="I143" s="2">
        <f>I142*(1+((1+VLOOKUP($B143,'IPCA Hist'!$B:$C,2,0))^12 - 1)+$I$2)^(1/252)</f>
        <v>229539498.11051005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f t="shared" si="21"/>
        <v>363828655.06088084</v>
      </c>
      <c r="P143" s="2">
        <v>0</v>
      </c>
      <c r="Q143" s="2">
        <v>0</v>
      </c>
      <c r="R143" s="2">
        <f t="shared" si="30"/>
        <v>140709.50891190767</v>
      </c>
      <c r="S143" s="2">
        <f t="shared" si="23"/>
        <v>1544814.9539902806</v>
      </c>
      <c r="T143" s="2">
        <f t="shared" si="24"/>
        <v>1544814.9539902806</v>
      </c>
      <c r="U143" s="11">
        <f t="shared" si="27"/>
        <v>1.0457888034271745</v>
      </c>
      <c r="V143" s="12">
        <f t="shared" si="28"/>
        <v>3.8689626816834632E-4</v>
      </c>
      <c r="W143" s="12">
        <f t="shared" si="25"/>
        <v>4.2641011907524895E-3</v>
      </c>
      <c r="X143" s="12">
        <f t="shared" si="26"/>
        <v>4.2641011907524895E-3</v>
      </c>
      <c r="Y143" s="5">
        <f t="shared" si="29"/>
        <v>4.5788803427174507E-2</v>
      </c>
      <c r="Z143" s="19">
        <f t="shared" si="20"/>
        <v>4.2397343316876723E-2</v>
      </c>
      <c r="AA143" s="19" t="s">
        <v>53</v>
      </c>
      <c r="AB143" s="19" t="s">
        <v>53</v>
      </c>
    </row>
    <row r="144" spans="1:28" x14ac:dyDescent="0.25">
      <c r="A144" s="1">
        <v>45308</v>
      </c>
      <c r="B144" s="1" t="str">
        <f t="shared" si="22"/>
        <v>202401</v>
      </c>
      <c r="C144" s="2">
        <v>0</v>
      </c>
      <c r="D144" s="2">
        <v>0</v>
      </c>
      <c r="E144" s="2">
        <v>0</v>
      </c>
      <c r="F144" s="2">
        <f>F143*(1+((1+VLOOKUP($B144,'IPCA Hist'!$B:$C,2,0))^12 - 1)+$F$2)^(1/252)</f>
        <v>44447947.983891077</v>
      </c>
      <c r="G144" s="2">
        <f>G143*(1+((1+VLOOKUP($B144,'IPCA Hist'!$B:$C,2,0))^12 - 1)+$G$2)^(1/252)</f>
        <v>44431045.208203949</v>
      </c>
      <c r="H144" s="2">
        <f>H143*(1+((1+VLOOKUP($B144,'IPCA Hist'!$B:$C,2,0))^12 - 1)+$H$2)^(1/252)</f>
        <v>45462382.29667075</v>
      </c>
      <c r="I144" s="2">
        <f>I143*(1+((1+VLOOKUP($B144,'IPCA Hist'!$B:$C,2,0))^12 - 1)+$I$2)^(1/252)</f>
        <v>229628043.52234226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f t="shared" si="21"/>
        <v>363969419.01110804</v>
      </c>
      <c r="P144" s="2">
        <v>0</v>
      </c>
      <c r="Q144" s="2">
        <v>0</v>
      </c>
      <c r="R144" s="2">
        <f t="shared" si="30"/>
        <v>140763.95022720098</v>
      </c>
      <c r="S144" s="2">
        <f t="shared" si="23"/>
        <v>1685578.9042174816</v>
      </c>
      <c r="T144" s="2">
        <f t="shared" si="24"/>
        <v>1685578.9042174816</v>
      </c>
      <c r="U144" s="11">
        <f t="shared" si="27"/>
        <v>1.0461934152163399</v>
      </c>
      <c r="V144" s="12">
        <f t="shared" si="28"/>
        <v>3.8689627182786346E-4</v>
      </c>
      <c r="W144" s="12">
        <f t="shared" si="25"/>
        <v>4.6526472274337483E-3</v>
      </c>
      <c r="X144" s="12">
        <f t="shared" si="26"/>
        <v>4.6526472274337483E-3</v>
      </c>
      <c r="Y144" s="5">
        <f t="shared" si="29"/>
        <v>4.6193415216339906E-2</v>
      </c>
      <c r="Z144" s="19">
        <f t="shared" si="20"/>
        <v>4.2533081983198162E-2</v>
      </c>
      <c r="AA144" s="19" t="s">
        <v>53</v>
      </c>
      <c r="AB144" s="19" t="s">
        <v>53</v>
      </c>
    </row>
    <row r="145" spans="1:28" x14ac:dyDescent="0.25">
      <c r="A145" s="1">
        <v>45309</v>
      </c>
      <c r="B145" s="1" t="str">
        <f t="shared" si="22"/>
        <v>202401</v>
      </c>
      <c r="C145" s="2">
        <v>0</v>
      </c>
      <c r="D145" s="2">
        <v>0</v>
      </c>
      <c r="E145" s="2">
        <v>0</v>
      </c>
      <c r="F145" s="2">
        <f>F144*(1+((1+VLOOKUP($B145,'IPCA Hist'!$B:$C,2,0))^12 - 1)+$F$2)^(1/252)</f>
        <v>44465285.910215303</v>
      </c>
      <c r="G145" s="2">
        <f>G144*(1+((1+VLOOKUP($B145,'IPCA Hist'!$B:$C,2,0))^12 - 1)+$G$2)^(1/252)</f>
        <v>44448392.527729109</v>
      </c>
      <c r="H145" s="2">
        <f>H144*(1+((1+VLOOKUP($B145,'IPCA Hist'!$B:$C,2,0))^12 - 1)+$H$2)^(1/252)</f>
        <v>45479935.894990824</v>
      </c>
      <c r="I145" s="2">
        <f>I144*(1+((1+VLOOKUP($B145,'IPCA Hist'!$B:$C,2,0))^12 - 1)+$I$2)^(1/252)</f>
        <v>229716623.09077942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f t="shared" si="21"/>
        <v>364110237.42371464</v>
      </c>
      <c r="P145" s="2">
        <v>0</v>
      </c>
      <c r="Q145" s="2">
        <v>0</v>
      </c>
      <c r="R145" s="2">
        <f t="shared" si="30"/>
        <v>140818.41260659695</v>
      </c>
      <c r="S145" s="2">
        <f t="shared" si="23"/>
        <v>1826397.3168240786</v>
      </c>
      <c r="T145" s="2">
        <f t="shared" si="24"/>
        <v>1826397.3168240786</v>
      </c>
      <c r="U145" s="11">
        <f t="shared" si="27"/>
        <v>1.0465981835521263</v>
      </c>
      <c r="V145" s="12">
        <f t="shared" si="28"/>
        <v>3.8689627548715855E-4</v>
      </c>
      <c r="W145" s="12">
        <f t="shared" si="25"/>
        <v>5.0413435948044594E-3</v>
      </c>
      <c r="X145" s="12">
        <f t="shared" si="26"/>
        <v>5.0413435948044594E-3</v>
      </c>
      <c r="Y145" s="5">
        <f t="shared" si="29"/>
        <v>4.6598183552126304E-2</v>
      </c>
      <c r="Z145" s="19">
        <f t="shared" si="20"/>
        <v>4.2668838320542024E-2</v>
      </c>
      <c r="AA145" s="19" t="s">
        <v>53</v>
      </c>
      <c r="AB145" s="19" t="s">
        <v>53</v>
      </c>
    </row>
    <row r="146" spans="1:28" x14ac:dyDescent="0.25">
      <c r="A146" s="1">
        <v>45310</v>
      </c>
      <c r="B146" s="1" t="str">
        <f t="shared" si="22"/>
        <v>202401</v>
      </c>
      <c r="C146" s="2">
        <v>0</v>
      </c>
      <c r="D146" s="2">
        <v>0</v>
      </c>
      <c r="E146" s="2">
        <v>0</v>
      </c>
      <c r="F146" s="2">
        <f>F145*(1+((1+VLOOKUP($B146,'IPCA Hist'!$B:$C,2,0))^12 - 1)+$F$2)^(1/252)</f>
        <v>44482630.599589407</v>
      </c>
      <c r="G146" s="2">
        <f>G145*(1+((1+VLOOKUP($B146,'IPCA Hist'!$B:$C,2,0))^12 - 1)+$G$2)^(1/252)</f>
        <v>44465746.620209828</v>
      </c>
      <c r="H146" s="2">
        <f>H145*(1+((1+VLOOKUP($B146,'IPCA Hist'!$B:$C,2,0))^12 - 1)+$H$2)^(1/252)</f>
        <v>45497496.270976268</v>
      </c>
      <c r="I146" s="2">
        <f>I145*(1+((1+VLOOKUP($B146,'IPCA Hist'!$B:$C,2,0))^12 - 1)+$I$2)^(1/252)</f>
        <v>229805236.82899749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f t="shared" si="21"/>
        <v>364251110.31977296</v>
      </c>
      <c r="P146" s="2">
        <v>0</v>
      </c>
      <c r="Q146" s="2">
        <v>0</v>
      </c>
      <c r="R146" s="2">
        <f t="shared" si="30"/>
        <v>140872.896058321</v>
      </c>
      <c r="S146" s="2">
        <f t="shared" si="23"/>
        <v>1967270.2128823996</v>
      </c>
      <c r="T146" s="2">
        <f t="shared" si="24"/>
        <v>1967270.2128823996</v>
      </c>
      <c r="U146" s="11">
        <f t="shared" si="27"/>
        <v>1.0470031084951039</v>
      </c>
      <c r="V146" s="12">
        <f t="shared" si="28"/>
        <v>3.8689627914623159E-4</v>
      </c>
      <c r="W146" s="12">
        <f t="shared" si="25"/>
        <v>5.4301903510294292E-3</v>
      </c>
      <c r="X146" s="12">
        <f t="shared" si="26"/>
        <v>5.4301903510294292E-3</v>
      </c>
      <c r="Y146" s="5">
        <f t="shared" si="29"/>
        <v>4.7003108495103918E-2</v>
      </c>
      <c r="Z146" s="19">
        <f t="shared" si="20"/>
        <v>4.2804612331208691E-2</v>
      </c>
      <c r="AA146" s="19" t="s">
        <v>53</v>
      </c>
      <c r="AB146" s="19" t="s">
        <v>53</v>
      </c>
    </row>
    <row r="147" spans="1:28" x14ac:dyDescent="0.25">
      <c r="A147" s="1">
        <v>45313</v>
      </c>
      <c r="B147" s="1" t="str">
        <f t="shared" si="22"/>
        <v>202401</v>
      </c>
      <c r="C147" s="2">
        <v>0</v>
      </c>
      <c r="D147" s="2">
        <v>0</v>
      </c>
      <c r="E147" s="2">
        <v>0</v>
      </c>
      <c r="F147" s="2">
        <f>F146*(1+((1+VLOOKUP($B147,'IPCA Hist'!$B:$C,2,0))^12 - 1)+$F$2)^(1/252)</f>
        <v>44499982.054651469</v>
      </c>
      <c r="G147" s="2">
        <f>G146*(1+((1+VLOOKUP($B147,'IPCA Hist'!$B:$C,2,0))^12 - 1)+$G$2)^(1/252)</f>
        <v>44483107.488290489</v>
      </c>
      <c r="H147" s="2">
        <f>H146*(1+((1+VLOOKUP($B147,'IPCA Hist'!$B:$C,2,0))^12 - 1)+$H$2)^(1/252)</f>
        <v>45515063.427244022</v>
      </c>
      <c r="I147" s="2">
        <f>I146*(1+((1+VLOOKUP($B147,'IPCA Hist'!$B:$C,2,0))^12 - 1)+$I$2)^(1/252)</f>
        <v>229893884.75017759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f t="shared" si="21"/>
        <v>364392037.72036362</v>
      </c>
      <c r="P147" s="2">
        <v>0</v>
      </c>
      <c r="Q147" s="2">
        <v>0</v>
      </c>
      <c r="R147" s="2">
        <f t="shared" si="30"/>
        <v>140927.40059065819</v>
      </c>
      <c r="S147" s="2">
        <f t="shared" si="23"/>
        <v>2108197.6134730577</v>
      </c>
      <c r="T147" s="2">
        <f t="shared" si="24"/>
        <v>2108197.6134730577</v>
      </c>
      <c r="U147" s="11">
        <f t="shared" si="27"/>
        <v>1.0474081901058669</v>
      </c>
      <c r="V147" s="12">
        <f t="shared" si="28"/>
        <v>3.8689628280597077E-4</v>
      </c>
      <c r="W147" s="12">
        <f t="shared" si="25"/>
        <v>5.8191875542972227E-3</v>
      </c>
      <c r="X147" s="12">
        <f t="shared" si="26"/>
        <v>5.8191875542972227E-3</v>
      </c>
      <c r="Y147" s="5">
        <f t="shared" si="29"/>
        <v>4.7408190105866943E-2</v>
      </c>
      <c r="Z147" s="19">
        <f t="shared" si="20"/>
        <v>4.2940404017498324E-2</v>
      </c>
      <c r="AA147" s="19" t="s">
        <v>53</v>
      </c>
      <c r="AB147" s="19" t="s">
        <v>53</v>
      </c>
    </row>
    <row r="148" spans="1:28" x14ac:dyDescent="0.25">
      <c r="A148" s="1">
        <v>45314</v>
      </c>
      <c r="B148" s="1" t="str">
        <f t="shared" si="22"/>
        <v>202401</v>
      </c>
      <c r="C148" s="2">
        <v>0</v>
      </c>
      <c r="D148" s="2">
        <v>0</v>
      </c>
      <c r="E148" s="2">
        <v>0</v>
      </c>
      <c r="F148" s="2">
        <f>F147*(1+((1+VLOOKUP($B148,'IPCA Hist'!$B:$C,2,0))^12 - 1)+$F$2)^(1/252)</f>
        <v>44517340.278040603</v>
      </c>
      <c r="G148" s="2">
        <f>G147*(1+((1+VLOOKUP($B148,'IPCA Hist'!$B:$C,2,0))^12 - 1)+$G$2)^(1/252)</f>
        <v>44500475.134616509</v>
      </c>
      <c r="H148" s="2">
        <f>H147*(1+((1+VLOOKUP($B148,'IPCA Hist'!$B:$C,2,0))^12 - 1)+$H$2)^(1/252)</f>
        <v>45532637.366412036</v>
      </c>
      <c r="I148" s="2">
        <f>I147*(1+((1+VLOOKUP($B148,'IPCA Hist'!$B:$C,2,0))^12 - 1)+$I$2)^(1/252)</f>
        <v>229982566.86750585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f t="shared" si="21"/>
        <v>364533019.64657497</v>
      </c>
      <c r="P148" s="2">
        <v>0</v>
      </c>
      <c r="Q148" s="2">
        <v>0</v>
      </c>
      <c r="R148" s="2">
        <f t="shared" si="30"/>
        <v>140981.92621135712</v>
      </c>
      <c r="S148" s="2">
        <f t="shared" si="23"/>
        <v>2249179.5396844149</v>
      </c>
      <c r="T148" s="2">
        <f t="shared" si="24"/>
        <v>2249179.5396844149</v>
      </c>
      <c r="U148" s="11">
        <f t="shared" si="27"/>
        <v>1.0478134284450318</v>
      </c>
      <c r="V148" s="12">
        <f t="shared" si="28"/>
        <v>3.8689628646482177E-4</v>
      </c>
      <c r="W148" s="12">
        <f t="shared" si="25"/>
        <v>6.2083352628170552E-3</v>
      </c>
      <c r="X148" s="12">
        <f t="shared" si="26"/>
        <v>6.2083352628170552E-3</v>
      </c>
      <c r="Y148" s="5">
        <f t="shared" si="29"/>
        <v>4.781342844503178E-2</v>
      </c>
      <c r="Z148" s="19">
        <f t="shared" si="20"/>
        <v>4.3076213381711081E-2</v>
      </c>
      <c r="AA148" s="19" t="s">
        <v>53</v>
      </c>
      <c r="AB148" s="19" t="s">
        <v>53</v>
      </c>
    </row>
    <row r="149" spans="1:28" x14ac:dyDescent="0.25">
      <c r="A149" s="1">
        <v>45315</v>
      </c>
      <c r="B149" s="1" t="str">
        <f t="shared" si="22"/>
        <v>202401</v>
      </c>
      <c r="C149" s="2">
        <v>0</v>
      </c>
      <c r="D149" s="2">
        <v>0</v>
      </c>
      <c r="E149" s="2">
        <v>0</v>
      </c>
      <c r="F149" s="2">
        <f>F148*(1+((1+VLOOKUP($B149,'IPCA Hist'!$B:$C,2,0))^12 - 1)+$F$2)^(1/252)</f>
        <v>44534705.272396944</v>
      </c>
      <c r="G149" s="2">
        <f>G148*(1+((1+VLOOKUP($B149,'IPCA Hist'!$B:$C,2,0))^12 - 1)+$G$2)^(1/252)</f>
        <v>44517849.561834328</v>
      </c>
      <c r="H149" s="2">
        <f>H148*(1+((1+VLOOKUP($B149,'IPCA Hist'!$B:$C,2,0))^12 - 1)+$H$2)^(1/252)</f>
        <v>45550218.091099277</v>
      </c>
      <c r="I149" s="2">
        <f>I148*(1+((1+VLOOKUP($B149,'IPCA Hist'!$B:$C,2,0))^12 - 1)+$I$2)^(1/252)</f>
        <v>230071283.19417354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f t="shared" si="21"/>
        <v>364674056.11950409</v>
      </c>
      <c r="P149" s="2">
        <v>0</v>
      </c>
      <c r="Q149" s="2">
        <v>0</v>
      </c>
      <c r="R149" s="2">
        <f t="shared" si="30"/>
        <v>141036.47292912006</v>
      </c>
      <c r="S149" s="2">
        <f t="shared" si="23"/>
        <v>2390216.0126135349</v>
      </c>
      <c r="T149" s="2">
        <f t="shared" si="24"/>
        <v>2390216.0126135349</v>
      </c>
      <c r="U149" s="11">
        <f t="shared" si="27"/>
        <v>1.0482188235732397</v>
      </c>
      <c r="V149" s="12">
        <f t="shared" si="28"/>
        <v>3.868962901243389E-4</v>
      </c>
      <c r="W149" s="12">
        <f t="shared" si="25"/>
        <v>6.5976335348223447E-3</v>
      </c>
      <c r="X149" s="12">
        <f t="shared" si="26"/>
        <v>6.5976335348223447E-3</v>
      </c>
      <c r="Y149" s="5">
        <f t="shared" si="29"/>
        <v>4.82188235732397E-2</v>
      </c>
      <c r="Z149" s="19">
        <f t="shared" si="20"/>
        <v>4.3212040426148013E-2</v>
      </c>
      <c r="AA149" s="19" t="s">
        <v>53</v>
      </c>
      <c r="AB149" s="19" t="s">
        <v>53</v>
      </c>
    </row>
    <row r="150" spans="1:28" x14ac:dyDescent="0.25">
      <c r="A150" s="1">
        <v>45316</v>
      </c>
      <c r="B150" s="1" t="str">
        <f t="shared" si="22"/>
        <v>202401</v>
      </c>
      <c r="C150" s="2">
        <v>0</v>
      </c>
      <c r="D150" s="2">
        <v>0</v>
      </c>
      <c r="E150" s="2">
        <v>0</v>
      </c>
      <c r="F150" s="2">
        <f>F149*(1+((1+VLOOKUP($B150,'IPCA Hist'!$B:$C,2,0))^12 - 1)+$F$2)^(1/252)</f>
        <v>44552077.040361658</v>
      </c>
      <c r="G150" s="2">
        <f>G149*(1+((1+VLOOKUP($B150,'IPCA Hist'!$B:$C,2,0))^12 - 1)+$G$2)^(1/252)</f>
        <v>44535230.772591427</v>
      </c>
      <c r="H150" s="2">
        <f>H149*(1+((1+VLOOKUP($B150,'IPCA Hist'!$B:$C,2,0))^12 - 1)+$H$2)^(1/252)</f>
        <v>45567805.603925712</v>
      </c>
      <c r="I150" s="2">
        <f>I149*(1+((1+VLOOKUP($B150,'IPCA Hist'!$B:$C,2,0))^12 - 1)+$I$2)^(1/252)</f>
        <v>230160033.743377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f t="shared" si="21"/>
        <v>364815147.16025579</v>
      </c>
      <c r="P150" s="2">
        <v>0</v>
      </c>
      <c r="Q150" s="2">
        <v>0</v>
      </c>
      <c r="R150" s="2">
        <f t="shared" si="30"/>
        <v>141091.04075169563</v>
      </c>
      <c r="S150" s="2">
        <f t="shared" si="23"/>
        <v>2531307.0533652306</v>
      </c>
      <c r="T150" s="2">
        <f t="shared" si="24"/>
        <v>2531307.0533652306</v>
      </c>
      <c r="U150" s="11">
        <f t="shared" si="27"/>
        <v>1.0486243755511544</v>
      </c>
      <c r="V150" s="12">
        <f t="shared" si="28"/>
        <v>3.8689629378363399E-4</v>
      </c>
      <c r="W150" s="12">
        <f t="shared" si="25"/>
        <v>6.9870824285682698E-3</v>
      </c>
      <c r="X150" s="12">
        <f t="shared" si="26"/>
        <v>6.9870824285682698E-3</v>
      </c>
      <c r="Y150" s="5">
        <f t="shared" si="29"/>
        <v>4.8624375551154397E-2</v>
      </c>
      <c r="Z150" s="19">
        <f t="shared" si="20"/>
        <v>4.3347885153110388E-2</v>
      </c>
      <c r="AA150" s="19" t="s">
        <v>53</v>
      </c>
      <c r="AB150" s="19" t="s">
        <v>53</v>
      </c>
    </row>
    <row r="151" spans="1:28" x14ac:dyDescent="0.25">
      <c r="A151" s="1">
        <v>45317</v>
      </c>
      <c r="B151" s="1" t="str">
        <f t="shared" si="22"/>
        <v>202401</v>
      </c>
      <c r="C151" s="2">
        <v>0</v>
      </c>
      <c r="D151" s="2">
        <v>0</v>
      </c>
      <c r="E151" s="2">
        <v>0</v>
      </c>
      <c r="F151" s="2">
        <f>F150*(1+((1+VLOOKUP($B151,'IPCA Hist'!$B:$C,2,0))^12 - 1)+$F$2)^(1/252)</f>
        <v>44569455.584576949</v>
      </c>
      <c r="G151" s="2">
        <f>G150*(1+((1+VLOOKUP($B151,'IPCA Hist'!$B:$C,2,0))^12 - 1)+$G$2)^(1/252)</f>
        <v>44552618.769536324</v>
      </c>
      <c r="H151" s="2">
        <f>H150*(1+((1+VLOOKUP($B151,'IPCA Hist'!$B:$C,2,0))^12 - 1)+$H$2)^(1/252)</f>
        <v>45585399.907512337</v>
      </c>
      <c r="I151" s="2">
        <f>I150*(1+((1+VLOOKUP($B151,'IPCA Hist'!$B:$C,2,0))^12 - 1)+$I$2)^(1/252)</f>
        <v>230248818.52831763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f t="shared" si="21"/>
        <v>364956292.78994322</v>
      </c>
      <c r="P151" s="2">
        <v>0</v>
      </c>
      <c r="Q151" s="2">
        <v>0</v>
      </c>
      <c r="R151" s="2">
        <f t="shared" si="30"/>
        <v>141145.62968742847</v>
      </c>
      <c r="S151" s="2">
        <f t="shared" si="23"/>
        <v>2672452.683052659</v>
      </c>
      <c r="T151" s="2">
        <f t="shared" si="24"/>
        <v>2672452.683052659</v>
      </c>
      <c r="U151" s="11">
        <f t="shared" si="27"/>
        <v>1.0490300844394636</v>
      </c>
      <c r="V151" s="12">
        <f t="shared" si="28"/>
        <v>3.8689629744292908E-4</v>
      </c>
      <c r="W151" s="12">
        <f t="shared" si="25"/>
        <v>7.3766820023326574E-3</v>
      </c>
      <c r="X151" s="12">
        <f t="shared" si="26"/>
        <v>7.3766820023326574E-3</v>
      </c>
      <c r="Y151" s="5">
        <f t="shared" si="29"/>
        <v>4.903008443946355E-2</v>
      </c>
      <c r="Z151" s="19">
        <f t="shared" si="20"/>
        <v>4.3483747564899033E-2</v>
      </c>
      <c r="AA151" s="19" t="s">
        <v>53</v>
      </c>
      <c r="AB151" s="19" t="s">
        <v>53</v>
      </c>
    </row>
    <row r="152" spans="1:28" x14ac:dyDescent="0.25">
      <c r="A152" s="1">
        <v>45320</v>
      </c>
      <c r="B152" s="1" t="str">
        <f t="shared" si="22"/>
        <v>202401</v>
      </c>
      <c r="C152" s="2">
        <v>0</v>
      </c>
      <c r="D152" s="2">
        <v>0</v>
      </c>
      <c r="E152" s="2">
        <v>0</v>
      </c>
      <c r="F152" s="2">
        <f>F151*(1+((1+VLOOKUP($B152,'IPCA Hist'!$B:$C,2,0))^12 - 1)+$F$2)^(1/252)</f>
        <v>44586840.907686047</v>
      </c>
      <c r="G152" s="2">
        <f>G151*(1+((1+VLOOKUP($B152,'IPCA Hist'!$B:$C,2,0))^12 - 1)+$G$2)^(1/252)</f>
        <v>44570013.555318564</v>
      </c>
      <c r="H152" s="2">
        <f>H151*(1+((1+VLOOKUP($B152,'IPCA Hist'!$B:$C,2,0))^12 - 1)+$H$2)^(1/252)</f>
        <v>45603001.004481144</v>
      </c>
      <c r="I152" s="2">
        <f>I151*(1+((1+VLOOKUP($B152,'IPCA Hist'!$B:$C,2,0))^12 - 1)+$I$2)^(1/252)</f>
        <v>230337637.56220195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f t="shared" si="21"/>
        <v>365097493.0296877</v>
      </c>
      <c r="P152" s="2">
        <v>0</v>
      </c>
      <c r="Q152" s="2">
        <v>0</v>
      </c>
      <c r="R152" s="2">
        <f t="shared" si="30"/>
        <v>141200.23974448442</v>
      </c>
      <c r="S152" s="2">
        <f t="shared" si="23"/>
        <v>2813652.9227971435</v>
      </c>
      <c r="T152" s="2">
        <f t="shared" si="24"/>
        <v>2813652.9227971435</v>
      </c>
      <c r="U152" s="11">
        <f t="shared" si="27"/>
        <v>1.0494359502988784</v>
      </c>
      <c r="V152" s="12">
        <f t="shared" si="28"/>
        <v>3.8689630110244622E-4</v>
      </c>
      <c r="W152" s="12">
        <f t="shared" si="25"/>
        <v>7.7664323144162051E-3</v>
      </c>
      <c r="X152" s="12">
        <f t="shared" si="26"/>
        <v>7.7664323144162051E-3</v>
      </c>
      <c r="Y152" s="5">
        <f t="shared" si="29"/>
        <v>4.9435950298878373E-2</v>
      </c>
      <c r="Z152" s="19">
        <f t="shared" si="20"/>
        <v>4.3619627663816329E-2</v>
      </c>
      <c r="AA152" s="19" t="s">
        <v>53</v>
      </c>
      <c r="AB152" s="19" t="s">
        <v>53</v>
      </c>
    </row>
    <row r="153" spans="1:28" x14ac:dyDescent="0.25">
      <c r="A153" s="1">
        <v>45321</v>
      </c>
      <c r="B153" s="1" t="str">
        <f t="shared" si="22"/>
        <v>202401</v>
      </c>
      <c r="C153" s="2">
        <v>0</v>
      </c>
      <c r="D153" s="2">
        <v>0</v>
      </c>
      <c r="E153" s="2">
        <v>0</v>
      </c>
      <c r="F153" s="2">
        <f>F152*(1+((1+VLOOKUP($B153,'IPCA Hist'!$B:$C,2,0))^12 - 1)+$F$2)^(1/252)</f>
        <v>44604233.012333207</v>
      </c>
      <c r="G153" s="2">
        <f>G152*(1+((1+VLOOKUP($B153,'IPCA Hist'!$B:$C,2,0))^12 - 1)+$G$2)^(1/252)</f>
        <v>44587415.132588729</v>
      </c>
      <c r="H153" s="2">
        <f>H152*(1+((1+VLOOKUP($B153,'IPCA Hist'!$B:$C,2,0))^12 - 1)+$H$2)^(1/252)</f>
        <v>45620608.897455141</v>
      </c>
      <c r="I153" s="2">
        <f>I152*(1+((1+VLOOKUP($B153,'IPCA Hist'!$B:$C,2,0))^12 - 1)+$I$2)^(1/252)</f>
        <v>230426490.85824159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f t="shared" si="21"/>
        <v>365238747.90061867</v>
      </c>
      <c r="P153" s="2">
        <v>0</v>
      </c>
      <c r="Q153" s="2">
        <v>0</v>
      </c>
      <c r="R153" s="2">
        <f t="shared" si="30"/>
        <v>141254.87093096972</v>
      </c>
      <c r="S153" s="2">
        <f t="shared" si="23"/>
        <v>2954907.7937281132</v>
      </c>
      <c r="T153" s="2">
        <f t="shared" si="24"/>
        <v>2954907.7937281132</v>
      </c>
      <c r="U153" s="11">
        <f t="shared" si="27"/>
        <v>1.0498419731901332</v>
      </c>
      <c r="V153" s="12">
        <f t="shared" si="28"/>
        <v>3.8689630476174131E-4</v>
      </c>
      <c r="W153" s="12">
        <f t="shared" si="25"/>
        <v>8.1563334231415929E-3</v>
      </c>
      <c r="X153" s="12">
        <f t="shared" si="26"/>
        <v>8.1563334231415929E-3</v>
      </c>
      <c r="Y153" s="5">
        <f t="shared" si="29"/>
        <v>4.9841973190133171E-2</v>
      </c>
      <c r="Z153" s="19">
        <f t="shared" si="20"/>
        <v>4.3755525452163768E-2</v>
      </c>
      <c r="AA153" s="19" t="s">
        <v>53</v>
      </c>
      <c r="AB153" s="19" t="s">
        <v>53</v>
      </c>
    </row>
    <row r="154" spans="1:28" x14ac:dyDescent="0.25">
      <c r="A154" s="1">
        <v>45322</v>
      </c>
      <c r="B154" s="1" t="str">
        <f t="shared" si="22"/>
        <v>202401</v>
      </c>
      <c r="C154" s="2">
        <v>0</v>
      </c>
      <c r="D154" s="2">
        <v>0</v>
      </c>
      <c r="E154" s="2">
        <v>0</v>
      </c>
      <c r="F154" s="2">
        <f>F153*(1+((1+VLOOKUP($B154,'IPCA Hist'!$B:$C,2,0))^12 - 1)+$F$2)^(1/252)</f>
        <v>44621631.901163727</v>
      </c>
      <c r="G154" s="2">
        <f>G153*(1+((1+VLOOKUP($B154,'IPCA Hist'!$B:$C,2,0))^12 - 1)+$G$2)^(1/252)</f>
        <v>44604823.503998436</v>
      </c>
      <c r="H154" s="2">
        <f>H153*(1+((1+VLOOKUP($B154,'IPCA Hist'!$B:$C,2,0))^12 - 1)+$H$2)^(1/252)</f>
        <v>45638223.589058354</v>
      </c>
      <c r="I154" s="2">
        <f>I153*(1+((1+VLOOKUP($B154,'IPCA Hist'!$B:$C,2,0))^12 - 1)+$I$2)^(1/252)</f>
        <v>230515378.42965323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f t="shared" si="21"/>
        <v>365380057.42387372</v>
      </c>
      <c r="P154" s="2">
        <v>0</v>
      </c>
      <c r="Q154" s="2">
        <v>0</v>
      </c>
      <c r="R154" s="2">
        <f t="shared" si="30"/>
        <v>141309.52325505018</v>
      </c>
      <c r="S154" s="2">
        <f t="shared" si="23"/>
        <v>3096217.3169831634</v>
      </c>
      <c r="T154" s="2">
        <f t="shared" si="24"/>
        <v>3096217.3169831634</v>
      </c>
      <c r="U154" s="11">
        <f t="shared" si="27"/>
        <v>1.0502481531739858</v>
      </c>
      <c r="V154" s="12">
        <f t="shared" si="28"/>
        <v>3.8689630842103639E-4</v>
      </c>
      <c r="W154" s="12">
        <f t="shared" si="25"/>
        <v>8.5463853868543715E-3</v>
      </c>
      <c r="X154" s="12">
        <f t="shared" si="26"/>
        <v>8.5463853868543715E-3</v>
      </c>
      <c r="Y154" s="5">
        <f t="shared" si="29"/>
        <v>5.0248153173985788E-2</v>
      </c>
      <c r="Z154" s="19">
        <f t="shared" si="20"/>
        <v>4.3891440932243952E-2</v>
      </c>
      <c r="AA154" s="19" t="s">
        <v>53</v>
      </c>
      <c r="AB154" s="19" t="s">
        <v>53</v>
      </c>
    </row>
    <row r="155" spans="1:28" x14ac:dyDescent="0.25">
      <c r="A155" s="1">
        <v>45323</v>
      </c>
      <c r="B155" s="1" t="str">
        <f t="shared" si="22"/>
        <v>202402</v>
      </c>
      <c r="C155" s="2">
        <v>0</v>
      </c>
      <c r="D155" s="2">
        <v>0</v>
      </c>
      <c r="E155" s="2">
        <v>0</v>
      </c>
      <c r="F155" s="2">
        <f>F154*(1+((1+VLOOKUP($B155,'IPCA Hist'!$B:$C,2,0))^12 - 1)+$F$2)^(1/252)</f>
        <v>44647302.992582329</v>
      </c>
      <c r="G155" s="2">
        <f>G154*(1+((1+VLOOKUP($B155,'IPCA Hist'!$B:$C,2,0))^12 - 1)+$G$2)^(1/252)</f>
        <v>44630500.245761007</v>
      </c>
      <c r="H155" s="2">
        <f>H154*(1+((1+VLOOKUP($B155,'IPCA Hist'!$B:$C,2,0))^12 - 1)+$H$2)^(1/252)</f>
        <v>45664307.014747493</v>
      </c>
      <c r="I155" s="2">
        <f>I154*(1+((1+VLOOKUP($B155,'IPCA Hist'!$B:$C,2,0))^12 - 1)+$I$2)^(1/252)</f>
        <v>230647044.6765787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f t="shared" si="21"/>
        <v>365589154.9296695</v>
      </c>
      <c r="P155" s="2">
        <v>0</v>
      </c>
      <c r="Q155" s="2">
        <v>0</v>
      </c>
      <c r="R155" s="2">
        <f t="shared" si="30"/>
        <v>209097.50579577684</v>
      </c>
      <c r="S155" s="2">
        <f t="shared" si="23"/>
        <v>209097.50579577684</v>
      </c>
      <c r="T155" s="2">
        <f t="shared" si="24"/>
        <v>3305314.8227789402</v>
      </c>
      <c r="U155" s="11">
        <f t="shared" si="27"/>
        <v>1.0508491828821849</v>
      </c>
      <c r="V155" s="12">
        <f t="shared" si="28"/>
        <v>5.7227399675285895E-4</v>
      </c>
      <c r="W155" s="12">
        <f t="shared" si="25"/>
        <v>5.7227399675285895E-4</v>
      </c>
      <c r="X155" s="12">
        <f t="shared" si="26"/>
        <v>9.1235502577302618E-3</v>
      </c>
      <c r="Y155" s="5">
        <f t="shared" si="29"/>
        <v>5.0849182882184873E-2</v>
      </c>
      <c r="Z155" s="19">
        <f t="shared" si="20"/>
        <v>4.4168898704477044E-2</v>
      </c>
      <c r="AA155" s="19" t="s">
        <v>53</v>
      </c>
      <c r="AB155" s="19" t="s">
        <v>53</v>
      </c>
    </row>
    <row r="156" spans="1:28" x14ac:dyDescent="0.25">
      <c r="A156" s="1">
        <v>45324</v>
      </c>
      <c r="B156" s="1" t="str">
        <f t="shared" si="22"/>
        <v>202402</v>
      </c>
      <c r="C156" s="2">
        <v>0</v>
      </c>
      <c r="D156" s="2">
        <v>0</v>
      </c>
      <c r="E156" s="2">
        <v>0</v>
      </c>
      <c r="F156" s="2">
        <f>F155*(1+((1+VLOOKUP($B156,'IPCA Hist'!$B:$C,2,0))^12 - 1)+$F$2)^(1/252)</f>
        <v>44672988.852733195</v>
      </c>
      <c r="G156" s="2">
        <f>G155*(1+((1+VLOOKUP($B156,'IPCA Hist'!$B:$C,2,0))^12 - 1)+$G$2)^(1/252)</f>
        <v>44656191.768325649</v>
      </c>
      <c r="H156" s="2">
        <f>H155*(1+((1+VLOOKUP($B156,'IPCA Hist'!$B:$C,2,0))^12 - 1)+$H$2)^(1/252)</f>
        <v>45690405.347789332</v>
      </c>
      <c r="I156" s="2">
        <f>I155*(1+((1+VLOOKUP($B156,'IPCA Hist'!$B:$C,2,0))^12 - 1)+$I$2)^(1/252)</f>
        <v>230778786.1289013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f t="shared" si="21"/>
        <v>365798372.09774947</v>
      </c>
      <c r="P156" s="2">
        <v>0</v>
      </c>
      <c r="Q156" s="2">
        <v>0</v>
      </c>
      <c r="R156" s="2">
        <f t="shared" si="30"/>
        <v>209217.16807997227</v>
      </c>
      <c r="S156" s="2">
        <f t="shared" si="23"/>
        <v>418314.67387574911</v>
      </c>
      <c r="T156" s="2">
        <f t="shared" si="24"/>
        <v>3514531.9908589125</v>
      </c>
      <c r="U156" s="11">
        <f t="shared" si="27"/>
        <v>1.0514505565475609</v>
      </c>
      <c r="V156" s="12">
        <f t="shared" si="28"/>
        <v>5.7227400008685869E-4</v>
      </c>
      <c r="W156" s="12">
        <f t="shared" si="25"/>
        <v>1.1448754943690354E-3</v>
      </c>
      <c r="X156" s="12">
        <f t="shared" si="26"/>
        <v>9.701045428418098E-3</v>
      </c>
      <c r="Y156" s="5">
        <f t="shared" si="29"/>
        <v>5.1450556547560922E-2</v>
      </c>
      <c r="Z156" s="19">
        <f t="shared" si="20"/>
        <v>4.4446430218002764E-2</v>
      </c>
      <c r="AA156" s="19" t="s">
        <v>53</v>
      </c>
      <c r="AB156" s="19" t="s">
        <v>53</v>
      </c>
    </row>
    <row r="157" spans="1:28" x14ac:dyDescent="0.25">
      <c r="A157" s="1">
        <v>45327</v>
      </c>
      <c r="B157" s="1" t="str">
        <f t="shared" si="22"/>
        <v>202402</v>
      </c>
      <c r="C157" s="2">
        <v>0</v>
      </c>
      <c r="D157" s="2">
        <v>0</v>
      </c>
      <c r="E157" s="2">
        <v>0</v>
      </c>
      <c r="F157" s="2">
        <f>F156*(1+((1+VLOOKUP($B157,'IPCA Hist'!$B:$C,2,0))^12 - 1)+$F$2)^(1/252)</f>
        <v>44698689.490112863</v>
      </c>
      <c r="G157" s="2">
        <f>G156*(1+((1+VLOOKUP($B157,'IPCA Hist'!$B:$C,2,0))^12 - 1)+$G$2)^(1/252)</f>
        <v>44681898.080200918</v>
      </c>
      <c r="H157" s="2">
        <f>H156*(1+((1+VLOOKUP($B157,'IPCA Hist'!$B:$C,2,0))^12 - 1)+$H$2)^(1/252)</f>
        <v>45716518.596703805</v>
      </c>
      <c r="I157" s="2">
        <f>I156*(1+((1+VLOOKUP($B157,'IPCA Hist'!$B:$C,2,0))^12 - 1)+$I$2)^(1/252)</f>
        <v>230910602.829577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f t="shared" si="21"/>
        <v>366007708.99659455</v>
      </c>
      <c r="P157" s="2">
        <v>0</v>
      </c>
      <c r="Q157" s="2">
        <v>0</v>
      </c>
      <c r="R157" s="2">
        <f t="shared" si="30"/>
        <v>209336.89884507656</v>
      </c>
      <c r="S157" s="2">
        <f t="shared" si="23"/>
        <v>627651.57272082567</v>
      </c>
      <c r="T157" s="2">
        <f t="shared" si="24"/>
        <v>3723868.889703989</v>
      </c>
      <c r="U157" s="11">
        <f t="shared" si="27"/>
        <v>1.0520522743669549</v>
      </c>
      <c r="V157" s="12">
        <f t="shared" si="28"/>
        <v>5.7227400342041435E-4</v>
      </c>
      <c r="W157" s="12">
        <f t="shared" si="25"/>
        <v>1.7178046802719393E-3</v>
      </c>
      <c r="X157" s="12">
        <f t="shared" si="26"/>
        <v>1.027887108794312E-2</v>
      </c>
      <c r="Y157" s="5">
        <f t="shared" si="29"/>
        <v>5.205227436695492E-2</v>
      </c>
      <c r="Z157" s="19">
        <f t="shared" si="20"/>
        <v>4.4724035492417213E-2</v>
      </c>
      <c r="AA157" s="19" t="s">
        <v>53</v>
      </c>
      <c r="AB157" s="19" t="s">
        <v>53</v>
      </c>
    </row>
    <row r="158" spans="1:28" x14ac:dyDescent="0.25">
      <c r="A158" s="1">
        <v>45328</v>
      </c>
      <c r="B158" s="1" t="str">
        <f t="shared" si="22"/>
        <v>202402</v>
      </c>
      <c r="C158" s="2">
        <v>0</v>
      </c>
      <c r="D158" s="2">
        <v>0</v>
      </c>
      <c r="E158" s="2">
        <v>0</v>
      </c>
      <c r="F158" s="2">
        <f>F157*(1+((1+VLOOKUP($B158,'IPCA Hist'!$B:$C,2,0))^12 - 1)+$F$2)^(1/252)</f>
        <v>44724404.91322276</v>
      </c>
      <c r="G158" s="2">
        <f>G157*(1+((1+VLOOKUP($B158,'IPCA Hist'!$B:$C,2,0))^12 - 1)+$G$2)^(1/252)</f>
        <v>44707619.189900279</v>
      </c>
      <c r="H158" s="2">
        <f>H157*(1+((1+VLOOKUP($B158,'IPCA Hist'!$B:$C,2,0))^12 - 1)+$H$2)^(1/252)</f>
        <v>45742646.770015724</v>
      </c>
      <c r="I158" s="2">
        <f>I157*(1+((1+VLOOKUP($B158,'IPCA Hist'!$B:$C,2,0))^12 - 1)+$I$2)^(1/252)</f>
        <v>231042494.82158631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f t="shared" si="21"/>
        <v>366217165.69472504</v>
      </c>
      <c r="P158" s="2">
        <v>0</v>
      </c>
      <c r="Q158" s="2">
        <v>0</v>
      </c>
      <c r="R158" s="2">
        <f t="shared" si="30"/>
        <v>209456.6981304884</v>
      </c>
      <c r="S158" s="2">
        <f t="shared" si="23"/>
        <v>837108.27085131407</v>
      </c>
      <c r="T158" s="2">
        <f t="shared" si="24"/>
        <v>3933325.5878344774</v>
      </c>
      <c r="U158" s="11">
        <f t="shared" si="27"/>
        <v>1.052654336537322</v>
      </c>
      <c r="V158" s="12">
        <f t="shared" si="28"/>
        <v>5.7227400675441409E-4</v>
      </c>
      <c r="W158" s="12">
        <f t="shared" si="25"/>
        <v>2.2910617419935608E-3</v>
      </c>
      <c r="X158" s="12">
        <f t="shared" si="26"/>
        <v>1.0857027425440036E-2</v>
      </c>
      <c r="Y158" s="5">
        <f t="shared" si="29"/>
        <v>5.2654336537321988E-2</v>
      </c>
      <c r="Z158" s="19">
        <f t="shared" si="20"/>
        <v>4.5001714547323601E-2</v>
      </c>
      <c r="AA158" s="19" t="s">
        <v>53</v>
      </c>
      <c r="AB158" s="19" t="s">
        <v>53</v>
      </c>
    </row>
    <row r="159" spans="1:28" x14ac:dyDescent="0.25">
      <c r="A159" s="1">
        <v>45329</v>
      </c>
      <c r="B159" s="1" t="str">
        <f t="shared" si="22"/>
        <v>202402</v>
      </c>
      <c r="C159" s="2">
        <v>0</v>
      </c>
      <c r="D159" s="2">
        <v>0</v>
      </c>
      <c r="E159" s="2">
        <v>0</v>
      </c>
      <c r="F159" s="2">
        <f>F158*(1+((1+VLOOKUP($B159,'IPCA Hist'!$B:$C,2,0))^12 - 1)+$F$2)^(1/252)</f>
        <v>44750135.130569205</v>
      </c>
      <c r="G159" s="2">
        <f>G158*(1+((1+VLOOKUP($B159,'IPCA Hist'!$B:$C,2,0))^12 - 1)+$G$2)^(1/252)</f>
        <v>44733355.105942085</v>
      </c>
      <c r="H159" s="2">
        <f>H158*(1+((1+VLOOKUP($B159,'IPCA Hist'!$B:$C,2,0))^12 - 1)+$H$2)^(1/252)</f>
        <v>45768789.876254767</v>
      </c>
      <c r="I159" s="2">
        <f>I158*(1+((1+VLOOKUP($B159,'IPCA Hist'!$B:$C,2,0))^12 - 1)+$I$2)^(1/252)</f>
        <v>231174462.14793429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f t="shared" si="21"/>
        <v>366426742.26070035</v>
      </c>
      <c r="P159" s="2">
        <v>0</v>
      </c>
      <c r="Q159" s="2">
        <v>0</v>
      </c>
      <c r="R159" s="2">
        <f t="shared" si="30"/>
        <v>209576.56597530842</v>
      </c>
      <c r="S159" s="2">
        <f t="shared" si="23"/>
        <v>1046684.8368266225</v>
      </c>
      <c r="T159" s="2">
        <f t="shared" si="24"/>
        <v>4142902.1538097858</v>
      </c>
      <c r="U159" s="11">
        <f t="shared" si="27"/>
        <v>1.0532567432557292</v>
      </c>
      <c r="V159" s="12">
        <f t="shared" si="28"/>
        <v>5.7227401008841383E-4</v>
      </c>
      <c r="W159" s="12">
        <f t="shared" si="25"/>
        <v>2.8646468671724712E-3</v>
      </c>
      <c r="X159" s="12">
        <f t="shared" si="26"/>
        <v>1.14355146301508E-2</v>
      </c>
      <c r="Y159" s="5">
        <f t="shared" si="29"/>
        <v>5.3256743255729155E-2</v>
      </c>
      <c r="Z159" s="19">
        <f t="shared" si="20"/>
        <v>4.5279467402329576E-2</v>
      </c>
      <c r="AA159" s="19" t="s">
        <v>53</v>
      </c>
      <c r="AB159" s="19" t="s">
        <v>53</v>
      </c>
    </row>
    <row r="160" spans="1:28" x14ac:dyDescent="0.25">
      <c r="A160" s="1">
        <v>45330</v>
      </c>
      <c r="B160" s="1" t="str">
        <f t="shared" si="22"/>
        <v>202402</v>
      </c>
      <c r="C160" s="2">
        <v>0</v>
      </c>
      <c r="D160" s="2">
        <v>0</v>
      </c>
      <c r="E160" s="2">
        <v>0</v>
      </c>
      <c r="F160" s="2">
        <f>F159*(1+((1+VLOOKUP($B160,'IPCA Hist'!$B:$C,2,0))^12 - 1)+$F$2)^(1/252)</f>
        <v>44775880.150663413</v>
      </c>
      <c r="G160" s="2">
        <f>G159*(1+((1+VLOOKUP($B160,'IPCA Hist'!$B:$C,2,0))^12 - 1)+$G$2)^(1/252)</f>
        <v>44759105.8368496</v>
      </c>
      <c r="H160" s="2">
        <f>H159*(1+((1+VLOOKUP($B160,'IPCA Hist'!$B:$C,2,0))^12 - 1)+$H$2)^(1/252)</f>
        <v>45794947.923955493</v>
      </c>
      <c r="I160" s="2">
        <f>I159*(1+((1+VLOOKUP($B160,'IPCA Hist'!$B:$C,2,0))^12 - 1)+$I$2)^(1/252)</f>
        <v>231306504.85165057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f t="shared" si="21"/>
        <v>366636438.7631191</v>
      </c>
      <c r="P160" s="2">
        <v>0</v>
      </c>
      <c r="Q160" s="2">
        <v>0</v>
      </c>
      <c r="R160" s="2">
        <f t="shared" si="30"/>
        <v>209696.50241875648</v>
      </c>
      <c r="S160" s="2">
        <f t="shared" si="23"/>
        <v>1256381.339245379</v>
      </c>
      <c r="T160" s="2">
        <f t="shared" si="24"/>
        <v>4352598.6562285423</v>
      </c>
      <c r="U160" s="11">
        <f t="shared" si="27"/>
        <v>1.053859494719356</v>
      </c>
      <c r="V160" s="12">
        <f t="shared" si="28"/>
        <v>5.7227401342219153E-4</v>
      </c>
      <c r="W160" s="12">
        <f t="shared" si="25"/>
        <v>3.4385602435542673E-3</v>
      </c>
      <c r="X160" s="12">
        <f t="shared" si="26"/>
        <v>1.201433289142595E-2</v>
      </c>
      <c r="Y160" s="5">
        <f t="shared" si="29"/>
        <v>5.3859494719356027E-2</v>
      </c>
      <c r="Z160" s="19">
        <f t="shared" si="20"/>
        <v>4.5557294077048116E-2</v>
      </c>
      <c r="AA160" s="19" t="s">
        <v>53</v>
      </c>
      <c r="AB160" s="19" t="s">
        <v>53</v>
      </c>
    </row>
    <row r="161" spans="1:28" x14ac:dyDescent="0.25">
      <c r="A161" s="1">
        <v>45331</v>
      </c>
      <c r="B161" s="1" t="str">
        <f t="shared" si="22"/>
        <v>202402</v>
      </c>
      <c r="C161" s="2">
        <v>0</v>
      </c>
      <c r="D161" s="2">
        <v>0</v>
      </c>
      <c r="E161" s="2">
        <v>0</v>
      </c>
      <c r="F161" s="2">
        <f>F160*(1+((1+VLOOKUP($B161,'IPCA Hist'!$B:$C,2,0))^12 - 1)+$F$2)^(1/252)</f>
        <v>44801639.982021488</v>
      </c>
      <c r="G161" s="2">
        <f>G160*(1+((1+VLOOKUP($B161,'IPCA Hist'!$B:$C,2,0))^12 - 1)+$G$2)^(1/252)</f>
        <v>44784871.391150996</v>
      </c>
      <c r="H161" s="2">
        <f>H160*(1+((1+VLOOKUP($B161,'IPCA Hist'!$B:$C,2,0))^12 - 1)+$H$2)^(1/252)</f>
        <v>45821120.921657331</v>
      </c>
      <c r="I161" s="2">
        <f>I160*(1+((1+VLOOKUP($B161,'IPCA Hist'!$B:$C,2,0))^12 - 1)+$I$2)^(1/252)</f>
        <v>231438622.97578934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f t="shared" si="21"/>
        <v>366846255.27061915</v>
      </c>
      <c r="P161" s="2">
        <v>0</v>
      </c>
      <c r="Q161" s="2">
        <v>0</v>
      </c>
      <c r="R161" s="2">
        <f t="shared" si="30"/>
        <v>209816.50750005245</v>
      </c>
      <c r="S161" s="2">
        <f t="shared" si="23"/>
        <v>1466197.8467454314</v>
      </c>
      <c r="T161" s="2">
        <f t="shared" si="24"/>
        <v>4562415.1637285948</v>
      </c>
      <c r="U161" s="11">
        <f t="shared" si="27"/>
        <v>1.0544625911254955</v>
      </c>
      <c r="V161" s="12">
        <f t="shared" si="28"/>
        <v>5.7227401675596923E-4</v>
      </c>
      <c r="W161" s="12">
        <f t="shared" si="25"/>
        <v>4.0128020589926816E-3</v>
      </c>
      <c r="X161" s="12">
        <f t="shared" si="26"/>
        <v>1.2593482398724376E-2</v>
      </c>
      <c r="Y161" s="5">
        <f t="shared" si="29"/>
        <v>5.4462591125495452E-2</v>
      </c>
      <c r="Z161" s="19">
        <f t="shared" si="20"/>
        <v>4.5835194591097084E-2</v>
      </c>
      <c r="AA161" s="19" t="s">
        <v>53</v>
      </c>
      <c r="AB161" s="19" t="s">
        <v>53</v>
      </c>
    </row>
    <row r="162" spans="1:28" x14ac:dyDescent="0.25">
      <c r="A162" s="1">
        <v>45336</v>
      </c>
      <c r="B162" s="1" t="str">
        <f t="shared" si="22"/>
        <v>202402</v>
      </c>
      <c r="C162" s="2">
        <v>0</v>
      </c>
      <c r="D162" s="2">
        <v>0</v>
      </c>
      <c r="E162" s="2">
        <v>0</v>
      </c>
      <c r="F162" s="2">
        <f>F161*(1+((1+VLOOKUP($B162,'IPCA Hist'!$B:$C,2,0))^12 - 1)+$F$2)^(1/252)</f>
        <v>44827414.633164443</v>
      </c>
      <c r="G162" s="2">
        <f>G161*(1+((1+VLOOKUP($B162,'IPCA Hist'!$B:$C,2,0))^12 - 1)+$G$2)^(1/252)</f>
        <v>44810651.777379349</v>
      </c>
      <c r="H162" s="2">
        <f>H161*(1+((1+VLOOKUP($B162,'IPCA Hist'!$B:$C,2,0))^12 - 1)+$H$2)^(1/252)</f>
        <v>45847308.877904594</v>
      </c>
      <c r="I162" s="2">
        <f>I161*(1+((1+VLOOKUP($B162,'IPCA Hist'!$B:$C,2,0))^12 - 1)+$I$2)^(1/252)</f>
        <v>231570816.56342939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f t="shared" si="21"/>
        <v>367056191.85187781</v>
      </c>
      <c r="P162" s="2">
        <v>0</v>
      </c>
      <c r="Q162" s="2">
        <v>0</v>
      </c>
      <c r="R162" s="2">
        <f t="shared" si="30"/>
        <v>209936.58125865459</v>
      </c>
      <c r="S162" s="2">
        <f t="shared" si="23"/>
        <v>1676134.428004086</v>
      </c>
      <c r="T162" s="2">
        <f t="shared" si="24"/>
        <v>4772351.7449872494</v>
      </c>
      <c r="U162" s="11">
        <f t="shared" si="27"/>
        <v>1.0550660326715533</v>
      </c>
      <c r="V162" s="12">
        <f t="shared" si="28"/>
        <v>5.7227402008996897E-4</v>
      </c>
      <c r="W162" s="12">
        <f t="shared" si="25"/>
        <v>4.5873725014486944E-3</v>
      </c>
      <c r="X162" s="12">
        <f t="shared" si="26"/>
        <v>1.3172963341613553E-2</v>
      </c>
      <c r="Y162" s="5">
        <f t="shared" si="29"/>
        <v>5.50660326715533E-2</v>
      </c>
      <c r="Z162" s="19">
        <f t="shared" si="20"/>
        <v>4.6113168964100337E-2</v>
      </c>
      <c r="AA162" s="19" t="s">
        <v>53</v>
      </c>
      <c r="AB162" s="19" t="s">
        <v>53</v>
      </c>
    </row>
    <row r="163" spans="1:28" s="17" customFormat="1" x14ac:dyDescent="0.25">
      <c r="A163" s="13">
        <v>45337</v>
      </c>
      <c r="B163" s="13" t="str">
        <f t="shared" si="22"/>
        <v>202402</v>
      </c>
      <c r="C163" s="14">
        <v>0</v>
      </c>
      <c r="D163" s="14">
        <v>0</v>
      </c>
      <c r="E163" s="14">
        <v>0</v>
      </c>
      <c r="F163" s="14">
        <f>F162*(1+((1+VLOOKUP($B163,'IPCA Hist'!$B:$C,2,0))^12 - 1)+$F$2)^(1/252) - 1226807.27162791</f>
        <v>43626396.840990275</v>
      </c>
      <c r="G163" s="14">
        <f>G162*(1+((1+VLOOKUP($B163,'IPCA Hist'!$B:$C,2,0))^12 - 1)+$G$2)^(1/252) - 1226807.27162791</f>
        <v>43609639.732444741</v>
      </c>
      <c r="H163" s="14">
        <f>H162*(1+((1+VLOOKUP($B163,'IPCA Hist'!$B:$C,2,0))^12 - 1)+$H$2)^(1/252) - 1251343.41706047</f>
        <v>44622168.384186</v>
      </c>
      <c r="I163" s="14">
        <f>I162*(1+((1+VLOOKUP($B163,'IPCA Hist'!$B:$C,2,0))^12 - 1)+$I$2)^(1/252) - 6318057.44888374</f>
        <v>225385028.20879039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f t="shared" si="21"/>
        <v>357243233.1664114</v>
      </c>
      <c r="P163" s="14">
        <v>0</v>
      </c>
      <c r="Q163" s="14">
        <v>10022000</v>
      </c>
      <c r="R163" s="2">
        <f t="shared" si="30"/>
        <v>209041.31453359127</v>
      </c>
      <c r="S163" s="2">
        <f t="shared" si="23"/>
        <v>1885175.7425376773</v>
      </c>
      <c r="T163" s="2">
        <f t="shared" si="24"/>
        <v>4981393.0595208406</v>
      </c>
      <c r="U163" s="15">
        <f t="shared" si="27"/>
        <v>1.0556669008636321</v>
      </c>
      <c r="V163" s="16">
        <f t="shared" si="28"/>
        <v>5.6950766442298573E-4</v>
      </c>
      <c r="W163" s="16">
        <f t="shared" si="25"/>
        <v>5.1594927096707544E-3</v>
      </c>
      <c r="X163" s="16">
        <f t="shared" si="26"/>
        <v>1.3749973109622671E-2</v>
      </c>
      <c r="Y163" s="5">
        <f t="shared" si="29"/>
        <v>5.5666900863632129E-2</v>
      </c>
      <c r="Z163" s="19">
        <f t="shared" si="20"/>
        <v>4.6388324177534912E-2</v>
      </c>
      <c r="AA163" s="19" t="s">
        <v>53</v>
      </c>
      <c r="AB163" s="19" t="s">
        <v>53</v>
      </c>
    </row>
    <row r="164" spans="1:28" x14ac:dyDescent="0.25">
      <c r="A164" s="1">
        <v>45338</v>
      </c>
      <c r="B164" s="1" t="str">
        <f t="shared" si="22"/>
        <v>202402</v>
      </c>
      <c r="C164" s="2">
        <v>0</v>
      </c>
      <c r="D164" s="2">
        <v>0</v>
      </c>
      <c r="E164" s="2">
        <v>0</v>
      </c>
      <c r="F164" s="2">
        <f>F163*(1+((1+VLOOKUP($B164,'IPCA Hist'!$B:$C,2,0))^12 - 1)+$F$2)^(1/252)</f>
        <v>43651495.367732868</v>
      </c>
      <c r="G164" s="2">
        <f>G163*(1+((1+VLOOKUP($B164,'IPCA Hist'!$B:$C,2,0))^12 - 1)+$G$2)^(1/252)</f>
        <v>43634743.597224489</v>
      </c>
      <c r="H164" s="2">
        <f>H163*(1+((1+VLOOKUP($B164,'IPCA Hist'!$B:$C,2,0))^12 - 1)+$H$2)^(1/252)</f>
        <v>44647671.1080347</v>
      </c>
      <c r="I164" s="2">
        <f>I163*(1+((1+VLOOKUP($B164,'IPCA Hist'!$B:$C,2,0))^12 - 1)+$I$2)^(1/252)</f>
        <v>225513764.09174797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f t="shared" si="21"/>
        <v>357447674.16474003</v>
      </c>
      <c r="P164" s="2">
        <v>0</v>
      </c>
      <c r="Q164" s="2">
        <v>0</v>
      </c>
      <c r="R164" s="2">
        <f t="shared" si="30"/>
        <v>204440.99832862616</v>
      </c>
      <c r="S164" s="2">
        <f t="shared" si="23"/>
        <v>2089616.7408663034</v>
      </c>
      <c r="T164" s="2">
        <f t="shared" si="24"/>
        <v>5185834.0578494668</v>
      </c>
      <c r="U164" s="11">
        <f t="shared" si="27"/>
        <v>1.056271031537297</v>
      </c>
      <c r="V164" s="12">
        <f t="shared" si="28"/>
        <v>5.7227395608472342E-4</v>
      </c>
      <c r="W164" s="12">
        <f t="shared" si="25"/>
        <v>5.734719309059777E-3</v>
      </c>
      <c r="X164" s="12">
        <f t="shared" si="26"/>
        <v>1.4330115817214883E-2</v>
      </c>
      <c r="Y164" s="5">
        <f t="shared" si="29"/>
        <v>5.6271031537296956E-2</v>
      </c>
      <c r="Z164" s="19">
        <f t="shared" si="20"/>
        <v>4.6666445484462749E-2</v>
      </c>
      <c r="AA164" s="19" t="s">
        <v>53</v>
      </c>
      <c r="AB164" s="19" t="s">
        <v>53</v>
      </c>
    </row>
    <row r="165" spans="1:28" x14ac:dyDescent="0.25">
      <c r="A165" s="1">
        <v>45341</v>
      </c>
      <c r="B165" s="1" t="str">
        <f t="shared" si="22"/>
        <v>202402</v>
      </c>
      <c r="C165" s="2">
        <v>0</v>
      </c>
      <c r="D165" s="2">
        <v>0</v>
      </c>
      <c r="E165" s="2">
        <v>0</v>
      </c>
      <c r="F165" s="2">
        <f>F164*(1+((1+VLOOKUP($B165,'IPCA Hist'!$B:$C,2,0))^12 - 1)+$F$2)^(1/252)</f>
        <v>43676608.333807841</v>
      </c>
      <c r="G165" s="2">
        <f>G164*(1+((1+VLOOKUP($B165,'IPCA Hist'!$B:$C,2,0))^12 - 1)+$G$2)^(1/252)</f>
        <v>43659861.913029991</v>
      </c>
      <c r="H165" s="2">
        <f>H164*(1+((1+VLOOKUP($B165,'IPCA Hist'!$B:$C,2,0))^12 - 1)+$H$2)^(1/252)</f>
        <v>44673188.407349974</v>
      </c>
      <c r="I165" s="2">
        <f>I164*(1+((1+VLOOKUP($B165,'IPCA Hist'!$B:$C,2,0))^12 - 1)+$I$2)^(1/252)</f>
        <v>225642573.50633138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f t="shared" si="21"/>
        <v>357652232.16051918</v>
      </c>
      <c r="P165" s="2">
        <v>0</v>
      </c>
      <c r="Q165" s="2">
        <v>0</v>
      </c>
      <c r="R165" s="2">
        <f t="shared" si="30"/>
        <v>204557.99577915668</v>
      </c>
      <c r="S165" s="2">
        <f t="shared" si="23"/>
        <v>2294174.7366454601</v>
      </c>
      <c r="T165" s="2">
        <f t="shared" si="24"/>
        <v>5390392.0536286235</v>
      </c>
      <c r="U165" s="11">
        <f t="shared" si="27"/>
        <v>1.0568755079427339</v>
      </c>
      <c r="V165" s="12">
        <f t="shared" si="28"/>
        <v>5.7227395941850112E-4</v>
      </c>
      <c r="W165" s="12">
        <f t="shared" si="25"/>
        <v>6.3102750990033929E-3</v>
      </c>
      <c r="X165" s="12">
        <f t="shared" si="26"/>
        <v>1.4910590528750989E-2</v>
      </c>
      <c r="Y165" s="5">
        <f t="shared" si="29"/>
        <v>5.6875507942733883E-2</v>
      </c>
      <c r="Z165" s="19">
        <f t="shared" si="20"/>
        <v>4.6946113845342197E-2</v>
      </c>
      <c r="AA165" s="19" t="s">
        <v>53</v>
      </c>
      <c r="AB165" s="19" t="s">
        <v>53</v>
      </c>
    </row>
    <row r="166" spans="1:28" x14ac:dyDescent="0.25">
      <c r="A166" s="1">
        <v>45342</v>
      </c>
      <c r="B166" s="1" t="str">
        <f t="shared" si="22"/>
        <v>202402</v>
      </c>
      <c r="C166" s="2">
        <v>0</v>
      </c>
      <c r="D166" s="2">
        <v>0</v>
      </c>
      <c r="E166" s="2">
        <v>0</v>
      </c>
      <c r="F166" s="2">
        <f>F165*(1+((1+VLOOKUP($B166,'IPCA Hist'!$B:$C,2,0))^12 - 1)+$F$2)^(1/252)</f>
        <v>43701735.747522227</v>
      </c>
      <c r="G166" s="2">
        <f>G165*(1+((1+VLOOKUP($B166,'IPCA Hist'!$B:$C,2,0))^12 - 1)+$G$2)^(1/252)</f>
        <v>43684994.68817997</v>
      </c>
      <c r="H166" s="2">
        <f>H165*(1+((1+VLOOKUP($B166,'IPCA Hist'!$B:$C,2,0))^12 - 1)+$H$2)^(1/252)</f>
        <v>44698720.290462077</v>
      </c>
      <c r="I166" s="2">
        <f>I165*(1+((1+VLOOKUP($B166,'IPCA Hist'!$B:$C,2,0))^12 - 1)+$I$2)^(1/252)</f>
        <v>225771456.49454057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f t="shared" si="21"/>
        <v>357856907.22070485</v>
      </c>
      <c r="P166" s="2">
        <v>0</v>
      </c>
      <c r="Q166" s="2">
        <v>0</v>
      </c>
      <c r="R166" s="2">
        <f t="shared" si="30"/>
        <v>204675.06018567085</v>
      </c>
      <c r="S166" s="2">
        <f t="shared" si="23"/>
        <v>2498849.796831131</v>
      </c>
      <c r="T166" s="2">
        <f t="shared" si="24"/>
        <v>5595067.1138142943</v>
      </c>
      <c r="U166" s="11">
        <f t="shared" si="27"/>
        <v>1.0574803302778002</v>
      </c>
      <c r="V166" s="12">
        <f t="shared" si="28"/>
        <v>5.7227396275227882E-4</v>
      </c>
      <c r="W166" s="12">
        <f t="shared" si="25"/>
        <v>6.8861602678926825E-3</v>
      </c>
      <c r="X166" s="12">
        <f t="shared" si="26"/>
        <v>1.5491397434232113E-2</v>
      </c>
      <c r="Y166" s="5">
        <f t="shared" si="29"/>
        <v>5.7480330277800196E-2</v>
      </c>
      <c r="Z166" s="19">
        <f t="shared" si="20"/>
        <v>4.7224383636982559E-2</v>
      </c>
      <c r="AA166" s="19" t="s">
        <v>53</v>
      </c>
      <c r="AB166" s="19" t="s">
        <v>53</v>
      </c>
    </row>
    <row r="167" spans="1:28" x14ac:dyDescent="0.25">
      <c r="A167" s="1">
        <v>45343</v>
      </c>
      <c r="B167" s="1" t="str">
        <f t="shared" si="22"/>
        <v>202402</v>
      </c>
      <c r="C167" s="2">
        <v>0</v>
      </c>
      <c r="D167" s="2">
        <v>0</v>
      </c>
      <c r="E167" s="2">
        <v>0</v>
      </c>
      <c r="F167" s="2">
        <f>F166*(1+((1+VLOOKUP($B167,'IPCA Hist'!$B:$C,2,0))^12 - 1)+$F$2)^(1/252)</f>
        <v>43726877.61718785</v>
      </c>
      <c r="G167" s="2">
        <f>G166*(1+((1+VLOOKUP($B167,'IPCA Hist'!$B:$C,2,0))^12 - 1)+$G$2)^(1/252)</f>
        <v>43710141.930997938</v>
      </c>
      <c r="H167" s="2">
        <f>H166*(1+((1+VLOOKUP($B167,'IPCA Hist'!$B:$C,2,0))^12 - 1)+$H$2)^(1/252)</f>
        <v>44724266.765706025</v>
      </c>
      <c r="I167" s="2">
        <f>I166*(1+((1+VLOOKUP($B167,'IPCA Hist'!$B:$C,2,0))^12 - 1)+$I$2)^(1/252)</f>
        <v>225900413.09839946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f t="shared" si="21"/>
        <v>358061699.41229129</v>
      </c>
      <c r="P167" s="2">
        <v>0</v>
      </c>
      <c r="Q167" s="2">
        <v>0</v>
      </c>
      <c r="R167" s="2">
        <f t="shared" si="30"/>
        <v>204792.19158643484</v>
      </c>
      <c r="S167" s="2">
        <f t="shared" si="23"/>
        <v>2703641.9884175658</v>
      </c>
      <c r="T167" s="2">
        <f t="shared" si="24"/>
        <v>5799859.3054007292</v>
      </c>
      <c r="U167" s="11">
        <f t="shared" si="27"/>
        <v>1.058085498740466</v>
      </c>
      <c r="V167" s="12">
        <f t="shared" si="28"/>
        <v>5.7227396608583447E-4</v>
      </c>
      <c r="W167" s="12">
        <f t="shared" si="25"/>
        <v>7.462375004226196E-3</v>
      </c>
      <c r="X167" s="12">
        <f t="shared" si="26"/>
        <v>1.6072536723767739E-2</v>
      </c>
      <c r="Y167" s="5">
        <f t="shared" si="29"/>
        <v>5.8085498740465979E-2</v>
      </c>
      <c r="Z167" s="19">
        <f t="shared" si="20"/>
        <v>4.750272738575867E-2</v>
      </c>
      <c r="AA167" s="19" t="s">
        <v>53</v>
      </c>
      <c r="AB167" s="19" t="s">
        <v>53</v>
      </c>
    </row>
    <row r="168" spans="1:28" x14ac:dyDescent="0.25">
      <c r="A168" s="1">
        <v>45344</v>
      </c>
      <c r="B168" s="1" t="str">
        <f t="shared" si="22"/>
        <v>202402</v>
      </c>
      <c r="C168" s="2">
        <v>0</v>
      </c>
      <c r="D168" s="2">
        <v>0</v>
      </c>
      <c r="E168" s="2">
        <v>0</v>
      </c>
      <c r="F168" s="2">
        <f>F167*(1+((1+VLOOKUP($B168,'IPCA Hist'!$B:$C,2,0))^12 - 1)+$F$2)^(1/252)</f>
        <v>43752033.951121293</v>
      </c>
      <c r="G168" s="2">
        <f>G167*(1+((1+VLOOKUP($B168,'IPCA Hist'!$B:$C,2,0))^12 - 1)+$G$2)^(1/252)</f>
        <v>43735303.649812207</v>
      </c>
      <c r="H168" s="2">
        <f>H167*(1+((1+VLOOKUP($B168,'IPCA Hist'!$B:$C,2,0))^12 - 1)+$H$2)^(1/252)</f>
        <v>44749827.841421604</v>
      </c>
      <c r="I168" s="2">
        <f>I167*(1+((1+VLOOKUP($B168,'IPCA Hist'!$B:$C,2,0))^12 - 1)+$I$2)^(1/252)</f>
        <v>226029443.359956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f t="shared" si="21"/>
        <v>358266608.80231106</v>
      </c>
      <c r="P168" s="2">
        <v>0</v>
      </c>
      <c r="Q168" s="2">
        <v>0</v>
      </c>
      <c r="R168" s="2">
        <f t="shared" si="30"/>
        <v>204909.39001977444</v>
      </c>
      <c r="S168" s="2">
        <f t="shared" si="23"/>
        <v>2908551.3784373403</v>
      </c>
      <c r="T168" s="2">
        <f t="shared" si="24"/>
        <v>6004768.6954205036</v>
      </c>
      <c r="U168" s="11">
        <f t="shared" si="27"/>
        <v>1.0586910135288154</v>
      </c>
      <c r="V168" s="12">
        <f t="shared" si="28"/>
        <v>5.7227396941961217E-4</v>
      </c>
      <c r="W168" s="12">
        <f t="shared" si="25"/>
        <v>8.0389194966108413E-3</v>
      </c>
      <c r="X168" s="12">
        <f t="shared" si="26"/>
        <v>1.6654008587576818E-2</v>
      </c>
      <c r="Y168" s="5">
        <f t="shared" si="29"/>
        <v>5.869101352881545E-2</v>
      </c>
      <c r="Z168" s="19">
        <f t="shared" si="20"/>
        <v>4.7781145111325918E-2</v>
      </c>
      <c r="AA168" s="19" t="s">
        <v>53</v>
      </c>
      <c r="AB168" s="19" t="s">
        <v>53</v>
      </c>
    </row>
    <row r="169" spans="1:28" x14ac:dyDescent="0.25">
      <c r="A169" s="1">
        <v>45345</v>
      </c>
      <c r="B169" s="1" t="str">
        <f t="shared" si="22"/>
        <v>202402</v>
      </c>
      <c r="C169" s="2">
        <v>0</v>
      </c>
      <c r="D169" s="2">
        <v>0</v>
      </c>
      <c r="E169" s="2">
        <v>0</v>
      </c>
      <c r="F169" s="2">
        <f>F168*(1+((1+VLOOKUP($B169,'IPCA Hist'!$B:$C,2,0))^12 - 1)+$F$2)^(1/252)</f>
        <v>43777204.757643946</v>
      </c>
      <c r="G169" s="2">
        <f>G168*(1+((1+VLOOKUP($B169,'IPCA Hist'!$B:$C,2,0))^12 - 1)+$G$2)^(1/252)</f>
        <v>43760479.85295587</v>
      </c>
      <c r="H169" s="2">
        <f>H168*(1+((1+VLOOKUP($B169,'IPCA Hist'!$B:$C,2,0))^12 - 1)+$H$2)^(1/252)</f>
        <v>44775403.52595336</v>
      </c>
      <c r="I169" s="2">
        <f>I168*(1+((1+VLOOKUP($B169,'IPCA Hist'!$B:$C,2,0))^12 - 1)+$I$2)^(1/252)</f>
        <v>226158547.32128212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f t="shared" si="21"/>
        <v>358471635.45783532</v>
      </c>
      <c r="P169" s="2">
        <v>0</v>
      </c>
      <c r="Q169" s="2">
        <v>0</v>
      </c>
      <c r="R169" s="2">
        <f t="shared" si="30"/>
        <v>205026.65552425385</v>
      </c>
      <c r="S169" s="2">
        <f t="shared" si="23"/>
        <v>3113578.0339615941</v>
      </c>
      <c r="T169" s="2">
        <f t="shared" si="24"/>
        <v>6209795.3509447575</v>
      </c>
      <c r="U169" s="11">
        <f t="shared" si="27"/>
        <v>1.0592968748410461</v>
      </c>
      <c r="V169" s="12">
        <f t="shared" si="28"/>
        <v>5.7227397275361191E-4</v>
      </c>
      <c r="W169" s="12">
        <f t="shared" si="25"/>
        <v>8.6157939337614398E-3</v>
      </c>
      <c r="X169" s="12">
        <f t="shared" si="26"/>
        <v>1.7235813215987106E-2</v>
      </c>
      <c r="Y169" s="5">
        <f t="shared" si="29"/>
        <v>5.9296874841046066E-2</v>
      </c>
      <c r="Z169" s="19">
        <f t="shared" si="20"/>
        <v>4.8063480130435154E-2</v>
      </c>
      <c r="AA169" s="19" t="s">
        <v>53</v>
      </c>
      <c r="AB169" s="19" t="s">
        <v>53</v>
      </c>
    </row>
    <row r="170" spans="1:28" x14ac:dyDescent="0.25">
      <c r="A170" s="1">
        <v>45348</v>
      </c>
      <c r="B170" s="1" t="str">
        <f t="shared" si="22"/>
        <v>202402</v>
      </c>
      <c r="C170" s="2">
        <v>0</v>
      </c>
      <c r="D170" s="2">
        <v>0</v>
      </c>
      <c r="E170" s="2">
        <v>0</v>
      </c>
      <c r="F170" s="2">
        <f>F169*(1+((1+VLOOKUP($B170,'IPCA Hist'!$B:$C,2,0))^12 - 1)+$F$2)^(1/252)</f>
        <v>43802390.045081966</v>
      </c>
      <c r="G170" s="2">
        <f>G169*(1+((1+VLOOKUP($B170,'IPCA Hist'!$B:$C,2,0))^12 - 1)+$G$2)^(1/252)</f>
        <v>43785670.548766829</v>
      </c>
      <c r="H170" s="2">
        <f>H169*(1+((1+VLOOKUP($B170,'IPCA Hist'!$B:$C,2,0))^12 - 1)+$H$2)^(1/252)</f>
        <v>44800993.827650607</v>
      </c>
      <c r="I170" s="2">
        <f>I169*(1+((1+VLOOKUP($B170,'IPCA Hist'!$B:$C,2,0))^12 - 1)+$I$2)^(1/252)</f>
        <v>226287725.02447382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f t="shared" si="21"/>
        <v>358676779.44597322</v>
      </c>
      <c r="P170" s="2">
        <v>0</v>
      </c>
      <c r="Q170" s="2">
        <v>0</v>
      </c>
      <c r="R170" s="2">
        <f t="shared" si="30"/>
        <v>205143.98813790083</v>
      </c>
      <c r="S170" s="2">
        <f t="shared" si="23"/>
        <v>3318722.0220994949</v>
      </c>
      <c r="T170" s="2">
        <f t="shared" si="24"/>
        <v>6414939.3390826583</v>
      </c>
      <c r="U170" s="11">
        <f t="shared" si="27"/>
        <v>1.0599030828754681</v>
      </c>
      <c r="V170" s="12">
        <f t="shared" si="28"/>
        <v>5.7227397608716757E-4</v>
      </c>
      <c r="W170" s="12">
        <f t="shared" si="25"/>
        <v>9.1929985045002827E-3</v>
      </c>
      <c r="X170" s="12">
        <f t="shared" si="26"/>
        <v>1.781795079943449E-2</v>
      </c>
      <c r="Y170" s="5">
        <f t="shared" si="29"/>
        <v>5.9903082875468083E-2</v>
      </c>
      <c r="Z170" s="19">
        <f t="shared" si="20"/>
        <v>4.8345891215974435E-2</v>
      </c>
      <c r="AA170" s="19" t="s">
        <v>53</v>
      </c>
      <c r="AB170" s="19" t="s">
        <v>53</v>
      </c>
    </row>
    <row r="171" spans="1:28" x14ac:dyDescent="0.25">
      <c r="A171" s="1">
        <v>45349</v>
      </c>
      <c r="B171" s="1" t="str">
        <f t="shared" si="22"/>
        <v>202402</v>
      </c>
      <c r="C171" s="2">
        <v>0</v>
      </c>
      <c r="D171" s="2">
        <v>0</v>
      </c>
      <c r="E171" s="2">
        <v>0</v>
      </c>
      <c r="F171" s="2">
        <f>F170*(1+((1+VLOOKUP($B171,'IPCA Hist'!$B:$C,2,0))^12 - 1)+$F$2)^(1/252)</f>
        <v>43827589.821766317</v>
      </c>
      <c r="G171" s="2">
        <f>G170*(1+((1+VLOOKUP($B171,'IPCA Hist'!$B:$C,2,0))^12 - 1)+$G$2)^(1/252)</f>
        <v>43810875.745587774</v>
      </c>
      <c r="H171" s="2">
        <f>H170*(1+((1+VLOOKUP($B171,'IPCA Hist'!$B:$C,2,0))^12 - 1)+$H$2)^(1/252)</f>
        <v>44826598.754867427</v>
      </c>
      <c r="I171" s="2">
        <f>I170*(1+((1+VLOOKUP($B171,'IPCA Hist'!$B:$C,2,0))^12 - 1)+$I$2)^(1/252)</f>
        <v>226416976.51165113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f t="shared" si="21"/>
        <v>358882040.83387268</v>
      </c>
      <c r="P171" s="2">
        <v>0</v>
      </c>
      <c r="Q171" s="2">
        <v>0</v>
      </c>
      <c r="R171" s="2">
        <f t="shared" si="30"/>
        <v>205261.38789945841</v>
      </c>
      <c r="S171" s="2">
        <f t="shared" si="23"/>
        <v>3523983.4099989533</v>
      </c>
      <c r="T171" s="2">
        <f t="shared" si="24"/>
        <v>6620200.7269821167</v>
      </c>
      <c r="U171" s="11">
        <f t="shared" si="27"/>
        <v>1.0605096378305057</v>
      </c>
      <c r="V171" s="12">
        <f t="shared" si="28"/>
        <v>5.7227397942094527E-4</v>
      </c>
      <c r="W171" s="12">
        <f t="shared" si="25"/>
        <v>9.7705333977582409E-3</v>
      </c>
      <c r="X171" s="12">
        <f t="shared" si="26"/>
        <v>1.840042152846455E-2</v>
      </c>
      <c r="Y171" s="5">
        <f t="shared" si="29"/>
        <v>6.0509637830505669E-2</v>
      </c>
      <c r="Z171" s="19">
        <f t="shared" si="20"/>
        <v>4.8628378388433591E-2</v>
      </c>
      <c r="AA171" s="19" t="s">
        <v>53</v>
      </c>
      <c r="AB171" s="19" t="s">
        <v>53</v>
      </c>
    </row>
    <row r="172" spans="1:28" x14ac:dyDescent="0.25">
      <c r="A172" s="1">
        <v>45350</v>
      </c>
      <c r="B172" s="1" t="str">
        <f t="shared" si="22"/>
        <v>202402</v>
      </c>
      <c r="C172" s="2">
        <v>0</v>
      </c>
      <c r="D172" s="2">
        <v>0</v>
      </c>
      <c r="E172" s="2">
        <v>0</v>
      </c>
      <c r="F172" s="2">
        <f>F171*(1+((1+VLOOKUP($B172,'IPCA Hist'!$B:$C,2,0))^12 - 1)+$F$2)^(1/252)</f>
        <v>43852804.096032746</v>
      </c>
      <c r="G172" s="2">
        <f>G171*(1+((1+VLOOKUP($B172,'IPCA Hist'!$B:$C,2,0))^12 - 1)+$G$2)^(1/252)</f>
        <v>43836095.451766208</v>
      </c>
      <c r="H172" s="2">
        <f>H171*(1+((1+VLOOKUP($B172,'IPCA Hist'!$B:$C,2,0))^12 - 1)+$H$2)^(1/252)</f>
        <v>44852218.315962695</v>
      </c>
      <c r="I172" s="2">
        <f>I171*(1+((1+VLOOKUP($B172,'IPCA Hist'!$B:$C,2,0))^12 - 1)+$I$2)^(1/252)</f>
        <v>226546301.82495815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f t="shared" si="21"/>
        <v>359087419.68871981</v>
      </c>
      <c r="P172" s="2">
        <v>0</v>
      </c>
      <c r="Q172" s="2">
        <v>0</v>
      </c>
      <c r="R172" s="2">
        <f t="shared" si="30"/>
        <v>205378.85484713316</v>
      </c>
      <c r="S172" s="2">
        <f t="shared" si="23"/>
        <v>3729362.2648460865</v>
      </c>
      <c r="T172" s="2">
        <f t="shared" si="24"/>
        <v>6825579.5818292499</v>
      </c>
      <c r="U172" s="11">
        <f t="shared" si="27"/>
        <v>1.0611165399046967</v>
      </c>
      <c r="V172" s="12">
        <f t="shared" si="28"/>
        <v>5.7227398275472297E-4</v>
      </c>
      <c r="W172" s="12">
        <f t="shared" si="25"/>
        <v>1.0348398802574099E-2</v>
      </c>
      <c r="X172" s="12">
        <f t="shared" si="26"/>
        <v>1.8983225593731667E-2</v>
      </c>
      <c r="Y172" s="5">
        <f t="shared" si="29"/>
        <v>6.1116539904696676E-2</v>
      </c>
      <c r="Z172" s="19">
        <f t="shared" si="20"/>
        <v>4.8910941668309782E-2</v>
      </c>
      <c r="AA172" s="19" t="s">
        <v>53</v>
      </c>
      <c r="AB172" s="19" t="s">
        <v>53</v>
      </c>
    </row>
    <row r="173" spans="1:28" x14ac:dyDescent="0.25">
      <c r="A173" s="1">
        <v>45351</v>
      </c>
      <c r="B173" s="1" t="str">
        <f t="shared" si="22"/>
        <v>202402</v>
      </c>
      <c r="C173" s="2">
        <v>0</v>
      </c>
      <c r="D173" s="2">
        <v>0</v>
      </c>
      <c r="E173" s="2">
        <v>0</v>
      </c>
      <c r="F173" s="2">
        <f>F172*(1+((1+VLOOKUP($B173,'IPCA Hist'!$B:$C,2,0))^12 - 1)+$F$2)^(1/252)</f>
        <v>43878032.876221798</v>
      </c>
      <c r="G173" s="2">
        <f>G172*(1+((1+VLOOKUP($B173,'IPCA Hist'!$B:$C,2,0))^12 - 1)+$G$2)^(1/252)</f>
        <v>43861329.675654426</v>
      </c>
      <c r="H173" s="2">
        <f>H172*(1+((1+VLOOKUP($B173,'IPCA Hist'!$B:$C,2,0))^12 - 1)+$H$2)^(1/252)</f>
        <v>44877852.519300044</v>
      </c>
      <c r="I173" s="2">
        <f>I172*(1+((1+VLOOKUP($B173,'IPCA Hist'!$B:$C,2,0))^12 - 1)+$I$2)^(1/252)</f>
        <v>226675701.00656304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f t="shared" si="21"/>
        <v>359292916.0777393</v>
      </c>
      <c r="P173" s="2">
        <v>0</v>
      </c>
      <c r="Q173" s="2">
        <v>0</v>
      </c>
      <c r="R173" s="2">
        <f t="shared" si="30"/>
        <v>205496.38901948929</v>
      </c>
      <c r="S173" s="2">
        <f t="shared" si="23"/>
        <v>3934858.6538655758</v>
      </c>
      <c r="T173" s="2">
        <f t="shared" si="24"/>
        <v>7031075.9708487391</v>
      </c>
      <c r="U173" s="11">
        <f t="shared" si="27"/>
        <v>1.0617237892966924</v>
      </c>
      <c r="V173" s="12">
        <f t="shared" si="28"/>
        <v>5.7227398608850066E-4</v>
      </c>
      <c r="W173" s="12">
        <f t="shared" si="25"/>
        <v>1.0926594908095E-2</v>
      </c>
      <c r="X173" s="12">
        <f t="shared" si="26"/>
        <v>1.9566363185999469E-2</v>
      </c>
      <c r="Y173" s="5">
        <f t="shared" si="29"/>
        <v>6.1723789296692422E-2</v>
      </c>
      <c r="Z173" s="19">
        <f t="shared" si="20"/>
        <v>4.9193581076103943E-2</v>
      </c>
      <c r="AA173" s="19" t="s">
        <v>53</v>
      </c>
      <c r="AB173" s="19" t="s">
        <v>53</v>
      </c>
    </row>
    <row r="174" spans="1:28" x14ac:dyDescent="0.25">
      <c r="A174" s="1">
        <v>45352</v>
      </c>
      <c r="B174" s="1" t="str">
        <f t="shared" si="22"/>
        <v>202403</v>
      </c>
      <c r="C174" s="2">
        <v>0</v>
      </c>
      <c r="D174" s="2">
        <v>0</v>
      </c>
      <c r="E174" s="2">
        <v>0</v>
      </c>
      <c r="F174" s="2">
        <f>F173*(1+((1+VLOOKUP($B174,'IPCA Hist'!$B:$C,2,0))^12 - 1)+$F$2)^(1/252)</f>
        <v>43889987.557193778</v>
      </c>
      <c r="G174" s="2">
        <f>G173*(1+((1+VLOOKUP($B174,'IPCA Hist'!$B:$C,2,0))^12 - 1)+$G$2)^(1/252)</f>
        <v>43873296.059998073</v>
      </c>
      <c r="H174" s="2">
        <f>H173*(1+((1+VLOOKUP($B174,'IPCA Hist'!$B:$C,2,0))^12 - 1)+$H$2)^(1/252)</f>
        <v>44889896.561557129</v>
      </c>
      <c r="I174" s="2">
        <f>I173*(1+((1+VLOOKUP($B174,'IPCA Hist'!$B:$C,2,0))^12 - 1)+$I$2)^(1/252)</f>
        <v>226736450.74245626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f t="shared" si="21"/>
        <v>359389630.92120522</v>
      </c>
      <c r="P174" s="2">
        <v>0</v>
      </c>
      <c r="Q174" s="2">
        <v>0</v>
      </c>
      <c r="R174" s="2">
        <f t="shared" si="30"/>
        <v>96714.843465924263</v>
      </c>
      <c r="S174" s="2">
        <f t="shared" si="23"/>
        <v>96714.843465924263</v>
      </c>
      <c r="T174" s="2">
        <f t="shared" si="24"/>
        <v>7127790.8143146634</v>
      </c>
      <c r="U174" s="11">
        <f t="shared" si="27"/>
        <v>1.0620095852183233</v>
      </c>
      <c r="V174" s="12">
        <f t="shared" si="28"/>
        <v>2.6918104737982951E-4</v>
      </c>
      <c r="W174" s="12">
        <f t="shared" si="25"/>
        <v>2.6918104737982951E-4</v>
      </c>
      <c r="X174" s="12">
        <f t="shared" si="26"/>
        <v>1.9840811127515012E-2</v>
      </c>
      <c r="Y174" s="5">
        <f t="shared" si="29"/>
        <v>6.2009585218323338E-2</v>
      </c>
      <c r="Z174" s="19">
        <f t="shared" si="20"/>
        <v>4.9158389703839456E-2</v>
      </c>
      <c r="AA174" s="19" t="s">
        <v>53</v>
      </c>
      <c r="AB174" s="19" t="s">
        <v>53</v>
      </c>
    </row>
    <row r="175" spans="1:28" x14ac:dyDescent="0.25">
      <c r="A175" s="1">
        <v>45355</v>
      </c>
      <c r="B175" s="1" t="str">
        <f t="shared" si="22"/>
        <v>202403</v>
      </c>
      <c r="C175" s="2">
        <v>0</v>
      </c>
      <c r="D175" s="2">
        <v>0</v>
      </c>
      <c r="E175" s="2">
        <v>0</v>
      </c>
      <c r="F175" s="2">
        <f>F174*(1+((1+VLOOKUP($B175,'IPCA Hist'!$B:$C,2,0))^12 - 1)+$F$2)^(1/252)</f>
        <v>43901945.495248802</v>
      </c>
      <c r="G175" s="2">
        <f>G174*(1+((1+VLOOKUP($B175,'IPCA Hist'!$B:$C,2,0))^12 - 1)+$G$2)^(1/252)</f>
        <v>43885265.709047906</v>
      </c>
      <c r="H175" s="2">
        <f>H174*(1+((1+VLOOKUP($B175,'IPCA Hist'!$B:$C,2,0))^12 - 1)+$H$2)^(1/252)</f>
        <v>44901943.836120255</v>
      </c>
      <c r="I175" s="2">
        <f>I174*(1+((1+VLOOKUP($B175,'IPCA Hist'!$B:$C,2,0))^12 - 1)+$I$2)^(1/252)</f>
        <v>226797216.75945237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f t="shared" si="21"/>
        <v>359486371.7998693</v>
      </c>
      <c r="P175" s="2">
        <v>0</v>
      </c>
      <c r="Q175" s="2">
        <v>0</v>
      </c>
      <c r="R175" s="2">
        <f t="shared" si="30"/>
        <v>96740.878664076328</v>
      </c>
      <c r="S175" s="2">
        <f t="shared" si="23"/>
        <v>193455.72213000059</v>
      </c>
      <c r="T175" s="2">
        <f t="shared" si="24"/>
        <v>7224531.6929787397</v>
      </c>
      <c r="U175" s="11">
        <f t="shared" si="27"/>
        <v>1.0622954580749229</v>
      </c>
      <c r="V175" s="12">
        <f t="shared" si="28"/>
        <v>2.6918105126205738E-4</v>
      </c>
      <c r="W175" s="12">
        <f t="shared" si="25"/>
        <v>5.3843455707913712E-4</v>
      </c>
      <c r="X175" s="12">
        <f t="shared" si="26"/>
        <v>2.0115332949174336E-2</v>
      </c>
      <c r="Y175" s="5">
        <f t="shared" si="29"/>
        <v>6.2295458074922871E-2</v>
      </c>
      <c r="Z175" s="19">
        <f t="shared" si="20"/>
        <v>4.9123199500968218E-2</v>
      </c>
      <c r="AA175" s="19" t="s">
        <v>53</v>
      </c>
      <c r="AB175" s="19" t="s">
        <v>53</v>
      </c>
    </row>
    <row r="176" spans="1:28" x14ac:dyDescent="0.25">
      <c r="A176" s="1">
        <v>45356</v>
      </c>
      <c r="B176" s="1" t="str">
        <f t="shared" si="22"/>
        <v>202403</v>
      </c>
      <c r="C176" s="2">
        <v>0</v>
      </c>
      <c r="D176" s="2">
        <v>0</v>
      </c>
      <c r="E176" s="2">
        <v>0</v>
      </c>
      <c r="F176" s="2">
        <f>F175*(1+((1+VLOOKUP($B176,'IPCA Hist'!$B:$C,2,0))^12 - 1)+$F$2)^(1/252)</f>
        <v>43913906.691274278</v>
      </c>
      <c r="G176" s="2">
        <f>G175*(1+((1+VLOOKUP($B176,'IPCA Hist'!$B:$C,2,0))^12 - 1)+$G$2)^(1/252)</f>
        <v>43897238.623694606</v>
      </c>
      <c r="H176" s="2">
        <f>H175*(1+((1+VLOOKUP($B176,'IPCA Hist'!$B:$C,2,0))^12 - 1)+$H$2)^(1/252)</f>
        <v>44913994.343856893</v>
      </c>
      <c r="I176" s="2">
        <f>I175*(1+((1+VLOOKUP($B176,'IPCA Hist'!$B:$C,2,0))^12 - 1)+$I$2)^(1/252)</f>
        <v>226857999.06191477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f t="shared" si="21"/>
        <v>359583138.72074056</v>
      </c>
      <c r="P176" s="2">
        <v>0</v>
      </c>
      <c r="Q176" s="2">
        <v>0</v>
      </c>
      <c r="R176" s="2">
        <f t="shared" si="30"/>
        <v>96766.920871257782</v>
      </c>
      <c r="S176" s="2">
        <f t="shared" si="23"/>
        <v>290222.64300125837</v>
      </c>
      <c r="T176" s="2">
        <f t="shared" si="24"/>
        <v>7321298.6138499975</v>
      </c>
      <c r="U176" s="11">
        <f t="shared" si="27"/>
        <v>1.0625814078872029</v>
      </c>
      <c r="V176" s="12">
        <f t="shared" si="28"/>
        <v>2.6918105514472934E-4</v>
      </c>
      <c r="W176" s="12">
        <f t="shared" si="25"/>
        <v>8.077605486060957E-4</v>
      </c>
      <c r="X176" s="12">
        <f t="shared" si="26"/>
        <v>2.0389928670866864E-2</v>
      </c>
      <c r="Y176" s="5">
        <f t="shared" si="29"/>
        <v>6.25814078872029E-2</v>
      </c>
      <c r="Z176" s="19">
        <f t="shared" si="20"/>
        <v>4.9088010467451815E-2</v>
      </c>
      <c r="AA176" s="19" t="s">
        <v>53</v>
      </c>
      <c r="AB176" s="19" t="s">
        <v>53</v>
      </c>
    </row>
    <row r="177" spans="1:28" x14ac:dyDescent="0.25">
      <c r="A177" s="1">
        <v>45357</v>
      </c>
      <c r="B177" s="1" t="str">
        <f t="shared" si="22"/>
        <v>202403</v>
      </c>
      <c r="C177" s="2">
        <v>0</v>
      </c>
      <c r="D177" s="2">
        <v>0</v>
      </c>
      <c r="E177" s="2">
        <v>0</v>
      </c>
      <c r="F177" s="2">
        <f>F176*(1+((1+VLOOKUP($B177,'IPCA Hist'!$B:$C,2,0))^12 - 1)+$F$2)^(1/252)</f>
        <v>43925871.146157846</v>
      </c>
      <c r="G177" s="2">
        <f>G176*(1+((1+VLOOKUP($B177,'IPCA Hist'!$B:$C,2,0))^12 - 1)+$G$2)^(1/252)</f>
        <v>43909214.804829113</v>
      </c>
      <c r="H177" s="2">
        <f>H176*(1+((1+VLOOKUP($B177,'IPCA Hist'!$B:$C,2,0))^12 - 1)+$H$2)^(1/252)</f>
        <v>44926048.085634738</v>
      </c>
      <c r="I177" s="2">
        <f>I176*(1+((1+VLOOKUP($B177,'IPCA Hist'!$B:$C,2,0))^12 - 1)+$I$2)^(1/252)</f>
        <v>226918797.65420797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f t="shared" si="21"/>
        <v>359679931.69082963</v>
      </c>
      <c r="P177" s="2">
        <v>0</v>
      </c>
      <c r="Q177" s="2">
        <v>0</v>
      </c>
      <c r="R177" s="2">
        <f t="shared" si="30"/>
        <v>96792.97008907795</v>
      </c>
      <c r="S177" s="2">
        <f t="shared" si="23"/>
        <v>387015.61309033632</v>
      </c>
      <c r="T177" s="2">
        <f t="shared" si="24"/>
        <v>7418091.5839390755</v>
      </c>
      <c r="U177" s="11">
        <f t="shared" si="27"/>
        <v>1.0628674346758804</v>
      </c>
      <c r="V177" s="12">
        <f t="shared" si="28"/>
        <v>2.6918105902695721E-4</v>
      </c>
      <c r="W177" s="12">
        <f t="shared" si="25"/>
        <v>1.0771590414728749E-3</v>
      </c>
      <c r="X177" s="12">
        <f t="shared" si="26"/>
        <v>2.0664598312486904E-2</v>
      </c>
      <c r="Y177" s="5">
        <f t="shared" si="29"/>
        <v>6.2867434675880407E-2</v>
      </c>
      <c r="Z177" s="19">
        <f t="shared" si="20"/>
        <v>4.9052822603251389E-2</v>
      </c>
      <c r="AA177" s="19" t="s">
        <v>53</v>
      </c>
      <c r="AB177" s="19" t="s">
        <v>53</v>
      </c>
    </row>
    <row r="178" spans="1:28" x14ac:dyDescent="0.25">
      <c r="A178" s="1">
        <v>45358</v>
      </c>
      <c r="B178" s="1" t="str">
        <f t="shared" si="22"/>
        <v>202403</v>
      </c>
      <c r="C178" s="2">
        <v>0</v>
      </c>
      <c r="D178" s="2">
        <v>0</v>
      </c>
      <c r="E178" s="2">
        <v>0</v>
      </c>
      <c r="F178" s="2">
        <f>F177*(1+((1+VLOOKUP($B178,'IPCA Hist'!$B:$C,2,0))^12 - 1)+$F$2)^(1/252)</f>
        <v>43937838.860787392</v>
      </c>
      <c r="G178" s="2">
        <f>G177*(1+((1+VLOOKUP($B178,'IPCA Hist'!$B:$C,2,0))^12 - 1)+$G$2)^(1/252)</f>
        <v>43921194.253342591</v>
      </c>
      <c r="H178" s="2">
        <f>H177*(1+((1+VLOOKUP($B178,'IPCA Hist'!$B:$C,2,0))^12 - 1)+$H$2)^(1/252)</f>
        <v>44938105.062321723</v>
      </c>
      <c r="I178" s="2">
        <f>I177*(1+((1+VLOOKUP($B178,'IPCA Hist'!$B:$C,2,0))^12 - 1)+$I$2)^(1/252)</f>
        <v>226979612.54069775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f t="shared" si="21"/>
        <v>359776750.7171495</v>
      </c>
      <c r="P178" s="2">
        <v>0</v>
      </c>
      <c r="Q178" s="2">
        <v>0</v>
      </c>
      <c r="R178" s="2">
        <f t="shared" si="30"/>
        <v>96819.026319861412</v>
      </c>
      <c r="S178" s="2">
        <f t="shared" si="23"/>
        <v>483834.63941019773</v>
      </c>
      <c r="T178" s="2">
        <f t="shared" si="24"/>
        <v>7514910.6102589369</v>
      </c>
      <c r="U178" s="11">
        <f t="shared" si="27"/>
        <v>1.0631535384616788</v>
      </c>
      <c r="V178" s="12">
        <f t="shared" si="28"/>
        <v>2.6918106290985122E-4</v>
      </c>
      <c r="W178" s="12">
        <f t="shared" si="25"/>
        <v>1.3466300551985277E-3</v>
      </c>
      <c r="X178" s="12">
        <f t="shared" si="26"/>
        <v>2.0939341893935204E-2</v>
      </c>
      <c r="Y178" s="5">
        <f t="shared" si="29"/>
        <v>6.3153538461678815E-2</v>
      </c>
      <c r="Z178" s="19">
        <f t="shared" si="20"/>
        <v>4.9003396158307844E-2</v>
      </c>
      <c r="AA178" s="19" t="s">
        <v>53</v>
      </c>
      <c r="AB178" s="19" t="s">
        <v>53</v>
      </c>
    </row>
    <row r="179" spans="1:28" x14ac:dyDescent="0.25">
      <c r="A179" s="1">
        <v>45359</v>
      </c>
      <c r="B179" s="1" t="str">
        <f t="shared" si="22"/>
        <v>202403</v>
      </c>
      <c r="C179" s="2">
        <v>0</v>
      </c>
      <c r="D179" s="2">
        <v>0</v>
      </c>
      <c r="E179" s="2">
        <v>0</v>
      </c>
      <c r="F179" s="2">
        <f>F178*(1+((1+VLOOKUP($B179,'IPCA Hist'!$B:$C,2,0))^12 - 1)+$F$2)^(1/252)</f>
        <v>43949809.836051039</v>
      </c>
      <c r="G179" s="2">
        <f>G178*(1+((1+VLOOKUP($B179,'IPCA Hist'!$B:$C,2,0))^12 - 1)+$G$2)^(1/252)</f>
        <v>43933176.970126465</v>
      </c>
      <c r="H179" s="2">
        <f>H178*(1+((1+VLOOKUP($B179,'IPCA Hist'!$B:$C,2,0))^12 - 1)+$H$2)^(1/252)</f>
        <v>44950165.27478601</v>
      </c>
      <c r="I179" s="2">
        <f>I178*(1+((1+VLOOKUP($B179,'IPCA Hist'!$B:$C,2,0))^12 - 1)+$I$2)^(1/252)</f>
        <v>227040443.72575095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f t="shared" si="21"/>
        <v>359873595.80671448</v>
      </c>
      <c r="P179" s="2">
        <v>0</v>
      </c>
      <c r="Q179" s="2">
        <v>0</v>
      </c>
      <c r="R179" s="2">
        <f t="shared" si="30"/>
        <v>96845.089564979076</v>
      </c>
      <c r="S179" s="2">
        <f t="shared" si="23"/>
        <v>580679.72897517681</v>
      </c>
      <c r="T179" s="2">
        <f t="shared" si="24"/>
        <v>7611755.699823916</v>
      </c>
      <c r="U179" s="11">
        <f t="shared" si="27"/>
        <v>1.0634397192653255</v>
      </c>
      <c r="V179" s="12">
        <f t="shared" si="28"/>
        <v>2.6918106679185705E-4</v>
      </c>
      <c r="W179" s="12">
        <f t="shared" si="25"/>
        <v>1.6161736093052159E-3</v>
      </c>
      <c r="X179" s="12">
        <f t="shared" si="26"/>
        <v>2.1214159435116065E-2</v>
      </c>
      <c r="Y179" s="5">
        <f t="shared" si="29"/>
        <v>6.3439719265325545E-2</v>
      </c>
      <c r="Z179" s="19">
        <f t="shared" si="20"/>
        <v>4.8953972031236415E-2</v>
      </c>
      <c r="AA179" s="19" t="s">
        <v>53</v>
      </c>
      <c r="AB179" s="19" t="s">
        <v>53</v>
      </c>
    </row>
    <row r="180" spans="1:28" x14ac:dyDescent="0.25">
      <c r="A180" s="1">
        <v>45362</v>
      </c>
      <c r="B180" s="1" t="str">
        <f t="shared" si="22"/>
        <v>202403</v>
      </c>
      <c r="C180" s="2">
        <v>0</v>
      </c>
      <c r="D180" s="2">
        <v>0</v>
      </c>
      <c r="E180" s="2">
        <v>0</v>
      </c>
      <c r="F180" s="2">
        <f>F179*(1+((1+VLOOKUP($B180,'IPCA Hist'!$B:$C,2,0))^12 - 1)+$F$2)^(1/252)</f>
        <v>43961784.072837159</v>
      </c>
      <c r="G180" s="2">
        <f>G179*(1+((1+VLOOKUP($B180,'IPCA Hist'!$B:$C,2,0))^12 - 1)+$G$2)^(1/252)</f>
        <v>43945162.95607239</v>
      </c>
      <c r="H180" s="2">
        <f>H179*(1+((1+VLOOKUP($B180,'IPCA Hist'!$B:$C,2,0))^12 - 1)+$H$2)^(1/252)</f>
        <v>44962228.723896004</v>
      </c>
      <c r="I180" s="2">
        <f>I179*(1+((1+VLOOKUP($B180,'IPCA Hist'!$B:$C,2,0))^12 - 1)+$I$2)^(1/252)</f>
        <v>227101291.21373564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f t="shared" si="21"/>
        <v>359970466.96654117</v>
      </c>
      <c r="P180" s="2">
        <v>0</v>
      </c>
      <c r="Q180" s="2">
        <v>0</v>
      </c>
      <c r="R180" s="2">
        <f t="shared" si="30"/>
        <v>96871.159826695919</v>
      </c>
      <c r="S180" s="2">
        <f t="shared" si="23"/>
        <v>677550.88880187273</v>
      </c>
      <c r="T180" s="2">
        <f t="shared" si="24"/>
        <v>7708626.8596506119</v>
      </c>
      <c r="U180" s="11">
        <f t="shared" si="27"/>
        <v>1.0637259771075549</v>
      </c>
      <c r="V180" s="12">
        <f t="shared" si="28"/>
        <v>2.6918107067430697E-4</v>
      </c>
      <c r="W180" s="12">
        <f t="shared" si="25"/>
        <v>1.8857897233219845E-3</v>
      </c>
      <c r="X180" s="12">
        <f t="shared" si="26"/>
        <v>2.1489050955940669E-2</v>
      </c>
      <c r="Y180" s="5">
        <f t="shared" si="29"/>
        <v>6.3725977107554899E-2</v>
      </c>
      <c r="Z180" s="19">
        <f t="shared" si="20"/>
        <v>4.8904550221930077E-2</v>
      </c>
      <c r="AA180" s="19" t="s">
        <v>53</v>
      </c>
      <c r="AB180" s="19" t="s">
        <v>53</v>
      </c>
    </row>
    <row r="181" spans="1:28" x14ac:dyDescent="0.25">
      <c r="A181" s="1">
        <v>45363</v>
      </c>
      <c r="B181" s="1" t="str">
        <f t="shared" si="22"/>
        <v>202403</v>
      </c>
      <c r="C181" s="2">
        <v>0</v>
      </c>
      <c r="D181" s="2">
        <v>0</v>
      </c>
      <c r="E181" s="2">
        <v>0</v>
      </c>
      <c r="F181" s="2">
        <f>F180*(1+((1+VLOOKUP($B181,'IPCA Hist'!$B:$C,2,0))^12 - 1)+$F$2)^(1/252)</f>
        <v>43973761.572034359</v>
      </c>
      <c r="G181" s="2">
        <f>G180*(1+((1+VLOOKUP($B181,'IPCA Hist'!$B:$C,2,0))^12 - 1)+$G$2)^(1/252)</f>
        <v>43957152.212072268</v>
      </c>
      <c r="H181" s="2">
        <f>H180*(1+((1+VLOOKUP($B181,'IPCA Hist'!$B:$C,2,0))^12 - 1)+$H$2)^(1/252)</f>
        <v>44974295.41052033</v>
      </c>
      <c r="I181" s="2">
        <f>I180*(1+((1+VLOOKUP($B181,'IPCA Hist'!$B:$C,2,0))^12 - 1)+$I$2)^(1/252)</f>
        <v>227162155.00902107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f t="shared" si="21"/>
        <v>360067364.20364803</v>
      </c>
      <c r="P181" s="2">
        <v>0</v>
      </c>
      <c r="Q181" s="2">
        <v>0</v>
      </c>
      <c r="R181" s="2">
        <f t="shared" si="30"/>
        <v>96897.237106859684</v>
      </c>
      <c r="S181" s="2">
        <f t="shared" si="23"/>
        <v>774448.12590873241</v>
      </c>
      <c r="T181" s="2">
        <f t="shared" si="24"/>
        <v>7805524.0967574716</v>
      </c>
      <c r="U181" s="11">
        <f t="shared" si="27"/>
        <v>1.064012312009107</v>
      </c>
      <c r="V181" s="12">
        <f t="shared" si="28"/>
        <v>2.6918107455697893E-4</v>
      </c>
      <c r="W181" s="12">
        <f t="shared" si="25"/>
        <v>2.1554784167829855E-3</v>
      </c>
      <c r="X181" s="12">
        <f t="shared" si="26"/>
        <v>2.1764016476325088E-2</v>
      </c>
      <c r="Y181" s="5">
        <f t="shared" si="29"/>
        <v>6.4012312009106953E-2</v>
      </c>
      <c r="Z181" s="19">
        <f t="shared" si="20"/>
        <v>4.8855130730280916E-2</v>
      </c>
      <c r="AA181" s="19" t="s">
        <v>53</v>
      </c>
      <c r="AB181" s="19" t="s">
        <v>53</v>
      </c>
    </row>
    <row r="182" spans="1:28" x14ac:dyDescent="0.25">
      <c r="A182" s="1">
        <v>45364</v>
      </c>
      <c r="B182" s="1" t="str">
        <f t="shared" si="22"/>
        <v>202403</v>
      </c>
      <c r="C182" s="2">
        <v>0</v>
      </c>
      <c r="D182" s="2">
        <v>0</v>
      </c>
      <c r="E182" s="2">
        <v>0</v>
      </c>
      <c r="F182" s="2">
        <f>F181*(1+((1+VLOOKUP($B182,'IPCA Hist'!$B:$C,2,0))^12 - 1)+$F$2)^(1/252)</f>
        <v>43985742.334531493</v>
      </c>
      <c r="G182" s="2">
        <f>G181*(1+((1+VLOOKUP($B182,'IPCA Hist'!$B:$C,2,0))^12 - 1)+$G$2)^(1/252)</f>
        <v>43969144.739018247</v>
      </c>
      <c r="H182" s="2">
        <f>H181*(1+((1+VLOOKUP($B182,'IPCA Hist'!$B:$C,2,0))^12 - 1)+$H$2)^(1/252)</f>
        <v>44986365.33552786</v>
      </c>
      <c r="I182" s="2">
        <f>I181*(1+((1+VLOOKUP($B182,'IPCA Hist'!$B:$C,2,0))^12 - 1)+$I$2)^(1/252)</f>
        <v>227223035.11597764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f t="shared" si="21"/>
        <v>360164287.52505529</v>
      </c>
      <c r="P182" s="2">
        <v>0</v>
      </c>
      <c r="Q182" s="2">
        <v>0</v>
      </c>
      <c r="R182" s="2">
        <f t="shared" si="30"/>
        <v>96923.321407258511</v>
      </c>
      <c r="S182" s="2">
        <f t="shared" si="23"/>
        <v>871371.44731599092</v>
      </c>
      <c r="T182" s="2">
        <f t="shared" si="24"/>
        <v>7902447.4181647301</v>
      </c>
      <c r="U182" s="11">
        <f t="shared" si="27"/>
        <v>1.0642987239907267</v>
      </c>
      <c r="V182" s="12">
        <f t="shared" si="28"/>
        <v>2.6918107843965089E-4</v>
      </c>
      <c r="W182" s="12">
        <f t="shared" si="25"/>
        <v>2.425239709227478E-3</v>
      </c>
      <c r="X182" s="12">
        <f t="shared" si="26"/>
        <v>2.2039056016190939E-2</v>
      </c>
      <c r="Y182" s="5">
        <f t="shared" si="29"/>
        <v>6.4298723990726669E-2</v>
      </c>
      <c r="Z182" s="19">
        <f t="shared" si="20"/>
        <v>4.8805713556180796E-2</v>
      </c>
      <c r="AA182" s="19" t="s">
        <v>53</v>
      </c>
      <c r="AB182" s="19" t="s">
        <v>53</v>
      </c>
    </row>
    <row r="183" spans="1:28" x14ac:dyDescent="0.25">
      <c r="A183" s="1">
        <v>45365</v>
      </c>
      <c r="B183" s="1" t="str">
        <f t="shared" si="22"/>
        <v>202403</v>
      </c>
      <c r="C183" s="2">
        <v>0</v>
      </c>
      <c r="D183" s="2">
        <v>0</v>
      </c>
      <c r="E183" s="2">
        <v>0</v>
      </c>
      <c r="F183" s="2">
        <f>F182*(1+((1+VLOOKUP($B183,'IPCA Hist'!$B:$C,2,0))^12 - 1)+$F$2)^(1/252)</f>
        <v>43997726.361217655</v>
      </c>
      <c r="G183" s="2">
        <f>G182*(1+((1+VLOOKUP($B183,'IPCA Hist'!$B:$C,2,0))^12 - 1)+$G$2)^(1/252)</f>
        <v>43981140.537802719</v>
      </c>
      <c r="H183" s="2">
        <f>H182*(1+((1+VLOOKUP($B183,'IPCA Hist'!$B:$C,2,0))^12 - 1)+$H$2)^(1/252)</f>
        <v>44998438.499787681</v>
      </c>
      <c r="I183" s="2">
        <f>I182*(1+((1+VLOOKUP($B183,'IPCA Hist'!$B:$C,2,0))^12 - 1)+$I$2)^(1/252)</f>
        <v>227283931.53897691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f t="shared" si="21"/>
        <v>360261236.93778497</v>
      </c>
      <c r="P183" s="2">
        <v>0</v>
      </c>
      <c r="Q183" s="2">
        <v>0</v>
      </c>
      <c r="R183" s="2">
        <f t="shared" si="30"/>
        <v>96949.412729680538</v>
      </c>
      <c r="S183" s="2">
        <f t="shared" si="23"/>
        <v>968320.86004567146</v>
      </c>
      <c r="T183" s="2">
        <f t="shared" si="24"/>
        <v>7999396.8308944106</v>
      </c>
      <c r="U183" s="11">
        <f t="shared" si="27"/>
        <v>1.0645852130731643</v>
      </c>
      <c r="V183" s="12">
        <f t="shared" si="28"/>
        <v>2.6918108232187876E-4</v>
      </c>
      <c r="W183" s="12">
        <f t="shared" si="25"/>
        <v>2.6950736201991621E-3</v>
      </c>
      <c r="X183" s="12">
        <f t="shared" si="26"/>
        <v>2.2314169595464506E-2</v>
      </c>
      <c r="Y183" s="5">
        <f t="shared" si="29"/>
        <v>6.4585213073164338E-2</v>
      </c>
      <c r="Z183" s="19">
        <f t="shared" si="20"/>
        <v>4.8756298699520473E-2</v>
      </c>
      <c r="AA183" s="19" t="s">
        <v>53</v>
      </c>
      <c r="AB183" s="19" t="s">
        <v>53</v>
      </c>
    </row>
    <row r="184" spans="1:28" x14ac:dyDescent="0.25">
      <c r="A184" s="1">
        <v>45366</v>
      </c>
      <c r="B184" s="1" t="str">
        <f t="shared" si="22"/>
        <v>202403</v>
      </c>
      <c r="C184" s="2">
        <v>0</v>
      </c>
      <c r="D184" s="2">
        <v>0</v>
      </c>
      <c r="E184" s="2">
        <v>0</v>
      </c>
      <c r="F184" s="2">
        <f>F183*(1+((1+VLOOKUP($B184,'IPCA Hist'!$B:$C,2,0))^12 - 1)+$F$2)^(1/252)</f>
        <v>44009713.652982183</v>
      </c>
      <c r="G184" s="2">
        <f>G183*(1+((1+VLOOKUP($B184,'IPCA Hist'!$B:$C,2,0))^12 - 1)+$G$2)^(1/252)</f>
        <v>43993139.609318316</v>
      </c>
      <c r="H184" s="2">
        <f>H183*(1+((1+VLOOKUP($B184,'IPCA Hist'!$B:$C,2,0))^12 - 1)+$H$2)^(1/252)</f>
        <v>45010514.904169135</v>
      </c>
      <c r="I184" s="2">
        <f>I183*(1+((1+VLOOKUP($B184,'IPCA Hist'!$B:$C,2,0))^12 - 1)+$I$2)^(1/252)</f>
        <v>227344844.28239164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f t="shared" si="21"/>
        <v>360358212.44886124</v>
      </c>
      <c r="P184" s="2">
        <v>0</v>
      </c>
      <c r="Q184" s="2">
        <v>0</v>
      </c>
      <c r="R184" s="2">
        <f t="shared" si="30"/>
        <v>96975.511076271534</v>
      </c>
      <c r="S184" s="2">
        <f t="shared" si="23"/>
        <v>1065296.371121943</v>
      </c>
      <c r="T184" s="2">
        <f t="shared" si="24"/>
        <v>8096372.3419706821</v>
      </c>
      <c r="U184" s="11">
        <f t="shared" si="27"/>
        <v>1.0648717792771767</v>
      </c>
      <c r="V184" s="12">
        <f t="shared" si="28"/>
        <v>2.6918108620455072E-4</v>
      </c>
      <c r="W184" s="12">
        <f t="shared" si="25"/>
        <v>2.964980169248177E-3</v>
      </c>
      <c r="X184" s="12">
        <f t="shared" si="26"/>
        <v>2.2589357234078511E-2</v>
      </c>
      <c r="Y184" s="5">
        <f t="shared" si="29"/>
        <v>6.4871779277176689E-2</v>
      </c>
      <c r="Z184" s="19">
        <f t="shared" si="20"/>
        <v>4.8706886160192475E-2</v>
      </c>
      <c r="AA184" s="19" t="s">
        <v>53</v>
      </c>
      <c r="AB184" s="19" t="s">
        <v>53</v>
      </c>
    </row>
    <row r="185" spans="1:28" x14ac:dyDescent="0.25">
      <c r="A185" s="1">
        <v>45369</v>
      </c>
      <c r="B185" s="1" t="str">
        <f t="shared" si="22"/>
        <v>202403</v>
      </c>
      <c r="C185" s="2">
        <v>0</v>
      </c>
      <c r="D185" s="2">
        <v>0</v>
      </c>
      <c r="E185" s="2">
        <v>0</v>
      </c>
      <c r="F185" s="2">
        <f>F184*(1+((1+VLOOKUP($B185,'IPCA Hist'!$B:$C,2,0))^12 - 1)+$F$2)^(1/252)</f>
        <v>44021704.210714653</v>
      </c>
      <c r="G185" s="2">
        <f>G184*(1+((1+VLOOKUP($B185,'IPCA Hist'!$B:$C,2,0))^12 - 1)+$G$2)^(1/252)</f>
        <v>44005141.954457909</v>
      </c>
      <c r="H185" s="2">
        <f>H184*(1+((1+VLOOKUP($B185,'IPCA Hist'!$B:$C,2,0))^12 - 1)+$H$2)^(1/252)</f>
        <v>45022594.549541779</v>
      </c>
      <c r="I185" s="2">
        <f>I184*(1+((1+VLOOKUP($B185,'IPCA Hist'!$B:$C,2,0))^12 - 1)+$I$2)^(1/252)</f>
        <v>227405773.35059574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f t="shared" si="21"/>
        <v>360455214.06531012</v>
      </c>
      <c r="P185" s="2">
        <v>0</v>
      </c>
      <c r="Q185" s="2">
        <v>0</v>
      </c>
      <c r="R185" s="2">
        <f t="shared" si="30"/>
        <v>97001.616448879242</v>
      </c>
      <c r="S185" s="2">
        <f t="shared" si="23"/>
        <v>1162297.9875708222</v>
      </c>
      <c r="T185" s="2">
        <f t="shared" si="24"/>
        <v>8193373.9584195614</v>
      </c>
      <c r="U185" s="11">
        <f t="shared" si="27"/>
        <v>1.0651584226235256</v>
      </c>
      <c r="V185" s="12">
        <f t="shared" si="28"/>
        <v>2.6918109008722269E-4</v>
      </c>
      <c r="W185" s="12">
        <f t="shared" si="25"/>
        <v>3.234959375929547E-3</v>
      </c>
      <c r="X185" s="12">
        <f t="shared" si="26"/>
        <v>2.2864618951970339E-2</v>
      </c>
      <c r="Y185" s="5">
        <f t="shared" si="29"/>
        <v>6.5158422623525558E-2</v>
      </c>
      <c r="Z185" s="19">
        <f t="shared" si="20"/>
        <v>4.865747593808889E-2</v>
      </c>
      <c r="AA185" s="19" t="s">
        <v>53</v>
      </c>
      <c r="AB185" s="19" t="s">
        <v>53</v>
      </c>
    </row>
    <row r="186" spans="1:28" x14ac:dyDescent="0.25">
      <c r="A186" s="1">
        <v>45370</v>
      </c>
      <c r="B186" s="1" t="str">
        <f t="shared" si="22"/>
        <v>202403</v>
      </c>
      <c r="C186" s="2">
        <v>0</v>
      </c>
      <c r="D186" s="2">
        <v>0</v>
      </c>
      <c r="E186" s="2">
        <v>0</v>
      </c>
      <c r="F186" s="2">
        <f>F185*(1+((1+VLOOKUP($B186,'IPCA Hist'!$B:$C,2,0))^12 - 1)+$F$2)^(1/252)</f>
        <v>44033698.035304882</v>
      </c>
      <c r="G186" s="2">
        <f>G185*(1+((1+VLOOKUP($B186,'IPCA Hist'!$B:$C,2,0))^12 - 1)+$G$2)^(1/252)</f>
        <v>44017147.574114621</v>
      </c>
      <c r="H186" s="2">
        <f>H185*(1+((1+VLOOKUP($B186,'IPCA Hist'!$B:$C,2,0))^12 - 1)+$H$2)^(1/252)</f>
        <v>45034677.436775409</v>
      </c>
      <c r="I186" s="2">
        <f>I185*(1+((1+VLOOKUP($B186,'IPCA Hist'!$B:$C,2,0))^12 - 1)+$I$2)^(1/252)</f>
        <v>227466718.74796432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f t="shared" si="21"/>
        <v>360552241.79415923</v>
      </c>
      <c r="P186" s="2">
        <v>0</v>
      </c>
      <c r="Q186" s="2">
        <v>0</v>
      </c>
      <c r="R186" s="2">
        <f t="shared" si="30"/>
        <v>97027.728849112988</v>
      </c>
      <c r="S186" s="2">
        <f t="shared" si="23"/>
        <v>1259325.7164199352</v>
      </c>
      <c r="T186" s="2">
        <f t="shared" si="24"/>
        <v>8290401.6872686744</v>
      </c>
      <c r="U186" s="11">
        <f t="shared" si="27"/>
        <v>1.0654451431329781</v>
      </c>
      <c r="V186" s="12">
        <f t="shared" si="28"/>
        <v>2.6918109396945056E-4</v>
      </c>
      <c r="W186" s="12">
        <f t="shared" si="25"/>
        <v>3.5050112598027372E-3</v>
      </c>
      <c r="X186" s="12">
        <f t="shared" si="26"/>
        <v>2.3139954769082482E-2</v>
      </c>
      <c r="Y186" s="5">
        <f t="shared" si="29"/>
        <v>6.5445143132978112E-2</v>
      </c>
      <c r="Z186" s="19">
        <f t="shared" si="20"/>
        <v>4.8608068033100249E-2</v>
      </c>
      <c r="AA186" s="19" t="s">
        <v>53</v>
      </c>
      <c r="AB186" s="19" t="s">
        <v>53</v>
      </c>
    </row>
    <row r="187" spans="1:28" x14ac:dyDescent="0.25">
      <c r="A187" s="1">
        <v>45371</v>
      </c>
      <c r="B187" s="1" t="str">
        <f t="shared" si="22"/>
        <v>202403</v>
      </c>
      <c r="C187" s="2">
        <v>0</v>
      </c>
      <c r="D187" s="2">
        <v>0</v>
      </c>
      <c r="E187" s="2">
        <v>0</v>
      </c>
      <c r="F187" s="2">
        <f>F186*(1+((1+VLOOKUP($B187,'IPCA Hist'!$B:$C,2,0))^12 - 1)+$F$2)^(1/252)</f>
        <v>44045695.127642944</v>
      </c>
      <c r="G187" s="2">
        <f>G186*(1+((1+VLOOKUP($B187,'IPCA Hist'!$B:$C,2,0))^12 - 1)+$G$2)^(1/252)</f>
        <v>44029156.469181821</v>
      </c>
      <c r="H187" s="2">
        <f>H186*(1+((1+VLOOKUP($B187,'IPCA Hist'!$B:$C,2,0))^12 - 1)+$H$2)^(1/252)</f>
        <v>45046763.566740058</v>
      </c>
      <c r="I187" s="2">
        <f>I186*(1+((1+VLOOKUP($B187,'IPCA Hist'!$B:$C,2,0))^12 - 1)+$I$2)^(1/252)</f>
        <v>227527680.47887361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f t="shared" si="21"/>
        <v>360649295.64243841</v>
      </c>
      <c r="P187" s="2">
        <v>0</v>
      </c>
      <c r="Q187" s="2">
        <v>0</v>
      </c>
      <c r="R187" s="2">
        <f t="shared" si="30"/>
        <v>97053.848279178143</v>
      </c>
      <c r="S187" s="2">
        <f t="shared" si="23"/>
        <v>1356379.5646991134</v>
      </c>
      <c r="T187" s="2">
        <f t="shared" si="24"/>
        <v>8387455.5355478525</v>
      </c>
      <c r="U187" s="11">
        <f t="shared" si="27"/>
        <v>1.065731940826308</v>
      </c>
      <c r="V187" s="12">
        <f t="shared" si="28"/>
        <v>2.6918109785212252E-4</v>
      </c>
      <c r="W187" s="12">
        <f t="shared" si="25"/>
        <v>3.7751358404336521E-3</v>
      </c>
      <c r="X187" s="12">
        <f t="shared" si="26"/>
        <v>2.341536470536365E-2</v>
      </c>
      <c r="Y187" s="5">
        <f t="shared" si="29"/>
        <v>6.5731940826307955E-2</v>
      </c>
      <c r="Z187" s="19">
        <f t="shared" si="20"/>
        <v>4.8558662445119749E-2</v>
      </c>
      <c r="AA187" s="19" t="s">
        <v>53</v>
      </c>
      <c r="AB187" s="19" t="s">
        <v>53</v>
      </c>
    </row>
    <row r="188" spans="1:28" x14ac:dyDescent="0.25">
      <c r="A188" s="1">
        <v>45372</v>
      </c>
      <c r="B188" s="1" t="str">
        <f t="shared" si="22"/>
        <v>202403</v>
      </c>
      <c r="C188" s="2">
        <v>0</v>
      </c>
      <c r="D188" s="2">
        <v>0</v>
      </c>
      <c r="E188" s="2">
        <v>0</v>
      </c>
      <c r="F188" s="2">
        <f>F187*(1+((1+VLOOKUP($B188,'IPCA Hist'!$B:$C,2,0))^12 - 1)+$F$2)^(1/252)</f>
        <v>44057695.488619134</v>
      </c>
      <c r="G188" s="2">
        <f>G187*(1+((1+VLOOKUP($B188,'IPCA Hist'!$B:$C,2,0))^12 - 1)+$G$2)^(1/252)</f>
        <v>44041168.640553117</v>
      </c>
      <c r="H188" s="2">
        <f>H187*(1+((1+VLOOKUP($B188,'IPCA Hist'!$B:$C,2,0))^12 - 1)+$H$2)^(1/252)</f>
        <v>45058852.940305993</v>
      </c>
      <c r="I188" s="2">
        <f>I187*(1+((1+VLOOKUP($B188,'IPCA Hist'!$B:$C,2,0))^12 - 1)+$I$2)^(1/252)</f>
        <v>227588658.54770106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f t="shared" si="21"/>
        <v>360746375.61717927</v>
      </c>
      <c r="P188" s="2">
        <v>0</v>
      </c>
      <c r="Q188" s="2">
        <v>0</v>
      </c>
      <c r="R188" s="2">
        <f t="shared" si="30"/>
        <v>97079.974740862846</v>
      </c>
      <c r="S188" s="2">
        <f t="shared" si="23"/>
        <v>1453459.5394399762</v>
      </c>
      <c r="T188" s="2">
        <f t="shared" si="24"/>
        <v>8484535.5102887154</v>
      </c>
      <c r="U188" s="11">
        <f t="shared" si="27"/>
        <v>1.0660188157242934</v>
      </c>
      <c r="V188" s="12">
        <f t="shared" si="28"/>
        <v>2.6918110173457244E-4</v>
      </c>
      <c r="W188" s="12">
        <f t="shared" si="25"/>
        <v>4.0453331373928592E-3</v>
      </c>
      <c r="X188" s="12">
        <f t="shared" si="26"/>
        <v>2.3690848780767215E-2</v>
      </c>
      <c r="Y188" s="5">
        <f t="shared" si="29"/>
        <v>6.6018815724293356E-2</v>
      </c>
      <c r="Z188" s="19">
        <f t="shared" si="20"/>
        <v>4.8509259174038144E-2</v>
      </c>
      <c r="AA188" s="19" t="s">
        <v>53</v>
      </c>
      <c r="AB188" s="19" t="s">
        <v>53</v>
      </c>
    </row>
    <row r="189" spans="1:28" x14ac:dyDescent="0.25">
      <c r="A189" s="1">
        <v>45373</v>
      </c>
      <c r="B189" s="1" t="str">
        <f t="shared" si="22"/>
        <v>202403</v>
      </c>
      <c r="C189" s="2">
        <v>0</v>
      </c>
      <c r="D189" s="2">
        <v>0</v>
      </c>
      <c r="E189" s="2">
        <v>0</v>
      </c>
      <c r="F189" s="2">
        <f>F188*(1+((1+VLOOKUP($B189,'IPCA Hist'!$B:$C,2,0))^12 - 1)+$F$2)^(1/252)</f>
        <v>44069699.11912401</v>
      </c>
      <c r="G189" s="2">
        <f>G188*(1+((1+VLOOKUP($B189,'IPCA Hist'!$B:$C,2,0))^12 - 1)+$G$2)^(1/252)</f>
        <v>44053184.089122355</v>
      </c>
      <c r="H189" s="2">
        <f>H188*(1+((1+VLOOKUP($B189,'IPCA Hist'!$B:$C,2,0))^12 - 1)+$H$2)^(1/252)</f>
        <v>45070945.558343709</v>
      </c>
      <c r="I189" s="2">
        <f>I188*(1+((1+VLOOKUP($B189,'IPCA Hist'!$B:$C,2,0))^12 - 1)+$I$2)^(1/252)</f>
        <v>227649652.95882529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f t="shared" si="21"/>
        <v>360843481.72541535</v>
      </c>
      <c r="P189" s="2">
        <v>0</v>
      </c>
      <c r="Q189" s="2">
        <v>0</v>
      </c>
      <c r="R189" s="2">
        <f t="shared" si="30"/>
        <v>97106.108236074448</v>
      </c>
      <c r="S189" s="2">
        <f t="shared" si="23"/>
        <v>1550565.6476760507</v>
      </c>
      <c r="T189" s="2">
        <f t="shared" si="24"/>
        <v>8581641.6185247898</v>
      </c>
      <c r="U189" s="11">
        <f t="shared" si="27"/>
        <v>1.0663057678477188</v>
      </c>
      <c r="V189" s="12">
        <f t="shared" si="28"/>
        <v>2.691811056172444E-4</v>
      </c>
      <c r="W189" s="12">
        <f t="shared" si="25"/>
        <v>4.3156031702566988E-3</v>
      </c>
      <c r="X189" s="12">
        <f t="shared" si="26"/>
        <v>2.3966407015252322E-2</v>
      </c>
      <c r="Y189" s="5">
        <f t="shared" si="29"/>
        <v>6.63057678477188E-2</v>
      </c>
      <c r="Z189" s="19">
        <f t="shared" si="20"/>
        <v>4.8459858219748408E-2</v>
      </c>
      <c r="AA189" s="19" t="s">
        <v>53</v>
      </c>
      <c r="AB189" s="19" t="s">
        <v>53</v>
      </c>
    </row>
    <row r="190" spans="1:28" x14ac:dyDescent="0.25">
      <c r="A190" s="1">
        <v>45376</v>
      </c>
      <c r="B190" s="1" t="str">
        <f t="shared" si="22"/>
        <v>202403</v>
      </c>
      <c r="C190" s="2">
        <v>0</v>
      </c>
      <c r="D190" s="2">
        <v>0</v>
      </c>
      <c r="E190" s="2">
        <v>0</v>
      </c>
      <c r="F190" s="2">
        <f>F189*(1+((1+VLOOKUP($B190,'IPCA Hist'!$B:$C,2,0))^12 - 1)+$F$2)^(1/252)</f>
        <v>44081706.020048358</v>
      </c>
      <c r="G190" s="2">
        <f>G189*(1+((1+VLOOKUP($B190,'IPCA Hist'!$B:$C,2,0))^12 - 1)+$G$2)^(1/252)</f>
        <v>44065202.815783627</v>
      </c>
      <c r="H190" s="2">
        <f>H189*(1+((1+VLOOKUP($B190,'IPCA Hist'!$B:$C,2,0))^12 - 1)+$H$2)^(1/252)</f>
        <v>45083041.421723932</v>
      </c>
      <c r="I190" s="2">
        <f>I189*(1+((1+VLOOKUP($B190,'IPCA Hist'!$B:$C,2,0))^12 - 1)+$I$2)^(1/252)</f>
        <v>227710663.71662608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f t="shared" si="21"/>
        <v>360940613.97418201</v>
      </c>
      <c r="P190" s="2">
        <v>0</v>
      </c>
      <c r="Q190" s="2">
        <v>0</v>
      </c>
      <c r="R190" s="2">
        <f t="shared" si="30"/>
        <v>97132.24876666069</v>
      </c>
      <c r="S190" s="2">
        <f t="shared" si="23"/>
        <v>1647697.8964427114</v>
      </c>
      <c r="T190" s="2">
        <f t="shared" si="24"/>
        <v>8678773.8672914505</v>
      </c>
      <c r="U190" s="11">
        <f t="shared" si="27"/>
        <v>1.0665927972173741</v>
      </c>
      <c r="V190" s="12">
        <f t="shared" si="28"/>
        <v>2.6918110949991636E-4</v>
      </c>
      <c r="W190" s="12">
        <f t="shared" si="25"/>
        <v>4.5859459586061746E-3</v>
      </c>
      <c r="X190" s="12">
        <f t="shared" si="26"/>
        <v>2.4242039428783224E-2</v>
      </c>
      <c r="Y190" s="5">
        <f t="shared" si="29"/>
        <v>6.65927972173741E-2</v>
      </c>
      <c r="Z190" s="19">
        <f t="shared" si="20"/>
        <v>4.8410459582141074E-2</v>
      </c>
      <c r="AA190" s="19" t="s">
        <v>53</v>
      </c>
      <c r="AB190" s="19" t="s">
        <v>53</v>
      </c>
    </row>
    <row r="191" spans="1:28" x14ac:dyDescent="0.25">
      <c r="A191" s="1">
        <v>45377</v>
      </c>
      <c r="B191" s="1" t="str">
        <f t="shared" si="22"/>
        <v>202403</v>
      </c>
      <c r="C191" s="2">
        <v>0</v>
      </c>
      <c r="D191" s="2">
        <v>0</v>
      </c>
      <c r="E191" s="2">
        <v>0</v>
      </c>
      <c r="F191" s="2">
        <f>F190*(1+((1+VLOOKUP($B191,'IPCA Hist'!$B:$C,2,0))^12 - 1)+$F$2)^(1/252)</f>
        <v>44093716.192283213</v>
      </c>
      <c r="G191" s="2">
        <f>G190*(1+((1+VLOOKUP($B191,'IPCA Hist'!$B:$C,2,0))^12 - 1)+$G$2)^(1/252)</f>
        <v>44077224.821431279</v>
      </c>
      <c r="H191" s="2">
        <f>H190*(1+((1+VLOOKUP($B191,'IPCA Hist'!$B:$C,2,0))^12 - 1)+$H$2)^(1/252)</f>
        <v>45095140.531317636</v>
      </c>
      <c r="I191" s="2">
        <f>I190*(1+((1+VLOOKUP($B191,'IPCA Hist'!$B:$C,2,0))^12 - 1)+$I$2)^(1/252)</f>
        <v>227771690.82548437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f t="shared" si="21"/>
        <v>361037772.37051648</v>
      </c>
      <c r="P191" s="2">
        <v>0</v>
      </c>
      <c r="Q191" s="2">
        <v>0</v>
      </c>
      <c r="R191" s="2">
        <f t="shared" si="30"/>
        <v>97158.396334469318</v>
      </c>
      <c r="S191" s="2">
        <f t="shared" si="23"/>
        <v>1744856.2927771807</v>
      </c>
      <c r="T191" s="2">
        <f t="shared" si="24"/>
        <v>8775932.2636259198</v>
      </c>
      <c r="U191" s="11">
        <f t="shared" si="27"/>
        <v>1.0668799038540546</v>
      </c>
      <c r="V191" s="12">
        <f t="shared" si="28"/>
        <v>2.6918111338236628E-4</v>
      </c>
      <c r="W191" s="12">
        <f t="shared" si="25"/>
        <v>4.8563615220276191E-3</v>
      </c>
      <c r="X191" s="12">
        <f t="shared" si="26"/>
        <v>2.4517746041329724E-2</v>
      </c>
      <c r="Y191" s="5">
        <f t="shared" si="29"/>
        <v>6.6879903854054623E-2</v>
      </c>
      <c r="Z191" s="19">
        <f t="shared" si="20"/>
        <v>4.8361063261108894E-2</v>
      </c>
      <c r="AA191" s="19" t="s">
        <v>53</v>
      </c>
      <c r="AB191" s="19" t="s">
        <v>53</v>
      </c>
    </row>
    <row r="192" spans="1:28" x14ac:dyDescent="0.25">
      <c r="A192" s="1">
        <v>45378</v>
      </c>
      <c r="B192" s="1" t="str">
        <f t="shared" si="22"/>
        <v>202403</v>
      </c>
      <c r="C192" s="2">
        <v>0</v>
      </c>
      <c r="D192" s="2">
        <v>0</v>
      </c>
      <c r="E192" s="2">
        <v>0</v>
      </c>
      <c r="F192" s="2">
        <f>F191*(1+((1+VLOOKUP($B192,'IPCA Hist'!$B:$C,2,0))^12 - 1)+$F$2)^(1/252)</f>
        <v>44105729.636719853</v>
      </c>
      <c r="G192" s="2">
        <f>G191*(1+((1+VLOOKUP($B192,'IPCA Hist'!$B:$C,2,0))^12 - 1)+$G$2)^(1/252)</f>
        <v>44089250.106959894</v>
      </c>
      <c r="H192" s="2">
        <f>H191*(1+((1+VLOOKUP($B192,'IPCA Hist'!$B:$C,2,0))^12 - 1)+$H$2)^(1/252)</f>
        <v>45107242.887996018</v>
      </c>
      <c r="I192" s="2">
        <f>I191*(1+((1+VLOOKUP($B192,'IPCA Hist'!$B:$C,2,0))^12 - 1)+$I$2)^(1/252)</f>
        <v>227832734.28978229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f t="shared" si="21"/>
        <v>361134956.92145807</v>
      </c>
      <c r="P192" s="2">
        <v>0</v>
      </c>
      <c r="Q192" s="2">
        <v>0</v>
      </c>
      <c r="R192" s="2">
        <f t="shared" si="30"/>
        <v>97184.550941586494</v>
      </c>
      <c r="S192" s="2">
        <f t="shared" si="23"/>
        <v>1842040.8437187672</v>
      </c>
      <c r="T192" s="2">
        <f t="shared" si="24"/>
        <v>8873116.8145675063</v>
      </c>
      <c r="U192" s="11">
        <f t="shared" si="27"/>
        <v>1.0671670877785617</v>
      </c>
      <c r="V192" s="12">
        <f t="shared" si="28"/>
        <v>2.6918111726503824E-4</v>
      </c>
      <c r="W192" s="12">
        <f t="shared" si="25"/>
        <v>5.1268498801129159E-3</v>
      </c>
      <c r="X192" s="12">
        <f t="shared" si="26"/>
        <v>2.4793526872866956E-2</v>
      </c>
      <c r="Y192" s="5">
        <f t="shared" si="29"/>
        <v>6.7167087778561729E-2</v>
      </c>
      <c r="Z192" s="19">
        <f t="shared" si="20"/>
        <v>4.8311669256543732E-2</v>
      </c>
      <c r="AA192" s="19" t="s">
        <v>53</v>
      </c>
      <c r="AB192" s="19" t="s">
        <v>53</v>
      </c>
    </row>
    <row r="193" spans="1:28" x14ac:dyDescent="0.25">
      <c r="A193" s="1">
        <v>45379</v>
      </c>
      <c r="B193" s="1" t="str">
        <f t="shared" si="22"/>
        <v>202403</v>
      </c>
      <c r="C193" s="2">
        <v>0</v>
      </c>
      <c r="D193" s="2">
        <v>0</v>
      </c>
      <c r="E193" s="2">
        <v>0</v>
      </c>
      <c r="F193" s="2">
        <f>F192*(1+((1+VLOOKUP($B193,'IPCA Hist'!$B:$C,2,0))^12 - 1)+$F$2)^(1/252)</f>
        <v>44117746.354249798</v>
      </c>
      <c r="G193" s="2">
        <f>G192*(1+((1+VLOOKUP($B193,'IPCA Hist'!$B:$C,2,0))^12 - 1)+$G$2)^(1/252)</f>
        <v>44101278.673264302</v>
      </c>
      <c r="H193" s="2">
        <f>H192*(1+((1+VLOOKUP($B193,'IPCA Hist'!$B:$C,2,0))^12 - 1)+$H$2)^(1/252)</f>
        <v>45119348.492630504</v>
      </c>
      <c r="I193" s="2">
        <f>I192*(1+((1+VLOOKUP($B193,'IPCA Hist'!$B:$C,2,0))^12 - 1)+$I$2)^(1/252)</f>
        <v>227893794.11390316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f t="shared" si="21"/>
        <v>361232167.63404775</v>
      </c>
      <c r="P193" s="2">
        <v>0</v>
      </c>
      <c r="Q193" s="2">
        <v>0</v>
      </c>
      <c r="R193" s="2">
        <f t="shared" si="30"/>
        <v>97210.712589681149</v>
      </c>
      <c r="S193" s="2">
        <f t="shared" si="23"/>
        <v>1939251.5563084483</v>
      </c>
      <c r="T193" s="2">
        <f t="shared" si="24"/>
        <v>8970327.5271571875</v>
      </c>
      <c r="U193" s="11">
        <f t="shared" si="27"/>
        <v>1.0674543490117017</v>
      </c>
      <c r="V193" s="12">
        <f t="shared" si="28"/>
        <v>2.6918112114748816E-4</v>
      </c>
      <c r="W193" s="12">
        <f t="shared" si="25"/>
        <v>5.3974110524590557E-3</v>
      </c>
      <c r="X193" s="12">
        <f t="shared" si="26"/>
        <v>2.506938194337538E-2</v>
      </c>
      <c r="Y193" s="5">
        <f t="shared" si="29"/>
        <v>6.7454349011701664E-2</v>
      </c>
      <c r="Z193" s="19">
        <f t="shared" si="20"/>
        <v>4.8262277568336565E-2</v>
      </c>
      <c r="AA193" s="19" t="s">
        <v>53</v>
      </c>
      <c r="AB193" s="19" t="s">
        <v>53</v>
      </c>
    </row>
    <row r="194" spans="1:28" x14ac:dyDescent="0.25">
      <c r="A194" s="1">
        <v>45383</v>
      </c>
      <c r="B194" s="1" t="str">
        <f t="shared" si="22"/>
        <v>202404</v>
      </c>
      <c r="C194" s="2">
        <v>0</v>
      </c>
      <c r="D194" s="2">
        <v>0</v>
      </c>
      <c r="E194" s="2">
        <v>0</v>
      </c>
      <c r="F194" s="2">
        <f>F193*(1+((1+VLOOKUP($B194,'IPCA Hist'!$B:$C,2,0))^12 - 1)+$F$2)^(1/252)</f>
        <v>44134157.487753257</v>
      </c>
      <c r="G194" s="2">
        <f>G193*(1+((1+VLOOKUP($B194,'IPCA Hist'!$B:$C,2,0))^12 - 1)+$G$2)^(1/252)</f>
        <v>44117699.621072039</v>
      </c>
      <c r="H194" s="2">
        <f>H193*(1+((1+VLOOKUP($B194,'IPCA Hist'!$B:$C,2,0))^12 - 1)+$H$2)^(1/252)</f>
        <v>45135952.721228778</v>
      </c>
      <c r="I194" s="2">
        <f>I193*(1+((1+VLOOKUP($B194,'IPCA Hist'!$B:$C,2,0))^12 - 1)+$I$2)^(1/252)</f>
        <v>227977578.12758839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f t="shared" si="21"/>
        <v>361365387.95764244</v>
      </c>
      <c r="P194" s="2">
        <v>0</v>
      </c>
      <c r="Q194" s="2">
        <v>0</v>
      </c>
      <c r="R194" s="2">
        <f t="shared" si="30"/>
        <v>133220.32359468937</v>
      </c>
      <c r="S194" s="2">
        <f t="shared" si="23"/>
        <v>133220.32359468937</v>
      </c>
      <c r="T194" s="2">
        <f t="shared" si="24"/>
        <v>9103547.8507518768</v>
      </c>
      <c r="U194" s="11">
        <f t="shared" si="27"/>
        <v>1.067848019970546</v>
      </c>
      <c r="V194" s="12">
        <f t="shared" si="28"/>
        <v>3.6879418703827938E-4</v>
      </c>
      <c r="W194" s="12">
        <f t="shared" si="25"/>
        <v>3.6879418703827938E-4</v>
      </c>
      <c r="X194" s="12">
        <f t="shared" si="26"/>
        <v>2.5447421572746931E-2</v>
      </c>
      <c r="Y194" s="5">
        <f t="shared" si="29"/>
        <v>6.7848019970546014E-2</v>
      </c>
      <c r="Z194" s="19">
        <f t="shared" ref="Z194:Z257" si="31">U194/U68 - 1</f>
        <v>4.8317275792638892E-2</v>
      </c>
      <c r="AA194" s="19" t="s">
        <v>53</v>
      </c>
      <c r="AB194" s="19" t="s">
        <v>53</v>
      </c>
    </row>
    <row r="195" spans="1:28" x14ac:dyDescent="0.25">
      <c r="A195" s="1">
        <v>45384</v>
      </c>
      <c r="B195" s="1" t="str">
        <f t="shared" si="22"/>
        <v>202404</v>
      </c>
      <c r="C195" s="2">
        <v>0</v>
      </c>
      <c r="D195" s="2">
        <v>0</v>
      </c>
      <c r="E195" s="2">
        <v>0</v>
      </c>
      <c r="F195" s="2">
        <f>F194*(1+((1+VLOOKUP($B195,'IPCA Hist'!$B:$C,2,0))^12 - 1)+$F$2)^(1/252)</f>
        <v>44150574.725949839</v>
      </c>
      <c r="G195" s="2">
        <f>G194*(1+((1+VLOOKUP($B195,'IPCA Hist'!$B:$C,2,0))^12 - 1)+$G$2)^(1/252)</f>
        <v>44134126.683158889</v>
      </c>
      <c r="H195" s="2">
        <f>H194*(1+((1+VLOOKUP($B195,'IPCA Hist'!$B:$C,2,0))^12 - 1)+$H$2)^(1/252)</f>
        <v>45152563.060296655</v>
      </c>
      <c r="I195" s="2">
        <f>I194*(1+((1+VLOOKUP($B195,'IPCA Hist'!$B:$C,2,0))^12 - 1)+$I$2)^(1/252)</f>
        <v>228061392.94404724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f t="shared" ref="O195:O258" si="32">SUM(C195:N195)</f>
        <v>361498657.41345263</v>
      </c>
      <c r="P195" s="2">
        <v>0</v>
      </c>
      <c r="Q195" s="2">
        <v>0</v>
      </c>
      <c r="R195" s="2">
        <f t="shared" si="30"/>
        <v>133269.45581018925</v>
      </c>
      <c r="S195" s="2">
        <f t="shared" si="23"/>
        <v>266489.77940487862</v>
      </c>
      <c r="T195" s="2">
        <f t="shared" si="24"/>
        <v>9236817.3065620661</v>
      </c>
      <c r="U195" s="11">
        <f t="shared" si="27"/>
        <v>1.068241836116895</v>
      </c>
      <c r="V195" s="12">
        <f t="shared" si="28"/>
        <v>3.6879419073132524E-4</v>
      </c>
      <c r="W195" s="12">
        <f t="shared" si="25"/>
        <v>7.3772438692332187E-4</v>
      </c>
      <c r="X195" s="12">
        <f t="shared" si="26"/>
        <v>2.5825600624723277E-2</v>
      </c>
      <c r="Y195" s="5">
        <f t="shared" si="29"/>
        <v>6.8241836116895049E-2</v>
      </c>
      <c r="Z195" s="19">
        <f t="shared" si="31"/>
        <v>4.8372276891420762E-2</v>
      </c>
      <c r="AA195" s="19" t="s">
        <v>53</v>
      </c>
      <c r="AB195" s="19" t="s">
        <v>53</v>
      </c>
    </row>
    <row r="196" spans="1:28" x14ac:dyDescent="0.25">
      <c r="A196" s="1">
        <v>45385</v>
      </c>
      <c r="B196" s="1" t="str">
        <f t="shared" ref="B196:B259" si="33">_xlfn.CONCAT(TEXT(YEAR(A196),"0000"),TEXT(MONTH(A196),"00"))</f>
        <v>202404</v>
      </c>
      <c r="C196" s="2">
        <v>0</v>
      </c>
      <c r="D196" s="2">
        <v>0</v>
      </c>
      <c r="E196" s="2">
        <v>0</v>
      </c>
      <c r="F196" s="2">
        <f>F195*(1+((1+VLOOKUP($B196,'IPCA Hist'!$B:$C,2,0))^12 - 1)+$F$2)^(1/252)</f>
        <v>44166998.071110405</v>
      </c>
      <c r="G196" s="2">
        <f>G195*(1+((1+VLOOKUP($B196,'IPCA Hist'!$B:$C,2,0))^12 - 1)+$G$2)^(1/252)</f>
        <v>44150559.861801475</v>
      </c>
      <c r="H196" s="2">
        <f>H195*(1+((1+VLOOKUP($B196,'IPCA Hist'!$B:$C,2,0))^12 - 1)+$H$2)^(1/252)</f>
        <v>45169179.51208283</v>
      </c>
      <c r="I196" s="2">
        <f>I195*(1+((1+VLOOKUP($B196,'IPCA Hist'!$B:$C,2,0))^12 - 1)+$I$2)^(1/252)</f>
        <v>228145238.57460418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f t="shared" si="32"/>
        <v>361631976.0195989</v>
      </c>
      <c r="P196" s="2">
        <v>0</v>
      </c>
      <c r="Q196" s="2">
        <v>0</v>
      </c>
      <c r="R196" s="2">
        <f t="shared" si="30"/>
        <v>133318.606146276</v>
      </c>
      <c r="S196" s="2">
        <f t="shared" ref="S196:S259" si="34">IF(MONTH(A196)=MONTH(A195),R196+S195,R196)</f>
        <v>399808.38555115461</v>
      </c>
      <c r="T196" s="2">
        <f t="shared" ref="T196:T259" si="35">IF(YEAR(A196)=YEAR(A195),R196+T195,R196)</f>
        <v>9370135.9127083421</v>
      </c>
      <c r="U196" s="11">
        <f t="shared" si="27"/>
        <v>1.0686357975042962</v>
      </c>
      <c r="V196" s="12">
        <f t="shared" si="28"/>
        <v>3.6879419442437111E-4</v>
      </c>
      <c r="W196" s="12">
        <f t="shared" ref="W196:W259" si="36">IF(MONTH(A196)=MONTH(A195),(1+V196)*(1+W195) - 1,V196)</f>
        <v>1.1067906498187785E-3</v>
      </c>
      <c r="X196" s="12">
        <f t="shared" ref="X196:X259" si="37">IF(YEAR(A196)=YEAR(A195),(1+V196)*(1+X195) - 1,V196)</f>
        <v>2.6203919150725508E-2</v>
      </c>
      <c r="Y196" s="5">
        <f t="shared" si="29"/>
        <v>6.8635797504296159E-2</v>
      </c>
      <c r="Z196" s="19">
        <f t="shared" si="31"/>
        <v>4.8427280864831168E-2</v>
      </c>
      <c r="AA196" s="19" t="s">
        <v>53</v>
      </c>
      <c r="AB196" s="19" t="s">
        <v>53</v>
      </c>
    </row>
    <row r="197" spans="1:28" x14ac:dyDescent="0.25">
      <c r="A197" s="1">
        <v>45386</v>
      </c>
      <c r="B197" s="1" t="str">
        <f t="shared" si="33"/>
        <v>202404</v>
      </c>
      <c r="C197" s="2">
        <v>0</v>
      </c>
      <c r="D197" s="2">
        <v>0</v>
      </c>
      <c r="E197" s="2">
        <v>0</v>
      </c>
      <c r="F197" s="2">
        <f>F196*(1+((1+VLOOKUP($B197,'IPCA Hist'!$B:$C,2,0))^12 - 1)+$F$2)^(1/252)</f>
        <v>44183427.525506645</v>
      </c>
      <c r="G197" s="2">
        <f>G196*(1+((1+VLOOKUP($B197,'IPCA Hist'!$B:$C,2,0))^12 - 1)+$G$2)^(1/252)</f>
        <v>44166999.159277275</v>
      </c>
      <c r="H197" s="2">
        <f>H196*(1+((1+VLOOKUP($B197,'IPCA Hist'!$B:$C,2,0))^12 - 1)+$H$2)^(1/252)</f>
        <v>45185802.078836821</v>
      </c>
      <c r="I197" s="2">
        <f>I196*(1+((1+VLOOKUP($B197,'IPCA Hist'!$B:$C,2,0))^12 - 1)+$I$2)^(1/252)</f>
        <v>228229115.03058788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f t="shared" si="32"/>
        <v>361765343.79420865</v>
      </c>
      <c r="P197" s="2">
        <v>0</v>
      </c>
      <c r="Q197" s="2">
        <v>0</v>
      </c>
      <c r="R197" s="2">
        <f t="shared" si="30"/>
        <v>133367.77460974455</v>
      </c>
      <c r="S197" s="2">
        <f t="shared" si="34"/>
        <v>533176.16016089916</v>
      </c>
      <c r="T197" s="2">
        <f t="shared" si="35"/>
        <v>9503503.6873180866</v>
      </c>
      <c r="U197" s="11">
        <f t="shared" ref="U197:U260" si="38">(1+(O197-O196-P197+Q197)/O196)*U196</f>
        <v>1.0690299041863163</v>
      </c>
      <c r="V197" s="12">
        <f t="shared" ref="V197:V260" si="39">U197/U196 - 1</f>
        <v>3.6879419811741698E-4</v>
      </c>
      <c r="W197" s="12">
        <f t="shared" si="36"/>
        <v>1.4759930259062859E-3</v>
      </c>
      <c r="X197" s="12">
        <f t="shared" si="37"/>
        <v>2.6582377202193586E-2</v>
      </c>
      <c r="Y197" s="5">
        <f t="shared" ref="Y197:Y260" si="40">(1+V197)*(1+Y196) - 1</f>
        <v>6.9029904186316271E-2</v>
      </c>
      <c r="Z197" s="19">
        <f t="shared" si="31"/>
        <v>4.8482287713020211E-2</v>
      </c>
      <c r="AA197" s="19" t="s">
        <v>53</v>
      </c>
      <c r="AB197" s="19" t="s">
        <v>53</v>
      </c>
    </row>
    <row r="198" spans="1:28" x14ac:dyDescent="0.25">
      <c r="A198" s="1">
        <v>45387</v>
      </c>
      <c r="B198" s="1" t="str">
        <f t="shared" si="33"/>
        <v>202404</v>
      </c>
      <c r="C198" s="2">
        <v>0</v>
      </c>
      <c r="D198" s="2">
        <v>0</v>
      </c>
      <c r="E198" s="2">
        <v>0</v>
      </c>
      <c r="F198" s="2">
        <f>F197*(1+((1+VLOOKUP($B198,'IPCA Hist'!$B:$C,2,0))^12 - 1)+$F$2)^(1/252)</f>
        <v>44199863.091411106</v>
      </c>
      <c r="G198" s="2">
        <f>G197*(1+((1+VLOOKUP($B198,'IPCA Hist'!$B:$C,2,0))^12 - 1)+$G$2)^(1/252)</f>
        <v>44183444.577864617</v>
      </c>
      <c r="H198" s="2">
        <f>H197*(1+((1+VLOOKUP($B198,'IPCA Hist'!$B:$C,2,0))^12 - 1)+$H$2)^(1/252)</f>
        <v>45202430.762808979</v>
      </c>
      <c r="I198" s="2">
        <f>I197*(1+((1+VLOOKUP($B198,'IPCA Hist'!$B:$C,2,0))^12 - 1)+$I$2)^(1/252)</f>
        <v>228313022.32333115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f t="shared" si="32"/>
        <v>361898760.75541586</v>
      </c>
      <c r="P198" s="2">
        <v>0</v>
      </c>
      <c r="Q198" s="2">
        <v>0</v>
      </c>
      <c r="R198" s="2">
        <f t="shared" si="30"/>
        <v>133416.96120721102</v>
      </c>
      <c r="S198" s="2">
        <f t="shared" si="34"/>
        <v>666593.12136811018</v>
      </c>
      <c r="T198" s="2">
        <f t="shared" si="35"/>
        <v>9636920.6485252976</v>
      </c>
      <c r="U198" s="11">
        <f t="shared" si="38"/>
        <v>1.0694241562165419</v>
      </c>
      <c r="V198" s="12">
        <f t="shared" si="39"/>
        <v>3.6879420181024081E-4</v>
      </c>
      <c r="W198" s="12">
        <f t="shared" si="36"/>
        <v>1.8453315653863545E-3</v>
      </c>
      <c r="X198" s="12">
        <f t="shared" si="37"/>
        <v>2.6960974830586348E-2</v>
      </c>
      <c r="Y198" s="5">
        <f t="shared" si="40"/>
        <v>6.9424156216541855E-2</v>
      </c>
      <c r="Z198" s="19">
        <f t="shared" si="31"/>
        <v>4.8546786158913946E-2</v>
      </c>
      <c r="AA198" s="19" t="s">
        <v>53</v>
      </c>
      <c r="AB198" s="19" t="s">
        <v>53</v>
      </c>
    </row>
    <row r="199" spans="1:28" x14ac:dyDescent="0.25">
      <c r="A199" s="1">
        <v>45390</v>
      </c>
      <c r="B199" s="1" t="str">
        <f t="shared" si="33"/>
        <v>202404</v>
      </c>
      <c r="C199" s="2">
        <v>0</v>
      </c>
      <c r="D199" s="2">
        <v>0</v>
      </c>
      <c r="E199" s="2">
        <v>0</v>
      </c>
      <c r="F199" s="2">
        <f>F198*(1+((1+VLOOKUP($B199,'IPCA Hist'!$B:$C,2,0))^12 - 1)+$F$2)^(1/252)</f>
        <v>44216304.771097176</v>
      </c>
      <c r="G199" s="2">
        <f>G198*(1+((1+VLOOKUP($B199,'IPCA Hist'!$B:$C,2,0))^12 - 1)+$G$2)^(1/252)</f>
        <v>44199896.119842678</v>
      </c>
      <c r="H199" s="2">
        <f>H198*(1+((1+VLOOKUP($B199,'IPCA Hist'!$B:$C,2,0))^12 - 1)+$H$2)^(1/252)</f>
        <v>45219065.566250481</v>
      </c>
      <c r="I199" s="2">
        <f>I198*(1+((1+VLOOKUP($B199,'IPCA Hist'!$B:$C,2,0))^12 - 1)+$I$2)^(1/252)</f>
        <v>228396960.46417096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f t="shared" si="32"/>
        <v>362032226.92136133</v>
      </c>
      <c r="P199" s="2">
        <v>0</v>
      </c>
      <c r="Q199" s="2">
        <v>0</v>
      </c>
      <c r="R199" s="2">
        <f t="shared" si="30"/>
        <v>133466.16594547033</v>
      </c>
      <c r="S199" s="2">
        <f t="shared" si="34"/>
        <v>800059.28731358051</v>
      </c>
      <c r="T199" s="2">
        <f t="shared" si="35"/>
        <v>9770386.814470768</v>
      </c>
      <c r="U199" s="11">
        <f t="shared" si="38"/>
        <v>1.06981855364858</v>
      </c>
      <c r="V199" s="12">
        <f t="shared" si="39"/>
        <v>3.6879420550350872E-4</v>
      </c>
      <c r="W199" s="12">
        <f t="shared" si="36"/>
        <v>2.2148063184783684E-3</v>
      </c>
      <c r="X199" s="12">
        <f t="shared" si="37"/>
        <v>2.7339712087382173E-2</v>
      </c>
      <c r="Y199" s="5">
        <f t="shared" si="40"/>
        <v>6.9818553648580028E-2</v>
      </c>
      <c r="Z199" s="19">
        <f t="shared" si="31"/>
        <v>4.8611288561361432E-2</v>
      </c>
      <c r="AA199" s="19" t="s">
        <v>53</v>
      </c>
      <c r="AB199" s="19" t="s">
        <v>53</v>
      </c>
    </row>
    <row r="200" spans="1:28" x14ac:dyDescent="0.25">
      <c r="A200" s="1">
        <v>45391</v>
      </c>
      <c r="B200" s="1" t="str">
        <f t="shared" si="33"/>
        <v>202404</v>
      </c>
      <c r="C200" s="2">
        <v>0</v>
      </c>
      <c r="D200" s="2">
        <v>0</v>
      </c>
      <c r="E200" s="2">
        <v>0</v>
      </c>
      <c r="F200" s="2">
        <f>F199*(1+((1+VLOOKUP($B200,'IPCA Hist'!$B:$C,2,0))^12 - 1)+$F$2)^(1/252)</f>
        <v>44232752.566839084</v>
      </c>
      <c r="G200" s="2">
        <f>G199*(1+((1+VLOOKUP($B200,'IPCA Hist'!$B:$C,2,0))^12 - 1)+$G$2)^(1/252)</f>
        <v>44216353.787491471</v>
      </c>
      <c r="H200" s="2">
        <f>H199*(1+((1+VLOOKUP($B200,'IPCA Hist'!$B:$C,2,0))^12 - 1)+$H$2)^(1/252)</f>
        <v>45235706.491413333</v>
      </c>
      <c r="I200" s="2">
        <f>I199*(1+((1+VLOOKUP($B200,'IPCA Hist'!$B:$C,2,0))^12 - 1)+$I$2)^(1/252)</f>
        <v>228480929.46444848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f t="shared" si="32"/>
        <v>362165742.31019235</v>
      </c>
      <c r="P200" s="2">
        <v>0</v>
      </c>
      <c r="Q200" s="2">
        <v>0</v>
      </c>
      <c r="R200" s="2">
        <f t="shared" si="30"/>
        <v>133515.3888310194</v>
      </c>
      <c r="S200" s="2">
        <f t="shared" si="34"/>
        <v>933574.67614459991</v>
      </c>
      <c r="T200" s="2">
        <f t="shared" si="35"/>
        <v>9903902.2033017874</v>
      </c>
      <c r="U200" s="11">
        <f t="shared" si="38"/>
        <v>1.0702130965360563</v>
      </c>
      <c r="V200" s="12">
        <f t="shared" si="39"/>
        <v>3.6879420919633255E-4</v>
      </c>
      <c r="W200" s="12">
        <f t="shared" si="36"/>
        <v>2.5844173354194755E-3</v>
      </c>
      <c r="X200" s="12">
        <f t="shared" si="37"/>
        <v>2.7718589024077422E-2</v>
      </c>
      <c r="Y200" s="5">
        <f t="shared" si="40"/>
        <v>7.0213096536056341E-2</v>
      </c>
      <c r="Z200" s="19">
        <f t="shared" si="31"/>
        <v>4.8675794920604032E-2</v>
      </c>
      <c r="AA200" s="19" t="s">
        <v>53</v>
      </c>
      <c r="AB200" s="19" t="s">
        <v>53</v>
      </c>
    </row>
    <row r="201" spans="1:28" x14ac:dyDescent="0.25">
      <c r="A201" s="1">
        <v>45392</v>
      </c>
      <c r="B201" s="1" t="str">
        <f t="shared" si="33"/>
        <v>202404</v>
      </c>
      <c r="C201" s="2">
        <v>0</v>
      </c>
      <c r="D201" s="2">
        <v>0</v>
      </c>
      <c r="E201" s="2">
        <v>0</v>
      </c>
      <c r="F201" s="2">
        <f>F200*(1+((1+VLOOKUP($B201,'IPCA Hist'!$B:$C,2,0))^12 - 1)+$F$2)^(1/252)</f>
        <v>44249206.480911918</v>
      </c>
      <c r="G201" s="2">
        <f>G200*(1+((1+VLOOKUP($B201,'IPCA Hist'!$B:$C,2,0))^12 - 1)+$G$2)^(1/252)</f>
        <v>44232817.58309187</v>
      </c>
      <c r="H201" s="2">
        <f>H200*(1+((1+VLOOKUP($B201,'IPCA Hist'!$B:$C,2,0))^12 - 1)+$H$2)^(1/252)</f>
        <v>45252353.540550373</v>
      </c>
      <c r="I201" s="2">
        <f>I200*(1+((1+VLOOKUP($B201,'IPCA Hist'!$B:$C,2,0))^12 - 1)+$I$2)^(1/252)</f>
        <v>228564929.335509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f t="shared" si="32"/>
        <v>362299306.94006318</v>
      </c>
      <c r="P201" s="2">
        <v>0</v>
      </c>
      <c r="Q201" s="2">
        <v>0</v>
      </c>
      <c r="R201" s="2">
        <f t="shared" ref="R201:R264" si="41">O201-O200-P201+Q201</f>
        <v>133564.62987083197</v>
      </c>
      <c r="S201" s="2">
        <f t="shared" si="34"/>
        <v>1067139.3060154319</v>
      </c>
      <c r="T201" s="2">
        <f t="shared" si="35"/>
        <v>10037466.833172619</v>
      </c>
      <c r="U201" s="11">
        <f t="shared" si="38"/>
        <v>1.0706077849326174</v>
      </c>
      <c r="V201" s="12">
        <f t="shared" si="39"/>
        <v>3.6879421288960046E-4</v>
      </c>
      <c r="W201" s="12">
        <f t="shared" si="36"/>
        <v>2.9541646664661414E-3</v>
      </c>
      <c r="X201" s="12">
        <f t="shared" si="37"/>
        <v>2.8097605692188665E-2</v>
      </c>
      <c r="Y201" s="5">
        <f t="shared" si="40"/>
        <v>7.0607784932617434E-2</v>
      </c>
      <c r="Z201" s="19">
        <f t="shared" si="31"/>
        <v>4.874030523688444E-2</v>
      </c>
      <c r="AA201" s="19" t="s">
        <v>53</v>
      </c>
      <c r="AB201" s="19" t="s">
        <v>53</v>
      </c>
    </row>
    <row r="202" spans="1:28" x14ac:dyDescent="0.25">
      <c r="A202" s="1">
        <v>45393</v>
      </c>
      <c r="B202" s="1" t="str">
        <f t="shared" si="33"/>
        <v>202404</v>
      </c>
      <c r="C202" s="2">
        <v>0</v>
      </c>
      <c r="D202" s="2">
        <v>0</v>
      </c>
      <c r="E202" s="2">
        <v>0</v>
      </c>
      <c r="F202" s="2">
        <f>F201*(1+((1+VLOOKUP($B202,'IPCA Hist'!$B:$C,2,0))^12 - 1)+$F$2)^(1/252)</f>
        <v>44265666.515591599</v>
      </c>
      <c r="G202" s="2">
        <f>G201*(1+((1+VLOOKUP($B202,'IPCA Hist'!$B:$C,2,0))^12 - 1)+$G$2)^(1/252)</f>
        <v>44249287.508925594</v>
      </c>
      <c r="H202" s="2">
        <f>H201*(1+((1+VLOOKUP($B202,'IPCA Hist'!$B:$C,2,0))^12 - 1)+$H$2)^(1/252)</f>
        <v>45269006.715915263</v>
      </c>
      <c r="I202" s="2">
        <f>I201*(1+((1+VLOOKUP($B202,'IPCA Hist'!$B:$C,2,0))^12 - 1)+$I$2)^(1/252)</f>
        <v>228648960.08870202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f t="shared" si="32"/>
        <v>362432920.82913446</v>
      </c>
      <c r="P202" s="2">
        <v>0</v>
      </c>
      <c r="Q202" s="2">
        <v>0</v>
      </c>
      <c r="R202" s="2">
        <f t="shared" si="41"/>
        <v>133613.88907128572</v>
      </c>
      <c r="S202" s="2">
        <f t="shared" si="34"/>
        <v>1200753.1950867176</v>
      </c>
      <c r="T202" s="2">
        <f t="shared" si="35"/>
        <v>10171080.722243905</v>
      </c>
      <c r="U202" s="11">
        <f t="shared" si="38"/>
        <v>1.0710026188919286</v>
      </c>
      <c r="V202" s="12">
        <f t="shared" si="39"/>
        <v>3.6879421658242428E-4</v>
      </c>
      <c r="W202" s="12">
        <f t="shared" si="36"/>
        <v>3.3240483618923733E-3</v>
      </c>
      <c r="X202" s="12">
        <f t="shared" si="37"/>
        <v>2.8476762143250234E-2</v>
      </c>
      <c r="Y202" s="5">
        <f t="shared" si="40"/>
        <v>7.1002618891928604E-2</v>
      </c>
      <c r="Z202" s="19">
        <f t="shared" si="31"/>
        <v>4.8804819510443798E-2</v>
      </c>
      <c r="AA202" s="19" t="s">
        <v>53</v>
      </c>
      <c r="AB202" s="19" t="s">
        <v>53</v>
      </c>
    </row>
    <row r="203" spans="1:28" x14ac:dyDescent="0.25">
      <c r="A203" s="1">
        <v>45394</v>
      </c>
      <c r="B203" s="1" t="str">
        <f t="shared" si="33"/>
        <v>202404</v>
      </c>
      <c r="C203" s="2">
        <v>0</v>
      </c>
      <c r="D203" s="2">
        <v>0</v>
      </c>
      <c r="E203" s="2">
        <v>0</v>
      </c>
      <c r="F203" s="2">
        <f>F202*(1+((1+VLOOKUP($B203,'IPCA Hist'!$B:$C,2,0))^12 - 1)+$F$2)^(1/252)</f>
        <v>44282132.673154905</v>
      </c>
      <c r="G203" s="2">
        <f>G202*(1+((1+VLOOKUP($B203,'IPCA Hist'!$B:$C,2,0))^12 - 1)+$G$2)^(1/252)</f>
        <v>44265763.567275219</v>
      </c>
      <c r="H203" s="2">
        <f>H202*(1+((1+VLOOKUP($B203,'IPCA Hist'!$B:$C,2,0))^12 - 1)+$H$2)^(1/252)</f>
        <v>45285666.019762501</v>
      </c>
      <c r="I203" s="2">
        <f>I202*(1+((1+VLOOKUP($B203,'IPCA Hist'!$B:$C,2,0))^12 - 1)+$I$2)^(1/252)</f>
        <v>228733021.73538122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f t="shared" si="32"/>
        <v>362566583.99557382</v>
      </c>
      <c r="P203" s="2">
        <v>0</v>
      </c>
      <c r="Q203" s="2">
        <v>0</v>
      </c>
      <c r="R203" s="2">
        <f t="shared" si="41"/>
        <v>133663.16643935442</v>
      </c>
      <c r="S203" s="2">
        <f t="shared" si="34"/>
        <v>1334416.361526072</v>
      </c>
      <c r="T203" s="2">
        <f t="shared" si="35"/>
        <v>10304743.888683259</v>
      </c>
      <c r="U203" s="11">
        <f t="shared" si="38"/>
        <v>1.0713975984676758</v>
      </c>
      <c r="V203" s="12">
        <f t="shared" si="39"/>
        <v>3.6879422027547015E-4</v>
      </c>
      <c r="W203" s="12">
        <f t="shared" si="36"/>
        <v>3.6940684719917183E-3</v>
      </c>
      <c r="X203" s="12">
        <f t="shared" si="37"/>
        <v>2.8856058428816223E-2</v>
      </c>
      <c r="Y203" s="5">
        <f t="shared" si="40"/>
        <v>7.1397598467675794E-2</v>
      </c>
      <c r="Z203" s="19">
        <f t="shared" si="31"/>
        <v>4.8869337741524577E-2</v>
      </c>
      <c r="AA203" s="19" t="s">
        <v>53</v>
      </c>
      <c r="AB203" s="19" t="s">
        <v>53</v>
      </c>
    </row>
    <row r="204" spans="1:28" x14ac:dyDescent="0.25">
      <c r="A204" s="1">
        <v>45397</v>
      </c>
      <c r="B204" s="1" t="str">
        <f t="shared" si="33"/>
        <v>202404</v>
      </c>
      <c r="C204" s="2">
        <v>0</v>
      </c>
      <c r="D204" s="2">
        <v>0</v>
      </c>
      <c r="E204" s="2">
        <v>0</v>
      </c>
      <c r="F204" s="2">
        <f>F203*(1+((1+VLOOKUP($B204,'IPCA Hist'!$B:$C,2,0))^12 - 1)+$F$2)^(1/252)</f>
        <v>44298604.95587945</v>
      </c>
      <c r="G204" s="2">
        <f>G203*(1+((1+VLOOKUP($B204,'IPCA Hist'!$B:$C,2,0))^12 - 1)+$G$2)^(1/252)</f>
        <v>44282245.760424159</v>
      </c>
      <c r="H204" s="2">
        <f>H203*(1+((1+VLOOKUP($B204,'IPCA Hist'!$B:$C,2,0))^12 - 1)+$H$2)^(1/252)</f>
        <v>45302331.454347402</v>
      </c>
      <c r="I204" s="2">
        <f>I203*(1+((1+VLOOKUP($B204,'IPCA Hist'!$B:$C,2,0))^12 - 1)+$I$2)^(1/252)</f>
        <v>228817114.28690442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f t="shared" si="32"/>
        <v>362700296.45755541</v>
      </c>
      <c r="P204" s="2">
        <v>0</v>
      </c>
      <c r="Q204" s="2">
        <v>0</v>
      </c>
      <c r="R204" s="2">
        <f t="shared" si="41"/>
        <v>133712.46198159456</v>
      </c>
      <c r="S204" s="2">
        <f t="shared" si="34"/>
        <v>1468128.8235076666</v>
      </c>
      <c r="T204" s="2">
        <f t="shared" si="35"/>
        <v>10438456.350664854</v>
      </c>
      <c r="U204" s="11">
        <f t="shared" si="38"/>
        <v>1.0717927237135645</v>
      </c>
      <c r="V204" s="12">
        <f t="shared" si="39"/>
        <v>3.6879422396851602E-4</v>
      </c>
      <c r="W204" s="12">
        <f t="shared" si="36"/>
        <v>4.0642250470757091E-3</v>
      </c>
      <c r="X204" s="12">
        <f t="shared" si="37"/>
        <v>2.9235494600459822E-2</v>
      </c>
      <c r="Y204" s="5">
        <f t="shared" si="40"/>
        <v>7.1792723713564488E-2</v>
      </c>
      <c r="Z204" s="19">
        <f t="shared" si="31"/>
        <v>4.8933859930368806E-2</v>
      </c>
      <c r="AA204" s="19" t="s">
        <v>53</v>
      </c>
      <c r="AB204" s="19" t="s">
        <v>53</v>
      </c>
    </row>
    <row r="205" spans="1:28" x14ac:dyDescent="0.25">
      <c r="A205" s="1">
        <v>45398</v>
      </c>
      <c r="B205" s="1" t="str">
        <f t="shared" si="33"/>
        <v>202404</v>
      </c>
      <c r="C205" s="2">
        <v>0</v>
      </c>
      <c r="D205" s="2">
        <v>0</v>
      </c>
      <c r="E205" s="2">
        <v>0</v>
      </c>
      <c r="F205" s="2">
        <f>F204*(1+((1+VLOOKUP($B205,'IPCA Hist'!$B:$C,2,0))^12 - 1)+$F$2)^(1/252)</f>
        <v>44315083.366043709</v>
      </c>
      <c r="G205" s="2">
        <f>G204*(1+((1+VLOOKUP($B205,'IPCA Hist'!$B:$C,2,0))^12 - 1)+$G$2)^(1/252)</f>
        <v>44298734.090656683</v>
      </c>
      <c r="H205" s="2">
        <f>H204*(1+((1+VLOOKUP($B205,'IPCA Hist'!$B:$C,2,0))^12 - 1)+$H$2)^(1/252)</f>
        <v>45319003.021926127</v>
      </c>
      <c r="I205" s="2">
        <f>I204*(1+((1+VLOOKUP($B205,'IPCA Hist'!$B:$C,2,0))^12 - 1)+$I$2)^(1/252)</f>
        <v>228901237.75463364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f t="shared" si="32"/>
        <v>362834058.23326015</v>
      </c>
      <c r="P205" s="2">
        <v>0</v>
      </c>
      <c r="Q205" s="2">
        <v>0</v>
      </c>
      <c r="R205" s="2">
        <f t="shared" si="41"/>
        <v>133761.77570474148</v>
      </c>
      <c r="S205" s="2">
        <f t="shared" si="34"/>
        <v>1601890.5992124081</v>
      </c>
      <c r="T205" s="2">
        <f t="shared" si="35"/>
        <v>10572218.126369596</v>
      </c>
      <c r="U205" s="11">
        <f t="shared" si="38"/>
        <v>1.0721879946833199</v>
      </c>
      <c r="V205" s="12">
        <f t="shared" si="39"/>
        <v>3.6879422766178394E-4</v>
      </c>
      <c r="W205" s="12">
        <f t="shared" si="36"/>
        <v>4.4345181374747522E-3</v>
      </c>
      <c r="X205" s="12">
        <f t="shared" si="37"/>
        <v>2.9615070709773095E-2</v>
      </c>
      <c r="Y205" s="5">
        <f t="shared" si="40"/>
        <v>7.2187994683319934E-2</v>
      </c>
      <c r="Z205" s="19">
        <f t="shared" si="31"/>
        <v>4.8998386077218736E-2</v>
      </c>
      <c r="AA205" s="19" t="s">
        <v>53</v>
      </c>
      <c r="AB205" s="19" t="s">
        <v>53</v>
      </c>
    </row>
    <row r="206" spans="1:28" x14ac:dyDescent="0.25">
      <c r="A206" s="1">
        <v>45399</v>
      </c>
      <c r="B206" s="1" t="str">
        <f t="shared" si="33"/>
        <v>202404</v>
      </c>
      <c r="C206" s="2">
        <v>0</v>
      </c>
      <c r="D206" s="2">
        <v>0</v>
      </c>
      <c r="E206" s="2">
        <v>0</v>
      </c>
      <c r="F206" s="2">
        <f>F205*(1+((1+VLOOKUP($B206,'IPCA Hist'!$B:$C,2,0))^12 - 1)+$F$2)^(1/252)</f>
        <v>44331567.905926988</v>
      </c>
      <c r="G206" s="2">
        <f>G205*(1+((1+VLOOKUP($B206,'IPCA Hist'!$B:$C,2,0))^12 - 1)+$G$2)^(1/252)</f>
        <v>44315228.560257912</v>
      </c>
      <c r="H206" s="2">
        <f>H205*(1+((1+VLOOKUP($B206,'IPCA Hist'!$B:$C,2,0))^12 - 1)+$H$2)^(1/252)</f>
        <v>45335680.72475566</v>
      </c>
      <c r="I206" s="2">
        <f>I205*(1+((1+VLOOKUP($B206,'IPCA Hist'!$B:$C,2,0))^12 - 1)+$I$2)^(1/252)</f>
        <v>228985392.14993504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f t="shared" si="32"/>
        <v>362967869.34087563</v>
      </c>
      <c r="P206" s="2">
        <v>0</v>
      </c>
      <c r="Q206" s="2">
        <v>0</v>
      </c>
      <c r="R206" s="2">
        <f t="shared" si="41"/>
        <v>133811.10761547089</v>
      </c>
      <c r="S206" s="2">
        <f t="shared" si="34"/>
        <v>1735701.706827879</v>
      </c>
      <c r="T206" s="2">
        <f t="shared" si="35"/>
        <v>10706029.233985066</v>
      </c>
      <c r="U206" s="11">
        <f t="shared" si="38"/>
        <v>1.0725834114306871</v>
      </c>
      <c r="V206" s="12">
        <f t="shared" si="39"/>
        <v>3.687942313548298E-4</v>
      </c>
      <c r="W206" s="12">
        <f t="shared" si="36"/>
        <v>4.8049477935374618E-3</v>
      </c>
      <c r="X206" s="12">
        <f t="shared" si="37"/>
        <v>2.9994786808366758E-2</v>
      </c>
      <c r="Y206" s="5">
        <f t="shared" si="40"/>
        <v>7.2583411430687139E-2</v>
      </c>
      <c r="Z206" s="19">
        <f t="shared" si="31"/>
        <v>4.9062916182316618E-2</v>
      </c>
      <c r="AA206" s="19" t="s">
        <v>53</v>
      </c>
      <c r="AB206" s="19" t="s">
        <v>53</v>
      </c>
    </row>
    <row r="207" spans="1:28" x14ac:dyDescent="0.25">
      <c r="A207" s="1">
        <v>45400</v>
      </c>
      <c r="B207" s="1" t="str">
        <f t="shared" si="33"/>
        <v>202404</v>
      </c>
      <c r="C207" s="2">
        <v>0</v>
      </c>
      <c r="D207" s="2">
        <v>0</v>
      </c>
      <c r="E207" s="2">
        <v>0</v>
      </c>
      <c r="F207" s="2">
        <f>F206*(1+((1+VLOOKUP($B207,'IPCA Hist'!$B:$C,2,0))^12 - 1)+$F$2)^(1/252)</f>
        <v>44348058.577809453</v>
      </c>
      <c r="G207" s="2">
        <f>G206*(1+((1+VLOOKUP($B207,'IPCA Hist'!$B:$C,2,0))^12 - 1)+$G$2)^(1/252)</f>
        <v>44331729.171513818</v>
      </c>
      <c r="H207" s="2">
        <f>H206*(1+((1+VLOOKUP($B207,'IPCA Hist'!$B:$C,2,0))^12 - 1)+$H$2)^(1/252)</f>
        <v>45352364.565093808</v>
      </c>
      <c r="I207" s="2">
        <f>I206*(1+((1+VLOOKUP($B207,'IPCA Hist'!$B:$C,2,0))^12 - 1)+$I$2)^(1/252)</f>
        <v>229069577.48417902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f t="shared" si="32"/>
        <v>363101729.79859614</v>
      </c>
      <c r="P207" s="2">
        <v>0</v>
      </c>
      <c r="Q207" s="2">
        <v>0</v>
      </c>
      <c r="R207" s="2">
        <f t="shared" si="41"/>
        <v>133860.45772051811</v>
      </c>
      <c r="S207" s="2">
        <f t="shared" si="34"/>
        <v>1869562.1645483971</v>
      </c>
      <c r="T207" s="2">
        <f t="shared" si="35"/>
        <v>10839889.691705585</v>
      </c>
      <c r="U207" s="11">
        <f t="shared" si="38"/>
        <v>1.0729789740094307</v>
      </c>
      <c r="V207" s="12">
        <f t="shared" si="39"/>
        <v>3.6879423504787567E-4</v>
      </c>
      <c r="W207" s="12">
        <f t="shared" si="36"/>
        <v>5.1755140656313259E-3</v>
      </c>
      <c r="X207" s="12">
        <f t="shared" si="37"/>
        <v>3.0374642947871067E-2</v>
      </c>
      <c r="Y207" s="5">
        <f t="shared" si="40"/>
        <v>7.2978974009430653E-2</v>
      </c>
      <c r="Z207" s="19">
        <f t="shared" si="31"/>
        <v>4.912745024590337E-2</v>
      </c>
      <c r="AA207" s="19" t="s">
        <v>53</v>
      </c>
      <c r="AB207" s="19" t="s">
        <v>53</v>
      </c>
    </row>
    <row r="208" spans="1:28" x14ac:dyDescent="0.25">
      <c r="A208" s="1">
        <v>45401</v>
      </c>
      <c r="B208" s="1" t="str">
        <f t="shared" si="33"/>
        <v>202404</v>
      </c>
      <c r="C208" s="2">
        <v>0</v>
      </c>
      <c r="D208" s="2">
        <v>0</v>
      </c>
      <c r="E208" s="2">
        <v>0</v>
      </c>
      <c r="F208" s="2">
        <f>F207*(1+((1+VLOOKUP($B208,'IPCA Hist'!$B:$C,2,0))^12 - 1)+$F$2)^(1/252)</f>
        <v>44364555.383972116</v>
      </c>
      <c r="G208" s="2">
        <f>G207*(1+((1+VLOOKUP($B208,'IPCA Hist'!$B:$C,2,0))^12 - 1)+$G$2)^(1/252)</f>
        <v>44348235.926711224</v>
      </c>
      <c r="H208" s="2">
        <f>H207*(1+((1+VLOOKUP($B208,'IPCA Hist'!$B:$C,2,0))^12 - 1)+$H$2)^(1/252)</f>
        <v>45369054.545199223</v>
      </c>
      <c r="I208" s="2">
        <f>I207*(1+((1+VLOOKUP($B208,'IPCA Hist'!$B:$C,2,0))^12 - 1)+$I$2)^(1/252)</f>
        <v>229153793.76874012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f t="shared" si="32"/>
        <v>363235639.6246227</v>
      </c>
      <c r="P208" s="2">
        <v>0</v>
      </c>
      <c r="Q208" s="2">
        <v>0</v>
      </c>
      <c r="R208" s="2">
        <f t="shared" si="41"/>
        <v>133909.82602655888</v>
      </c>
      <c r="S208" s="2">
        <f t="shared" si="34"/>
        <v>2003471.9905749559</v>
      </c>
      <c r="T208" s="2">
        <f t="shared" si="35"/>
        <v>10973799.517732143</v>
      </c>
      <c r="U208" s="11">
        <f t="shared" si="38"/>
        <v>1.0733746824733355</v>
      </c>
      <c r="V208" s="12">
        <f t="shared" si="39"/>
        <v>3.6879423874092154E-4</v>
      </c>
      <c r="W208" s="12">
        <f t="shared" si="36"/>
        <v>5.546217004142262E-3</v>
      </c>
      <c r="X208" s="12">
        <f t="shared" si="37"/>
        <v>3.0754639179934928E-2</v>
      </c>
      <c r="Y208" s="5">
        <f t="shared" si="40"/>
        <v>7.3374682473335451E-2</v>
      </c>
      <c r="Z208" s="19">
        <f t="shared" si="31"/>
        <v>4.9191988268222353E-2</v>
      </c>
      <c r="AA208" s="19" t="s">
        <v>53</v>
      </c>
      <c r="AB208" s="19" t="s">
        <v>53</v>
      </c>
    </row>
    <row r="209" spans="1:28" x14ac:dyDescent="0.25">
      <c r="A209" s="1">
        <v>45404</v>
      </c>
      <c r="B209" s="1" t="str">
        <f t="shared" si="33"/>
        <v>202404</v>
      </c>
      <c r="C209" s="2">
        <v>0</v>
      </c>
      <c r="D209" s="2">
        <v>0</v>
      </c>
      <c r="E209" s="2">
        <v>0</v>
      </c>
      <c r="F209" s="2">
        <f>F208*(1+((1+VLOOKUP($B209,'IPCA Hist'!$B:$C,2,0))^12 - 1)+$F$2)^(1/252)</f>
        <v>44381058.326696835</v>
      </c>
      <c r="G209" s="2">
        <f>G208*(1+((1+VLOOKUP($B209,'IPCA Hist'!$B:$C,2,0))^12 - 1)+$G$2)^(1/252)</f>
        <v>44364748.828137808</v>
      </c>
      <c r="H209" s="2">
        <f>H208*(1+((1+VLOOKUP($B209,'IPCA Hist'!$B:$C,2,0))^12 - 1)+$H$2)^(1/252)</f>
        <v>45385750.667331375</v>
      </c>
      <c r="I209" s="2">
        <f>I208*(1+((1+VLOOKUP($B209,'IPCA Hist'!$B:$C,2,0))^12 - 1)+$I$2)^(1/252)</f>
        <v>229238041.01499707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f t="shared" si="32"/>
        <v>363369598.83716309</v>
      </c>
      <c r="P209" s="2">
        <v>0</v>
      </c>
      <c r="Q209" s="2">
        <v>0</v>
      </c>
      <c r="R209" s="2">
        <f t="shared" si="41"/>
        <v>133959.21254038811</v>
      </c>
      <c r="S209" s="2">
        <f t="shared" si="34"/>
        <v>2137431.203115344</v>
      </c>
      <c r="T209" s="2">
        <f t="shared" si="35"/>
        <v>11107758.730272532</v>
      </c>
      <c r="U209" s="11">
        <f t="shared" si="38"/>
        <v>1.073770536876206</v>
      </c>
      <c r="V209" s="12">
        <f t="shared" si="39"/>
        <v>3.6879424243396741E-4</v>
      </c>
      <c r="W209" s="12">
        <f t="shared" si="36"/>
        <v>5.9170566594746177E-3</v>
      </c>
      <c r="X209" s="12">
        <f t="shared" si="37"/>
        <v>3.1134775556226568E-2</v>
      </c>
      <c r="Y209" s="5">
        <f t="shared" si="40"/>
        <v>7.377053687620605E-2</v>
      </c>
      <c r="Z209" s="19">
        <f t="shared" si="31"/>
        <v>4.9256530249514707E-2</v>
      </c>
      <c r="AA209" s="19" t="s">
        <v>53</v>
      </c>
      <c r="AB209" s="19" t="s">
        <v>53</v>
      </c>
    </row>
    <row r="210" spans="1:28" x14ac:dyDescent="0.25">
      <c r="A210" s="1">
        <v>45405</v>
      </c>
      <c r="B210" s="1" t="str">
        <f t="shared" si="33"/>
        <v>202404</v>
      </c>
      <c r="C210" s="2">
        <v>0</v>
      </c>
      <c r="D210" s="2">
        <v>0</v>
      </c>
      <c r="E210" s="2">
        <v>0</v>
      </c>
      <c r="F210" s="2">
        <f>F209*(1+((1+VLOOKUP($B210,'IPCA Hist'!$B:$C,2,0))^12 - 1)+$F$2)^(1/252)</f>
        <v>44397567.408266321</v>
      </c>
      <c r="G210" s="2">
        <f>G209*(1+((1+VLOOKUP($B210,'IPCA Hist'!$B:$C,2,0))^12 - 1)+$G$2)^(1/252)</f>
        <v>44381267.878082089</v>
      </c>
      <c r="H210" s="2">
        <f>H209*(1+((1+VLOOKUP($B210,'IPCA Hist'!$B:$C,2,0))^12 - 1)+$H$2)^(1/252)</f>
        <v>45402452.933750577</v>
      </c>
      <c r="I210" s="2">
        <f>I209*(1+((1+VLOOKUP($B210,'IPCA Hist'!$B:$C,2,0))^12 - 1)+$I$2)^(1/252)</f>
        <v>229322319.23433277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f t="shared" si="32"/>
        <v>363503607.45443177</v>
      </c>
      <c r="P210" s="2">
        <v>0</v>
      </c>
      <c r="Q210" s="2">
        <v>0</v>
      </c>
      <c r="R210" s="2">
        <f t="shared" si="41"/>
        <v>134008.61726868153</v>
      </c>
      <c r="S210" s="2">
        <f t="shared" si="34"/>
        <v>2271439.8203840256</v>
      </c>
      <c r="T210" s="2">
        <f t="shared" si="35"/>
        <v>11241767.347541213</v>
      </c>
      <c r="U210" s="11">
        <f t="shared" si="38"/>
        <v>1.074166537271867</v>
      </c>
      <c r="V210" s="12">
        <f t="shared" si="39"/>
        <v>3.6879424612723533E-4</v>
      </c>
      <c r="W210" s="12">
        <f t="shared" si="36"/>
        <v>6.288033082051836E-3</v>
      </c>
      <c r="X210" s="12">
        <f t="shared" si="37"/>
        <v>3.1515052128433307E-2</v>
      </c>
      <c r="Y210" s="5">
        <f t="shared" si="40"/>
        <v>7.416653727186695E-2</v>
      </c>
      <c r="Z210" s="19">
        <f t="shared" si="31"/>
        <v>4.9321076190023128E-2</v>
      </c>
      <c r="AA210" s="19" t="s">
        <v>53</v>
      </c>
      <c r="AB210" s="19" t="s">
        <v>53</v>
      </c>
    </row>
    <row r="211" spans="1:28" x14ac:dyDescent="0.25">
      <c r="A211" s="1">
        <v>45406</v>
      </c>
      <c r="B211" s="1" t="str">
        <f t="shared" si="33"/>
        <v>202404</v>
      </c>
      <c r="C211" s="2">
        <v>0</v>
      </c>
      <c r="D211" s="2">
        <v>0</v>
      </c>
      <c r="E211" s="2">
        <v>0</v>
      </c>
      <c r="F211" s="2">
        <f>F210*(1+((1+VLOOKUP($B211,'IPCA Hist'!$B:$C,2,0))^12 - 1)+$F$2)^(1/252)</f>
        <v>44414082.63096413</v>
      </c>
      <c r="G211" s="2">
        <f>G210*(1+((1+VLOOKUP($B211,'IPCA Hist'!$B:$C,2,0))^12 - 1)+$G$2)^(1/252)</f>
        <v>44397793.078833446</v>
      </c>
      <c r="H211" s="2">
        <f>H210*(1+((1+VLOOKUP($B211,'IPCA Hist'!$B:$C,2,0))^12 - 1)+$H$2)^(1/252)</f>
        <v>45419161.346717969</v>
      </c>
      <c r="I211" s="2">
        <f>I210*(1+((1+VLOOKUP($B211,'IPCA Hist'!$B:$C,2,0))^12 - 1)+$I$2)^(1/252)</f>
        <v>229406628.43813431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f t="shared" si="32"/>
        <v>363637665.49464989</v>
      </c>
      <c r="P211" s="2">
        <v>0</v>
      </c>
      <c r="Q211" s="2">
        <v>0</v>
      </c>
      <c r="R211" s="2">
        <f t="shared" si="41"/>
        <v>134058.04021811485</v>
      </c>
      <c r="S211" s="2">
        <f t="shared" si="34"/>
        <v>2405497.8606021404</v>
      </c>
      <c r="T211" s="2">
        <f t="shared" si="35"/>
        <v>11375825.387759328</v>
      </c>
      <c r="U211" s="11">
        <f t="shared" si="38"/>
        <v>1.0745626837141622</v>
      </c>
      <c r="V211" s="12">
        <f t="shared" si="39"/>
        <v>3.6879424982028119E-4</v>
      </c>
      <c r="W211" s="12">
        <f t="shared" si="36"/>
        <v>6.6591463223155678E-3</v>
      </c>
      <c r="X211" s="12">
        <f t="shared" si="37"/>
        <v>3.1895468948261341E-2</v>
      </c>
      <c r="Y211" s="5">
        <f t="shared" si="40"/>
        <v>7.4562683714162192E-2</v>
      </c>
      <c r="Z211" s="19">
        <f t="shared" si="31"/>
        <v>4.9385626089990087E-2</v>
      </c>
      <c r="AA211" s="19" t="s">
        <v>53</v>
      </c>
      <c r="AB211" s="19" t="s">
        <v>53</v>
      </c>
    </row>
    <row r="212" spans="1:28" x14ac:dyDescent="0.25">
      <c r="A212" s="1">
        <v>45407</v>
      </c>
      <c r="B212" s="1" t="str">
        <f t="shared" si="33"/>
        <v>202404</v>
      </c>
      <c r="C212" s="2">
        <v>0</v>
      </c>
      <c r="D212" s="2">
        <v>0</v>
      </c>
      <c r="E212" s="2">
        <v>0</v>
      </c>
      <c r="F212" s="2">
        <f>F211*(1+((1+VLOOKUP($B212,'IPCA Hist'!$B:$C,2,0))^12 - 1)+$F$2)^(1/252)</f>
        <v>44430603.997074671</v>
      </c>
      <c r="G212" s="2">
        <f>G211*(1+((1+VLOOKUP($B212,'IPCA Hist'!$B:$C,2,0))^12 - 1)+$G$2)^(1/252)</f>
        <v>44414324.432682112</v>
      </c>
      <c r="H212" s="2">
        <f>H211*(1+((1+VLOOKUP($B212,'IPCA Hist'!$B:$C,2,0))^12 - 1)+$H$2)^(1/252)</f>
        <v>45435875.908495523</v>
      </c>
      <c r="I212" s="2">
        <f>I211*(1+((1+VLOOKUP($B212,'IPCA Hist'!$B:$C,2,0))^12 - 1)+$I$2)^(1/252)</f>
        <v>229490968.637793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f t="shared" si="32"/>
        <v>363771772.97604531</v>
      </c>
      <c r="P212" s="2">
        <v>0</v>
      </c>
      <c r="Q212" s="2">
        <v>0</v>
      </c>
      <c r="R212" s="2">
        <f t="shared" si="41"/>
        <v>134107.48139542341</v>
      </c>
      <c r="S212" s="2">
        <f t="shared" si="34"/>
        <v>2539605.3419975638</v>
      </c>
      <c r="T212" s="2">
        <f t="shared" si="35"/>
        <v>11509932.869154751</v>
      </c>
      <c r="U212" s="11">
        <f t="shared" si="38"/>
        <v>1.0749589762569558</v>
      </c>
      <c r="V212" s="12">
        <f t="shared" si="39"/>
        <v>3.6879425351332706E-4</v>
      </c>
      <c r="W212" s="12">
        <f t="shared" si="36"/>
        <v>7.0303964307258937E-3</v>
      </c>
      <c r="X212" s="12">
        <f t="shared" si="37"/>
        <v>3.2276026067435959E-2</v>
      </c>
      <c r="Y212" s="5">
        <f t="shared" si="40"/>
        <v>7.49589762569558E-2</v>
      </c>
      <c r="Z212" s="19">
        <f t="shared" si="31"/>
        <v>4.9450179949656947E-2</v>
      </c>
      <c r="AA212" s="19" t="s">
        <v>53</v>
      </c>
      <c r="AB212" s="19" t="s">
        <v>53</v>
      </c>
    </row>
    <row r="213" spans="1:28" x14ac:dyDescent="0.25">
      <c r="A213" s="1">
        <v>45408</v>
      </c>
      <c r="B213" s="1" t="str">
        <f t="shared" si="33"/>
        <v>202404</v>
      </c>
      <c r="C213" s="2">
        <v>0</v>
      </c>
      <c r="D213" s="2">
        <v>0</v>
      </c>
      <c r="E213" s="2">
        <v>0</v>
      </c>
      <c r="F213" s="2">
        <f>F212*(1+((1+VLOOKUP($B213,'IPCA Hist'!$B:$C,2,0))^12 - 1)+$F$2)^(1/252)</f>
        <v>44447131.508883193</v>
      </c>
      <c r="G213" s="2">
        <f>G212*(1+((1+VLOOKUP($B213,'IPCA Hist'!$B:$C,2,0))^12 - 1)+$G$2)^(1/252)</f>
        <v>44430861.94191917</v>
      </c>
      <c r="H213" s="2">
        <f>H212*(1+((1+VLOOKUP($B213,'IPCA Hist'!$B:$C,2,0))^12 - 1)+$H$2)^(1/252)</f>
        <v>45452596.621346042</v>
      </c>
      <c r="I213" s="2">
        <f>I212*(1+((1+VLOOKUP($B213,'IPCA Hist'!$B:$C,2,0))^12 - 1)+$I$2)^(1/252)</f>
        <v>229575339.8447043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f t="shared" si="32"/>
        <v>363905929.91685271</v>
      </c>
      <c r="P213" s="2">
        <v>0</v>
      </c>
      <c r="Q213" s="2">
        <v>0</v>
      </c>
      <c r="R213" s="2">
        <f t="shared" si="41"/>
        <v>134156.94080740213</v>
      </c>
      <c r="S213" s="2">
        <f t="shared" si="34"/>
        <v>2673762.282804966</v>
      </c>
      <c r="T213" s="2">
        <f t="shared" si="35"/>
        <v>11644089.809962153</v>
      </c>
      <c r="U213" s="11">
        <f t="shared" si="38"/>
        <v>1.075355414954132</v>
      </c>
      <c r="V213" s="12">
        <f t="shared" si="39"/>
        <v>3.6879425720659498E-4</v>
      </c>
      <c r="W213" s="12">
        <f t="shared" si="36"/>
        <v>7.4017834577619901E-3</v>
      </c>
      <c r="X213" s="12">
        <f t="shared" si="37"/>
        <v>3.2656723537701771E-2</v>
      </c>
      <c r="Y213" s="5">
        <f t="shared" si="40"/>
        <v>7.5355414954132005E-2</v>
      </c>
      <c r="Z213" s="19">
        <f t="shared" si="31"/>
        <v>4.9514737769266626E-2</v>
      </c>
      <c r="AA213" s="19" t="s">
        <v>53</v>
      </c>
      <c r="AB213" s="19" t="s">
        <v>53</v>
      </c>
    </row>
    <row r="214" spans="1:28" x14ac:dyDescent="0.25">
      <c r="A214" s="1">
        <v>45411</v>
      </c>
      <c r="B214" s="1" t="str">
        <f t="shared" si="33"/>
        <v>202404</v>
      </c>
      <c r="C214" s="2">
        <v>0</v>
      </c>
      <c r="D214" s="2">
        <v>0</v>
      </c>
      <c r="E214" s="2">
        <v>0</v>
      </c>
      <c r="F214" s="2">
        <f>F213*(1+((1+VLOOKUP($B214,'IPCA Hist'!$B:$C,2,0))^12 - 1)+$F$2)^(1/252)</f>
        <v>44463665.16867581</v>
      </c>
      <c r="G214" s="2">
        <f>G213*(1+((1+VLOOKUP($B214,'IPCA Hist'!$B:$C,2,0))^12 - 1)+$G$2)^(1/252)</f>
        <v>44447405.608836554</v>
      </c>
      <c r="H214" s="2">
        <f>H213*(1+((1+VLOOKUP($B214,'IPCA Hist'!$B:$C,2,0))^12 - 1)+$H$2)^(1/252)</f>
        <v>45469323.48753316</v>
      </c>
      <c r="I214" s="2">
        <f>I213*(1+((1+VLOOKUP($B214,'IPCA Hist'!$B:$C,2,0))^12 - 1)+$I$2)^(1/252)</f>
        <v>229659742.07026786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f t="shared" si="32"/>
        <v>364040136.33531338</v>
      </c>
      <c r="P214" s="2">
        <v>0</v>
      </c>
      <c r="Q214" s="2">
        <v>0</v>
      </c>
      <c r="R214" s="2">
        <f t="shared" si="41"/>
        <v>134206.41846066713</v>
      </c>
      <c r="S214" s="2">
        <f t="shared" si="34"/>
        <v>2807968.7012656331</v>
      </c>
      <c r="T214" s="2">
        <f t="shared" si="35"/>
        <v>11778296.228422821</v>
      </c>
      <c r="U214" s="11">
        <f t="shared" si="38"/>
        <v>1.0757519998595944</v>
      </c>
      <c r="V214" s="12">
        <f t="shared" si="39"/>
        <v>3.6879426089964085E-4</v>
      </c>
      <c r="W214" s="12">
        <f t="shared" si="36"/>
        <v>7.773307453921241E-3</v>
      </c>
      <c r="X214" s="12">
        <f t="shared" si="37"/>
        <v>3.3037561410821814E-2</v>
      </c>
      <c r="Y214" s="5">
        <f t="shared" si="40"/>
        <v>7.5751999859594354E-2</v>
      </c>
      <c r="Z214" s="19">
        <f t="shared" si="31"/>
        <v>4.9579299549060485E-2</v>
      </c>
      <c r="AA214" s="19" t="s">
        <v>53</v>
      </c>
      <c r="AB214" s="19" t="s">
        <v>53</v>
      </c>
    </row>
    <row r="215" spans="1:28" x14ac:dyDescent="0.25">
      <c r="A215" s="1">
        <v>45412</v>
      </c>
      <c r="B215" s="1" t="str">
        <f t="shared" si="33"/>
        <v>202404</v>
      </c>
      <c r="C215" s="2">
        <v>0</v>
      </c>
      <c r="D215" s="2">
        <v>0</v>
      </c>
      <c r="E215" s="2">
        <v>0</v>
      </c>
      <c r="F215" s="2">
        <f>F214*(1+((1+VLOOKUP($B215,'IPCA Hist'!$B:$C,2,0))^12 - 1)+$F$2)^(1/252)</f>
        <v>44480204.978739478</v>
      </c>
      <c r="G215" s="2">
        <f>G214*(1+((1+VLOOKUP($B215,'IPCA Hist'!$B:$C,2,0))^12 - 1)+$G$2)^(1/252)</f>
        <v>44463955.435727052</v>
      </c>
      <c r="H215" s="2">
        <f>H214*(1+((1+VLOOKUP($B215,'IPCA Hist'!$B:$C,2,0))^12 - 1)+$H$2)^(1/252)</f>
        <v>45486056.509321347</v>
      </c>
      <c r="I215" s="2">
        <f>I214*(1+((1+VLOOKUP($B215,'IPCA Hist'!$B:$C,2,0))^12 - 1)+$I$2)^(1/252)</f>
        <v>229744175.32588756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f t="shared" si="32"/>
        <v>364174392.24967545</v>
      </c>
      <c r="P215" s="2">
        <v>0</v>
      </c>
      <c r="Q215" s="2">
        <v>0</v>
      </c>
      <c r="R215" s="2">
        <f t="shared" si="41"/>
        <v>134255.91436207294</v>
      </c>
      <c r="S215" s="2">
        <f t="shared" si="34"/>
        <v>2942224.6156277061</v>
      </c>
      <c r="T215" s="2">
        <f t="shared" si="35"/>
        <v>11912552.142784894</v>
      </c>
      <c r="U215" s="11">
        <f t="shared" si="38"/>
        <v>1.0761487310272668</v>
      </c>
      <c r="V215" s="12">
        <f t="shared" si="39"/>
        <v>3.6879426459290876E-4</v>
      </c>
      <c r="W215" s="12">
        <f t="shared" si="36"/>
        <v>8.1449684697201263E-3</v>
      </c>
      <c r="X215" s="12">
        <f t="shared" si="37"/>
        <v>3.3418539738579112E-2</v>
      </c>
      <c r="Y215" s="5">
        <f t="shared" si="40"/>
        <v>7.6148731027266825E-2</v>
      </c>
      <c r="Z215" s="19">
        <f t="shared" si="31"/>
        <v>4.9643865289281441E-2</v>
      </c>
      <c r="AA215" s="19" t="s">
        <v>53</v>
      </c>
      <c r="AB215" s="19" t="s">
        <v>53</v>
      </c>
    </row>
    <row r="216" spans="1:28" x14ac:dyDescent="0.25">
      <c r="A216" s="1">
        <v>45414</v>
      </c>
      <c r="B216" s="1" t="str">
        <f t="shared" si="33"/>
        <v>202405</v>
      </c>
      <c r="C216" s="2">
        <v>0</v>
      </c>
      <c r="D216" s="2">
        <v>0</v>
      </c>
      <c r="E216" s="2">
        <v>0</v>
      </c>
      <c r="F216" s="2">
        <f>F215*(1+((1+VLOOKUP($B216,'IPCA Hist'!$B:$C,2,0))^12 - 1)+$F$2)^(1/252)</f>
        <v>44498359.908163756</v>
      </c>
      <c r="G216" s="2">
        <f>G215*(1+((1+VLOOKUP($B216,'IPCA Hist'!$B:$C,2,0))^12 - 1)+$G$2)^(1/252)</f>
        <v>44482119.658705324</v>
      </c>
      <c r="H216" s="2">
        <f>H215*(1+((1+VLOOKUP($B216,'IPCA Hist'!$B:$C,2,0))^12 - 1)+$H$2)^(1/252)</f>
        <v>45504442.675688483</v>
      </c>
      <c r="I216" s="2">
        <f>I215*(1+((1+VLOOKUP($B216,'IPCA Hist'!$B:$C,2,0))^12 - 1)+$I$2)^(1/252)</f>
        <v>229836959.09120041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f t="shared" si="32"/>
        <v>364321881.333758</v>
      </c>
      <c r="P216" s="2">
        <v>0</v>
      </c>
      <c r="Q216" s="2">
        <v>0</v>
      </c>
      <c r="R216" s="2">
        <f t="shared" si="41"/>
        <v>147489.08408254385</v>
      </c>
      <c r="S216" s="2">
        <f t="shared" si="34"/>
        <v>147489.08408254385</v>
      </c>
      <c r="T216" s="2">
        <f t="shared" si="35"/>
        <v>12060041.226867437</v>
      </c>
      <c r="U216" s="11">
        <f t="shared" si="38"/>
        <v>1.0765845666984555</v>
      </c>
      <c r="V216" s="12">
        <f t="shared" si="39"/>
        <v>4.0499575813512934E-4</v>
      </c>
      <c r="W216" s="12">
        <f t="shared" si="36"/>
        <v>4.0499575813512934E-4</v>
      </c>
      <c r="X216" s="12">
        <f t="shared" si="37"/>
        <v>3.3837069863551505E-2</v>
      </c>
      <c r="Y216" s="5">
        <f t="shared" si="40"/>
        <v>7.6584566698455481E-2</v>
      </c>
      <c r="Z216" s="19">
        <f t="shared" si="31"/>
        <v>4.9746421990037204E-2</v>
      </c>
      <c r="AA216" s="19" t="s">
        <v>53</v>
      </c>
      <c r="AB216" s="19" t="s">
        <v>53</v>
      </c>
    </row>
    <row r="217" spans="1:28" x14ac:dyDescent="0.25">
      <c r="A217" s="1">
        <v>45415</v>
      </c>
      <c r="B217" s="1" t="str">
        <f t="shared" si="33"/>
        <v>202405</v>
      </c>
      <c r="C217" s="2">
        <v>0</v>
      </c>
      <c r="D217" s="2">
        <v>0</v>
      </c>
      <c r="E217" s="2">
        <v>0</v>
      </c>
      <c r="F217" s="2">
        <f>F216*(1+((1+VLOOKUP($B217,'IPCA Hist'!$B:$C,2,0))^12 - 1)+$F$2)^(1/252)</f>
        <v>44516522.247658707</v>
      </c>
      <c r="G217" s="2">
        <f>G216*(1+((1+VLOOKUP($B217,'IPCA Hist'!$B:$C,2,0))^12 - 1)+$G$2)^(1/252)</f>
        <v>44500291.302053489</v>
      </c>
      <c r="H217" s="2">
        <f>H216*(1+((1+VLOOKUP($B217,'IPCA Hist'!$B:$C,2,0))^12 - 1)+$H$2)^(1/252)</f>
        <v>45522836.274027959</v>
      </c>
      <c r="I217" s="2">
        <f>I216*(1+((1+VLOOKUP($B217,'IPCA Hist'!$B:$C,2,0))^12 - 1)+$I$2)^(1/252)</f>
        <v>229929780.32787502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f t="shared" si="32"/>
        <v>364469430.15161514</v>
      </c>
      <c r="P217" s="2">
        <v>0</v>
      </c>
      <c r="Q217" s="2">
        <v>0</v>
      </c>
      <c r="R217" s="2">
        <f t="shared" si="41"/>
        <v>147548.81785714626</v>
      </c>
      <c r="S217" s="2">
        <f t="shared" si="34"/>
        <v>295037.90193969011</v>
      </c>
      <c r="T217" s="2">
        <f t="shared" si="35"/>
        <v>12207590.044724584</v>
      </c>
      <c r="U217" s="11">
        <f t="shared" si="38"/>
        <v>1.0770205788851464</v>
      </c>
      <c r="V217" s="12">
        <f t="shared" si="39"/>
        <v>4.0499576176156182E-4</v>
      </c>
      <c r="W217" s="12">
        <f t="shared" si="36"/>
        <v>8.1015554146235402E-4</v>
      </c>
      <c r="X217" s="12">
        <f t="shared" si="37"/>
        <v>3.4255769495198152E-2</v>
      </c>
      <c r="Y217" s="5">
        <f t="shared" si="40"/>
        <v>7.7020578885146351E-2</v>
      </c>
      <c r="Z217" s="19">
        <f t="shared" si="31"/>
        <v>4.9848988699999985E-2</v>
      </c>
      <c r="AA217" s="19" t="s">
        <v>53</v>
      </c>
      <c r="AB217" s="19" t="s">
        <v>53</v>
      </c>
    </row>
    <row r="218" spans="1:28" x14ac:dyDescent="0.25">
      <c r="A218" s="1">
        <v>45418</v>
      </c>
      <c r="B218" s="1" t="str">
        <f t="shared" si="33"/>
        <v>202405</v>
      </c>
      <c r="C218" s="2">
        <v>0</v>
      </c>
      <c r="D218" s="2">
        <v>0</v>
      </c>
      <c r="E218" s="2">
        <v>0</v>
      </c>
      <c r="F218" s="2">
        <f>F217*(1+((1+VLOOKUP($B218,'IPCA Hist'!$B:$C,2,0))^12 - 1)+$F$2)^(1/252)</f>
        <v>44534692.000248805</v>
      </c>
      <c r="G218" s="2">
        <f>G217*(1+((1+VLOOKUP($B218,'IPCA Hist'!$B:$C,2,0))^12 - 1)+$G$2)^(1/252)</f>
        <v>44518470.36880289</v>
      </c>
      <c r="H218" s="2">
        <f>H217*(1+((1+VLOOKUP($B218,'IPCA Hist'!$B:$C,2,0))^12 - 1)+$H$2)^(1/252)</f>
        <v>45541237.307343885</v>
      </c>
      <c r="I218" s="2">
        <f>I217*(1+((1+VLOOKUP($B218,'IPCA Hist'!$B:$C,2,0))^12 - 1)+$I$2)^(1/252)</f>
        <v>230022639.05104446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f t="shared" si="32"/>
        <v>364617038.72744006</v>
      </c>
      <c r="P218" s="2">
        <v>0</v>
      </c>
      <c r="Q218" s="2">
        <v>0</v>
      </c>
      <c r="R218" s="2">
        <f t="shared" si="41"/>
        <v>147608.57582491636</v>
      </c>
      <c r="S218" s="2">
        <f t="shared" si="34"/>
        <v>442646.47776460648</v>
      </c>
      <c r="T218" s="2">
        <f t="shared" si="35"/>
        <v>12355198.6205495</v>
      </c>
      <c r="U218" s="11">
        <f t="shared" si="38"/>
        <v>1.0774567676588311</v>
      </c>
      <c r="V218" s="12">
        <f t="shared" si="39"/>
        <v>4.049957653884384E-4</v>
      </c>
      <c r="W218" s="12">
        <f t="shared" si="36"/>
        <v>1.2154794164143112E-3</v>
      </c>
      <c r="X218" s="12">
        <f t="shared" si="37"/>
        <v>3.4674638702172356E-2</v>
      </c>
      <c r="Y218" s="5">
        <f t="shared" si="40"/>
        <v>7.7456767658831138E-2</v>
      </c>
      <c r="Z218" s="19">
        <f t="shared" si="31"/>
        <v>4.9951565420145672E-2</v>
      </c>
      <c r="AA218" s="19" t="s">
        <v>53</v>
      </c>
      <c r="AB218" s="19" t="s">
        <v>53</v>
      </c>
    </row>
    <row r="219" spans="1:28" x14ac:dyDescent="0.25">
      <c r="A219" s="1">
        <v>45419</v>
      </c>
      <c r="B219" s="1" t="str">
        <f t="shared" si="33"/>
        <v>202405</v>
      </c>
      <c r="C219" s="2">
        <v>0</v>
      </c>
      <c r="D219" s="2">
        <v>0</v>
      </c>
      <c r="E219" s="2">
        <v>0</v>
      </c>
      <c r="F219" s="2">
        <f>F218*(1+((1+VLOOKUP($B219,'IPCA Hist'!$B:$C,2,0))^12 - 1)+$F$2)^(1/252)</f>
        <v>44552869.168959759</v>
      </c>
      <c r="G219" s="2">
        <f>G218*(1+((1+VLOOKUP($B219,'IPCA Hist'!$B:$C,2,0))^12 - 1)+$G$2)^(1/252)</f>
        <v>44536656.861986101</v>
      </c>
      <c r="H219" s="2">
        <f>H218*(1+((1+VLOOKUP($B219,'IPCA Hist'!$B:$C,2,0))^12 - 1)+$H$2)^(1/252)</f>
        <v>45559645.778641604</v>
      </c>
      <c r="I219" s="2">
        <f>I218*(1+((1+VLOOKUP($B219,'IPCA Hist'!$B:$C,2,0))^12 - 1)+$I$2)^(1/252)</f>
        <v>230115535.27584791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f t="shared" si="32"/>
        <v>364764707.08543539</v>
      </c>
      <c r="P219" s="2">
        <v>0</v>
      </c>
      <c r="Q219" s="2">
        <v>0</v>
      </c>
      <c r="R219" s="2">
        <f t="shared" si="41"/>
        <v>147668.35799533129</v>
      </c>
      <c r="S219" s="2">
        <f t="shared" si="34"/>
        <v>590314.83575993776</v>
      </c>
      <c r="T219" s="2">
        <f t="shared" si="35"/>
        <v>12502866.978544831</v>
      </c>
      <c r="U219" s="11">
        <f t="shared" si="38"/>
        <v>1.0778931330910293</v>
      </c>
      <c r="V219" s="12">
        <f t="shared" si="39"/>
        <v>4.0499576901487089E-4</v>
      </c>
      <c r="W219" s="12">
        <f t="shared" si="36"/>
        <v>1.6209674494500614E-3</v>
      </c>
      <c r="X219" s="12">
        <f t="shared" si="37"/>
        <v>3.5093677553153624E-2</v>
      </c>
      <c r="Y219" s="5">
        <f t="shared" si="40"/>
        <v>7.7893133091029298E-2</v>
      </c>
      <c r="Z219" s="19">
        <f t="shared" si="31"/>
        <v>5.0035148329608425E-2</v>
      </c>
      <c r="AA219" s="19" t="s">
        <v>53</v>
      </c>
      <c r="AB219" s="19" t="s">
        <v>53</v>
      </c>
    </row>
    <row r="220" spans="1:28" x14ac:dyDescent="0.25">
      <c r="A220" s="1">
        <v>45420</v>
      </c>
      <c r="B220" s="1" t="str">
        <f t="shared" si="33"/>
        <v>202405</v>
      </c>
      <c r="C220" s="2">
        <v>0</v>
      </c>
      <c r="D220" s="2">
        <v>0</v>
      </c>
      <c r="E220" s="2">
        <v>0</v>
      </c>
      <c r="F220" s="2">
        <f>F219*(1+((1+VLOOKUP($B220,'IPCA Hist'!$B:$C,2,0))^12 - 1)+$F$2)^(1/252)</f>
        <v>44571053.756818518</v>
      </c>
      <c r="G220" s="2">
        <f>G219*(1+((1+VLOOKUP($B220,'IPCA Hist'!$B:$C,2,0))^12 - 1)+$G$2)^(1/252)</f>
        <v>44554850.784636937</v>
      </c>
      <c r="H220" s="2">
        <f>H219*(1+((1+VLOOKUP($B220,'IPCA Hist'!$B:$C,2,0))^12 - 1)+$H$2)^(1/252)</f>
        <v>45578061.690927655</v>
      </c>
      <c r="I220" s="2">
        <f>I219*(1+((1+VLOOKUP($B220,'IPCA Hist'!$B:$C,2,0))^12 - 1)+$I$2)^(1/252)</f>
        <v>230208469.01743066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f t="shared" si="32"/>
        <v>364912435.2498138</v>
      </c>
      <c r="P220" s="2">
        <v>0</v>
      </c>
      <c r="Q220" s="2">
        <v>0</v>
      </c>
      <c r="R220" s="2">
        <f t="shared" si="41"/>
        <v>147728.16437840462</v>
      </c>
      <c r="S220" s="2">
        <f t="shared" si="34"/>
        <v>738043.00013834238</v>
      </c>
      <c r="T220" s="2">
        <f t="shared" si="35"/>
        <v>12650595.142923236</v>
      </c>
      <c r="U220" s="11">
        <f t="shared" si="38"/>
        <v>1.0783296752532905</v>
      </c>
      <c r="V220" s="12">
        <f t="shared" si="39"/>
        <v>4.0499577264152542E-4</v>
      </c>
      <c r="W220" s="12">
        <f t="shared" si="36"/>
        <v>2.0266197070561986E-3</v>
      </c>
      <c r="X220" s="12">
        <f t="shared" si="37"/>
        <v>3.5512886116850551E-2</v>
      </c>
      <c r="Y220" s="5">
        <f t="shared" si="40"/>
        <v>7.8329675253290487E-2</v>
      </c>
      <c r="Z220" s="19">
        <f t="shared" si="31"/>
        <v>5.0118737881725606E-2</v>
      </c>
      <c r="AA220" s="19" t="s">
        <v>53</v>
      </c>
      <c r="AB220" s="19" t="s">
        <v>53</v>
      </c>
    </row>
    <row r="221" spans="1:28" x14ac:dyDescent="0.25">
      <c r="A221" s="1">
        <v>45421</v>
      </c>
      <c r="B221" s="1" t="str">
        <f t="shared" si="33"/>
        <v>202405</v>
      </c>
      <c r="C221" s="2">
        <v>0</v>
      </c>
      <c r="D221" s="2">
        <v>0</v>
      </c>
      <c r="E221" s="2">
        <v>0</v>
      </c>
      <c r="F221" s="2">
        <f>F220*(1+((1+VLOOKUP($B221,'IPCA Hist'!$B:$C,2,0))^12 - 1)+$F$2)^(1/252)</f>
        <v>44589245.766853265</v>
      </c>
      <c r="G221" s="2">
        <f>G220*(1+((1+VLOOKUP($B221,'IPCA Hist'!$B:$C,2,0))^12 - 1)+$G$2)^(1/252)</f>
        <v>44573052.139790453</v>
      </c>
      <c r="H221" s="2">
        <f>H220*(1+((1+VLOOKUP($B221,'IPCA Hist'!$B:$C,2,0))^12 - 1)+$H$2)^(1/252)</f>
        <v>45596485.047209799</v>
      </c>
      <c r="I221" s="2">
        <f>I220*(1+((1+VLOOKUP($B221,'IPCA Hist'!$B:$C,2,0))^12 - 1)+$I$2)^(1/252)</f>
        <v>230301440.29094413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f t="shared" si="32"/>
        <v>365060223.24479765</v>
      </c>
      <c r="P221" s="2">
        <v>0</v>
      </c>
      <c r="Q221" s="2">
        <v>0</v>
      </c>
      <c r="R221" s="2">
        <f t="shared" si="41"/>
        <v>147787.99498385191</v>
      </c>
      <c r="S221" s="2">
        <f t="shared" si="34"/>
        <v>885830.99512219429</v>
      </c>
      <c r="T221" s="2">
        <f t="shared" si="35"/>
        <v>12798383.137907088</v>
      </c>
      <c r="U221" s="11">
        <f t="shared" si="38"/>
        <v>1.0787663942171926</v>
      </c>
      <c r="V221" s="12">
        <f t="shared" si="39"/>
        <v>4.0499577626795791E-4</v>
      </c>
      <c r="W221" s="12">
        <f t="shared" si="36"/>
        <v>2.4324362557455181E-3</v>
      </c>
      <c r="X221" s="12">
        <f t="shared" si="37"/>
        <v>3.593226446199882E-2</v>
      </c>
      <c r="Y221" s="5">
        <f t="shared" si="40"/>
        <v>7.8766394217192559E-2</v>
      </c>
      <c r="Z221" s="19">
        <f t="shared" si="31"/>
        <v>5.020233407702368E-2</v>
      </c>
      <c r="AA221" s="19" t="s">
        <v>53</v>
      </c>
      <c r="AB221" s="19" t="s">
        <v>53</v>
      </c>
    </row>
    <row r="222" spans="1:28" x14ac:dyDescent="0.25">
      <c r="A222" s="1">
        <v>45422</v>
      </c>
      <c r="B222" s="1" t="str">
        <f t="shared" si="33"/>
        <v>202405</v>
      </c>
      <c r="C222" s="2">
        <v>0</v>
      </c>
      <c r="D222" s="2">
        <v>0</v>
      </c>
      <c r="E222" s="2">
        <v>0</v>
      </c>
      <c r="F222" s="2">
        <f>F221*(1+((1+VLOOKUP($B222,'IPCA Hist'!$B:$C,2,0))^12 - 1)+$F$2)^(1/252)</f>
        <v>44607445.202093415</v>
      </c>
      <c r="G222" s="2">
        <f>G221*(1+((1+VLOOKUP($B222,'IPCA Hist'!$B:$C,2,0))^12 - 1)+$G$2)^(1/252)</f>
        <v>44591260.930482939</v>
      </c>
      <c r="H222" s="2">
        <f>H221*(1+((1+VLOOKUP($B222,'IPCA Hist'!$B:$C,2,0))^12 - 1)+$H$2)^(1/252)</f>
        <v>45614915.850497022</v>
      </c>
      <c r="I222" s="2">
        <f>I221*(1+((1+VLOOKUP($B222,'IPCA Hist'!$B:$C,2,0))^12 - 1)+$I$2)^(1/252)</f>
        <v>230394449.11154583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f t="shared" si="32"/>
        <v>365208071.09461915</v>
      </c>
      <c r="P222" s="2">
        <v>0</v>
      </c>
      <c r="Q222" s="2">
        <v>0</v>
      </c>
      <c r="R222" s="2">
        <f t="shared" si="41"/>
        <v>147847.84982150793</v>
      </c>
      <c r="S222" s="2">
        <f t="shared" si="34"/>
        <v>1033678.8449437022</v>
      </c>
      <c r="T222" s="2">
        <f t="shared" si="35"/>
        <v>12946230.987728596</v>
      </c>
      <c r="U222" s="11">
        <f t="shared" si="38"/>
        <v>1.0792032900543427</v>
      </c>
      <c r="V222" s="12">
        <f t="shared" si="39"/>
        <v>4.0499577989461244E-4</v>
      </c>
      <c r="W222" s="12">
        <f t="shared" si="36"/>
        <v>2.8384171620585708E-3</v>
      </c>
      <c r="X222" s="12">
        <f t="shared" si="37"/>
        <v>3.6351812657362537E-2</v>
      </c>
      <c r="Y222" s="5">
        <f t="shared" si="40"/>
        <v>7.9203290054342679E-2</v>
      </c>
      <c r="Z222" s="19">
        <f t="shared" si="31"/>
        <v>5.0285936916029783E-2</v>
      </c>
      <c r="AA222" s="19" t="s">
        <v>53</v>
      </c>
      <c r="AB222" s="19" t="s">
        <v>53</v>
      </c>
    </row>
    <row r="223" spans="1:28" x14ac:dyDescent="0.25">
      <c r="A223" s="1">
        <v>45425</v>
      </c>
      <c r="B223" s="1" t="str">
        <f t="shared" si="33"/>
        <v>202405</v>
      </c>
      <c r="C223" s="2">
        <v>0</v>
      </c>
      <c r="D223" s="2">
        <v>0</v>
      </c>
      <c r="E223" s="2">
        <v>0</v>
      </c>
      <c r="F223" s="2">
        <f>F222*(1+((1+VLOOKUP($B223,'IPCA Hist'!$B:$C,2,0))^12 - 1)+$F$2)^(1/252)</f>
        <v>44625652.065569617</v>
      </c>
      <c r="G223" s="2">
        <f>G222*(1+((1+VLOOKUP($B223,'IPCA Hist'!$B:$C,2,0))^12 - 1)+$G$2)^(1/252)</f>
        <v>44609477.159751929</v>
      </c>
      <c r="H223" s="2">
        <f>H222*(1+((1+VLOOKUP($B223,'IPCA Hist'!$B:$C,2,0))^12 - 1)+$H$2)^(1/252)</f>
        <v>45633354.103799514</v>
      </c>
      <c r="I223" s="2">
        <f>I222*(1+((1+VLOOKUP($B223,'IPCA Hist'!$B:$C,2,0))^12 - 1)+$I$2)^(1/252)</f>
        <v>230487495.4943994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f t="shared" si="32"/>
        <v>365355978.82352042</v>
      </c>
      <c r="P223" s="2">
        <v>0</v>
      </c>
      <c r="Q223" s="2">
        <v>0</v>
      </c>
      <c r="R223" s="2">
        <f t="shared" si="41"/>
        <v>147907.72890126705</v>
      </c>
      <c r="S223" s="2">
        <f t="shared" si="34"/>
        <v>1181586.5738449693</v>
      </c>
      <c r="T223" s="2">
        <f t="shared" si="35"/>
        <v>13094138.716629863</v>
      </c>
      <c r="U223" s="11">
        <f t="shared" si="38"/>
        <v>1.0796403628363769</v>
      </c>
      <c r="V223" s="12">
        <f t="shared" si="39"/>
        <v>4.0499578352126697E-4</v>
      </c>
      <c r="W223" s="12">
        <f t="shared" si="36"/>
        <v>3.2445624925623306E-3</v>
      </c>
      <c r="X223" s="12">
        <f t="shared" si="37"/>
        <v>3.6771530771733341E-2</v>
      </c>
      <c r="Y223" s="5">
        <f t="shared" si="40"/>
        <v>7.9640362836376877E-2</v>
      </c>
      <c r="Z223" s="19">
        <f t="shared" si="31"/>
        <v>5.0369546399270826E-2</v>
      </c>
      <c r="AA223" s="19" t="s">
        <v>53</v>
      </c>
      <c r="AB223" s="19" t="s">
        <v>53</v>
      </c>
    </row>
    <row r="224" spans="1:28" x14ac:dyDescent="0.25">
      <c r="A224" s="1">
        <v>45426</v>
      </c>
      <c r="B224" s="1" t="str">
        <f t="shared" si="33"/>
        <v>202405</v>
      </c>
      <c r="C224" s="2">
        <v>0</v>
      </c>
      <c r="D224" s="2">
        <v>0</v>
      </c>
      <c r="E224" s="2">
        <v>0</v>
      </c>
      <c r="F224" s="2">
        <f>F223*(1+((1+VLOOKUP($B224,'IPCA Hist'!$B:$C,2,0))^12 - 1)+$F$2)^(1/252)</f>
        <v>44643866.360313766</v>
      </c>
      <c r="G224" s="2">
        <f>G223*(1+((1+VLOOKUP($B224,'IPCA Hist'!$B:$C,2,0))^12 - 1)+$G$2)^(1/252)</f>
        <v>44627700.830636203</v>
      </c>
      <c r="H224" s="2">
        <f>H223*(1+((1+VLOOKUP($B224,'IPCA Hist'!$B:$C,2,0))^12 - 1)+$H$2)^(1/252)</f>
        <v>45651799.810128681</v>
      </c>
      <c r="I224" s="2">
        <f>I223*(1+((1+VLOOKUP($B224,'IPCA Hist'!$B:$C,2,0))^12 - 1)+$I$2)^(1/252)</f>
        <v>230580579.45467463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f t="shared" si="32"/>
        <v>365503946.45575333</v>
      </c>
      <c r="P224" s="2">
        <v>0</v>
      </c>
      <c r="Q224" s="2">
        <v>0</v>
      </c>
      <c r="R224" s="2">
        <f t="shared" si="41"/>
        <v>147967.63223290443</v>
      </c>
      <c r="S224" s="2">
        <f t="shared" si="34"/>
        <v>1329554.2060778737</v>
      </c>
      <c r="T224" s="2">
        <f t="shared" si="35"/>
        <v>13242106.348862767</v>
      </c>
      <c r="U224" s="11">
        <f t="shared" si="38"/>
        <v>1.0800776126349607</v>
      </c>
      <c r="V224" s="12">
        <f t="shared" si="39"/>
        <v>4.0499578714814355E-4</v>
      </c>
      <c r="W224" s="12">
        <f t="shared" si="36"/>
        <v>3.6508723138510835E-3</v>
      </c>
      <c r="X224" s="12">
        <f t="shared" si="37"/>
        <v>3.719141887393107E-2</v>
      </c>
      <c r="Y224" s="5">
        <f t="shared" si="40"/>
        <v>8.0077612634960715E-2</v>
      </c>
      <c r="Z224" s="19">
        <f t="shared" si="31"/>
        <v>5.0453162527274387E-2</v>
      </c>
      <c r="AA224" s="19" t="s">
        <v>53</v>
      </c>
      <c r="AB224" s="19" t="s">
        <v>53</v>
      </c>
    </row>
    <row r="225" spans="1:28" s="17" customFormat="1" x14ac:dyDescent="0.25">
      <c r="A225" s="13">
        <v>45427</v>
      </c>
      <c r="B225" s="13" t="str">
        <f t="shared" si="33"/>
        <v>202405</v>
      </c>
      <c r="C225" s="14">
        <v>0</v>
      </c>
      <c r="D225" s="14">
        <v>0</v>
      </c>
      <c r="E225" s="14">
        <v>0</v>
      </c>
      <c r="F225" s="14">
        <f>F224*(1+((1+VLOOKUP($B225,'IPCA Hist'!$B:$C,2,0))^12 - 1)+$F$2)^(1/252)</f>
        <v>44662088.089358985</v>
      </c>
      <c r="G225" s="14">
        <f>G224*(1+((1+VLOOKUP($B225,'IPCA Hist'!$B:$C,2,0))^12 - 1)+$G$2)^(1/252)</f>
        <v>44645931.946175776</v>
      </c>
      <c r="H225" s="14">
        <f>H224*(1+((1+VLOOKUP($B225,'IPCA Hist'!$B:$C,2,0))^12 - 1)+$H$2)^(1/252)</f>
        <v>45670252.972497158</v>
      </c>
      <c r="I225" s="14">
        <f>I224*(1+((1+VLOOKUP($B225,'IPCA Hist'!$B:$C,2,0))^12 - 1)+$I$2)^(1/252)</f>
        <v>230673701.00754741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4">
        <f t="shared" si="32"/>
        <v>365651974.01557934</v>
      </c>
      <c r="P225" s="14">
        <v>0</v>
      </c>
      <c r="Q225" s="14">
        <v>0</v>
      </c>
      <c r="R225" s="2">
        <f t="shared" si="41"/>
        <v>148027.55982601643</v>
      </c>
      <c r="S225" s="2">
        <f t="shared" si="34"/>
        <v>1477581.7659038901</v>
      </c>
      <c r="T225" s="2">
        <f t="shared" si="35"/>
        <v>13390133.908688784</v>
      </c>
      <c r="U225" s="15">
        <f t="shared" si="38"/>
        <v>1.0805150395217875</v>
      </c>
      <c r="V225" s="16">
        <f t="shared" si="39"/>
        <v>4.0499579077435399E-4</v>
      </c>
      <c r="W225" s="16">
        <f t="shared" si="36"/>
        <v>4.0573466925450941E-3</v>
      </c>
      <c r="X225" s="16">
        <f t="shared" si="37"/>
        <v>3.761147703280221E-2</v>
      </c>
      <c r="Y225" s="5">
        <f t="shared" si="40"/>
        <v>8.0515039521787513E-2</v>
      </c>
      <c r="Z225" s="19">
        <f t="shared" si="31"/>
        <v>5.0536785300566933E-2</v>
      </c>
      <c r="AA225" s="19" t="s">
        <v>53</v>
      </c>
      <c r="AB225" s="19" t="s">
        <v>53</v>
      </c>
    </row>
    <row r="226" spans="1:28" x14ac:dyDescent="0.25">
      <c r="A226" s="1">
        <v>45428</v>
      </c>
      <c r="B226" s="1" t="str">
        <f t="shared" si="33"/>
        <v>202405</v>
      </c>
      <c r="C226" s="2">
        <v>0</v>
      </c>
      <c r="D226" s="2">
        <v>0</v>
      </c>
      <c r="E226" s="2">
        <v>0</v>
      </c>
      <c r="F226" s="2">
        <f>F225*(1+((1+VLOOKUP($B226,'IPCA Hist'!$B:$C,2,0))^12 - 1)+$F$2)^(1/252)</f>
        <v>44680317.255739644</v>
      </c>
      <c r="G226" s="2">
        <f>G225*(1+((1+VLOOKUP($B226,'IPCA Hist'!$B:$C,2,0))^12 - 1)+$G$2)^(1/252)</f>
        <v>44664170.509411909</v>
      </c>
      <c r="H226" s="2">
        <f>H225*(1+((1+VLOOKUP($B226,'IPCA Hist'!$B:$C,2,0))^12 - 1)+$H$2)^(1/252)</f>
        <v>45688713.593918793</v>
      </c>
      <c r="I226" s="2">
        <f>I225*(1+((1+VLOOKUP($B226,'IPCA Hist'!$B:$C,2,0))^12 - 1)+$I$2)^(1/252)</f>
        <v>230766860.16819978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f t="shared" si="32"/>
        <v>365800061.52727014</v>
      </c>
      <c r="P226" s="2">
        <v>0</v>
      </c>
      <c r="Q226" s="2">
        <v>0</v>
      </c>
      <c r="R226" s="2">
        <f t="shared" si="41"/>
        <v>148087.51169079542</v>
      </c>
      <c r="S226" s="2">
        <f t="shared" si="34"/>
        <v>1625669.2775946856</v>
      </c>
      <c r="T226" s="2">
        <f t="shared" si="35"/>
        <v>13538221.420379579</v>
      </c>
      <c r="U226" s="11">
        <f t="shared" si="38"/>
        <v>1.080952643568581</v>
      </c>
      <c r="V226" s="12">
        <f t="shared" si="39"/>
        <v>4.0499579440123057E-4</v>
      </c>
      <c r="W226" s="12">
        <f t="shared" si="36"/>
        <v>4.463985695293271E-3</v>
      </c>
      <c r="X226" s="12">
        <f t="shared" si="37"/>
        <v>3.8031705317222997E-2</v>
      </c>
      <c r="Y226" s="5">
        <f t="shared" si="40"/>
        <v>8.0952643568581006E-2</v>
      </c>
      <c r="Z226" s="19">
        <f t="shared" si="31"/>
        <v>5.0620414719676043E-2</v>
      </c>
      <c r="AA226" s="19" t="s">
        <v>53</v>
      </c>
      <c r="AB226" s="19" t="s">
        <v>53</v>
      </c>
    </row>
    <row r="227" spans="1:28" x14ac:dyDescent="0.25">
      <c r="A227" s="1">
        <v>45429</v>
      </c>
      <c r="B227" s="1" t="str">
        <f t="shared" si="33"/>
        <v>202405</v>
      </c>
      <c r="C227" s="2">
        <v>0</v>
      </c>
      <c r="D227" s="2">
        <v>0</v>
      </c>
      <c r="E227" s="2">
        <v>0</v>
      </c>
      <c r="F227" s="2">
        <f>F226*(1+((1+VLOOKUP($B227,'IPCA Hist'!$B:$C,2,0))^12 - 1)+$F$2)^(1/252)</f>
        <v>44698553.862491347</v>
      </c>
      <c r="G227" s="2">
        <f>G226*(1+((1+VLOOKUP($B227,'IPCA Hist'!$B:$C,2,0))^12 - 1)+$G$2)^(1/252)</f>
        <v>44682416.523387097</v>
      </c>
      <c r="H227" s="2">
        <f>H226*(1+((1+VLOOKUP($B227,'IPCA Hist'!$B:$C,2,0))^12 - 1)+$H$2)^(1/252)</f>
        <v>45707181.677408643</v>
      </c>
      <c r="I227" s="2">
        <f>I226*(1+((1+VLOOKUP($B227,'IPCA Hist'!$B:$C,2,0))^12 - 1)+$I$2)^(1/252)</f>
        <v>230860056.9518199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f t="shared" si="32"/>
        <v>365948209.01510698</v>
      </c>
      <c r="P227" s="2">
        <v>0</v>
      </c>
      <c r="Q227" s="2">
        <v>0</v>
      </c>
      <c r="R227" s="2">
        <f t="shared" si="41"/>
        <v>148147.48783683777</v>
      </c>
      <c r="S227" s="2">
        <f t="shared" si="34"/>
        <v>1773816.7654315233</v>
      </c>
      <c r="T227" s="2">
        <f t="shared" si="35"/>
        <v>13686368.908216417</v>
      </c>
      <c r="U227" s="11">
        <f t="shared" si="38"/>
        <v>1.0813904248470931</v>
      </c>
      <c r="V227" s="12">
        <f t="shared" si="39"/>
        <v>4.0499579802766306E-4</v>
      </c>
      <c r="W227" s="12">
        <f t="shared" si="36"/>
        <v>4.8707893887700582E-3</v>
      </c>
      <c r="X227" s="12">
        <f t="shared" si="37"/>
        <v>3.8452103796095871E-2</v>
      </c>
      <c r="Y227" s="5">
        <f t="shared" si="40"/>
        <v>8.1390424847093135E-2</v>
      </c>
      <c r="Z227" s="19">
        <f t="shared" si="31"/>
        <v>5.0704050785128851E-2</v>
      </c>
      <c r="AA227" s="19" t="s">
        <v>53</v>
      </c>
      <c r="AB227" s="19" t="s">
        <v>53</v>
      </c>
    </row>
    <row r="228" spans="1:28" x14ac:dyDescent="0.25">
      <c r="A228" s="1">
        <v>45432</v>
      </c>
      <c r="B228" s="1" t="str">
        <f t="shared" si="33"/>
        <v>202405</v>
      </c>
      <c r="C228" s="2">
        <v>0</v>
      </c>
      <c r="D228" s="2">
        <v>0</v>
      </c>
      <c r="E228" s="2">
        <v>0</v>
      </c>
      <c r="F228" s="2">
        <f>F227*(1+((1+VLOOKUP($B228,'IPCA Hist'!$B:$C,2,0))^12 - 1)+$F$2)^(1/252)</f>
        <v>44716797.912650935</v>
      </c>
      <c r="G228" s="2">
        <f>G227*(1+((1+VLOOKUP($B228,'IPCA Hist'!$B:$C,2,0))^12 - 1)+$G$2)^(1/252)</f>
        <v>44700669.991145089</v>
      </c>
      <c r="H228" s="2">
        <f>H227*(1+((1+VLOOKUP($B228,'IPCA Hist'!$B:$C,2,0))^12 - 1)+$H$2)^(1/252)</f>
        <v>45725657.225983001</v>
      </c>
      <c r="I228" s="2">
        <f>I227*(1+((1+VLOOKUP($B228,'IPCA Hist'!$B:$C,2,0))^12 - 1)+$I$2)^(1/252)</f>
        <v>230953291.37360206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f t="shared" si="32"/>
        <v>366096416.50338107</v>
      </c>
      <c r="P228" s="2">
        <v>0</v>
      </c>
      <c r="Q228" s="2">
        <v>0</v>
      </c>
      <c r="R228" s="2">
        <f t="shared" si="41"/>
        <v>148207.48827409744</v>
      </c>
      <c r="S228" s="2">
        <f t="shared" si="34"/>
        <v>1922024.2537056208</v>
      </c>
      <c r="T228" s="2">
        <f t="shared" si="35"/>
        <v>13834576.396490514</v>
      </c>
      <c r="U228" s="11">
        <f t="shared" si="38"/>
        <v>1.0818283834291056</v>
      </c>
      <c r="V228" s="12">
        <f t="shared" si="39"/>
        <v>4.0499580165453963E-4</v>
      </c>
      <c r="W228" s="12">
        <f t="shared" si="36"/>
        <v>5.2777578396778768E-3</v>
      </c>
      <c r="X228" s="12">
        <f t="shared" si="37"/>
        <v>3.8872672538352582E-2</v>
      </c>
      <c r="Y228" s="5">
        <f t="shared" si="40"/>
        <v>8.1828383429105589E-2</v>
      </c>
      <c r="Z228" s="19">
        <f t="shared" si="31"/>
        <v>5.0787693497452935E-2</v>
      </c>
      <c r="AA228" s="19" t="s">
        <v>53</v>
      </c>
      <c r="AB228" s="19" t="s">
        <v>53</v>
      </c>
    </row>
    <row r="229" spans="1:28" x14ac:dyDescent="0.25">
      <c r="A229" s="1">
        <v>45433</v>
      </c>
      <c r="B229" s="1" t="str">
        <f t="shared" si="33"/>
        <v>202405</v>
      </c>
      <c r="C229" s="2">
        <v>0</v>
      </c>
      <c r="D229" s="2">
        <v>0</v>
      </c>
      <c r="E229" s="2">
        <v>0</v>
      </c>
      <c r="F229" s="2">
        <f>F228*(1+((1+VLOOKUP($B229,'IPCA Hist'!$B:$C,2,0))^12 - 1)+$F$2)^(1/252)</f>
        <v>44735049.409256488</v>
      </c>
      <c r="G229" s="2">
        <f>G228*(1+((1+VLOOKUP($B229,'IPCA Hist'!$B:$C,2,0))^12 - 1)+$G$2)^(1/252)</f>
        <v>44718930.915730871</v>
      </c>
      <c r="H229" s="2">
        <f>H228*(1+((1+VLOOKUP($B229,'IPCA Hist'!$B:$C,2,0))^12 - 1)+$H$2)^(1/252)</f>
        <v>45744140.24265936</v>
      </c>
      <c r="I229" s="2">
        <f>I228*(1+((1+VLOOKUP($B229,'IPCA Hist'!$B:$C,2,0))^12 - 1)+$I$2)^(1/252)</f>
        <v>231046563.44874671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f t="shared" si="32"/>
        <v>366244684.01639342</v>
      </c>
      <c r="P229" s="2">
        <v>0</v>
      </c>
      <c r="Q229" s="2">
        <v>0</v>
      </c>
      <c r="R229" s="2">
        <f t="shared" si="41"/>
        <v>148267.51301234961</v>
      </c>
      <c r="S229" s="2">
        <f t="shared" si="34"/>
        <v>2070291.7667179704</v>
      </c>
      <c r="T229" s="2">
        <f t="shared" si="35"/>
        <v>13982843.909502864</v>
      </c>
      <c r="U229" s="11">
        <f t="shared" si="38"/>
        <v>1.0822665193864285</v>
      </c>
      <c r="V229" s="12">
        <f t="shared" si="39"/>
        <v>4.0499580528119417E-4</v>
      </c>
      <c r="W229" s="12">
        <f t="shared" si="36"/>
        <v>5.6848911147453496E-3</v>
      </c>
      <c r="X229" s="12">
        <f t="shared" si="37"/>
        <v>3.9293411612951967E-2</v>
      </c>
      <c r="Y229" s="5">
        <f t="shared" si="40"/>
        <v>8.2266519386428483E-2</v>
      </c>
      <c r="Z229" s="19">
        <f t="shared" si="31"/>
        <v>5.0871342857175206E-2</v>
      </c>
      <c r="AA229" s="19" t="s">
        <v>53</v>
      </c>
      <c r="AB229" s="19" t="s">
        <v>53</v>
      </c>
    </row>
    <row r="230" spans="1:28" x14ac:dyDescent="0.25">
      <c r="A230" s="1">
        <v>45434</v>
      </c>
      <c r="B230" s="1" t="str">
        <f t="shared" si="33"/>
        <v>202405</v>
      </c>
      <c r="C230" s="2">
        <v>0</v>
      </c>
      <c r="D230" s="2">
        <v>0</v>
      </c>
      <c r="E230" s="2">
        <v>0</v>
      </c>
      <c r="F230" s="2">
        <f>F229*(1+((1+VLOOKUP($B230,'IPCA Hist'!$B:$C,2,0))^12 - 1)+$F$2)^(1/252)</f>
        <v>44753308.355347335</v>
      </c>
      <c r="G230" s="2">
        <f>G229*(1+((1+VLOOKUP($B230,'IPCA Hist'!$B:$C,2,0))^12 - 1)+$G$2)^(1/252)</f>
        <v>44737199.300190672</v>
      </c>
      <c r="H230" s="2">
        <f>H229*(1+((1+VLOOKUP($B230,'IPCA Hist'!$B:$C,2,0))^12 - 1)+$H$2)^(1/252)</f>
        <v>45762630.730456449</v>
      </c>
      <c r="I230" s="2">
        <f>I229*(1+((1+VLOOKUP($B230,'IPCA Hist'!$B:$C,2,0))^12 - 1)+$I$2)^(1/252)</f>
        <v>231139873.19246039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f t="shared" si="32"/>
        <v>366393011.57845485</v>
      </c>
      <c r="P230" s="2">
        <v>0</v>
      </c>
      <c r="Q230" s="2">
        <v>0</v>
      </c>
      <c r="R230" s="2">
        <f t="shared" si="41"/>
        <v>148327.56206142902</v>
      </c>
      <c r="S230" s="2">
        <f t="shared" si="34"/>
        <v>2218619.3287793994</v>
      </c>
      <c r="T230" s="2">
        <f t="shared" si="35"/>
        <v>14131171.471564293</v>
      </c>
      <c r="U230" s="11">
        <f t="shared" si="38"/>
        <v>1.0827048327909012</v>
      </c>
      <c r="V230" s="12">
        <f t="shared" si="39"/>
        <v>4.049958089078487E-4</v>
      </c>
      <c r="W230" s="12">
        <f t="shared" si="36"/>
        <v>6.0921892807288547E-3</v>
      </c>
      <c r="X230" s="12">
        <f t="shared" si="37"/>
        <v>3.9714321088880844E-2</v>
      </c>
      <c r="Y230" s="5">
        <f t="shared" si="40"/>
        <v>8.2704832790901239E-2</v>
      </c>
      <c r="Z230" s="19">
        <f t="shared" si="31"/>
        <v>5.0954998864823242E-2</v>
      </c>
      <c r="AA230" s="19" t="s">
        <v>53</v>
      </c>
      <c r="AB230" s="19" t="s">
        <v>53</v>
      </c>
    </row>
    <row r="231" spans="1:28" x14ac:dyDescent="0.25">
      <c r="A231" s="1">
        <v>45435</v>
      </c>
      <c r="B231" s="1" t="str">
        <f t="shared" si="33"/>
        <v>202405</v>
      </c>
      <c r="C231" s="2">
        <v>0</v>
      </c>
      <c r="D231" s="2">
        <v>0</v>
      </c>
      <c r="E231" s="2">
        <v>0</v>
      </c>
      <c r="F231" s="2">
        <f>F230*(1+((1+VLOOKUP($B231,'IPCA Hist'!$B:$C,2,0))^12 - 1)+$F$2)^(1/252)</f>
        <v>44771574.753964037</v>
      </c>
      <c r="G231" s="2">
        <f>G230*(1+((1+VLOOKUP($B231,'IPCA Hist'!$B:$C,2,0))^12 - 1)+$G$2)^(1/252)</f>
        <v>44755475.147571966</v>
      </c>
      <c r="H231" s="2">
        <f>H230*(1+((1+VLOOKUP($B231,'IPCA Hist'!$B:$C,2,0))^12 - 1)+$H$2)^(1/252)</f>
        <v>45781128.692394204</v>
      </c>
      <c r="I231" s="2">
        <f>I230*(1+((1+VLOOKUP($B231,'IPCA Hist'!$B:$C,2,0))^12 - 1)+$I$2)^(1/252)</f>
        <v>231233220.61995584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f t="shared" si="32"/>
        <v>366541399.21388602</v>
      </c>
      <c r="P231" s="2">
        <v>0</v>
      </c>
      <c r="Q231" s="2">
        <v>0</v>
      </c>
      <c r="R231" s="2">
        <f t="shared" si="41"/>
        <v>148387.63543117046</v>
      </c>
      <c r="S231" s="2">
        <f t="shared" si="34"/>
        <v>2367006.9642105699</v>
      </c>
      <c r="T231" s="2">
        <f t="shared" si="35"/>
        <v>14279559.106995463</v>
      </c>
      <c r="U231" s="11">
        <f t="shared" si="38"/>
        <v>1.0831433237143924</v>
      </c>
      <c r="V231" s="12">
        <f t="shared" si="39"/>
        <v>4.0499581253450323E-4</v>
      </c>
      <c r="W231" s="12">
        <f t="shared" si="36"/>
        <v>6.4996524044111936E-3</v>
      </c>
      <c r="X231" s="12">
        <f t="shared" si="37"/>
        <v>4.0135401035154006E-2</v>
      </c>
      <c r="Y231" s="5">
        <f t="shared" si="40"/>
        <v>8.314332371439237E-2</v>
      </c>
      <c r="Z231" s="19">
        <f t="shared" si="31"/>
        <v>5.10386615209244E-2</v>
      </c>
      <c r="AA231" s="19" t="s">
        <v>53</v>
      </c>
      <c r="AB231" s="19" t="s">
        <v>53</v>
      </c>
    </row>
    <row r="232" spans="1:28" x14ac:dyDescent="0.25">
      <c r="A232" s="1">
        <v>45436</v>
      </c>
      <c r="B232" s="1" t="str">
        <f t="shared" si="33"/>
        <v>202405</v>
      </c>
      <c r="C232" s="2">
        <v>0</v>
      </c>
      <c r="D232" s="2">
        <v>0</v>
      </c>
      <c r="E232" s="2">
        <v>0</v>
      </c>
      <c r="F232" s="2">
        <f>F231*(1+((1+VLOOKUP($B232,'IPCA Hist'!$B:$C,2,0))^12 - 1)+$F$2)^(1/252)</f>
        <v>44789848.608148396</v>
      </c>
      <c r="G232" s="2">
        <f>G231*(1+((1+VLOOKUP($B232,'IPCA Hist'!$B:$C,2,0))^12 - 1)+$G$2)^(1/252)</f>
        <v>44773758.460923478</v>
      </c>
      <c r="H232" s="2">
        <f>H231*(1+((1+VLOOKUP($B232,'IPCA Hist'!$B:$C,2,0))^12 - 1)+$H$2)^(1/252)</f>
        <v>45799634.131493792</v>
      </c>
      <c r="I232" s="2">
        <f>I231*(1+((1+VLOOKUP($B232,'IPCA Hist'!$B:$C,2,0))^12 - 1)+$I$2)^(1/252)</f>
        <v>231326605.74645188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f t="shared" si="32"/>
        <v>366689846.94701755</v>
      </c>
      <c r="P232" s="2">
        <v>0</v>
      </c>
      <c r="Q232" s="2">
        <v>0</v>
      </c>
      <c r="R232" s="2">
        <f t="shared" si="41"/>
        <v>148447.7331315279</v>
      </c>
      <c r="S232" s="2">
        <f t="shared" si="34"/>
        <v>2515454.6973420978</v>
      </c>
      <c r="T232" s="2">
        <f t="shared" si="35"/>
        <v>14428006.840126991</v>
      </c>
      <c r="U232" s="11">
        <f t="shared" si="38"/>
        <v>1.0835819922287999</v>
      </c>
      <c r="V232" s="12">
        <f t="shared" si="39"/>
        <v>4.0499581616137981E-4</v>
      </c>
      <c r="W232" s="12">
        <f t="shared" si="36"/>
        <v>6.9072805526029235E-3</v>
      </c>
      <c r="X232" s="12">
        <f t="shared" si="37"/>
        <v>4.0556651520814668E-2</v>
      </c>
      <c r="Y232" s="5">
        <f t="shared" si="40"/>
        <v>8.3581992228799917E-2</v>
      </c>
      <c r="Z232" s="19">
        <f t="shared" si="31"/>
        <v>5.1122330826006701E-2</v>
      </c>
      <c r="AA232" s="19" t="s">
        <v>53</v>
      </c>
      <c r="AB232" s="19" t="s">
        <v>53</v>
      </c>
    </row>
    <row r="233" spans="1:28" x14ac:dyDescent="0.25">
      <c r="A233" s="1">
        <v>45439</v>
      </c>
      <c r="B233" s="1" t="str">
        <f t="shared" si="33"/>
        <v>202405</v>
      </c>
      <c r="C233" s="2">
        <v>0</v>
      </c>
      <c r="D233" s="2">
        <v>0</v>
      </c>
      <c r="E233" s="2">
        <v>0</v>
      </c>
      <c r="F233" s="2">
        <f>F232*(1+((1+VLOOKUP($B233,'IPCA Hist'!$B:$C,2,0))^12 - 1)+$F$2)^(1/252)</f>
        <v>44808129.920943461</v>
      </c>
      <c r="G233" s="2">
        <f>G232*(1+((1+VLOOKUP($B233,'IPCA Hist'!$B:$C,2,0))^12 - 1)+$G$2)^(1/252)</f>
        <v>44792049.24329517</v>
      </c>
      <c r="H233" s="2">
        <f>H232*(1+((1+VLOOKUP($B233,'IPCA Hist'!$B:$C,2,0))^12 - 1)+$H$2)^(1/252)</f>
        <v>45818147.050777599</v>
      </c>
      <c r="I233" s="2">
        <f>I232*(1+((1+VLOOKUP($B233,'IPCA Hist'!$B:$C,2,0))^12 - 1)+$I$2)^(1/252)</f>
        <v>231420028.58717355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f t="shared" si="32"/>
        <v>366838354.80218983</v>
      </c>
      <c r="P233" s="2">
        <v>0</v>
      </c>
      <c r="Q233" s="2">
        <v>0</v>
      </c>
      <c r="R233" s="2">
        <f t="shared" si="41"/>
        <v>148507.8551722765</v>
      </c>
      <c r="S233" s="2">
        <f t="shared" si="34"/>
        <v>2663962.5525143743</v>
      </c>
      <c r="T233" s="2">
        <f t="shared" si="35"/>
        <v>14576514.695299268</v>
      </c>
      <c r="U233" s="11">
        <f t="shared" si="38"/>
        <v>1.0840208384060501</v>
      </c>
      <c r="V233" s="12">
        <f t="shared" si="39"/>
        <v>4.0499581978803434E-4</v>
      </c>
      <c r="W233" s="12">
        <f t="shared" si="36"/>
        <v>7.3150737921408027E-3</v>
      </c>
      <c r="X233" s="12">
        <f t="shared" si="37"/>
        <v>4.0978072614933136E-2</v>
      </c>
      <c r="Y233" s="5">
        <f t="shared" si="40"/>
        <v>8.4020838406050125E-2</v>
      </c>
      <c r="Z233" s="19">
        <f t="shared" si="31"/>
        <v>5.1206006780596836E-2</v>
      </c>
      <c r="AA233" s="19" t="s">
        <v>53</v>
      </c>
      <c r="AB233" s="19" t="s">
        <v>53</v>
      </c>
    </row>
    <row r="234" spans="1:28" x14ac:dyDescent="0.25">
      <c r="A234" s="1">
        <v>45440</v>
      </c>
      <c r="B234" s="1" t="str">
        <f t="shared" si="33"/>
        <v>202405</v>
      </c>
      <c r="C234" s="2">
        <v>0</v>
      </c>
      <c r="D234" s="2">
        <v>0</v>
      </c>
      <c r="E234" s="2">
        <v>0</v>
      </c>
      <c r="F234" s="2">
        <f>F233*(1+((1+VLOOKUP($B234,'IPCA Hist'!$B:$C,2,0))^12 - 1)+$F$2)^(1/252)</f>
        <v>44826418.695393518</v>
      </c>
      <c r="G234" s="2">
        <f>G233*(1+((1+VLOOKUP($B234,'IPCA Hist'!$B:$C,2,0))^12 - 1)+$G$2)^(1/252)</f>
        <v>44810347.497738257</v>
      </c>
      <c r="H234" s="2">
        <f>H233*(1+((1+VLOOKUP($B234,'IPCA Hist'!$B:$C,2,0))^12 - 1)+$H$2)^(1/252)</f>
        <v>45836667.453269228</v>
      </c>
      <c r="I234" s="2">
        <f>I233*(1+((1+VLOOKUP($B234,'IPCA Hist'!$B:$C,2,0))^12 - 1)+$I$2)^(1/252)</f>
        <v>231513489.15735197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f t="shared" si="32"/>
        <v>366986922.80375296</v>
      </c>
      <c r="P234" s="2">
        <v>0</v>
      </c>
      <c r="Q234" s="2">
        <v>0</v>
      </c>
      <c r="R234" s="2">
        <f t="shared" si="41"/>
        <v>148568.00156313181</v>
      </c>
      <c r="S234" s="2">
        <f t="shared" si="34"/>
        <v>2812530.5540775061</v>
      </c>
      <c r="T234" s="2">
        <f t="shared" si="35"/>
        <v>14725082.6968624</v>
      </c>
      <c r="U234" s="11">
        <f t="shared" si="38"/>
        <v>1.0844598623180988</v>
      </c>
      <c r="V234" s="12">
        <f t="shared" si="39"/>
        <v>4.0499582341446683E-4</v>
      </c>
      <c r="W234" s="12">
        <f t="shared" si="36"/>
        <v>7.723032189889123E-3</v>
      </c>
      <c r="X234" s="12">
        <f t="shared" si="37"/>
        <v>4.1399664386608137E-2</v>
      </c>
      <c r="Y234" s="5">
        <f t="shared" si="40"/>
        <v>8.4459862318098766E-2</v>
      </c>
      <c r="Z234" s="19">
        <f t="shared" si="31"/>
        <v>5.1289689385222159E-2</v>
      </c>
      <c r="AA234" s="19" t="s">
        <v>53</v>
      </c>
      <c r="AB234" s="19" t="s">
        <v>53</v>
      </c>
    </row>
    <row r="235" spans="1:28" x14ac:dyDescent="0.25">
      <c r="A235" s="1">
        <v>45441</v>
      </c>
      <c r="B235" s="1" t="str">
        <f t="shared" si="33"/>
        <v>202405</v>
      </c>
      <c r="C235" s="2">
        <v>0</v>
      </c>
      <c r="D235" s="2">
        <v>0</v>
      </c>
      <c r="E235" s="2">
        <v>0</v>
      </c>
      <c r="F235" s="2">
        <f>F234*(1+((1+VLOOKUP($B235,'IPCA Hist'!$B:$C,2,0))^12 - 1)+$F$2)^(1/252)</f>
        <v>44844714.934544101</v>
      </c>
      <c r="G235" s="2">
        <f>G234*(1+((1+VLOOKUP($B235,'IPCA Hist'!$B:$C,2,0))^12 - 1)+$G$2)^(1/252)</f>
        <v>44828653.227305196</v>
      </c>
      <c r="H235" s="2">
        <f>H234*(1+((1+VLOOKUP($B235,'IPCA Hist'!$B:$C,2,0))^12 - 1)+$H$2)^(1/252)</f>
        <v>45855195.341993511</v>
      </c>
      <c r="I235" s="2">
        <f>I234*(1+((1+VLOOKUP($B235,'IPCA Hist'!$B:$C,2,0))^12 - 1)+$I$2)^(1/252)</f>
        <v>231606987.47222444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f t="shared" si="32"/>
        <v>367135550.97606725</v>
      </c>
      <c r="P235" s="2">
        <v>0</v>
      </c>
      <c r="Q235" s="2">
        <v>0</v>
      </c>
      <c r="R235" s="2">
        <f t="shared" si="41"/>
        <v>148628.17231428623</v>
      </c>
      <c r="S235" s="2">
        <f t="shared" si="34"/>
        <v>2961158.7263917923</v>
      </c>
      <c r="T235" s="2">
        <f t="shared" si="35"/>
        <v>14873710.869176686</v>
      </c>
      <c r="U235" s="11">
        <f t="shared" si="38"/>
        <v>1.0848990640369314</v>
      </c>
      <c r="V235" s="12">
        <f t="shared" si="39"/>
        <v>4.049958270413434E-4</v>
      </c>
      <c r="W235" s="12">
        <f t="shared" si="36"/>
        <v>8.1311558127394878E-3</v>
      </c>
      <c r="X235" s="12">
        <f t="shared" si="37"/>
        <v>4.1821426904967041E-2</v>
      </c>
      <c r="Y235" s="5">
        <f t="shared" si="40"/>
        <v>8.4899064036931371E-2</v>
      </c>
      <c r="Z235" s="19">
        <f t="shared" si="31"/>
        <v>5.1373378640410916E-2</v>
      </c>
      <c r="AA235" s="19" t="s">
        <v>53</v>
      </c>
      <c r="AB235" s="19" t="s">
        <v>53</v>
      </c>
    </row>
    <row r="236" spans="1:28" x14ac:dyDescent="0.25">
      <c r="A236" s="1">
        <v>45443</v>
      </c>
      <c r="B236" s="1" t="str">
        <f t="shared" si="33"/>
        <v>202405</v>
      </c>
      <c r="C236" s="2">
        <v>0</v>
      </c>
      <c r="D236" s="2">
        <v>0</v>
      </c>
      <c r="E236" s="2">
        <v>0</v>
      </c>
      <c r="F236" s="2">
        <f>F235*(1+((1+VLOOKUP($B236,'IPCA Hist'!$B:$C,2,0))^12 - 1)+$F$2)^(1/252)</f>
        <v>44863018.641441979</v>
      </c>
      <c r="G236" s="2">
        <f>G235*(1+((1+VLOOKUP($B236,'IPCA Hist'!$B:$C,2,0))^12 - 1)+$G$2)^(1/252)</f>
        <v>44846966.43504969</v>
      </c>
      <c r="H236" s="2">
        <f>H235*(1+((1+VLOOKUP($B236,'IPCA Hist'!$B:$C,2,0))^12 - 1)+$H$2)^(1/252)</f>
        <v>45873730.719976492</v>
      </c>
      <c r="I236" s="2">
        <f>I235*(1+((1+VLOOKUP($B236,'IPCA Hist'!$B:$C,2,0))^12 - 1)+$I$2)^(1/252)</f>
        <v>231700523.54703444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f t="shared" si="32"/>
        <v>367284239.34350264</v>
      </c>
      <c r="P236" s="2">
        <v>0</v>
      </c>
      <c r="Q236" s="2">
        <v>0</v>
      </c>
      <c r="R236" s="2">
        <f t="shared" si="41"/>
        <v>148688.36743539572</v>
      </c>
      <c r="S236" s="2">
        <f t="shared" si="34"/>
        <v>3109847.093827188</v>
      </c>
      <c r="T236" s="2">
        <f t="shared" si="35"/>
        <v>15022399.236612082</v>
      </c>
      <c r="U236" s="11">
        <f t="shared" si="38"/>
        <v>1.0853384436345621</v>
      </c>
      <c r="V236" s="12">
        <f t="shared" si="39"/>
        <v>4.0499583066821998E-4</v>
      </c>
      <c r="W236" s="12">
        <f t="shared" si="36"/>
        <v>8.539444727610368E-3</v>
      </c>
      <c r="X236" s="12">
        <f t="shared" si="37"/>
        <v>4.2243360239164307E-2</v>
      </c>
      <c r="Y236" s="5">
        <f t="shared" si="40"/>
        <v>8.5338443634562111E-2</v>
      </c>
      <c r="Z236" s="19">
        <f t="shared" si="31"/>
        <v>5.1457074546690684E-2</v>
      </c>
      <c r="AA236" s="19" t="s">
        <v>53</v>
      </c>
      <c r="AB236" s="19" t="s">
        <v>53</v>
      </c>
    </row>
    <row r="237" spans="1:28" x14ac:dyDescent="0.25">
      <c r="A237" s="1">
        <v>45446</v>
      </c>
      <c r="B237" s="1" t="str">
        <f t="shared" si="33"/>
        <v>202406</v>
      </c>
      <c r="C237" s="2">
        <v>0</v>
      </c>
      <c r="D237" s="2">
        <v>0</v>
      </c>
      <c r="E237" s="2">
        <v>0</v>
      </c>
      <c r="F237" s="2">
        <f>F236*(1+((1+VLOOKUP($B237,'IPCA Hist'!$B:$C,2,0))^12 - 1)+$F$2)^(1/252)</f>
        <v>44876256.858116306</v>
      </c>
      <c r="G237" s="2">
        <f>G236*(1+((1+VLOOKUP($B237,'IPCA Hist'!$B:$C,2,0))^12 - 1)+$G$2)^(1/252)</f>
        <v>44860216.440390334</v>
      </c>
      <c r="H237" s="2">
        <f>H236*(1+((1+VLOOKUP($B237,'IPCA Hist'!$B:$C,2,0))^12 - 1)+$H$2)^(1/252)</f>
        <v>45887081.134366028</v>
      </c>
      <c r="I237" s="2">
        <f>I236*(1+((1+VLOOKUP($B237,'IPCA Hist'!$B:$C,2,0))^12 - 1)+$I$2)^(1/252)</f>
        <v>231767868.77939582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f t="shared" si="32"/>
        <v>367391423.21226847</v>
      </c>
      <c r="P237" s="2">
        <v>0</v>
      </c>
      <c r="Q237" s="2">
        <v>0</v>
      </c>
      <c r="R237" s="2">
        <f t="shared" si="41"/>
        <v>107183.86876583099</v>
      </c>
      <c r="S237" s="2">
        <f t="shared" si="34"/>
        <v>107183.86876583099</v>
      </c>
      <c r="T237" s="2">
        <f t="shared" si="35"/>
        <v>15129583.105377913</v>
      </c>
      <c r="U237" s="11">
        <f t="shared" si="38"/>
        <v>1.0856551759112234</v>
      </c>
      <c r="V237" s="12">
        <f t="shared" si="39"/>
        <v>2.9182811916306228E-4</v>
      </c>
      <c r="W237" s="12">
        <f t="shared" si="36"/>
        <v>2.9182811916306228E-4</v>
      </c>
      <c r="X237" s="12">
        <f t="shared" si="37"/>
        <v>4.2547516158693011E-2</v>
      </c>
      <c r="Y237" s="5">
        <f t="shared" si="40"/>
        <v>8.5655175911223402E-2</v>
      </c>
      <c r="Z237" s="19">
        <f t="shared" si="31"/>
        <v>5.1421824812658334E-2</v>
      </c>
      <c r="AA237" s="19" t="s">
        <v>53</v>
      </c>
      <c r="AB237" s="19" t="s">
        <v>53</v>
      </c>
    </row>
    <row r="238" spans="1:28" x14ac:dyDescent="0.25">
      <c r="A238" s="1">
        <v>45447</v>
      </c>
      <c r="B238" s="1" t="str">
        <f t="shared" si="33"/>
        <v>202406</v>
      </c>
      <c r="C238" s="2">
        <v>0</v>
      </c>
      <c r="D238" s="2">
        <v>0</v>
      </c>
      <c r="E238" s="2">
        <v>0</v>
      </c>
      <c r="F238" s="2">
        <f>F237*(1+((1+VLOOKUP($B238,'IPCA Hist'!$B:$C,2,0))^12 - 1)+$F$2)^(1/252)</f>
        <v>44889498.981134564</v>
      </c>
      <c r="G238" s="2">
        <f>G237*(1+((1+VLOOKUP($B238,'IPCA Hist'!$B:$C,2,0))^12 - 1)+$G$2)^(1/252)</f>
        <v>44873470.360435925</v>
      </c>
      <c r="H238" s="2">
        <f>H237*(1+((1+VLOOKUP($B238,'IPCA Hist'!$B:$C,2,0))^12 - 1)+$H$2)^(1/252)</f>
        <v>45900435.434063375</v>
      </c>
      <c r="I238" s="2">
        <f>I237*(1+((1+VLOOKUP($B238,'IPCA Hist'!$B:$C,2,0))^12 - 1)+$I$2)^(1/252)</f>
        <v>231835233.58607775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f t="shared" si="32"/>
        <v>367498638.36171162</v>
      </c>
      <c r="P238" s="2">
        <v>0</v>
      </c>
      <c r="Q238" s="2">
        <v>0</v>
      </c>
      <c r="R238" s="2">
        <f t="shared" si="41"/>
        <v>107215.14944314957</v>
      </c>
      <c r="S238" s="2">
        <f t="shared" si="34"/>
        <v>214399.01820898056</v>
      </c>
      <c r="T238" s="2">
        <f t="shared" si="35"/>
        <v>15236798.254821062</v>
      </c>
      <c r="U238" s="11">
        <f t="shared" si="38"/>
        <v>1.0859720006234372</v>
      </c>
      <c r="V238" s="12">
        <f t="shared" si="39"/>
        <v>2.918281230022135E-4</v>
      </c>
      <c r="W238" s="12">
        <f t="shared" si="36"/>
        <v>5.8374140581762823E-4</v>
      </c>
      <c r="X238" s="12">
        <f t="shared" si="37"/>
        <v>4.2851760843474196E-2</v>
      </c>
      <c r="Y238" s="5">
        <f t="shared" si="40"/>
        <v>8.5972000623437239E-2</v>
      </c>
      <c r="Z238" s="19">
        <f t="shared" si="31"/>
        <v>5.138657624948717E-2</v>
      </c>
      <c r="AA238" s="19" t="s">
        <v>53</v>
      </c>
      <c r="AB238" s="19" t="s">
        <v>53</v>
      </c>
    </row>
    <row r="239" spans="1:28" x14ac:dyDescent="0.25">
      <c r="A239" s="1">
        <v>45448</v>
      </c>
      <c r="B239" s="1" t="str">
        <f t="shared" si="33"/>
        <v>202406</v>
      </c>
      <c r="C239" s="2">
        <v>0</v>
      </c>
      <c r="D239" s="2">
        <v>0</v>
      </c>
      <c r="E239" s="2">
        <v>0</v>
      </c>
      <c r="F239" s="2">
        <f>F238*(1+((1+VLOOKUP($B239,'IPCA Hist'!$B:$C,2,0))^12 - 1)+$F$2)^(1/252)</f>
        <v>44902745.011649445</v>
      </c>
      <c r="G239" s="2">
        <f>G238*(1+((1+VLOOKUP($B239,'IPCA Hist'!$B:$C,2,0))^12 - 1)+$G$2)^(1/252)</f>
        <v>44886728.196343064</v>
      </c>
      <c r="H239" s="2">
        <f>H238*(1+((1+VLOOKUP($B239,'IPCA Hist'!$B:$C,2,0))^12 - 1)+$H$2)^(1/252)</f>
        <v>45913793.620199256</v>
      </c>
      <c r="I239" s="2">
        <f>I238*(1+((1+VLOOKUP($B239,'IPCA Hist'!$B:$C,2,0))^12 - 1)+$I$2)^(1/252)</f>
        <v>231902617.97276965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f t="shared" si="32"/>
        <v>367605884.80096138</v>
      </c>
      <c r="P239" s="2">
        <v>0</v>
      </c>
      <c r="Q239" s="2">
        <v>0</v>
      </c>
      <c r="R239" s="2">
        <f t="shared" si="41"/>
        <v>107246.43924975395</v>
      </c>
      <c r="S239" s="2">
        <f t="shared" si="34"/>
        <v>321645.45745873451</v>
      </c>
      <c r="T239" s="2">
        <f t="shared" si="35"/>
        <v>15344044.694070816</v>
      </c>
      <c r="U239" s="11">
        <f t="shared" si="38"/>
        <v>1.0862889177981812</v>
      </c>
      <c r="V239" s="12">
        <f t="shared" si="39"/>
        <v>2.9182812684114268E-4</v>
      </c>
      <c r="W239" s="12">
        <f t="shared" si="36"/>
        <v>8.7573988481981502E-4</v>
      </c>
      <c r="X239" s="12">
        <f t="shared" si="37"/>
        <v>4.3156094319414029E-2</v>
      </c>
      <c r="Y239" s="5">
        <f t="shared" si="40"/>
        <v>8.6288917798181153E-2</v>
      </c>
      <c r="Z239" s="19">
        <f t="shared" si="31"/>
        <v>5.1218237940766631E-2</v>
      </c>
      <c r="AA239" s="19" t="s">
        <v>53</v>
      </c>
      <c r="AB239" s="19" t="s">
        <v>53</v>
      </c>
    </row>
    <row r="240" spans="1:28" x14ac:dyDescent="0.25">
      <c r="A240" s="1">
        <v>45449</v>
      </c>
      <c r="B240" s="1" t="str">
        <f t="shared" si="33"/>
        <v>202406</v>
      </c>
      <c r="C240" s="2">
        <v>0</v>
      </c>
      <c r="D240" s="2">
        <v>0</v>
      </c>
      <c r="E240" s="2">
        <v>0</v>
      </c>
      <c r="F240" s="2">
        <f>F239*(1+((1+VLOOKUP($B240,'IPCA Hist'!$B:$C,2,0))^12 - 1)+$F$2)^(1/252)</f>
        <v>44915994.950813971</v>
      </c>
      <c r="G240" s="2">
        <f>G239*(1+((1+VLOOKUP($B240,'IPCA Hist'!$B:$C,2,0))^12 - 1)+$G$2)^(1/252)</f>
        <v>44899989.949268691</v>
      </c>
      <c r="H240" s="2">
        <f>H239*(1+((1+VLOOKUP($B240,'IPCA Hist'!$B:$C,2,0))^12 - 1)+$H$2)^(1/252)</f>
        <v>45927155.693904728</v>
      </c>
      <c r="I240" s="2">
        <f>I239*(1+((1+VLOOKUP($B240,'IPCA Hist'!$B:$C,2,0))^12 - 1)+$I$2)^(1/252)</f>
        <v>231970021.94516253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f t="shared" si="32"/>
        <v>367713162.53914994</v>
      </c>
      <c r="P240" s="2">
        <v>0</v>
      </c>
      <c r="Q240" s="2">
        <v>0</v>
      </c>
      <c r="R240" s="2">
        <f t="shared" si="41"/>
        <v>107277.73818856478</v>
      </c>
      <c r="S240" s="2">
        <f t="shared" si="34"/>
        <v>428923.19564729929</v>
      </c>
      <c r="T240" s="2">
        <f t="shared" si="35"/>
        <v>15451322.432259381</v>
      </c>
      <c r="U240" s="11">
        <f t="shared" si="38"/>
        <v>1.0866059274624409</v>
      </c>
      <c r="V240" s="12">
        <f t="shared" si="39"/>
        <v>2.918281306802939E-4</v>
      </c>
      <c r="W240" s="12">
        <f t="shared" si="36"/>
        <v>1.1678235810337334E-3</v>
      </c>
      <c r="X240" s="12">
        <f t="shared" si="37"/>
        <v>4.3460516612427114E-2</v>
      </c>
      <c r="Y240" s="5">
        <f t="shared" si="40"/>
        <v>8.660592746244089E-2</v>
      </c>
      <c r="Z240" s="19">
        <f t="shared" si="31"/>
        <v>5.1049926574870952E-2</v>
      </c>
      <c r="AA240" s="19" t="s">
        <v>53</v>
      </c>
      <c r="AB240" s="19" t="s">
        <v>53</v>
      </c>
    </row>
    <row r="241" spans="1:28" x14ac:dyDescent="0.25">
      <c r="A241" s="1">
        <v>45450</v>
      </c>
      <c r="B241" s="1" t="str">
        <f t="shared" si="33"/>
        <v>202406</v>
      </c>
      <c r="C241" s="2">
        <v>0</v>
      </c>
      <c r="D241" s="2">
        <v>0</v>
      </c>
      <c r="E241" s="2">
        <v>0</v>
      </c>
      <c r="F241" s="2">
        <f>F240*(1+((1+VLOOKUP($B241,'IPCA Hist'!$B:$C,2,0))^12 - 1)+$F$2)^(1/252)</f>
        <v>44929248.799781516</v>
      </c>
      <c r="G241" s="2">
        <f>G240*(1+((1+VLOOKUP($B241,'IPCA Hist'!$B:$C,2,0))^12 - 1)+$G$2)^(1/252)</f>
        <v>44913255.620370083</v>
      </c>
      <c r="H241" s="2">
        <f>H240*(1+((1+VLOOKUP($B241,'IPCA Hist'!$B:$C,2,0))^12 - 1)+$H$2)^(1/252)</f>
        <v>45940521.656311169</v>
      </c>
      <c r="I241" s="2">
        <f>I240*(1+((1+VLOOKUP($B241,'IPCA Hist'!$B:$C,2,0))^12 - 1)+$I$2)^(1/252)</f>
        <v>232037445.50894916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f t="shared" si="32"/>
        <v>367820471.58541191</v>
      </c>
      <c r="P241" s="2">
        <v>0</v>
      </c>
      <c r="Q241" s="2">
        <v>0</v>
      </c>
      <c r="R241" s="2">
        <f t="shared" si="41"/>
        <v>107309.04626196623</v>
      </c>
      <c r="S241" s="2">
        <f t="shared" si="34"/>
        <v>536232.24190926552</v>
      </c>
      <c r="T241" s="2">
        <f t="shared" si="35"/>
        <v>15558631.478521347</v>
      </c>
      <c r="U241" s="11">
        <f t="shared" si="38"/>
        <v>1.0869230296432097</v>
      </c>
      <c r="V241" s="12">
        <f t="shared" si="39"/>
        <v>2.9182813451922307E-4</v>
      </c>
      <c r="W241" s="12">
        <f t="shared" si="36"/>
        <v>1.4599925193301555E-3</v>
      </c>
      <c r="X241" s="12">
        <f t="shared" si="37"/>
        <v>4.3765027748434493E-2</v>
      </c>
      <c r="Y241" s="5">
        <f t="shared" si="40"/>
        <v>8.6923029643209748E-2</v>
      </c>
      <c r="Z241" s="19">
        <f t="shared" si="31"/>
        <v>5.0881642147489581E-2</v>
      </c>
      <c r="AA241" s="19" t="s">
        <v>53</v>
      </c>
      <c r="AB241" s="19" t="s">
        <v>53</v>
      </c>
    </row>
    <row r="242" spans="1:28" x14ac:dyDescent="0.25">
      <c r="A242" s="1">
        <v>45453</v>
      </c>
      <c r="B242" s="1" t="str">
        <f t="shared" si="33"/>
        <v>202406</v>
      </c>
      <c r="C242" s="2">
        <v>0</v>
      </c>
      <c r="D242" s="2">
        <v>0</v>
      </c>
      <c r="E242" s="2">
        <v>0</v>
      </c>
      <c r="F242" s="2">
        <f>F241*(1+((1+VLOOKUP($B242,'IPCA Hist'!$B:$C,2,0))^12 - 1)+$F$2)^(1/252)</f>
        <v>44942506.559705786</v>
      </c>
      <c r="G242" s="2">
        <f>G241*(1+((1+VLOOKUP($B242,'IPCA Hist'!$B:$C,2,0))^12 - 1)+$G$2)^(1/252)</f>
        <v>44926525.210804865</v>
      </c>
      <c r="H242" s="2">
        <f>H241*(1+((1+VLOOKUP($B242,'IPCA Hist'!$B:$C,2,0))^12 - 1)+$H$2)^(1/252)</f>
        <v>45953891.508550286</v>
      </c>
      <c r="I242" s="2">
        <f>I241*(1+((1+VLOOKUP($B242,'IPCA Hist'!$B:$C,2,0))^12 - 1)+$I$2)^(1/252)</f>
        <v>232104888.66982388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f t="shared" si="32"/>
        <v>367927811.94888484</v>
      </c>
      <c r="P242" s="2">
        <v>0</v>
      </c>
      <c r="Q242" s="2">
        <v>0</v>
      </c>
      <c r="R242" s="2">
        <f t="shared" si="41"/>
        <v>107340.36347293854</v>
      </c>
      <c r="S242" s="2">
        <f t="shared" si="34"/>
        <v>643572.60538220406</v>
      </c>
      <c r="T242" s="2">
        <f t="shared" si="35"/>
        <v>15665971.841994286</v>
      </c>
      <c r="U242" s="11">
        <f t="shared" si="38"/>
        <v>1.0872402243674897</v>
      </c>
      <c r="V242" s="12">
        <f t="shared" si="39"/>
        <v>2.9182813835859633E-4</v>
      </c>
      <c r="W242" s="12">
        <f t="shared" si="36"/>
        <v>1.752246724587625E-3</v>
      </c>
      <c r="X242" s="12">
        <f t="shared" si="37"/>
        <v>4.4069627753366092E-2</v>
      </c>
      <c r="Y242" s="5">
        <f t="shared" si="40"/>
        <v>8.7240224367489683E-2</v>
      </c>
      <c r="Z242" s="19">
        <f t="shared" si="31"/>
        <v>5.0713384654312632E-2</v>
      </c>
      <c r="AA242" s="19" t="s">
        <v>53</v>
      </c>
      <c r="AB242" s="19" t="s">
        <v>53</v>
      </c>
    </row>
    <row r="243" spans="1:28" x14ac:dyDescent="0.25">
      <c r="A243" s="1">
        <v>45454</v>
      </c>
      <c r="B243" s="1" t="str">
        <f t="shared" si="33"/>
        <v>202406</v>
      </c>
      <c r="C243" s="2">
        <v>0</v>
      </c>
      <c r="D243" s="2">
        <v>0</v>
      </c>
      <c r="E243" s="2">
        <v>0</v>
      </c>
      <c r="F243" s="2">
        <f>F242*(1+((1+VLOOKUP($B243,'IPCA Hist'!$B:$C,2,0))^12 - 1)+$F$2)^(1/252)</f>
        <v>44955768.231740825</v>
      </c>
      <c r="G243" s="2">
        <f>G242*(1+((1+VLOOKUP($B243,'IPCA Hist'!$B:$C,2,0))^12 - 1)+$G$2)^(1/252)</f>
        <v>44939798.721731</v>
      </c>
      <c r="H243" s="2">
        <f>H242*(1+((1+VLOOKUP($B243,'IPCA Hist'!$B:$C,2,0))^12 - 1)+$H$2)^(1/252)</f>
        <v>45967265.25175412</v>
      </c>
      <c r="I243" s="2">
        <f>I242*(1+((1+VLOOKUP($B243,'IPCA Hist'!$B:$C,2,0))^12 - 1)+$I$2)^(1/252)</f>
        <v>232172351.43348271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f t="shared" si="32"/>
        <v>368035183.63870865</v>
      </c>
      <c r="P243" s="2">
        <v>0</v>
      </c>
      <c r="Q243" s="2">
        <v>0</v>
      </c>
      <c r="R243" s="2">
        <f t="shared" si="41"/>
        <v>107371.68982380629</v>
      </c>
      <c r="S243" s="2">
        <f t="shared" si="34"/>
        <v>750944.29520601034</v>
      </c>
      <c r="T243" s="2">
        <f t="shared" si="35"/>
        <v>15773343.531818092</v>
      </c>
      <c r="U243" s="11">
        <f t="shared" si="38"/>
        <v>1.0875575116622893</v>
      </c>
      <c r="V243" s="12">
        <f t="shared" si="39"/>
        <v>2.9182814219752551E-4</v>
      </c>
      <c r="W243" s="12">
        <f t="shared" si="36"/>
        <v>2.0445862216915689E-3</v>
      </c>
      <c r="X243" s="12">
        <f t="shared" si="37"/>
        <v>4.4374316653158274E-2</v>
      </c>
      <c r="Y243" s="5">
        <f t="shared" si="40"/>
        <v>8.7557511662289311E-2</v>
      </c>
      <c r="Z243" s="19">
        <f t="shared" si="31"/>
        <v>5.0545154091030664E-2</v>
      </c>
      <c r="AA243" s="19" t="s">
        <v>53</v>
      </c>
      <c r="AB243" s="19" t="s">
        <v>53</v>
      </c>
    </row>
    <row r="244" spans="1:28" x14ac:dyDescent="0.25">
      <c r="A244" s="1">
        <v>45455</v>
      </c>
      <c r="B244" s="1" t="str">
        <f t="shared" si="33"/>
        <v>202406</v>
      </c>
      <c r="C244" s="2">
        <v>0</v>
      </c>
      <c r="D244" s="2">
        <v>0</v>
      </c>
      <c r="E244" s="2">
        <v>0</v>
      </c>
      <c r="F244" s="2">
        <f>F243*(1+((1+VLOOKUP($B244,'IPCA Hist'!$B:$C,2,0))^12 - 1)+$F$2)^(1/252)</f>
        <v>44969033.817041025</v>
      </c>
      <c r="G244" s="2">
        <f>G243*(1+((1+VLOOKUP($B244,'IPCA Hist'!$B:$C,2,0))^12 - 1)+$G$2)^(1/252)</f>
        <v>44953076.154306792</v>
      </c>
      <c r="H244" s="2">
        <f>H243*(1+((1+VLOOKUP($B244,'IPCA Hist'!$B:$C,2,0))^12 - 1)+$H$2)^(1/252)</f>
        <v>45980642.887055039</v>
      </c>
      <c r="I244" s="2">
        <f>I243*(1+((1+VLOOKUP($B244,'IPCA Hist'!$B:$C,2,0))^12 - 1)+$I$2)^(1/252)</f>
        <v>232239833.80562329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f t="shared" si="32"/>
        <v>368142586.66402614</v>
      </c>
      <c r="P244" s="2">
        <v>0</v>
      </c>
      <c r="Q244" s="2">
        <v>0</v>
      </c>
      <c r="R244" s="2">
        <f t="shared" si="41"/>
        <v>107403.0253174901</v>
      </c>
      <c r="S244" s="2">
        <f t="shared" si="34"/>
        <v>858347.32052350044</v>
      </c>
      <c r="T244" s="2">
        <f t="shared" si="35"/>
        <v>15880746.557135582</v>
      </c>
      <c r="U244" s="11">
        <f t="shared" si="38"/>
        <v>1.0878748915546257</v>
      </c>
      <c r="V244" s="12">
        <f t="shared" si="39"/>
        <v>2.9182814603645468E-4</v>
      </c>
      <c r="W244" s="12">
        <f t="shared" si="36"/>
        <v>2.3370110355345197E-3</v>
      </c>
      <c r="X244" s="12">
        <f t="shared" si="37"/>
        <v>4.4679094473755177E-2</v>
      </c>
      <c r="Y244" s="5">
        <f t="shared" si="40"/>
        <v>8.7874891554625689E-2</v>
      </c>
      <c r="Z244" s="19">
        <f t="shared" si="31"/>
        <v>5.0376950453334679E-2</v>
      </c>
      <c r="AA244" s="19" t="s">
        <v>53</v>
      </c>
      <c r="AB244" s="19" t="s">
        <v>53</v>
      </c>
    </row>
    <row r="245" spans="1:28" x14ac:dyDescent="0.25">
      <c r="A245" s="1">
        <v>45456</v>
      </c>
      <c r="B245" s="1" t="str">
        <f t="shared" si="33"/>
        <v>202406</v>
      </c>
      <c r="C245" s="2">
        <v>0</v>
      </c>
      <c r="D245" s="2">
        <v>0</v>
      </c>
      <c r="E245" s="2">
        <v>0</v>
      </c>
      <c r="F245" s="2">
        <f>F244*(1+((1+VLOOKUP($B245,'IPCA Hist'!$B:$C,2,0))^12 - 1)+$F$2)^(1/252)</f>
        <v>44982303.316761114</v>
      </c>
      <c r="G245" s="2">
        <f>G244*(1+((1+VLOOKUP($B245,'IPCA Hist'!$B:$C,2,0))^12 - 1)+$G$2)^(1/252)</f>
        <v>44966357.509690896</v>
      </c>
      <c r="H245" s="2">
        <f>H244*(1+((1+VLOOKUP($B245,'IPCA Hist'!$B:$C,2,0))^12 - 1)+$H$2)^(1/252)</f>
        <v>45994024.415585749</v>
      </c>
      <c r="I245" s="2">
        <f>I244*(1+((1+VLOOKUP($B245,'IPCA Hist'!$B:$C,2,0))^12 - 1)+$I$2)^(1/252)</f>
        <v>232307335.79194501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f t="shared" si="32"/>
        <v>368250021.03398275</v>
      </c>
      <c r="P245" s="2">
        <v>0</v>
      </c>
      <c r="Q245" s="2">
        <v>0</v>
      </c>
      <c r="R245" s="2">
        <f t="shared" si="41"/>
        <v>107434.36995661259</v>
      </c>
      <c r="S245" s="2">
        <f t="shared" si="34"/>
        <v>965781.69048011303</v>
      </c>
      <c r="T245" s="2">
        <f t="shared" si="35"/>
        <v>15988180.927092195</v>
      </c>
      <c r="U245" s="11">
        <f t="shared" si="38"/>
        <v>1.0881923640715243</v>
      </c>
      <c r="V245" s="12">
        <f t="shared" si="39"/>
        <v>2.918281498756059E-4</v>
      </c>
      <c r="W245" s="12">
        <f t="shared" si="36"/>
        <v>2.6295211910167815E-3</v>
      </c>
      <c r="X245" s="12">
        <f t="shared" si="37"/>
        <v>4.4983961241109149E-2</v>
      </c>
      <c r="Y245" s="5">
        <f t="shared" si="40"/>
        <v>8.819236407152431E-2</v>
      </c>
      <c r="Z245" s="19">
        <f t="shared" si="31"/>
        <v>5.0208773736917012E-2</v>
      </c>
      <c r="AA245" s="19" t="s">
        <v>53</v>
      </c>
      <c r="AB245" s="19" t="s">
        <v>53</v>
      </c>
    </row>
    <row r="246" spans="1:28" x14ac:dyDescent="0.25">
      <c r="A246" s="1">
        <v>45457</v>
      </c>
      <c r="B246" s="1" t="str">
        <f t="shared" si="33"/>
        <v>202406</v>
      </c>
      <c r="C246" s="2">
        <v>0</v>
      </c>
      <c r="D246" s="2">
        <v>0</v>
      </c>
      <c r="E246" s="2">
        <v>0</v>
      </c>
      <c r="F246" s="2">
        <f>F245*(1+((1+VLOOKUP($B246,'IPCA Hist'!$B:$C,2,0))^12 - 1)+$F$2)^(1/252)</f>
        <v>44995576.732056163</v>
      </c>
      <c r="G246" s="2">
        <f>G245*(1+((1+VLOOKUP($B246,'IPCA Hist'!$B:$C,2,0))^12 - 1)+$G$2)^(1/252)</f>
        <v>44979642.789042301</v>
      </c>
      <c r="H246" s="2">
        <f>H245*(1+((1+VLOOKUP($B246,'IPCA Hist'!$B:$C,2,0))^12 - 1)+$H$2)^(1/252)</f>
        <v>46007409.838479273</v>
      </c>
      <c r="I246" s="2">
        <f>I245*(1+((1+VLOOKUP($B246,'IPCA Hist'!$B:$C,2,0))^12 - 1)+$I$2)^(1/252)</f>
        <v>232374857.3981488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f t="shared" si="32"/>
        <v>368357486.75772655</v>
      </c>
      <c r="P246" s="2">
        <v>0</v>
      </c>
      <c r="Q246" s="2">
        <v>0</v>
      </c>
      <c r="R246" s="2">
        <f t="shared" si="41"/>
        <v>107465.72374379635</v>
      </c>
      <c r="S246" s="2">
        <f t="shared" si="34"/>
        <v>1073247.4142239094</v>
      </c>
      <c r="T246" s="2">
        <f t="shared" si="35"/>
        <v>16095646.650835991</v>
      </c>
      <c r="U246" s="11">
        <f t="shared" si="38"/>
        <v>1.0885099292400178</v>
      </c>
      <c r="V246" s="12">
        <f t="shared" si="39"/>
        <v>2.9182815371475712E-4</v>
      </c>
      <c r="W246" s="12">
        <f t="shared" si="36"/>
        <v>2.9221167130457637E-3</v>
      </c>
      <c r="X246" s="12">
        <f t="shared" si="37"/>
        <v>4.528891698117965E-2</v>
      </c>
      <c r="Y246" s="5">
        <f t="shared" si="40"/>
        <v>8.8509929240017771E-2</v>
      </c>
      <c r="Z246" s="19">
        <f t="shared" si="31"/>
        <v>5.0040623937470885E-2</v>
      </c>
      <c r="AA246" s="19" t="s">
        <v>53</v>
      </c>
      <c r="AB246" s="19" t="s">
        <v>53</v>
      </c>
    </row>
    <row r="247" spans="1:28" x14ac:dyDescent="0.25">
      <c r="A247" s="1">
        <v>45460</v>
      </c>
      <c r="B247" s="1" t="str">
        <f t="shared" si="33"/>
        <v>202406</v>
      </c>
      <c r="C247" s="2">
        <v>0</v>
      </c>
      <c r="D247" s="2">
        <v>0</v>
      </c>
      <c r="E247" s="2">
        <v>0</v>
      </c>
      <c r="F247" s="2">
        <f>F246*(1+((1+VLOOKUP($B247,'IPCA Hist'!$B:$C,2,0))^12 - 1)+$F$2)^(1/252)</f>
        <v>45008854.064081587</v>
      </c>
      <c r="G247" s="2">
        <f>G246*(1+((1+VLOOKUP($B247,'IPCA Hist'!$B:$C,2,0))^12 - 1)+$G$2)^(1/252)</f>
        <v>44992931.993520334</v>
      </c>
      <c r="H247" s="2">
        <f>H246*(1+((1+VLOOKUP($B247,'IPCA Hist'!$B:$C,2,0))^12 - 1)+$H$2)^(1/252)</f>
        <v>46020799.156868964</v>
      </c>
      <c r="I247" s="2">
        <f>I246*(1+((1+VLOOKUP($B247,'IPCA Hist'!$B:$C,2,0))^12 - 1)+$I$2)^(1/252)</f>
        <v>232442398.62993735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f t="shared" si="32"/>
        <v>368464983.84440827</v>
      </c>
      <c r="P247" s="2">
        <v>0</v>
      </c>
      <c r="Q247" s="2">
        <v>0</v>
      </c>
      <c r="R247" s="2">
        <f t="shared" si="41"/>
        <v>107497.08668172359</v>
      </c>
      <c r="S247" s="2">
        <f t="shared" si="34"/>
        <v>1180744.500905633</v>
      </c>
      <c r="T247" s="2">
        <f t="shared" si="35"/>
        <v>16203143.737517715</v>
      </c>
      <c r="U247" s="11">
        <f t="shared" si="38"/>
        <v>1.0888275870871471</v>
      </c>
      <c r="V247" s="12">
        <f t="shared" si="39"/>
        <v>2.9182815755390834E-4</v>
      </c>
      <c r="W247" s="12">
        <f t="shared" si="36"/>
        <v>3.2147976265362033E-3</v>
      </c>
      <c r="X247" s="12">
        <f t="shared" si="37"/>
        <v>4.5593961719933684E-2</v>
      </c>
      <c r="Y247" s="5">
        <f t="shared" si="40"/>
        <v>8.8827587087147108E-2</v>
      </c>
      <c r="Z247" s="19">
        <f t="shared" si="31"/>
        <v>4.9872501050689078E-2</v>
      </c>
      <c r="AA247" s="19" t="s">
        <v>53</v>
      </c>
      <c r="AB247" s="19" t="s">
        <v>53</v>
      </c>
    </row>
    <row r="248" spans="1:28" x14ac:dyDescent="0.25">
      <c r="A248" s="1">
        <v>45461</v>
      </c>
      <c r="B248" s="1" t="str">
        <f t="shared" si="33"/>
        <v>202406</v>
      </c>
      <c r="C248" s="2">
        <v>0</v>
      </c>
      <c r="D248" s="2">
        <v>0</v>
      </c>
      <c r="E248" s="2">
        <v>0</v>
      </c>
      <c r="F248" s="2">
        <f>F247*(1+((1+VLOOKUP($B248,'IPCA Hist'!$B:$C,2,0))^12 - 1)+$F$2)^(1/252)</f>
        <v>45022135.313993134</v>
      </c>
      <c r="G248" s="2">
        <f>G247*(1+((1+VLOOKUP($B248,'IPCA Hist'!$B:$C,2,0))^12 - 1)+$G$2)^(1/252)</f>
        <v>45006225.124284677</v>
      </c>
      <c r="H248" s="2">
        <f>H247*(1+((1+VLOOKUP($B248,'IPCA Hist'!$B:$C,2,0))^12 - 1)+$H$2)^(1/252)</f>
        <v>46034192.371888518</v>
      </c>
      <c r="I248" s="2">
        <f>I247*(1+((1+VLOOKUP($B248,'IPCA Hist'!$B:$C,2,0))^12 - 1)+$I$2)^(1/252)</f>
        <v>232509959.49301493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f t="shared" si="32"/>
        <v>368572512.30318129</v>
      </c>
      <c r="P248" s="2">
        <v>0</v>
      </c>
      <c r="Q248" s="2">
        <v>0</v>
      </c>
      <c r="R248" s="2">
        <f t="shared" si="41"/>
        <v>107528.45877301693</v>
      </c>
      <c r="S248" s="2">
        <f t="shared" si="34"/>
        <v>1288272.9596786499</v>
      </c>
      <c r="T248" s="2">
        <f t="shared" si="35"/>
        <v>16310672.196290731</v>
      </c>
      <c r="U248" s="11">
        <f t="shared" si="38"/>
        <v>1.0891453376399607</v>
      </c>
      <c r="V248" s="12">
        <f t="shared" si="39"/>
        <v>2.9182816139305956E-4</v>
      </c>
      <c r="W248" s="12">
        <f t="shared" si="36"/>
        <v>3.5075639564099426E-3</v>
      </c>
      <c r="X248" s="12">
        <f t="shared" si="37"/>
        <v>4.5899095483346031E-2</v>
      </c>
      <c r="Y248" s="5">
        <f t="shared" si="40"/>
        <v>8.9145337639960687E-2</v>
      </c>
      <c r="Z248" s="19">
        <f t="shared" si="31"/>
        <v>4.9704405072266145E-2</v>
      </c>
      <c r="AA248" s="19" t="s">
        <v>53</v>
      </c>
      <c r="AB248" s="19" t="s">
        <v>53</v>
      </c>
    </row>
    <row r="249" spans="1:28" x14ac:dyDescent="0.25">
      <c r="A249" s="1">
        <v>45462</v>
      </c>
      <c r="B249" s="1" t="str">
        <f t="shared" si="33"/>
        <v>202406</v>
      </c>
      <c r="C249" s="2">
        <v>0</v>
      </c>
      <c r="D249" s="2">
        <v>0</v>
      </c>
      <c r="E249" s="2">
        <v>0</v>
      </c>
      <c r="F249" s="2">
        <f>F248*(1+((1+VLOOKUP($B249,'IPCA Hist'!$B:$C,2,0))^12 - 1)+$F$2)^(1/252)</f>
        <v>45035420.482946903</v>
      </c>
      <c r="G249" s="2">
        <f>G248*(1+((1+VLOOKUP($B249,'IPCA Hist'!$B:$C,2,0))^12 - 1)+$G$2)^(1/252)</f>
        <v>45019522.182495348</v>
      </c>
      <c r="H249" s="2">
        <f>H248*(1+((1+VLOOKUP($B249,'IPCA Hist'!$B:$C,2,0))^12 - 1)+$H$2)^(1/252)</f>
        <v>46047589.48467195</v>
      </c>
      <c r="I249" s="2">
        <f>I248*(1+((1+VLOOKUP($B249,'IPCA Hist'!$B:$C,2,0))^12 - 1)+$I$2)^(1/252)</f>
        <v>232577539.99308753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f t="shared" si="32"/>
        <v>368680072.14320171</v>
      </c>
      <c r="P249" s="2">
        <v>0</v>
      </c>
      <c r="Q249" s="2">
        <v>0</v>
      </c>
      <c r="R249" s="2">
        <f t="shared" si="41"/>
        <v>107559.84002041817</v>
      </c>
      <c r="S249" s="2">
        <f t="shared" si="34"/>
        <v>1395832.7996990681</v>
      </c>
      <c r="T249" s="2">
        <f t="shared" si="35"/>
        <v>16418232.03631115</v>
      </c>
      <c r="U249" s="11">
        <f t="shared" si="38"/>
        <v>1.0894631809255151</v>
      </c>
      <c r="V249" s="12">
        <f t="shared" si="39"/>
        <v>2.9182816523198873E-4</v>
      </c>
      <c r="W249" s="12">
        <f t="shared" si="36"/>
        <v>3.8004157275957073E-3</v>
      </c>
      <c r="X249" s="12">
        <f t="shared" si="37"/>
        <v>4.6204318297398794E-2</v>
      </c>
      <c r="Y249" s="5">
        <f t="shared" si="40"/>
        <v>8.9463180925515084E-2</v>
      </c>
      <c r="Z249" s="19">
        <f t="shared" si="31"/>
        <v>4.9536335997896641E-2</v>
      </c>
      <c r="AA249" s="19" t="s">
        <v>53</v>
      </c>
      <c r="AB249" s="19" t="s">
        <v>53</v>
      </c>
    </row>
    <row r="250" spans="1:28" x14ac:dyDescent="0.25">
      <c r="A250" s="1">
        <v>45463</v>
      </c>
      <c r="B250" s="1" t="str">
        <f t="shared" si="33"/>
        <v>202406</v>
      </c>
      <c r="C250" s="2">
        <v>0</v>
      </c>
      <c r="D250" s="2">
        <v>0</v>
      </c>
      <c r="E250" s="2">
        <v>0</v>
      </c>
      <c r="F250" s="2">
        <f>F249*(1+((1+VLOOKUP($B250,'IPCA Hist'!$B:$C,2,0))^12 - 1)+$F$2)^(1/252)</f>
        <v>45048709.572099321</v>
      </c>
      <c r="G250" s="2">
        <f>G249*(1+((1+VLOOKUP($B250,'IPCA Hist'!$B:$C,2,0))^12 - 1)+$G$2)^(1/252)</f>
        <v>45032823.169312708</v>
      </c>
      <c r="H250" s="2">
        <f>H249*(1+((1+VLOOKUP($B250,'IPCA Hist'!$B:$C,2,0))^12 - 1)+$H$2)^(1/252)</f>
        <v>46060990.496353604</v>
      </c>
      <c r="I250" s="2">
        <f>I249*(1+((1+VLOOKUP($B250,'IPCA Hist'!$B:$C,2,0))^12 - 1)+$I$2)^(1/252)</f>
        <v>232645140.13586274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f t="shared" si="32"/>
        <v>368787663.37362838</v>
      </c>
      <c r="P250" s="2">
        <v>0</v>
      </c>
      <c r="Q250" s="2">
        <v>0</v>
      </c>
      <c r="R250" s="2">
        <f t="shared" si="41"/>
        <v>107591.23042666912</v>
      </c>
      <c r="S250" s="2">
        <f t="shared" si="34"/>
        <v>1503424.0301257372</v>
      </c>
      <c r="T250" s="2">
        <f t="shared" si="35"/>
        <v>16525823.266737819</v>
      </c>
      <c r="U250" s="11">
        <f t="shared" si="38"/>
        <v>1.0897811169708753</v>
      </c>
      <c r="V250" s="12">
        <f t="shared" si="39"/>
        <v>2.91828169071362E-4</v>
      </c>
      <c r="W250" s="12">
        <f t="shared" si="36"/>
        <v>4.093352965030661E-3</v>
      </c>
      <c r="X250" s="12">
        <f t="shared" si="37"/>
        <v>4.6509630188082074E-2</v>
      </c>
      <c r="Y250" s="5">
        <f t="shared" si="40"/>
        <v>8.9781116970875319E-2</v>
      </c>
      <c r="Z250" s="19">
        <f t="shared" si="31"/>
        <v>4.9368293823276455E-2</v>
      </c>
      <c r="AA250" s="19" t="s">
        <v>53</v>
      </c>
      <c r="AB250" s="19" t="s">
        <v>53</v>
      </c>
    </row>
    <row r="251" spans="1:28" x14ac:dyDescent="0.25">
      <c r="A251" s="1">
        <v>45464</v>
      </c>
      <c r="B251" s="1" t="str">
        <f t="shared" si="33"/>
        <v>202406</v>
      </c>
      <c r="C251" s="2">
        <v>0</v>
      </c>
      <c r="D251" s="2">
        <v>0</v>
      </c>
      <c r="E251" s="2">
        <v>0</v>
      </c>
      <c r="F251" s="2">
        <f>F250*(1+((1+VLOOKUP($B251,'IPCA Hist'!$B:$C,2,0))^12 - 1)+$F$2)^(1/252)</f>
        <v>45062002.582607165</v>
      </c>
      <c r="G251" s="2">
        <f>G250*(1+((1+VLOOKUP($B251,'IPCA Hist'!$B:$C,2,0))^12 - 1)+$G$2)^(1/252)</f>
        <v>45046128.085897461</v>
      </c>
      <c r="H251" s="2">
        <f>H250*(1+((1+VLOOKUP($B251,'IPCA Hist'!$B:$C,2,0))^12 - 1)+$H$2)^(1/252)</f>
        <v>46074395.408068165</v>
      </c>
      <c r="I251" s="2">
        <f>I250*(1+((1+VLOOKUP($B251,'IPCA Hist'!$B:$C,2,0))^12 - 1)+$I$2)^(1/252)</f>
        <v>232712759.92704985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f t="shared" si="32"/>
        <v>368895286.00362265</v>
      </c>
      <c r="P251" s="2">
        <v>0</v>
      </c>
      <c r="Q251" s="2">
        <v>0</v>
      </c>
      <c r="R251" s="2">
        <f t="shared" si="41"/>
        <v>107622.62999427319</v>
      </c>
      <c r="S251" s="2">
        <f t="shared" si="34"/>
        <v>1611046.6601200104</v>
      </c>
      <c r="T251" s="2">
        <f t="shared" si="35"/>
        <v>16633445.896732092</v>
      </c>
      <c r="U251" s="11">
        <f t="shared" si="38"/>
        <v>1.0900991458031133</v>
      </c>
      <c r="V251" s="12">
        <f t="shared" si="39"/>
        <v>2.9182817291051322E-4</v>
      </c>
      <c r="W251" s="12">
        <f t="shared" si="36"/>
        <v>4.3863756936579623E-3</v>
      </c>
      <c r="X251" s="12">
        <f t="shared" si="37"/>
        <v>4.6815031181393074E-2</v>
      </c>
      <c r="Y251" s="5">
        <f t="shared" si="40"/>
        <v>9.009914580311329E-2</v>
      </c>
      <c r="Z251" s="19">
        <f t="shared" si="31"/>
        <v>4.9992529992537005E-2</v>
      </c>
      <c r="AA251" s="19" t="s">
        <v>53</v>
      </c>
      <c r="AB251" s="19" t="s">
        <v>53</v>
      </c>
    </row>
    <row r="252" spans="1:28" x14ac:dyDescent="0.25">
      <c r="A252" s="1">
        <v>45467</v>
      </c>
      <c r="B252" s="1" t="str">
        <f t="shared" si="33"/>
        <v>202406</v>
      </c>
      <c r="C252" s="2">
        <v>0</v>
      </c>
      <c r="D252" s="2">
        <v>0</v>
      </c>
      <c r="E252" s="2">
        <v>0</v>
      </c>
      <c r="F252" s="2">
        <f>F251*(1+((1+VLOOKUP($B252,'IPCA Hist'!$B:$C,2,0))^12 - 1)+$F$2)^(1/252)</f>
        <v>45075299.515627548</v>
      </c>
      <c r="G252" s="2">
        <f>G251*(1+((1+VLOOKUP($B252,'IPCA Hist'!$B:$C,2,0))^12 - 1)+$G$2)^(1/252)</f>
        <v>45059436.933410652</v>
      </c>
      <c r="H252" s="2">
        <f>H251*(1+((1+VLOOKUP($B252,'IPCA Hist'!$B:$C,2,0))^12 - 1)+$H$2)^(1/252)</f>
        <v>46087804.220950633</v>
      </c>
      <c r="I252" s="2">
        <f>I251*(1+((1+VLOOKUP($B252,'IPCA Hist'!$B:$C,2,0))^12 - 1)+$I$2)^(1/252)</f>
        <v>232780399.37235978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f t="shared" si="32"/>
        <v>369002940.04234862</v>
      </c>
      <c r="P252" s="2">
        <v>0</v>
      </c>
      <c r="Q252" s="2">
        <v>0</v>
      </c>
      <c r="R252" s="2">
        <f t="shared" si="41"/>
        <v>107654.03872597218</v>
      </c>
      <c r="S252" s="2">
        <f t="shared" si="34"/>
        <v>1718700.6988459826</v>
      </c>
      <c r="T252" s="2">
        <f t="shared" si="35"/>
        <v>16741099.935458064</v>
      </c>
      <c r="U252" s="11">
        <f t="shared" si="38"/>
        <v>1.0904172674493093</v>
      </c>
      <c r="V252" s="12">
        <f t="shared" si="39"/>
        <v>2.9182817674966444E-4</v>
      </c>
      <c r="W252" s="12">
        <f t="shared" si="36"/>
        <v>4.6794839384287634E-3</v>
      </c>
      <c r="X252" s="12">
        <f t="shared" si="37"/>
        <v>4.7120521303336993E-2</v>
      </c>
      <c r="Y252" s="5">
        <f t="shared" si="40"/>
        <v>9.0417267449309335E-2</v>
      </c>
      <c r="Z252" s="19">
        <f t="shared" si="31"/>
        <v>4.9952383770033748E-2</v>
      </c>
      <c r="AA252" s="19" t="s">
        <v>53</v>
      </c>
      <c r="AB252" s="19" t="s">
        <v>53</v>
      </c>
    </row>
    <row r="253" spans="1:28" x14ac:dyDescent="0.25">
      <c r="A253" s="1">
        <v>45468</v>
      </c>
      <c r="B253" s="1" t="str">
        <f t="shared" si="33"/>
        <v>202406</v>
      </c>
      <c r="C253" s="2">
        <v>0</v>
      </c>
      <c r="D253" s="2">
        <v>0</v>
      </c>
      <c r="E253" s="2">
        <v>0</v>
      </c>
      <c r="F253" s="2">
        <f>F252*(1+((1+VLOOKUP($B253,'IPCA Hist'!$B:$C,2,0))^12 - 1)+$F$2)^(1/252)</f>
        <v>45088600.37231794</v>
      </c>
      <c r="G253" s="2">
        <f>G252*(1+((1+VLOOKUP($B253,'IPCA Hist'!$B:$C,2,0))^12 - 1)+$G$2)^(1/252)</f>
        <v>45072749.713013671</v>
      </c>
      <c r="H253" s="2">
        <f>H252*(1+((1+VLOOKUP($B253,'IPCA Hist'!$B:$C,2,0))^12 - 1)+$H$2)^(1/252)</f>
        <v>46101216.93613635</v>
      </c>
      <c r="I253" s="2">
        <f>I252*(1+((1+VLOOKUP($B253,'IPCA Hist'!$B:$C,2,0))^12 - 1)+$I$2)^(1/252)</f>
        <v>232848058.47750515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f t="shared" si="32"/>
        <v>369110625.49897313</v>
      </c>
      <c r="P253" s="2">
        <v>0</v>
      </c>
      <c r="Q253" s="2">
        <v>0</v>
      </c>
      <c r="R253" s="2">
        <f t="shared" si="41"/>
        <v>107685.4566245079</v>
      </c>
      <c r="S253" s="2">
        <f t="shared" si="34"/>
        <v>1826386.1554704905</v>
      </c>
      <c r="T253" s="2">
        <f t="shared" si="35"/>
        <v>16848785.392082572</v>
      </c>
      <c r="U253" s="11">
        <f t="shared" si="38"/>
        <v>1.0907354819365518</v>
      </c>
      <c r="V253" s="12">
        <f t="shared" si="39"/>
        <v>2.9182818058881566E-4</v>
      </c>
      <c r="W253" s="12">
        <f t="shared" si="36"/>
        <v>4.972677724301322E-3</v>
      </c>
      <c r="X253" s="12">
        <f t="shared" si="37"/>
        <v>4.7426100579926134E-2</v>
      </c>
      <c r="Y253" s="5">
        <f t="shared" si="40"/>
        <v>9.0735481936551787E-2</v>
      </c>
      <c r="Z253" s="19">
        <f t="shared" si="31"/>
        <v>4.9786143217601886E-2</v>
      </c>
      <c r="AA253" s="19" t="s">
        <v>53</v>
      </c>
      <c r="AB253" s="19" t="s">
        <v>53</v>
      </c>
    </row>
    <row r="254" spans="1:28" x14ac:dyDescent="0.25">
      <c r="A254" s="1">
        <v>45469</v>
      </c>
      <c r="B254" s="1" t="str">
        <f t="shared" si="33"/>
        <v>202406</v>
      </c>
      <c r="C254" s="2">
        <v>0</v>
      </c>
      <c r="D254" s="2">
        <v>0</v>
      </c>
      <c r="E254" s="2">
        <v>0</v>
      </c>
      <c r="F254" s="2">
        <f>F253*(1+((1+VLOOKUP($B254,'IPCA Hist'!$B:$C,2,0))^12 - 1)+$F$2)^(1/252)</f>
        <v>45101905.153836131</v>
      </c>
      <c r="G254" s="2">
        <f>G253*(1+((1+VLOOKUP($B254,'IPCA Hist'!$B:$C,2,0))^12 - 1)+$G$2)^(1/252)</f>
        <v>45086066.425868258</v>
      </c>
      <c r="H254" s="2">
        <f>H253*(1+((1+VLOOKUP($B254,'IPCA Hist'!$B:$C,2,0))^12 - 1)+$H$2)^(1/252)</f>
        <v>46114633.554760985</v>
      </c>
      <c r="I254" s="2">
        <f>I253*(1+((1+VLOOKUP($B254,'IPCA Hist'!$B:$C,2,0))^12 - 1)+$I$2)^(1/252)</f>
        <v>232915737.24820018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f t="shared" si="32"/>
        <v>369218342.38266551</v>
      </c>
      <c r="P254" s="2">
        <v>0</v>
      </c>
      <c r="Q254" s="2">
        <v>0</v>
      </c>
      <c r="R254" s="2">
        <f t="shared" si="41"/>
        <v>107716.88369238377</v>
      </c>
      <c r="S254" s="2">
        <f t="shared" si="34"/>
        <v>1934103.0391628742</v>
      </c>
      <c r="T254" s="2">
        <f t="shared" si="35"/>
        <v>16956502.275774956</v>
      </c>
      <c r="U254" s="11">
        <f t="shared" si="38"/>
        <v>1.0910537892919363</v>
      </c>
      <c r="V254" s="12">
        <f t="shared" si="39"/>
        <v>2.9182818442774483E-4</v>
      </c>
      <c r="W254" s="12">
        <f t="shared" si="36"/>
        <v>5.2659570762410013E-3</v>
      </c>
      <c r="X254" s="12">
        <f t="shared" si="37"/>
        <v>4.7731769037180571E-2</v>
      </c>
      <c r="Y254" s="5">
        <f t="shared" si="40"/>
        <v>9.1053789291936305E-2</v>
      </c>
      <c r="Z254" s="19">
        <f t="shared" si="31"/>
        <v>4.9619928986598394E-2</v>
      </c>
      <c r="AA254" s="19" t="s">
        <v>53</v>
      </c>
      <c r="AB254" s="19" t="s">
        <v>53</v>
      </c>
    </row>
    <row r="255" spans="1:28" x14ac:dyDescent="0.25">
      <c r="A255" s="1">
        <v>45470</v>
      </c>
      <c r="B255" s="1" t="str">
        <f t="shared" si="33"/>
        <v>202406</v>
      </c>
      <c r="C255" s="2">
        <v>0</v>
      </c>
      <c r="D255" s="2">
        <v>0</v>
      </c>
      <c r="E255" s="2">
        <v>0</v>
      </c>
      <c r="F255" s="2">
        <f>F254*(1+((1+VLOOKUP($B255,'IPCA Hist'!$B:$C,2,0))^12 - 1)+$F$2)^(1/252)</f>
        <v>45115213.861340262</v>
      </c>
      <c r="G255" s="2">
        <f>G254*(1+((1+VLOOKUP($B255,'IPCA Hist'!$B:$C,2,0))^12 - 1)+$G$2)^(1/252)</f>
        <v>45099387.073136486</v>
      </c>
      <c r="H255" s="2">
        <f>H254*(1+((1+VLOOKUP($B255,'IPCA Hist'!$B:$C,2,0))^12 - 1)+$H$2)^(1/252)</f>
        <v>46128054.077960543</v>
      </c>
      <c r="I255" s="2">
        <f>I254*(1+((1+VLOOKUP($B255,'IPCA Hist'!$B:$C,2,0))^12 - 1)+$I$2)^(1/252)</f>
        <v>232983435.69016081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f t="shared" si="32"/>
        <v>369326090.70259809</v>
      </c>
      <c r="P255" s="2">
        <v>0</v>
      </c>
      <c r="Q255" s="2">
        <v>0</v>
      </c>
      <c r="R255" s="2">
        <f t="shared" si="41"/>
        <v>107748.31993257999</v>
      </c>
      <c r="S255" s="2">
        <f t="shared" si="34"/>
        <v>2041851.3590954542</v>
      </c>
      <c r="T255" s="2">
        <f t="shared" si="35"/>
        <v>17064250.595707536</v>
      </c>
      <c r="U255" s="11">
        <f t="shared" si="38"/>
        <v>1.0913721895425677</v>
      </c>
      <c r="V255" s="12">
        <f t="shared" si="39"/>
        <v>2.9182818826734014E-4</v>
      </c>
      <c r="W255" s="12">
        <f t="shared" si="36"/>
        <v>5.5593220192213799E-3</v>
      </c>
      <c r="X255" s="12">
        <f t="shared" si="37"/>
        <v>4.8037526701128819E-2</v>
      </c>
      <c r="Y255" s="5">
        <f t="shared" si="40"/>
        <v>9.137218954256765E-2</v>
      </c>
      <c r="Z255" s="19">
        <f t="shared" si="31"/>
        <v>4.9453741072855717E-2</v>
      </c>
      <c r="AA255" s="19">
        <f>U255/U3 - 1</f>
        <v>9.137218954256765E-2</v>
      </c>
      <c r="AB255" s="19" t="s">
        <v>53</v>
      </c>
    </row>
    <row r="256" spans="1:28" x14ac:dyDescent="0.25">
      <c r="A256" s="1">
        <v>45471</v>
      </c>
      <c r="B256" s="1" t="str">
        <f t="shared" si="33"/>
        <v>202406</v>
      </c>
      <c r="C256" s="2">
        <v>0</v>
      </c>
      <c r="D256" s="2">
        <v>0</v>
      </c>
      <c r="E256" s="2">
        <v>0</v>
      </c>
      <c r="F256" s="2">
        <f>F255*(1+((1+VLOOKUP($B256,'IPCA Hist'!$B:$C,2,0))^12 - 1)+$F$2)^(1/252)</f>
        <v>45128526.495988823</v>
      </c>
      <c r="G256" s="2">
        <f>G255*(1+((1+VLOOKUP($B256,'IPCA Hist'!$B:$C,2,0))^12 - 1)+$G$2)^(1/252)</f>
        <v>45112711.655980773</v>
      </c>
      <c r="H256" s="2">
        <f>H255*(1+((1+VLOOKUP($B256,'IPCA Hist'!$B:$C,2,0))^12 - 1)+$H$2)^(1/252)</f>
        <v>46141478.506871343</v>
      </c>
      <c r="I256" s="2">
        <f>I255*(1+((1+VLOOKUP($B256,'IPCA Hist'!$B:$C,2,0))^12 - 1)+$I$2)^(1/252)</f>
        <v>233051153.80910462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f t="shared" si="32"/>
        <v>369433870.46794558</v>
      </c>
      <c r="P256" s="2">
        <v>0</v>
      </c>
      <c r="Q256" s="2">
        <v>0</v>
      </c>
      <c r="R256" s="2">
        <f t="shared" si="41"/>
        <v>107779.76534748077</v>
      </c>
      <c r="S256" s="2">
        <f t="shared" si="34"/>
        <v>2149631.124442935</v>
      </c>
      <c r="T256" s="2">
        <f t="shared" si="35"/>
        <v>17172030.361055017</v>
      </c>
      <c r="U256" s="11">
        <f t="shared" si="38"/>
        <v>1.0916906827155572</v>
      </c>
      <c r="V256" s="12">
        <f t="shared" si="39"/>
        <v>2.9182819210649136E-4</v>
      </c>
      <c r="W256" s="12">
        <f t="shared" si="36"/>
        <v>5.8527725782220319E-3</v>
      </c>
      <c r="X256" s="12">
        <f t="shared" si="37"/>
        <v>4.8343373597805828E-2</v>
      </c>
      <c r="Y256" s="5">
        <f t="shared" si="40"/>
        <v>9.1690682715557248E-2</v>
      </c>
      <c r="Z256" s="19">
        <f t="shared" si="31"/>
        <v>4.928757947220741E-2</v>
      </c>
      <c r="AA256" s="19">
        <f t="shared" ref="AA256:AA319" si="42">U256/U4 - 1</f>
        <v>9.1505479428890757E-2</v>
      </c>
      <c r="AB256" s="19" t="s">
        <v>53</v>
      </c>
    </row>
    <row r="257" spans="1:28" x14ac:dyDescent="0.25">
      <c r="A257" s="1">
        <v>45474</v>
      </c>
      <c r="B257" s="1" t="str">
        <f t="shared" si="33"/>
        <v>202407</v>
      </c>
      <c r="C257" s="2">
        <v>0</v>
      </c>
      <c r="D257" s="2">
        <v>0</v>
      </c>
      <c r="E257" s="2">
        <v>0</v>
      </c>
      <c r="F257" s="2">
        <f>F256*(1+((1+VLOOKUP($B257,'IPCA Hist'!$B:$C,2,0))^12 - 1)+$F$2)^(1/252)</f>
        <v>45145313.62439727</v>
      </c>
      <c r="G257" s="2">
        <f>G256*(1+((1+VLOOKUP($B257,'IPCA Hist'!$B:$C,2,0))^12 - 1)+$G$2)^(1/252)</f>
        <v>45129509.207114309</v>
      </c>
      <c r="H257" s="2">
        <f>H256*(1+((1+VLOOKUP($B257,'IPCA Hist'!$B:$C,2,0))^12 - 1)+$H$2)^(1/252)</f>
        <v>46158458.886300266</v>
      </c>
      <c r="I257" s="2">
        <f>I256*(1+((1+VLOOKUP($B257,'IPCA Hist'!$B:$C,2,0))^12 - 1)+$I$2)^(1/252)</f>
        <v>233136833.9002893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f t="shared" si="32"/>
        <v>369570115.61810112</v>
      </c>
      <c r="P257" s="2">
        <v>0</v>
      </c>
      <c r="Q257" s="2">
        <v>0</v>
      </c>
      <c r="R257" s="2">
        <f t="shared" si="41"/>
        <v>136245.15015554428</v>
      </c>
      <c r="S257" s="2">
        <f t="shared" si="34"/>
        <v>136245.15015554428</v>
      </c>
      <c r="T257" s="2">
        <f t="shared" si="35"/>
        <v>17308275.511210561</v>
      </c>
      <c r="U257" s="11">
        <f t="shared" si="38"/>
        <v>1.0920932921482052</v>
      </c>
      <c r="V257" s="12">
        <f t="shared" si="39"/>
        <v>3.687944204546767E-4</v>
      </c>
      <c r="W257" s="12">
        <f t="shared" si="36"/>
        <v>3.687944204546767E-4</v>
      </c>
      <c r="X257" s="12">
        <f t="shared" si="37"/>
        <v>4.872999678470924E-2</v>
      </c>
      <c r="Y257" s="5">
        <f t="shared" si="40"/>
        <v>9.2093292148205164E-2</v>
      </c>
      <c r="Z257" s="19">
        <f t="shared" si="31"/>
        <v>4.9202167539744046E-2</v>
      </c>
      <c r="AA257" s="19">
        <f t="shared" si="42"/>
        <v>9.1722780401934045E-2</v>
      </c>
      <c r="AB257" s="19" t="s">
        <v>53</v>
      </c>
    </row>
    <row r="258" spans="1:28" x14ac:dyDescent="0.25">
      <c r="A258" s="1">
        <v>45475</v>
      </c>
      <c r="B258" s="1" t="str">
        <f t="shared" si="33"/>
        <v>202407</v>
      </c>
      <c r="C258" s="2">
        <v>0</v>
      </c>
      <c r="D258" s="2">
        <v>0</v>
      </c>
      <c r="E258" s="2">
        <v>0</v>
      </c>
      <c r="F258" s="2">
        <f>F257*(1+((1+VLOOKUP($B258,'IPCA Hist'!$B:$C,2,0))^12 - 1)+$F$2)^(1/252)</f>
        <v>45162106.997363254</v>
      </c>
      <c r="G258" s="2">
        <f>G257*(1+((1+VLOOKUP($B258,'IPCA Hist'!$B:$C,2,0))^12 - 1)+$G$2)^(1/252)</f>
        <v>45146313.012753807</v>
      </c>
      <c r="H258" s="2">
        <f>H257*(1+((1+VLOOKUP($B258,'IPCA Hist'!$B:$C,2,0))^12 - 1)+$H$2)^(1/252)</f>
        <v>46175445.514624864</v>
      </c>
      <c r="I258" s="2">
        <f>I257*(1+((1+VLOOKUP($B258,'IPCA Hist'!$B:$C,2,0))^12 - 1)+$I$2)^(1/252)</f>
        <v>233222545.49133101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f t="shared" si="32"/>
        <v>369706411.01607293</v>
      </c>
      <c r="P258" s="2">
        <v>0</v>
      </c>
      <c r="Q258" s="2">
        <v>0</v>
      </c>
      <c r="R258" s="2">
        <f t="shared" si="41"/>
        <v>136295.39797180891</v>
      </c>
      <c r="S258" s="2">
        <f t="shared" si="34"/>
        <v>272540.54812735319</v>
      </c>
      <c r="T258" s="2">
        <f t="shared" si="35"/>
        <v>17444570.90918237</v>
      </c>
      <c r="U258" s="11">
        <f t="shared" si="38"/>
        <v>1.0924960500649992</v>
      </c>
      <c r="V258" s="12">
        <f t="shared" si="39"/>
        <v>3.687944241483887E-4</v>
      </c>
      <c r="W258" s="12">
        <f t="shared" si="36"/>
        <v>7.3772485392908926E-4</v>
      </c>
      <c r="X258" s="12">
        <f t="shared" si="37"/>
        <v>4.9116762559960669E-2</v>
      </c>
      <c r="Y258" s="5">
        <f t="shared" si="40"/>
        <v>9.2496050064999169E-2</v>
      </c>
      <c r="Z258" s="19">
        <f t="shared" ref="Z258:Z321" si="43">U258/U132 - 1</f>
        <v>4.9116762559962446E-2</v>
      </c>
      <c r="AA258" s="19">
        <f t="shared" si="42"/>
        <v>9.1940124640055965E-2</v>
      </c>
      <c r="AB258" s="19" t="s">
        <v>53</v>
      </c>
    </row>
    <row r="259" spans="1:28" x14ac:dyDescent="0.25">
      <c r="A259" s="1">
        <v>45476</v>
      </c>
      <c r="B259" s="1" t="str">
        <f t="shared" si="33"/>
        <v>202407</v>
      </c>
      <c r="C259" s="2">
        <v>0</v>
      </c>
      <c r="D259" s="2">
        <v>0</v>
      </c>
      <c r="E259" s="2">
        <v>0</v>
      </c>
      <c r="F259" s="2">
        <f>F258*(1+((1+VLOOKUP($B259,'IPCA Hist'!$B:$C,2,0))^12 - 1)+$F$2)^(1/252)</f>
        <v>45178906.617209651</v>
      </c>
      <c r="G259" s="2">
        <f>G258*(1+((1+VLOOKUP($B259,'IPCA Hist'!$B:$C,2,0))^12 - 1)+$G$2)^(1/252)</f>
        <v>45163123.07522811</v>
      </c>
      <c r="H259" s="2">
        <f>H258*(1+((1+VLOOKUP($B259,'IPCA Hist'!$B:$C,2,0))^12 - 1)+$H$2)^(1/252)</f>
        <v>46192438.394144773</v>
      </c>
      <c r="I259" s="2">
        <f>I258*(1+((1+VLOOKUP($B259,'IPCA Hist'!$B:$C,2,0))^12 - 1)+$I$2)^(1/252)</f>
        <v>233308288.5938105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f t="shared" ref="O259:O322" si="44">SUM(C259:N259)</f>
        <v>369842756.68039304</v>
      </c>
      <c r="P259" s="2">
        <v>0</v>
      </c>
      <c r="Q259" s="2">
        <v>0</v>
      </c>
      <c r="R259" s="2">
        <f t="shared" si="41"/>
        <v>136345.66432011127</v>
      </c>
      <c r="S259" s="2">
        <f t="shared" si="34"/>
        <v>408886.21244746447</v>
      </c>
      <c r="T259" s="2">
        <f t="shared" si="35"/>
        <v>17580916.573502481</v>
      </c>
      <c r="U259" s="11">
        <f t="shared" si="38"/>
        <v>1.0928989565207023</v>
      </c>
      <c r="V259" s="12">
        <f t="shared" si="39"/>
        <v>3.6879442784187866E-4</v>
      </c>
      <c r="W259" s="12">
        <f t="shared" si="36"/>
        <v>1.1067913505864446E-3</v>
      </c>
      <c r="X259" s="12">
        <f t="shared" si="37"/>
        <v>4.9503670976148273E-2</v>
      </c>
      <c r="Y259" s="5">
        <f t="shared" si="40"/>
        <v>9.2898956520702347E-2</v>
      </c>
      <c r="Z259" s="19">
        <f t="shared" si="43"/>
        <v>4.9097778998900221E-2</v>
      </c>
      <c r="AA259" s="19">
        <f t="shared" si="42"/>
        <v>9.2157512151871845E-2</v>
      </c>
      <c r="AB259" s="19" t="s">
        <v>53</v>
      </c>
    </row>
    <row r="260" spans="1:28" x14ac:dyDescent="0.25">
      <c r="A260" s="1">
        <v>45477</v>
      </c>
      <c r="B260" s="1" t="str">
        <f t="shared" ref="B260:B323" si="45">_xlfn.CONCAT(TEXT(YEAR(A260),"0000"),TEXT(MONTH(A260),"00"))</f>
        <v>202407</v>
      </c>
      <c r="C260" s="2">
        <v>0</v>
      </c>
      <c r="D260" s="2">
        <v>0</v>
      </c>
      <c r="E260" s="2">
        <v>0</v>
      </c>
      <c r="F260" s="2">
        <f>F259*(1+((1+VLOOKUP($B260,'IPCA Hist'!$B:$C,2,0))^12 - 1)+$F$2)^(1/252)</f>
        <v>45195712.486260213</v>
      </c>
      <c r="G260" s="2">
        <f>G259*(1+((1+VLOOKUP($B260,'IPCA Hist'!$B:$C,2,0))^12 - 1)+$G$2)^(1/252)</f>
        <v>45179939.396866933</v>
      </c>
      <c r="H260" s="2">
        <f>H259*(1+((1+VLOOKUP($B260,'IPCA Hist'!$B:$C,2,0))^12 - 1)+$H$2)^(1/252)</f>
        <v>46209437.527160481</v>
      </c>
      <c r="I260" s="2">
        <f>I259*(1+((1+VLOOKUP($B260,'IPCA Hist'!$B:$C,2,0))^12 - 1)+$I$2)^(1/252)</f>
        <v>233394063.21931282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f t="shared" si="44"/>
        <v>369979152.62960041</v>
      </c>
      <c r="P260" s="2">
        <v>0</v>
      </c>
      <c r="Q260" s="2">
        <v>0</v>
      </c>
      <c r="R260" s="2">
        <f t="shared" si="41"/>
        <v>136395.94920736551</v>
      </c>
      <c r="S260" s="2">
        <f t="shared" ref="S260:S323" si="46">IF(MONTH(A260)=MONTH(A259),R260+S259,R260)</f>
        <v>545282.16165482998</v>
      </c>
      <c r="T260" s="2">
        <f t="shared" ref="T260:T323" si="47">IF(YEAR(A260)=YEAR(A259),R260+T259,R260)</f>
        <v>17717312.522709846</v>
      </c>
      <c r="U260" s="11">
        <f t="shared" si="38"/>
        <v>1.0933020115700978</v>
      </c>
      <c r="V260" s="12">
        <f t="shared" si="39"/>
        <v>3.6879443153514657E-4</v>
      </c>
      <c r="W260" s="12">
        <f t="shared" ref="W260:W323" si="48">IF(MONTH(A260)=MONTH(A259),(1+V260)*(1+W259) - 1,V260)</f>
        <v>1.4759939606086014E-3</v>
      </c>
      <c r="X260" s="12">
        <f t="shared" ref="X260:X323" si="49">IF(YEAR(A260)=YEAR(A259),(1+V260)*(1+X259) - 1,V260)</f>
        <v>4.9890722085879968E-2</v>
      </c>
      <c r="Y260" s="5">
        <f t="shared" si="40"/>
        <v>9.3302011570097765E-2</v>
      </c>
      <c r="Z260" s="19">
        <f t="shared" si="43"/>
        <v>4.907879578137786E-2</v>
      </c>
      <c r="AA260" s="19">
        <f t="shared" si="42"/>
        <v>9.2276178468466474E-2</v>
      </c>
      <c r="AB260" s="19" t="s">
        <v>53</v>
      </c>
    </row>
    <row r="261" spans="1:28" x14ac:dyDescent="0.25">
      <c r="A261" s="1">
        <v>45478</v>
      </c>
      <c r="B261" s="1" t="str">
        <f t="shared" si="45"/>
        <v>202407</v>
      </c>
      <c r="C261" s="2">
        <v>0</v>
      </c>
      <c r="D261" s="2">
        <v>0</v>
      </c>
      <c r="E261" s="2">
        <v>0</v>
      </c>
      <c r="F261" s="2">
        <f>F260*(1+((1+VLOOKUP($B261,'IPCA Hist'!$B:$C,2,0))^12 - 1)+$F$2)^(1/252)</f>
        <v>45212524.606839545</v>
      </c>
      <c r="G261" s="2">
        <f>G260*(1+((1+VLOOKUP($B261,'IPCA Hist'!$B:$C,2,0))^12 - 1)+$G$2)^(1/252)</f>
        <v>45196761.980000846</v>
      </c>
      <c r="H261" s="2">
        <f>H260*(1+((1+VLOOKUP($B261,'IPCA Hist'!$B:$C,2,0))^12 - 1)+$H$2)^(1/252)</f>
        <v>46226442.915973313</v>
      </c>
      <c r="I261" s="2">
        <f>I260*(1+((1+VLOOKUP($B261,'IPCA Hist'!$B:$C,2,0))^12 - 1)+$I$2)^(1/252)</f>
        <v>233479869.37942722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f t="shared" si="44"/>
        <v>370115598.88224089</v>
      </c>
      <c r="P261" s="2">
        <v>0</v>
      </c>
      <c r="Q261" s="2">
        <v>0</v>
      </c>
      <c r="R261" s="2">
        <f t="shared" si="41"/>
        <v>136446.25264048576</v>
      </c>
      <c r="S261" s="2">
        <f t="shared" si="46"/>
        <v>681728.41429531574</v>
      </c>
      <c r="T261" s="2">
        <f t="shared" si="47"/>
        <v>17853758.775350332</v>
      </c>
      <c r="U261" s="11">
        <f t="shared" ref="U261:U324" si="50">(1+(O261-O260-P261+Q261)/O260)*U260</f>
        <v>1.0937052152679894</v>
      </c>
      <c r="V261" s="12">
        <f t="shared" ref="V261:V324" si="51">U261/U260 - 1</f>
        <v>3.6879443522885857E-4</v>
      </c>
      <c r="W261" s="12">
        <f t="shared" si="48"/>
        <v>1.8453327341965142E-3</v>
      </c>
      <c r="X261" s="12">
        <f t="shared" si="49"/>
        <v>5.0277915941783657E-2</v>
      </c>
      <c r="Y261" s="5">
        <f t="shared" ref="Y261:Y324" si="52">(1+V261)*(1+Y260) - 1</f>
        <v>9.3705215267989361E-2</v>
      </c>
      <c r="Z261" s="19">
        <f t="shared" si="43"/>
        <v>4.9059812907389588E-2</v>
      </c>
      <c r="AA261" s="19">
        <f t="shared" si="42"/>
        <v>9.2398645193132012E-2</v>
      </c>
      <c r="AB261" s="19" t="s">
        <v>53</v>
      </c>
    </row>
    <row r="262" spans="1:28" x14ac:dyDescent="0.25">
      <c r="A262" s="1">
        <v>45481</v>
      </c>
      <c r="B262" s="1" t="str">
        <f t="shared" si="45"/>
        <v>202407</v>
      </c>
      <c r="C262" s="2">
        <v>0</v>
      </c>
      <c r="D262" s="2">
        <v>0</v>
      </c>
      <c r="E262" s="2">
        <v>0</v>
      </c>
      <c r="F262" s="2">
        <f>F261*(1+((1+VLOOKUP($B262,'IPCA Hist'!$B:$C,2,0))^12 - 1)+$F$2)^(1/252)</f>
        <v>45229342.981273122</v>
      </c>
      <c r="G262" s="2">
        <f>G261*(1+((1+VLOOKUP($B262,'IPCA Hist'!$B:$C,2,0))^12 - 1)+$G$2)^(1/252)</f>
        <v>45213590.826961294</v>
      </c>
      <c r="H262" s="2">
        <f>H261*(1+((1+VLOOKUP($B262,'IPCA Hist'!$B:$C,2,0))^12 - 1)+$H$2)^(1/252)</f>
        <v>46243454.562885441</v>
      </c>
      <c r="I262" s="2">
        <f>I261*(1+((1+VLOOKUP($B262,'IPCA Hist'!$B:$C,2,0))^12 - 1)+$I$2)^(1/252)</f>
        <v>233565707.08574727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f t="shared" si="44"/>
        <v>370252095.4568671</v>
      </c>
      <c r="P262" s="2">
        <v>0</v>
      </c>
      <c r="Q262" s="2">
        <v>0</v>
      </c>
      <c r="R262" s="2">
        <f t="shared" si="41"/>
        <v>136496.57462620735</v>
      </c>
      <c r="S262" s="2">
        <f t="shared" si="46"/>
        <v>818224.98892152309</v>
      </c>
      <c r="T262" s="2">
        <f t="shared" si="47"/>
        <v>17990255.34997654</v>
      </c>
      <c r="U262" s="11">
        <f t="shared" si="50"/>
        <v>1.0941085676692006</v>
      </c>
      <c r="V262" s="12">
        <f t="shared" si="51"/>
        <v>3.6879443892234853E-4</v>
      </c>
      <c r="W262" s="12">
        <f t="shared" si="48"/>
        <v>2.2148077215691231E-3</v>
      </c>
      <c r="X262" s="12">
        <f t="shared" si="49"/>
        <v>5.0665252596505894E-2</v>
      </c>
      <c r="Y262" s="5">
        <f t="shared" si="52"/>
        <v>9.4108567669200616E-2</v>
      </c>
      <c r="Z262" s="19">
        <f t="shared" si="43"/>
        <v>4.9040830376928524E-2</v>
      </c>
      <c r="AA262" s="19">
        <f t="shared" si="42"/>
        <v>9.2521125644101421E-2</v>
      </c>
      <c r="AB262" s="19" t="s">
        <v>53</v>
      </c>
    </row>
    <row r="263" spans="1:28" x14ac:dyDescent="0.25">
      <c r="A263" s="1">
        <v>45482</v>
      </c>
      <c r="B263" s="1" t="str">
        <f t="shared" si="45"/>
        <v>202407</v>
      </c>
      <c r="C263" s="2">
        <v>0</v>
      </c>
      <c r="D263" s="2">
        <v>0</v>
      </c>
      <c r="E263" s="2">
        <v>0</v>
      </c>
      <c r="F263" s="2">
        <f>F262*(1+((1+VLOOKUP($B263,'IPCA Hist'!$B:$C,2,0))^12 - 1)+$F$2)^(1/252)</f>
        <v>45246167.611887284</v>
      </c>
      <c r="G263" s="2">
        <f>G262*(1+((1+VLOOKUP($B263,'IPCA Hist'!$B:$C,2,0))^12 - 1)+$G$2)^(1/252)</f>
        <v>45230425.940080591</v>
      </c>
      <c r="H263" s="2">
        <f>H262*(1+((1+VLOOKUP($B263,'IPCA Hist'!$B:$C,2,0))^12 - 1)+$H$2)^(1/252)</f>
        <v>46260472.470199898</v>
      </c>
      <c r="I263" s="2">
        <f>I262*(1+((1+VLOOKUP($B263,'IPCA Hist'!$B:$C,2,0))^12 - 1)+$I$2)^(1/252)</f>
        <v>233651576.34987077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f t="shared" si="44"/>
        <v>370388642.37203854</v>
      </c>
      <c r="P263" s="2">
        <v>0</v>
      </c>
      <c r="Q263" s="2">
        <v>0</v>
      </c>
      <c r="R263" s="2">
        <f t="shared" si="41"/>
        <v>136546.91517144442</v>
      </c>
      <c r="S263" s="2">
        <f t="shared" si="46"/>
        <v>954771.90409296751</v>
      </c>
      <c r="T263" s="2">
        <f t="shared" si="47"/>
        <v>18126802.265147984</v>
      </c>
      <c r="U263" s="11">
        <f t="shared" si="50"/>
        <v>1.0945120688285757</v>
      </c>
      <c r="V263" s="12">
        <f t="shared" si="51"/>
        <v>3.6879444261606054E-4</v>
      </c>
      <c r="W263" s="12">
        <f t="shared" si="48"/>
        <v>2.584418972964464E-3</v>
      </c>
      <c r="X263" s="12">
        <f t="shared" si="49"/>
        <v>5.1052732102713216E-2</v>
      </c>
      <c r="Y263" s="5">
        <f t="shared" si="52"/>
        <v>9.4512068828575657E-2</v>
      </c>
      <c r="Z263" s="19">
        <f t="shared" si="43"/>
        <v>4.9021848189988448E-2</v>
      </c>
      <c r="AA263" s="19">
        <f t="shared" si="42"/>
        <v>9.264361982291347E-2</v>
      </c>
      <c r="AB263" s="19" t="s">
        <v>53</v>
      </c>
    </row>
    <row r="264" spans="1:28" x14ac:dyDescent="0.25">
      <c r="A264" s="1">
        <v>45483</v>
      </c>
      <c r="B264" s="1" t="str">
        <f t="shared" si="45"/>
        <v>202407</v>
      </c>
      <c r="C264" s="2">
        <v>0</v>
      </c>
      <c r="D264" s="2">
        <v>0</v>
      </c>
      <c r="E264" s="2">
        <v>0</v>
      </c>
      <c r="F264" s="2">
        <f>F263*(1+((1+VLOOKUP($B264,'IPCA Hist'!$B:$C,2,0))^12 - 1)+$F$2)^(1/252)</f>
        <v>45262998.501009233</v>
      </c>
      <c r="G264" s="2">
        <f>G263*(1+((1+VLOOKUP($B264,'IPCA Hist'!$B:$C,2,0))^12 - 1)+$G$2)^(1/252)</f>
        <v>45247267.321691915</v>
      </c>
      <c r="H264" s="2">
        <f>H263*(1+((1+VLOOKUP($B264,'IPCA Hist'!$B:$C,2,0))^12 - 1)+$H$2)^(1/252)</f>
        <v>46277496.640220545</v>
      </c>
      <c r="I264" s="2">
        <f>I263*(1+((1+VLOOKUP($B264,'IPCA Hist'!$B:$C,2,0))^12 - 1)+$I$2)^(1/252)</f>
        <v>233737477.18339977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f t="shared" si="44"/>
        <v>370525239.64632148</v>
      </c>
      <c r="P264" s="2">
        <v>0</v>
      </c>
      <c r="Q264" s="2">
        <v>0</v>
      </c>
      <c r="R264" s="2">
        <f t="shared" si="41"/>
        <v>136597.27428293228</v>
      </c>
      <c r="S264" s="2">
        <f t="shared" si="46"/>
        <v>1091369.1783758998</v>
      </c>
      <c r="T264" s="2">
        <f t="shared" si="47"/>
        <v>18263399.539430916</v>
      </c>
      <c r="U264" s="11">
        <f t="shared" si="50"/>
        <v>1.0949157188009784</v>
      </c>
      <c r="V264" s="12">
        <f t="shared" si="51"/>
        <v>3.6879444630955049E-4</v>
      </c>
      <c r="W264" s="12">
        <f t="shared" si="48"/>
        <v>2.9541665386381144E-3</v>
      </c>
      <c r="X264" s="12">
        <f t="shared" si="49"/>
        <v>5.1440354513091258E-2</v>
      </c>
      <c r="Y264" s="5">
        <f t="shared" si="52"/>
        <v>9.4915718800978377E-2</v>
      </c>
      <c r="Z264" s="19">
        <f t="shared" si="43"/>
        <v>4.9002866346563367E-2</v>
      </c>
      <c r="AA264" s="19">
        <f t="shared" si="42"/>
        <v>9.2766127731105597E-2</v>
      </c>
      <c r="AB264" s="19" t="s">
        <v>53</v>
      </c>
    </row>
    <row r="265" spans="1:28" x14ac:dyDescent="0.25">
      <c r="A265" s="1">
        <v>45484</v>
      </c>
      <c r="B265" s="1" t="str">
        <f t="shared" si="45"/>
        <v>202407</v>
      </c>
      <c r="C265" s="2">
        <v>0</v>
      </c>
      <c r="D265" s="2">
        <v>0</v>
      </c>
      <c r="E265" s="2">
        <v>0</v>
      </c>
      <c r="F265" s="2">
        <f>F264*(1+((1+VLOOKUP($B265,'IPCA Hist'!$B:$C,2,0))^12 - 1)+$F$2)^(1/252)</f>
        <v>45279835.650967039</v>
      </c>
      <c r="G265" s="2">
        <f>G264*(1+((1+VLOOKUP($B265,'IPCA Hist'!$B:$C,2,0))^12 - 1)+$G$2)^(1/252)</f>
        <v>45264114.974129319</v>
      </c>
      <c r="H265" s="2">
        <f>H264*(1+((1+VLOOKUP($B265,'IPCA Hist'!$B:$C,2,0))^12 - 1)+$H$2)^(1/252)</f>
        <v>46294527.075252108</v>
      </c>
      <c r="I265" s="2">
        <f>I264*(1+((1+VLOOKUP($B265,'IPCA Hist'!$B:$C,2,0))^12 - 1)+$I$2)^(1/252)</f>
        <v>233823409.59794062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f t="shared" si="44"/>
        <v>370661887.29828906</v>
      </c>
      <c r="P265" s="2">
        <v>0</v>
      </c>
      <c r="Q265" s="2">
        <v>0</v>
      </c>
      <c r="R265" s="2">
        <f t="shared" ref="R265:R328" si="53">O265-O264-P265+Q265</f>
        <v>136647.65196758509</v>
      </c>
      <c r="S265" s="2">
        <f t="shared" si="46"/>
        <v>1228016.8303434849</v>
      </c>
      <c r="T265" s="2">
        <f t="shared" si="47"/>
        <v>18400047.191398501</v>
      </c>
      <c r="U265" s="11">
        <f t="shared" si="50"/>
        <v>1.0953195176412933</v>
      </c>
      <c r="V265" s="12">
        <f t="shared" si="51"/>
        <v>3.6879445000304045E-4</v>
      </c>
      <c r="W265" s="12">
        <f t="shared" si="48"/>
        <v>3.3240504688649697E-3</v>
      </c>
      <c r="X265" s="12">
        <f t="shared" si="49"/>
        <v>5.1828119880344969E-2</v>
      </c>
      <c r="Y265" s="5">
        <f t="shared" si="52"/>
        <v>9.5319517641293317E-2</v>
      </c>
      <c r="Z265" s="19">
        <f t="shared" si="43"/>
        <v>4.8983884846647063E-2</v>
      </c>
      <c r="AA265" s="19">
        <f t="shared" si="42"/>
        <v>9.2888649370217014E-2</v>
      </c>
      <c r="AB265" s="19" t="s">
        <v>53</v>
      </c>
    </row>
    <row r="266" spans="1:28" x14ac:dyDescent="0.25">
      <c r="A266" s="1">
        <v>45485</v>
      </c>
      <c r="B266" s="1" t="str">
        <f t="shared" si="45"/>
        <v>202407</v>
      </c>
      <c r="C266" s="2">
        <v>0</v>
      </c>
      <c r="D266" s="2">
        <v>0</v>
      </c>
      <c r="E266" s="2">
        <v>0</v>
      </c>
      <c r="F266" s="2">
        <f>F265*(1+((1+VLOOKUP($B266,'IPCA Hist'!$B:$C,2,0))^12 - 1)+$F$2)^(1/252)</f>
        <v>45296679.064089641</v>
      </c>
      <c r="G266" s="2">
        <f>G265*(1+((1+VLOOKUP($B266,'IPCA Hist'!$B:$C,2,0))^12 - 1)+$G$2)^(1/252)</f>
        <v>45280968.899727724</v>
      </c>
      <c r="H266" s="2">
        <f>H265*(1+((1+VLOOKUP($B266,'IPCA Hist'!$B:$C,2,0))^12 - 1)+$H$2)^(1/252)</f>
        <v>46311563.777600154</v>
      </c>
      <c r="I266" s="2">
        <f>I265*(1+((1+VLOOKUP($B266,'IPCA Hist'!$B:$C,2,0))^12 - 1)+$I$2)^(1/252)</f>
        <v>233909373.60510394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f t="shared" si="44"/>
        <v>370798585.3465215</v>
      </c>
      <c r="P266" s="2">
        <v>0</v>
      </c>
      <c r="Q266" s="2">
        <v>0</v>
      </c>
      <c r="R266" s="2">
        <f t="shared" si="53"/>
        <v>136698.04823243618</v>
      </c>
      <c r="S266" s="2">
        <f t="shared" si="46"/>
        <v>1364714.8785759211</v>
      </c>
      <c r="T266" s="2">
        <f t="shared" si="47"/>
        <v>18536745.239630938</v>
      </c>
      <c r="U266" s="11">
        <f t="shared" si="50"/>
        <v>1.0957234654044254</v>
      </c>
      <c r="V266" s="12">
        <f t="shared" si="51"/>
        <v>3.687944536969745E-4</v>
      </c>
      <c r="W266" s="12">
        <f t="shared" si="48"/>
        <v>3.6940708139385769E-3</v>
      </c>
      <c r="X266" s="12">
        <f t="shared" si="49"/>
        <v>5.2216028257199287E-2</v>
      </c>
      <c r="Y266" s="5">
        <f t="shared" si="52"/>
        <v>9.5723465404425445E-2</v>
      </c>
      <c r="Z266" s="19">
        <f t="shared" si="43"/>
        <v>4.8964903690233763E-2</v>
      </c>
      <c r="AA266" s="19">
        <f t="shared" si="42"/>
        <v>9.301118474178538E-2</v>
      </c>
      <c r="AB266" s="19" t="s">
        <v>53</v>
      </c>
    </row>
    <row r="267" spans="1:28" x14ac:dyDescent="0.25">
      <c r="A267" s="1">
        <v>45488</v>
      </c>
      <c r="B267" s="1" t="str">
        <f t="shared" si="45"/>
        <v>202407</v>
      </c>
      <c r="C267" s="2">
        <v>0</v>
      </c>
      <c r="D267" s="2">
        <v>0</v>
      </c>
      <c r="E267" s="2">
        <v>0</v>
      </c>
      <c r="F267" s="2">
        <f>F266*(1+((1+VLOOKUP($B267,'IPCA Hist'!$B:$C,2,0))^12 - 1)+$F$2)^(1/252)</f>
        <v>45313528.742706835</v>
      </c>
      <c r="G267" s="2">
        <f>G266*(1+((1+VLOOKUP($B267,'IPCA Hist'!$B:$C,2,0))^12 - 1)+$G$2)^(1/252)</f>
        <v>45297829.100822918</v>
      </c>
      <c r="H267" s="2">
        <f>H266*(1+((1+VLOOKUP($B267,'IPCA Hist'!$B:$C,2,0))^12 - 1)+$H$2)^(1/252)</f>
        <v>46328606.749571092</v>
      </c>
      <c r="I267" s="2">
        <f>I266*(1+((1+VLOOKUP($B267,'IPCA Hist'!$B:$C,2,0))^12 - 1)+$I$2)^(1/252)</f>
        <v>233995369.21650457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f t="shared" si="44"/>
        <v>370935333.80960542</v>
      </c>
      <c r="P267" s="2">
        <v>0</v>
      </c>
      <c r="Q267" s="2">
        <v>0</v>
      </c>
      <c r="R267" s="2">
        <f t="shared" si="53"/>
        <v>136748.46308392286</v>
      </c>
      <c r="S267" s="2">
        <f t="shared" si="46"/>
        <v>1501463.3416598439</v>
      </c>
      <c r="T267" s="2">
        <f t="shared" si="47"/>
        <v>18673493.70271486</v>
      </c>
      <c r="U267" s="11">
        <f t="shared" si="50"/>
        <v>1.0961275621452991</v>
      </c>
      <c r="V267" s="12">
        <f t="shared" si="51"/>
        <v>3.6879445739024241E-4</v>
      </c>
      <c r="W267" s="12">
        <f t="shared" si="48"/>
        <v>4.0642276241702469E-3</v>
      </c>
      <c r="X267" s="12">
        <f t="shared" si="49"/>
        <v>5.2604079696397799E-2</v>
      </c>
      <c r="Y267" s="5">
        <f t="shared" si="52"/>
        <v>9.612756214529905E-2</v>
      </c>
      <c r="Z267" s="19">
        <f t="shared" si="43"/>
        <v>4.8945922877316361E-2</v>
      </c>
      <c r="AA267" s="19">
        <f t="shared" si="42"/>
        <v>9.3133733847349243E-2</v>
      </c>
      <c r="AB267" s="19" t="s">
        <v>53</v>
      </c>
    </row>
    <row r="268" spans="1:28" x14ac:dyDescent="0.25">
      <c r="A268" s="1">
        <v>45489</v>
      </c>
      <c r="B268" s="1" t="str">
        <f t="shared" si="45"/>
        <v>202407</v>
      </c>
      <c r="C268" s="2">
        <v>0</v>
      </c>
      <c r="D268" s="2">
        <v>0</v>
      </c>
      <c r="E268" s="2">
        <v>0</v>
      </c>
      <c r="F268" s="2">
        <f>F267*(1+((1+VLOOKUP($B268,'IPCA Hist'!$B:$C,2,0))^12 - 1)+$F$2)^(1/252)</f>
        <v>45330384.689149298</v>
      </c>
      <c r="G268" s="2">
        <f>G267*(1+((1+VLOOKUP($B268,'IPCA Hist'!$B:$C,2,0))^12 - 1)+$G$2)^(1/252)</f>
        <v>45314695.579751551</v>
      </c>
      <c r="H268" s="2">
        <f>H267*(1+((1+VLOOKUP($B268,'IPCA Hist'!$B:$C,2,0))^12 - 1)+$H$2)^(1/252)</f>
        <v>46345655.993472189</v>
      </c>
      <c r="I268" s="2">
        <f>I267*(1+((1+VLOOKUP($B268,'IPCA Hist'!$B:$C,2,0))^12 - 1)+$I$2)^(1/252)</f>
        <v>234081396.44376165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f t="shared" si="44"/>
        <v>371072132.70613468</v>
      </c>
      <c r="P268" s="2">
        <v>0</v>
      </c>
      <c r="Q268" s="2">
        <v>0</v>
      </c>
      <c r="R268" s="2">
        <f t="shared" si="53"/>
        <v>136798.8965292573</v>
      </c>
      <c r="S268" s="2">
        <f t="shared" si="46"/>
        <v>1638262.2381891012</v>
      </c>
      <c r="T268" s="2">
        <f t="shared" si="47"/>
        <v>18810292.599244118</v>
      </c>
      <c r="U268" s="11">
        <f t="shared" si="50"/>
        <v>1.0965318079188595</v>
      </c>
      <c r="V268" s="12">
        <f t="shared" si="51"/>
        <v>3.6879446108373237E-4</v>
      </c>
      <c r="W268" s="12">
        <f t="shared" si="48"/>
        <v>4.4345209498903859E-3</v>
      </c>
      <c r="X268" s="12">
        <f t="shared" si="49"/>
        <v>5.2992274250704074E-2</v>
      </c>
      <c r="Y268" s="5">
        <f t="shared" si="52"/>
        <v>9.6531807918859514E-2</v>
      </c>
      <c r="Z268" s="19">
        <f t="shared" si="43"/>
        <v>4.8926942407889307E-2</v>
      </c>
      <c r="AA268" s="19">
        <f t="shared" si="42"/>
        <v>9.3256296688447593E-2</v>
      </c>
      <c r="AB268" s="19" t="s">
        <v>53</v>
      </c>
    </row>
    <row r="269" spans="1:28" x14ac:dyDescent="0.25">
      <c r="A269" s="1">
        <v>45490</v>
      </c>
      <c r="B269" s="1" t="str">
        <f t="shared" si="45"/>
        <v>202407</v>
      </c>
      <c r="C269" s="2">
        <v>0</v>
      </c>
      <c r="D269" s="2">
        <v>0</v>
      </c>
      <c r="E269" s="2">
        <v>0</v>
      </c>
      <c r="F269" s="2">
        <f>F268*(1+((1+VLOOKUP($B269,'IPCA Hist'!$B:$C,2,0))^12 - 1)+$F$2)^(1/252)</f>
        <v>45347246.905748561</v>
      </c>
      <c r="G269" s="2">
        <f>G268*(1+((1+VLOOKUP($B269,'IPCA Hist'!$B:$C,2,0))^12 - 1)+$G$2)^(1/252)</f>
        <v>45331568.338851161</v>
      </c>
      <c r="H269" s="2">
        <f>H268*(1+((1+VLOOKUP($B269,'IPCA Hist'!$B:$C,2,0))^12 - 1)+$H$2)^(1/252)</f>
        <v>46362711.511611558</v>
      </c>
      <c r="I269" s="2">
        <f>I268*(1+((1+VLOOKUP($B269,'IPCA Hist'!$B:$C,2,0))^12 - 1)+$I$2)^(1/252)</f>
        <v>234167455.2984986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f t="shared" si="44"/>
        <v>371208982.05470991</v>
      </c>
      <c r="P269" s="2">
        <v>0</v>
      </c>
      <c r="Q269" s="2">
        <v>0</v>
      </c>
      <c r="R269" s="2">
        <f t="shared" si="53"/>
        <v>136849.34857523441</v>
      </c>
      <c r="S269" s="2">
        <f t="shared" si="46"/>
        <v>1775111.5867643356</v>
      </c>
      <c r="T269" s="2">
        <f t="shared" si="47"/>
        <v>18947141.947819352</v>
      </c>
      <c r="U269" s="11">
        <f t="shared" si="50"/>
        <v>1.0969362027800726</v>
      </c>
      <c r="V269" s="12">
        <f t="shared" si="51"/>
        <v>3.6879446477766642E-4</v>
      </c>
      <c r="W269" s="12">
        <f t="shared" si="48"/>
        <v>4.8049508414482744E-3</v>
      </c>
      <c r="X269" s="12">
        <f t="shared" si="49"/>
        <v>5.3380611972901448E-2</v>
      </c>
      <c r="Y269" s="5">
        <f t="shared" si="52"/>
        <v>9.6936202780072644E-2</v>
      </c>
      <c r="Z269" s="19">
        <f t="shared" si="43"/>
        <v>4.8907962281946382E-2</v>
      </c>
      <c r="AA269" s="19">
        <f t="shared" si="42"/>
        <v>9.3378873266619866E-2</v>
      </c>
      <c r="AB269" s="19" t="s">
        <v>53</v>
      </c>
    </row>
    <row r="270" spans="1:28" x14ac:dyDescent="0.25">
      <c r="A270" s="1">
        <v>45491</v>
      </c>
      <c r="B270" s="1" t="str">
        <f t="shared" si="45"/>
        <v>202407</v>
      </c>
      <c r="C270" s="2">
        <v>0</v>
      </c>
      <c r="D270" s="2">
        <v>0</v>
      </c>
      <c r="E270" s="2">
        <v>0</v>
      </c>
      <c r="F270" s="2">
        <f>F269*(1+((1+VLOOKUP($B270,'IPCA Hist'!$B:$C,2,0))^12 - 1)+$F$2)^(1/252)</f>
        <v>45364115.394837029</v>
      </c>
      <c r="G270" s="2">
        <f>G269*(1+((1+VLOOKUP($B270,'IPCA Hist'!$B:$C,2,0))^12 - 1)+$G$2)^(1/252)</f>
        <v>45348447.380460143</v>
      </c>
      <c r="H270" s="2">
        <f>H269*(1+((1+VLOOKUP($B270,'IPCA Hist'!$B:$C,2,0))^12 - 1)+$H$2)^(1/252)</f>
        <v>46379773.306298167</v>
      </c>
      <c r="I270" s="2">
        <f>I269*(1+((1+VLOOKUP($B270,'IPCA Hist'!$B:$C,2,0))^12 - 1)+$I$2)^(1/252)</f>
        <v>234253545.79234311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f t="shared" si="44"/>
        <v>371345881.87393844</v>
      </c>
      <c r="P270" s="2">
        <v>0</v>
      </c>
      <c r="Q270" s="2">
        <v>0</v>
      </c>
      <c r="R270" s="2">
        <f t="shared" si="53"/>
        <v>136899.81922852993</v>
      </c>
      <c r="S270" s="2">
        <f t="shared" si="46"/>
        <v>1912011.4059928656</v>
      </c>
      <c r="T270" s="2">
        <f t="shared" si="47"/>
        <v>19084041.767047882</v>
      </c>
      <c r="U270" s="11">
        <f t="shared" si="50"/>
        <v>1.0973407467839233</v>
      </c>
      <c r="V270" s="12">
        <f t="shared" si="51"/>
        <v>3.6879446847093433E-4</v>
      </c>
      <c r="W270" s="12">
        <f t="shared" si="48"/>
        <v>5.1755173492107343E-3</v>
      </c>
      <c r="X270" s="12">
        <f t="shared" si="49"/>
        <v>5.3769092915791683E-2</v>
      </c>
      <c r="Y270" s="5">
        <f t="shared" si="52"/>
        <v>9.7340746783923349E-2</v>
      </c>
      <c r="Z270" s="19">
        <f t="shared" si="43"/>
        <v>4.8888982499480482E-2</v>
      </c>
      <c r="AA270" s="19">
        <f t="shared" si="42"/>
        <v>9.3501463583404165E-2</v>
      </c>
      <c r="AB270" s="19" t="s">
        <v>53</v>
      </c>
    </row>
    <row r="271" spans="1:28" x14ac:dyDescent="0.25">
      <c r="A271" s="1">
        <v>45492</v>
      </c>
      <c r="B271" s="1" t="str">
        <f t="shared" si="45"/>
        <v>202407</v>
      </c>
      <c r="C271" s="2">
        <v>0</v>
      </c>
      <c r="D271" s="2">
        <v>0</v>
      </c>
      <c r="E271" s="2">
        <v>0</v>
      </c>
      <c r="F271" s="2">
        <f>F270*(1+((1+VLOOKUP($B271,'IPCA Hist'!$B:$C,2,0))^12 - 1)+$F$2)^(1/252)</f>
        <v>45380990.158747979</v>
      </c>
      <c r="G271" s="2">
        <f>G270*(1+((1+VLOOKUP($B271,'IPCA Hist'!$B:$C,2,0))^12 - 1)+$G$2)^(1/252)</f>
        <v>45365332.706917763</v>
      </c>
      <c r="H271" s="2">
        <f>H270*(1+((1+VLOOKUP($B271,'IPCA Hist'!$B:$C,2,0))^12 - 1)+$H$2)^(1/252)</f>
        <v>46396841.379841819</v>
      </c>
      <c r="I271" s="2">
        <f>I270*(1+((1+VLOOKUP($B271,'IPCA Hist'!$B:$C,2,0))^12 - 1)+$I$2)^(1/252)</f>
        <v>234339667.93692714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f t="shared" si="44"/>
        <v>371482832.18243468</v>
      </c>
      <c r="P271" s="2">
        <v>0</v>
      </c>
      <c r="Q271" s="2">
        <v>0</v>
      </c>
      <c r="R271" s="2">
        <f t="shared" si="53"/>
        <v>136950.3084962368</v>
      </c>
      <c r="S271" s="2">
        <f t="shared" si="46"/>
        <v>2048961.7144891024</v>
      </c>
      <c r="T271" s="2">
        <f t="shared" si="47"/>
        <v>19220992.075544119</v>
      </c>
      <c r="U271" s="11">
        <f t="shared" si="50"/>
        <v>1.0977454399854183</v>
      </c>
      <c r="V271" s="12">
        <f t="shared" si="51"/>
        <v>3.6879447216464634E-4</v>
      </c>
      <c r="W271" s="12">
        <f t="shared" si="48"/>
        <v>5.5462205235643491E-3</v>
      </c>
      <c r="X271" s="12">
        <f t="shared" si="49"/>
        <v>5.415771713219697E-2</v>
      </c>
      <c r="Y271" s="5">
        <f t="shared" si="52"/>
        <v>9.7745439985418292E-2</v>
      </c>
      <c r="Z271" s="19">
        <f t="shared" si="43"/>
        <v>4.88700030604865E-2</v>
      </c>
      <c r="AA271" s="19">
        <f t="shared" si="42"/>
        <v>9.3624067640340591E-2</v>
      </c>
      <c r="AB271" s="19" t="s">
        <v>53</v>
      </c>
    </row>
    <row r="272" spans="1:28" x14ac:dyDescent="0.25">
      <c r="A272" s="1">
        <v>45495</v>
      </c>
      <c r="B272" s="1" t="str">
        <f t="shared" si="45"/>
        <v>202407</v>
      </c>
      <c r="C272" s="2">
        <v>0</v>
      </c>
      <c r="D272" s="2">
        <v>0</v>
      </c>
      <c r="E272" s="2">
        <v>0</v>
      </c>
      <c r="F272" s="2">
        <f>F271*(1+((1+VLOOKUP($B272,'IPCA Hist'!$B:$C,2,0))^12 - 1)+$F$2)^(1/252)</f>
        <v>45397871.199815542</v>
      </c>
      <c r="G272" s="2">
        <f>G271*(1+((1+VLOOKUP($B272,'IPCA Hist'!$B:$C,2,0))^12 - 1)+$G$2)^(1/252)</f>
        <v>45382224.320564166</v>
      </c>
      <c r="H272" s="2">
        <f>H271*(1+((1+VLOOKUP($B272,'IPCA Hist'!$B:$C,2,0))^12 - 1)+$H$2)^(1/252)</f>
        <v>46413915.734553188</v>
      </c>
      <c r="I272" s="2">
        <f>I271*(1+((1+VLOOKUP($B272,'IPCA Hist'!$B:$C,2,0))^12 - 1)+$I$2)^(1/252)</f>
        <v>234425821.74388692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f t="shared" si="44"/>
        <v>371619832.99881983</v>
      </c>
      <c r="P272" s="2">
        <v>0</v>
      </c>
      <c r="Q272" s="2">
        <v>0</v>
      </c>
      <c r="R272" s="2">
        <f t="shared" si="53"/>
        <v>137000.81638514996</v>
      </c>
      <c r="S272" s="2">
        <f t="shared" si="46"/>
        <v>2185962.5308742523</v>
      </c>
      <c r="T272" s="2">
        <f t="shared" si="47"/>
        <v>19357992.891929269</v>
      </c>
      <c r="U272" s="11">
        <f t="shared" si="50"/>
        <v>1.0981502824395839</v>
      </c>
      <c r="V272" s="12">
        <f t="shared" si="51"/>
        <v>3.6879447585858038E-4</v>
      </c>
      <c r="W272" s="12">
        <f t="shared" si="48"/>
        <v>5.9170604149139105E-3</v>
      </c>
      <c r="X272" s="12">
        <f t="shared" si="49"/>
        <v>5.4546484674959039E-2</v>
      </c>
      <c r="Y272" s="5">
        <f t="shared" si="52"/>
        <v>9.8150282439583902E-2</v>
      </c>
      <c r="Z272" s="19">
        <f t="shared" si="43"/>
        <v>4.8851023964958218E-2</v>
      </c>
      <c r="AA272" s="19">
        <f t="shared" si="42"/>
        <v>9.3746685438969468E-2</v>
      </c>
      <c r="AB272" s="19" t="s">
        <v>53</v>
      </c>
    </row>
    <row r="273" spans="1:28" x14ac:dyDescent="0.25">
      <c r="A273" s="1">
        <v>45496</v>
      </c>
      <c r="B273" s="1" t="str">
        <f t="shared" si="45"/>
        <v>202407</v>
      </c>
      <c r="C273" s="2">
        <v>0</v>
      </c>
      <c r="D273" s="2">
        <v>0</v>
      </c>
      <c r="E273" s="2">
        <v>0</v>
      </c>
      <c r="F273" s="2">
        <f>F272*(1+((1+VLOOKUP($B273,'IPCA Hist'!$B:$C,2,0))^12 - 1)+$F$2)^(1/252)</f>
        <v>45414758.52037473</v>
      </c>
      <c r="G273" s="2">
        <f>G272*(1+((1+VLOOKUP($B273,'IPCA Hist'!$B:$C,2,0))^12 - 1)+$G$2)^(1/252)</f>
        <v>45399122.223740354</v>
      </c>
      <c r="H273" s="2">
        <f>H272*(1+((1+VLOOKUP($B273,'IPCA Hist'!$B:$C,2,0))^12 - 1)+$H$2)^(1/252)</f>
        <v>46430996.372743778</v>
      </c>
      <c r="I273" s="2">
        <f>I272*(1+((1+VLOOKUP($B273,'IPCA Hist'!$B:$C,2,0))^12 - 1)+$I$2)^(1/252)</f>
        <v>234512007.22486296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f t="shared" si="44"/>
        <v>371756884.34172183</v>
      </c>
      <c r="P273" s="2">
        <v>0</v>
      </c>
      <c r="Q273" s="2">
        <v>0</v>
      </c>
      <c r="R273" s="2">
        <f t="shared" si="53"/>
        <v>137051.34290200472</v>
      </c>
      <c r="S273" s="2">
        <f t="shared" si="46"/>
        <v>2323013.873776257</v>
      </c>
      <c r="T273" s="2">
        <f t="shared" si="47"/>
        <v>19495044.234831274</v>
      </c>
      <c r="U273" s="11">
        <f t="shared" si="50"/>
        <v>1.0985552742014661</v>
      </c>
      <c r="V273" s="12">
        <f t="shared" si="51"/>
        <v>3.6879447955207034E-4</v>
      </c>
      <c r="W273" s="12">
        <f t="shared" si="48"/>
        <v>6.2880370736821956E-3</v>
      </c>
      <c r="X273" s="12">
        <f t="shared" si="49"/>
        <v>5.4935395596938275E-2</v>
      </c>
      <c r="Y273" s="5">
        <f t="shared" si="52"/>
        <v>9.8555274201466148E-2</v>
      </c>
      <c r="Z273" s="19">
        <f t="shared" si="43"/>
        <v>4.8832045212888309E-2</v>
      </c>
      <c r="AA273" s="19">
        <f t="shared" si="42"/>
        <v>9.3869316980828899E-2</v>
      </c>
      <c r="AB273" s="19" t="s">
        <v>53</v>
      </c>
    </row>
    <row r="274" spans="1:28" x14ac:dyDescent="0.25">
      <c r="A274" s="1">
        <v>45497</v>
      </c>
      <c r="B274" s="1" t="str">
        <f t="shared" si="45"/>
        <v>202407</v>
      </c>
      <c r="C274" s="2">
        <v>0</v>
      </c>
      <c r="D274" s="2">
        <v>0</v>
      </c>
      <c r="E274" s="2">
        <v>0</v>
      </c>
      <c r="F274" s="2">
        <f>F273*(1+((1+VLOOKUP($B274,'IPCA Hist'!$B:$C,2,0))^12 - 1)+$F$2)^(1/252)</f>
        <v>45431652.122761413</v>
      </c>
      <c r="G274" s="2">
        <f>G273*(1+((1+VLOOKUP($B274,'IPCA Hist'!$B:$C,2,0))^12 - 1)+$G$2)^(1/252)</f>
        <v>45416026.418788224</v>
      </c>
      <c r="H274" s="2">
        <f>H273*(1+((1+VLOOKUP($B274,'IPCA Hist'!$B:$C,2,0))^12 - 1)+$H$2)^(1/252)</f>
        <v>46448083.296725951</v>
      </c>
      <c r="I274" s="2">
        <f>I273*(1+((1+VLOOKUP($B274,'IPCA Hist'!$B:$C,2,0))^12 - 1)+$I$2)^(1/252)</f>
        <v>234598224.39150006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f t="shared" si="44"/>
        <v>371893986.22977567</v>
      </c>
      <c r="P274" s="2">
        <v>0</v>
      </c>
      <c r="Q274" s="2">
        <v>0</v>
      </c>
      <c r="R274" s="2">
        <f t="shared" si="53"/>
        <v>137101.88805383444</v>
      </c>
      <c r="S274" s="2">
        <f t="shared" si="46"/>
        <v>2460115.7618300915</v>
      </c>
      <c r="T274" s="2">
        <f t="shared" si="47"/>
        <v>19632146.122885108</v>
      </c>
      <c r="U274" s="11">
        <f t="shared" si="50"/>
        <v>1.0989604153261323</v>
      </c>
      <c r="V274" s="12">
        <f t="shared" si="51"/>
        <v>3.6879448324578235E-4</v>
      </c>
      <c r="W274" s="12">
        <f t="shared" si="48"/>
        <v>6.6591505503112991E-3</v>
      </c>
      <c r="X274" s="12">
        <f t="shared" si="49"/>
        <v>5.5324449951015042E-2</v>
      </c>
      <c r="Y274" s="5">
        <f t="shared" si="52"/>
        <v>9.8960415326132312E-2</v>
      </c>
      <c r="Z274" s="19">
        <f t="shared" si="43"/>
        <v>4.8813066804271887E-2</v>
      </c>
      <c r="AA274" s="19">
        <f t="shared" si="42"/>
        <v>9.3991962267459428E-2</v>
      </c>
      <c r="AB274" s="19" t="s">
        <v>53</v>
      </c>
    </row>
    <row r="275" spans="1:28" x14ac:dyDescent="0.25">
      <c r="A275" s="1">
        <v>45498</v>
      </c>
      <c r="B275" s="1" t="str">
        <f t="shared" si="45"/>
        <v>202407</v>
      </c>
      <c r="C275" s="2">
        <v>0</v>
      </c>
      <c r="D275" s="2">
        <v>0</v>
      </c>
      <c r="E275" s="2">
        <v>0</v>
      </c>
      <c r="F275" s="2">
        <f>F274*(1+((1+VLOOKUP($B275,'IPCA Hist'!$B:$C,2,0))^12 - 1)+$F$2)^(1/252)</f>
        <v>45448552.009312339</v>
      </c>
      <c r="G275" s="2">
        <f>G274*(1+((1+VLOOKUP($B275,'IPCA Hist'!$B:$C,2,0))^12 - 1)+$G$2)^(1/252)</f>
        <v>45432936.908050522</v>
      </c>
      <c r="H275" s="2">
        <f>H274*(1+((1+VLOOKUP($B275,'IPCA Hist'!$B:$C,2,0))^12 - 1)+$H$2)^(1/252)</f>
        <v>46465176.508812927</v>
      </c>
      <c r="I275" s="2">
        <f>I274*(1+((1+VLOOKUP($B275,'IPCA Hist'!$B:$C,2,0))^12 - 1)+$I$2)^(1/252)</f>
        <v>234684473.25544727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f t="shared" si="44"/>
        <v>372031138.6816231</v>
      </c>
      <c r="P275" s="2">
        <v>0</v>
      </c>
      <c r="Q275" s="2">
        <v>0</v>
      </c>
      <c r="R275" s="2">
        <f t="shared" si="53"/>
        <v>137152.45184743404</v>
      </c>
      <c r="S275" s="2">
        <f t="shared" si="46"/>
        <v>2597268.2136775255</v>
      </c>
      <c r="T275" s="2">
        <f t="shared" si="47"/>
        <v>19769298.574732542</v>
      </c>
      <c r="U275" s="11">
        <f t="shared" si="50"/>
        <v>1.099365705868669</v>
      </c>
      <c r="V275" s="12">
        <f t="shared" si="51"/>
        <v>3.687944869392723E-4</v>
      </c>
      <c r="W275" s="12">
        <f t="shared" si="48"/>
        <v>7.0304008952613017E-3</v>
      </c>
      <c r="X275" s="12">
        <f t="shared" si="49"/>
        <v>5.5713647790089249E-2</v>
      </c>
      <c r="Y275" s="5">
        <f t="shared" si="52"/>
        <v>9.9365705868668996E-2</v>
      </c>
      <c r="Z275" s="19">
        <f t="shared" si="43"/>
        <v>4.8794088739101626E-2</v>
      </c>
      <c r="AA275" s="19">
        <f t="shared" si="42"/>
        <v>9.4114621300400714E-2</v>
      </c>
      <c r="AB275" s="19" t="s">
        <v>53</v>
      </c>
    </row>
    <row r="276" spans="1:28" x14ac:dyDescent="0.25">
      <c r="A276" s="1">
        <v>45499</v>
      </c>
      <c r="B276" s="1" t="str">
        <f t="shared" si="45"/>
        <v>202407</v>
      </c>
      <c r="C276" s="2">
        <v>0</v>
      </c>
      <c r="D276" s="2">
        <v>0</v>
      </c>
      <c r="E276" s="2">
        <v>0</v>
      </c>
      <c r="F276" s="2">
        <f>F275*(1+((1+VLOOKUP($B276,'IPCA Hist'!$B:$C,2,0))^12 - 1)+$F$2)^(1/252)</f>
        <v>45465458.182365119</v>
      </c>
      <c r="G276" s="2">
        <f>G275*(1+((1+VLOOKUP($B276,'IPCA Hist'!$B:$C,2,0))^12 - 1)+$G$2)^(1/252)</f>
        <v>45449853.69387088</v>
      </c>
      <c r="H276" s="2">
        <f>H275*(1+((1+VLOOKUP($B276,'IPCA Hist'!$B:$C,2,0))^12 - 1)+$H$2)^(1/252)</f>
        <v>46482276.011318766</v>
      </c>
      <c r="I276" s="2">
        <f>I275*(1+((1+VLOOKUP($B276,'IPCA Hist'!$B:$C,2,0))^12 - 1)+$I$2)^(1/252)</f>
        <v>234770753.82835799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f t="shared" si="44"/>
        <v>372168341.71591276</v>
      </c>
      <c r="P276" s="2">
        <v>0</v>
      </c>
      <c r="Q276" s="2">
        <v>0</v>
      </c>
      <c r="R276" s="2">
        <f t="shared" si="53"/>
        <v>137203.03428965807</v>
      </c>
      <c r="S276" s="2">
        <f t="shared" si="46"/>
        <v>2734471.2479671836</v>
      </c>
      <c r="T276" s="2">
        <f t="shared" si="47"/>
        <v>19906501.6090222</v>
      </c>
      <c r="U276" s="11">
        <f t="shared" si="50"/>
        <v>1.0997711458841841</v>
      </c>
      <c r="V276" s="12">
        <f t="shared" si="51"/>
        <v>3.6879449063298431E-4</v>
      </c>
      <c r="W276" s="12">
        <f t="shared" si="48"/>
        <v>7.4017881590113799E-3</v>
      </c>
      <c r="X276" s="12">
        <f t="shared" si="49"/>
        <v>5.6102989167080342E-2</v>
      </c>
      <c r="Y276" s="5">
        <f t="shared" si="52"/>
        <v>9.977114588418412E-2</v>
      </c>
      <c r="Z276" s="19">
        <f t="shared" si="43"/>
        <v>4.8775111017371753E-2</v>
      </c>
      <c r="AA276" s="19">
        <f t="shared" si="42"/>
        <v>9.4237294081193301E-2</v>
      </c>
      <c r="AB276" s="19" t="s">
        <v>53</v>
      </c>
    </row>
    <row r="277" spans="1:28" x14ac:dyDescent="0.25">
      <c r="A277" s="1">
        <v>45502</v>
      </c>
      <c r="B277" s="1" t="str">
        <f t="shared" si="45"/>
        <v>202407</v>
      </c>
      <c r="C277" s="2">
        <v>0</v>
      </c>
      <c r="D277" s="2">
        <v>0</v>
      </c>
      <c r="E277" s="2">
        <v>0</v>
      </c>
      <c r="F277" s="2">
        <f>F276*(1+((1+VLOOKUP($B277,'IPCA Hist'!$B:$C,2,0))^12 - 1)+$F$2)^(1/252)</f>
        <v>45482370.644258246</v>
      </c>
      <c r="G277" s="2">
        <f>G276*(1+((1+VLOOKUP($B277,'IPCA Hist'!$B:$C,2,0))^12 - 1)+$G$2)^(1/252)</f>
        <v>45466776.778593794</v>
      </c>
      <c r="H277" s="2">
        <f>H276*(1+((1+VLOOKUP($B277,'IPCA Hist'!$B:$C,2,0))^12 - 1)+$H$2)^(1/252)</f>
        <v>46499381.806558385</v>
      </c>
      <c r="I277" s="2">
        <f>I276*(1+((1+VLOOKUP($B277,'IPCA Hist'!$B:$C,2,0))^12 - 1)+$I$2)^(1/252)</f>
        <v>234857066.12188983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f t="shared" si="44"/>
        <v>372305595.35130024</v>
      </c>
      <c r="P277" s="2">
        <v>0</v>
      </c>
      <c r="Q277" s="2">
        <v>0</v>
      </c>
      <c r="R277" s="2">
        <f t="shared" si="53"/>
        <v>137253.63538748026</v>
      </c>
      <c r="S277" s="2">
        <f t="shared" si="46"/>
        <v>2871724.8833546638</v>
      </c>
      <c r="T277" s="2">
        <f t="shared" si="47"/>
        <v>20043755.24440968</v>
      </c>
      <c r="U277" s="11">
        <f t="shared" si="50"/>
        <v>1.1001767354278054</v>
      </c>
      <c r="V277" s="12">
        <f t="shared" si="51"/>
        <v>3.6879449432647426E-4</v>
      </c>
      <c r="W277" s="12">
        <f t="shared" si="48"/>
        <v>7.7733123920591396E-3</v>
      </c>
      <c r="X277" s="12">
        <f t="shared" si="49"/>
        <v>5.6492474134926862E-2</v>
      </c>
      <c r="Y277" s="5">
        <f t="shared" si="52"/>
        <v>0.10017673542780536</v>
      </c>
      <c r="Z277" s="19">
        <f t="shared" si="43"/>
        <v>4.8756133639076049E-2</v>
      </c>
      <c r="AA277" s="19">
        <f t="shared" si="42"/>
        <v>9.4359980611377292E-2</v>
      </c>
      <c r="AB277" s="19" t="s">
        <v>53</v>
      </c>
    </row>
    <row r="278" spans="1:28" x14ac:dyDescent="0.25">
      <c r="A278" s="1">
        <v>45503</v>
      </c>
      <c r="B278" s="1" t="str">
        <f t="shared" si="45"/>
        <v>202407</v>
      </c>
      <c r="C278" s="2">
        <v>0</v>
      </c>
      <c r="D278" s="2">
        <v>0</v>
      </c>
      <c r="E278" s="2">
        <v>0</v>
      </c>
      <c r="F278" s="2">
        <f>F277*(1+((1+VLOOKUP($B278,'IPCA Hist'!$B:$C,2,0))^12 - 1)+$F$2)^(1/252)</f>
        <v>45499289.397331066</v>
      </c>
      <c r="G278" s="2">
        <f>G277*(1+((1+VLOOKUP($B278,'IPCA Hist'!$B:$C,2,0))^12 - 1)+$G$2)^(1/252)</f>
        <v>45483706.164564639</v>
      </c>
      <c r="H278" s="2">
        <f>H277*(1+((1+VLOOKUP($B278,'IPCA Hist'!$B:$C,2,0))^12 - 1)+$H$2)^(1/252)</f>
        <v>46516493.896847561</v>
      </c>
      <c r="I278" s="2">
        <f>I277*(1+((1+VLOOKUP($B278,'IPCA Hist'!$B:$C,2,0))^12 - 1)+$I$2)^(1/252)</f>
        <v>234943410.14770475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f t="shared" si="44"/>
        <v>372442899.60644805</v>
      </c>
      <c r="P278" s="2">
        <v>0</v>
      </c>
      <c r="Q278" s="2">
        <v>0</v>
      </c>
      <c r="R278" s="2">
        <f t="shared" si="53"/>
        <v>137304.25514781475</v>
      </c>
      <c r="S278" s="2">
        <f t="shared" si="46"/>
        <v>3009029.1385024786</v>
      </c>
      <c r="T278" s="2">
        <f t="shared" si="47"/>
        <v>20181059.499557495</v>
      </c>
      <c r="U278" s="11">
        <f t="shared" si="50"/>
        <v>1.1005824745546815</v>
      </c>
      <c r="V278" s="12">
        <f t="shared" si="51"/>
        <v>3.6879449802063036E-4</v>
      </c>
      <c r="W278" s="12">
        <f t="shared" si="48"/>
        <v>8.1449736449212828E-3</v>
      </c>
      <c r="X278" s="12">
        <f t="shared" si="49"/>
        <v>5.6882102746588004E-2</v>
      </c>
      <c r="Y278" s="5">
        <f t="shared" si="52"/>
        <v>0.1005824745546815</v>
      </c>
      <c r="Z278" s="19">
        <f t="shared" si="43"/>
        <v>4.8737156604208742E-2</v>
      </c>
      <c r="AA278" s="19">
        <f t="shared" si="42"/>
        <v>9.4482680892493898E-2</v>
      </c>
      <c r="AB278" s="19" t="s">
        <v>53</v>
      </c>
    </row>
    <row r="279" spans="1:28" x14ac:dyDescent="0.25">
      <c r="A279" s="1">
        <v>45504</v>
      </c>
      <c r="B279" s="1" t="str">
        <f t="shared" si="45"/>
        <v>202407</v>
      </c>
      <c r="C279" s="2">
        <v>0</v>
      </c>
      <c r="D279" s="2">
        <v>0</v>
      </c>
      <c r="E279" s="2">
        <v>0</v>
      </c>
      <c r="F279" s="2">
        <f>F278*(1+((1+VLOOKUP($B279,'IPCA Hist'!$B:$C,2,0))^12 - 1)+$F$2)^(1/252)</f>
        <v>45516214.443923801</v>
      </c>
      <c r="G279" s="2">
        <f>G278*(1+((1+VLOOKUP($B279,'IPCA Hist'!$B:$C,2,0))^12 - 1)+$G$2)^(1/252)</f>
        <v>45500641.854129657</v>
      </c>
      <c r="H279" s="2">
        <f>H278*(1+((1+VLOOKUP($B279,'IPCA Hist'!$B:$C,2,0))^12 - 1)+$H$2)^(1/252)</f>
        <v>46533612.284502909</v>
      </c>
      <c r="I279" s="2">
        <f>I278*(1+((1+VLOOKUP($B279,'IPCA Hist'!$B:$C,2,0))^12 - 1)+$I$2)^(1/252)</f>
        <v>235029785.91746894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f t="shared" si="44"/>
        <v>372580254.50002527</v>
      </c>
      <c r="P279" s="2">
        <v>0</v>
      </c>
      <c r="Q279" s="2">
        <v>0</v>
      </c>
      <c r="R279" s="2">
        <f t="shared" si="53"/>
        <v>137354.89357721806</v>
      </c>
      <c r="S279" s="2">
        <f t="shared" si="46"/>
        <v>3146384.0320796967</v>
      </c>
      <c r="T279" s="2">
        <f t="shared" si="47"/>
        <v>20318414.393134713</v>
      </c>
      <c r="U279" s="11">
        <f t="shared" si="50"/>
        <v>1.10098836331998</v>
      </c>
      <c r="V279" s="12">
        <f t="shared" si="51"/>
        <v>3.6879450171389827E-4</v>
      </c>
      <c r="W279" s="12">
        <f t="shared" si="48"/>
        <v>8.5167719681320531E-3</v>
      </c>
      <c r="X279" s="12">
        <f t="shared" si="49"/>
        <v>5.7271875055040722E-2</v>
      </c>
      <c r="Y279" s="5">
        <f t="shared" si="52"/>
        <v>0.10098836331997996</v>
      </c>
      <c r="Z279" s="19">
        <f t="shared" si="43"/>
        <v>4.8718179912762727E-2</v>
      </c>
      <c r="AA279" s="19">
        <f t="shared" si="42"/>
        <v>9.4605394926082553E-2</v>
      </c>
      <c r="AB279" s="19" t="s">
        <v>53</v>
      </c>
    </row>
    <row r="280" spans="1:28" x14ac:dyDescent="0.25">
      <c r="A280" s="1">
        <v>45505</v>
      </c>
      <c r="B280" s="1" t="str">
        <f t="shared" si="45"/>
        <v>202408</v>
      </c>
      <c r="C280" s="2">
        <v>0</v>
      </c>
      <c r="D280" s="2">
        <v>0</v>
      </c>
      <c r="E280" s="2">
        <v>0</v>
      </c>
      <c r="F280" s="2">
        <f>F279*(1+((1+VLOOKUP($B280,'IPCA Hist'!$B:$C,2,0))^12 - 1)+$F$2)^(1/252)</f>
        <v>45524906.027543828</v>
      </c>
      <c r="G280" s="2">
        <f>G279*(1+((1+VLOOKUP($B280,'IPCA Hist'!$B:$C,2,0))^12 - 1)+$G$2)^(1/252)</f>
        <v>45509347.674145095</v>
      </c>
      <c r="H280" s="2">
        <f>H279*(1+((1+VLOOKUP($B280,'IPCA Hist'!$B:$C,2,0))^12 - 1)+$H$2)^(1/252)</f>
        <v>46542304.427184768</v>
      </c>
      <c r="I280" s="2">
        <f>I279*(1+((1+VLOOKUP($B280,'IPCA Hist'!$B:$C,2,0))^12 - 1)+$I$2)^(1/252)</f>
        <v>235073598.78539008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f t="shared" si="44"/>
        <v>372650156.91426373</v>
      </c>
      <c r="P280" s="2">
        <v>0</v>
      </c>
      <c r="Q280" s="2">
        <v>0</v>
      </c>
      <c r="R280" s="2">
        <f t="shared" si="53"/>
        <v>69902.414238452911</v>
      </c>
      <c r="S280" s="2">
        <f t="shared" si="46"/>
        <v>69902.414238452911</v>
      </c>
      <c r="T280" s="2">
        <f t="shared" si="47"/>
        <v>20388316.807373166</v>
      </c>
      <c r="U280" s="11">
        <f t="shared" si="50"/>
        <v>1.1011949275265234</v>
      </c>
      <c r="V280" s="12">
        <f t="shared" si="51"/>
        <v>1.8761706610637141E-4</v>
      </c>
      <c r="W280" s="12">
        <f t="shared" si="48"/>
        <v>1.8761706610637141E-4</v>
      </c>
      <c r="X280" s="12">
        <f t="shared" si="49"/>
        <v>5.7470237302315264E-2</v>
      </c>
      <c r="Y280" s="5">
        <f t="shared" si="52"/>
        <v>0.10119492752652337</v>
      </c>
      <c r="Z280" s="19">
        <f t="shared" si="43"/>
        <v>4.8509272973791706E-2</v>
      </c>
      <c r="AA280" s="19">
        <f t="shared" si="42"/>
        <v>9.4529855795430828E-2</v>
      </c>
      <c r="AB280" s="19" t="s">
        <v>53</v>
      </c>
    </row>
    <row r="281" spans="1:28" x14ac:dyDescent="0.25">
      <c r="A281" s="1">
        <v>45506</v>
      </c>
      <c r="B281" s="1" t="str">
        <f t="shared" si="45"/>
        <v>202408</v>
      </c>
      <c r="C281" s="2">
        <v>0</v>
      </c>
      <c r="D281" s="2">
        <v>0</v>
      </c>
      <c r="E281" s="2">
        <v>0</v>
      </c>
      <c r="F281" s="2">
        <f>F280*(1+((1+VLOOKUP($B281,'IPCA Hist'!$B:$C,2,0))^12 - 1)+$F$2)^(1/252)</f>
        <v>45533599.27087187</v>
      </c>
      <c r="G281" s="2">
        <f>G280*(1+((1+VLOOKUP($B281,'IPCA Hist'!$B:$C,2,0))^12 - 1)+$G$2)^(1/252)</f>
        <v>45518055.159879938</v>
      </c>
      <c r="H281" s="2">
        <f>H280*(1+((1+VLOOKUP($B281,'IPCA Hist'!$B:$C,2,0))^12 - 1)+$H$2)^(1/252)</f>
        <v>46550998.193496101</v>
      </c>
      <c r="I281" s="2">
        <f>I280*(1+((1+VLOOKUP($B281,'IPCA Hist'!$B:$C,2,0))^12 - 1)+$I$2)^(1/252)</f>
        <v>235117419.82064793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f t="shared" si="44"/>
        <v>372720072.44489586</v>
      </c>
      <c r="P281" s="2">
        <v>0</v>
      </c>
      <c r="Q281" s="2">
        <v>0</v>
      </c>
      <c r="R281" s="2">
        <f t="shared" si="53"/>
        <v>69915.530632138252</v>
      </c>
      <c r="S281" s="2">
        <f t="shared" si="46"/>
        <v>139817.94487059116</v>
      </c>
      <c r="T281" s="2">
        <f t="shared" si="47"/>
        <v>20458232.338005304</v>
      </c>
      <c r="U281" s="11">
        <f t="shared" si="50"/>
        <v>1.1014015304924927</v>
      </c>
      <c r="V281" s="12">
        <f t="shared" si="51"/>
        <v>1.876170701524682E-4</v>
      </c>
      <c r="W281" s="12">
        <f t="shared" si="48"/>
        <v>3.752693364231785E-4</v>
      </c>
      <c r="X281" s="12">
        <f t="shared" si="49"/>
        <v>5.7668636770011439E-2</v>
      </c>
      <c r="Y281" s="5">
        <f t="shared" si="52"/>
        <v>0.10140153049249268</v>
      </c>
      <c r="Z281" s="19">
        <f t="shared" si="43"/>
        <v>4.8106187294790326E-2</v>
      </c>
      <c r="AA281" s="19">
        <f t="shared" si="42"/>
        <v>9.4399883312949573E-2</v>
      </c>
      <c r="AB281" s="19" t="s">
        <v>53</v>
      </c>
    </row>
    <row r="282" spans="1:28" x14ac:dyDescent="0.25">
      <c r="A282" s="1">
        <v>45509</v>
      </c>
      <c r="B282" s="1" t="str">
        <f t="shared" si="45"/>
        <v>202408</v>
      </c>
      <c r="C282" s="2">
        <v>0</v>
      </c>
      <c r="D282" s="2">
        <v>0</v>
      </c>
      <c r="E282" s="2">
        <v>0</v>
      </c>
      <c r="F282" s="2">
        <f>F281*(1+((1+VLOOKUP($B282,'IPCA Hist'!$B:$C,2,0))^12 - 1)+$F$2)^(1/252)</f>
        <v>45542294.174224854</v>
      </c>
      <c r="G282" s="2">
        <f>G281*(1+((1+VLOOKUP($B282,'IPCA Hist'!$B:$C,2,0))^12 - 1)+$G$2)^(1/252)</f>
        <v>45526764.311652899</v>
      </c>
      <c r="H282" s="2">
        <f>H281*(1+((1+VLOOKUP($B282,'IPCA Hist'!$B:$C,2,0))^12 - 1)+$H$2)^(1/252)</f>
        <v>46559693.58374019</v>
      </c>
      <c r="I282" s="2">
        <f>I281*(1+((1+VLOOKUP($B282,'IPCA Hist'!$B:$C,2,0))^12 - 1)+$I$2)^(1/252)</f>
        <v>235161249.02476498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f t="shared" si="44"/>
        <v>372790001.09438288</v>
      </c>
      <c r="P282" s="2">
        <v>0</v>
      </c>
      <c r="Q282" s="2">
        <v>0</v>
      </c>
      <c r="R282" s="2">
        <f t="shared" si="53"/>
        <v>69928.649487018585</v>
      </c>
      <c r="S282" s="2">
        <f t="shared" si="46"/>
        <v>209746.59435760975</v>
      </c>
      <c r="T282" s="2">
        <f t="shared" si="47"/>
        <v>20528160.987492323</v>
      </c>
      <c r="U282" s="11">
        <f t="shared" si="50"/>
        <v>1.1016081722251609</v>
      </c>
      <c r="V282" s="12">
        <f t="shared" si="51"/>
        <v>1.876170741981209E-4</v>
      </c>
      <c r="W282" s="12">
        <f t="shared" si="48"/>
        <v>5.6295681755624827E-4</v>
      </c>
      <c r="X282" s="12">
        <f t="shared" si="49"/>
        <v>5.7867073465113439E-2</v>
      </c>
      <c r="Y282" s="5">
        <f t="shared" si="52"/>
        <v>0.10160817222516094</v>
      </c>
      <c r="Z282" s="19">
        <f t="shared" si="43"/>
        <v>4.7703256577553699E-2</v>
      </c>
      <c r="AA282" s="19">
        <f t="shared" si="42"/>
        <v>9.4269926260202253E-2</v>
      </c>
      <c r="AB282" s="19" t="s">
        <v>53</v>
      </c>
    </row>
    <row r="283" spans="1:28" x14ac:dyDescent="0.25">
      <c r="A283" s="1">
        <v>45510</v>
      </c>
      <c r="B283" s="1" t="str">
        <f t="shared" si="45"/>
        <v>202408</v>
      </c>
      <c r="C283" s="2">
        <v>0</v>
      </c>
      <c r="D283" s="2">
        <v>0</v>
      </c>
      <c r="E283" s="2">
        <v>0</v>
      </c>
      <c r="F283" s="2">
        <f>F282*(1+((1+VLOOKUP($B283,'IPCA Hist'!$B:$C,2,0))^12 - 1)+$F$2)^(1/252)</f>
        <v>45550990.737919778</v>
      </c>
      <c r="G283" s="2">
        <f>G282*(1+((1+VLOOKUP($B283,'IPCA Hist'!$B:$C,2,0))^12 - 1)+$G$2)^(1/252)</f>
        <v>45535475.129782744</v>
      </c>
      <c r="H283" s="2">
        <f>H282*(1+((1+VLOOKUP($B283,'IPCA Hist'!$B:$C,2,0))^12 - 1)+$H$2)^(1/252)</f>
        <v>46568390.598220371</v>
      </c>
      <c r="I283" s="2">
        <f>I282*(1+((1+VLOOKUP($B283,'IPCA Hist'!$B:$C,2,0))^12 - 1)+$I$2)^(1/252)</f>
        <v>235205086.39926404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f t="shared" si="44"/>
        <v>372859942.86518693</v>
      </c>
      <c r="P283" s="2">
        <v>0</v>
      </c>
      <c r="Q283" s="2">
        <v>0</v>
      </c>
      <c r="R283" s="2">
        <f t="shared" si="53"/>
        <v>69941.770804047585</v>
      </c>
      <c r="S283" s="2">
        <f t="shared" si="46"/>
        <v>279688.36516165733</v>
      </c>
      <c r="T283" s="2">
        <f t="shared" si="47"/>
        <v>20598102.758296371</v>
      </c>
      <c r="U283" s="11">
        <f t="shared" si="50"/>
        <v>1.1018148527318041</v>
      </c>
      <c r="V283" s="12">
        <f t="shared" si="51"/>
        <v>1.8761707824443974E-4</v>
      </c>
      <c r="W283" s="12">
        <f t="shared" si="48"/>
        <v>7.5067951611407224E-4</v>
      </c>
      <c r="X283" s="12">
        <f t="shared" si="49"/>
        <v>5.8065547394607897E-2</v>
      </c>
      <c r="Y283" s="5">
        <f t="shared" si="52"/>
        <v>0.10181485273180413</v>
      </c>
      <c r="Z283" s="19">
        <f t="shared" si="43"/>
        <v>4.7300480762510144E-2</v>
      </c>
      <c r="AA283" s="19">
        <f t="shared" si="42"/>
        <v>9.4139984635358109E-2</v>
      </c>
      <c r="AB283" s="19" t="s">
        <v>53</v>
      </c>
    </row>
    <row r="284" spans="1:28" x14ac:dyDescent="0.25">
      <c r="A284" s="1">
        <v>45511</v>
      </c>
      <c r="B284" s="1" t="str">
        <f t="shared" si="45"/>
        <v>202408</v>
      </c>
      <c r="C284" s="2">
        <v>0</v>
      </c>
      <c r="D284" s="2">
        <v>0</v>
      </c>
      <c r="E284" s="2">
        <v>0</v>
      </c>
      <c r="F284" s="2">
        <f>F283*(1+((1+VLOOKUP($B284,'IPCA Hist'!$B:$C,2,0))^12 - 1)+$F$2)^(1/252)</f>
        <v>45559688.962273687</v>
      </c>
      <c r="G284" s="2">
        <f>G283*(1+((1+VLOOKUP($B284,'IPCA Hist'!$B:$C,2,0))^12 - 1)+$G$2)^(1/252)</f>
        <v>45544187.614588305</v>
      </c>
      <c r="H284" s="2">
        <f>H283*(1+((1+VLOOKUP($B284,'IPCA Hist'!$B:$C,2,0))^12 - 1)+$H$2)^(1/252)</f>
        <v>46577089.237240046</v>
      </c>
      <c r="I284" s="2">
        <f>I283*(1+((1+VLOOKUP($B284,'IPCA Hist'!$B:$C,2,0))^12 - 1)+$I$2)^(1/252)</f>
        <v>235248931.94566816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f t="shared" si="44"/>
        <v>372929897.75977021</v>
      </c>
      <c r="P284" s="2">
        <v>0</v>
      </c>
      <c r="Q284" s="2">
        <v>0</v>
      </c>
      <c r="R284" s="2">
        <f t="shared" si="53"/>
        <v>69954.894583284855</v>
      </c>
      <c r="S284" s="2">
        <f t="shared" si="46"/>
        <v>349643.25974494219</v>
      </c>
      <c r="T284" s="2">
        <f t="shared" si="47"/>
        <v>20668057.652879655</v>
      </c>
      <c r="U284" s="11">
        <f t="shared" si="50"/>
        <v>1.1020215720196977</v>
      </c>
      <c r="V284" s="12">
        <f t="shared" si="51"/>
        <v>1.8761708229031449E-4</v>
      </c>
      <c r="W284" s="12">
        <f t="shared" si="48"/>
        <v>9.3843743870491991E-4</v>
      </c>
      <c r="X284" s="12">
        <f t="shared" si="49"/>
        <v>5.8264058565481891E-2</v>
      </c>
      <c r="Y284" s="5">
        <f t="shared" si="52"/>
        <v>0.10202157201969775</v>
      </c>
      <c r="Z284" s="19">
        <f t="shared" si="43"/>
        <v>4.6897859790107299E-2</v>
      </c>
      <c r="AA284" s="19">
        <f t="shared" si="42"/>
        <v>9.4010058436585719E-2</v>
      </c>
      <c r="AB284" s="19" t="s">
        <v>53</v>
      </c>
    </row>
    <row r="285" spans="1:28" x14ac:dyDescent="0.25">
      <c r="A285" s="1">
        <v>45512</v>
      </c>
      <c r="B285" s="1" t="str">
        <f t="shared" si="45"/>
        <v>202408</v>
      </c>
      <c r="C285" s="2">
        <v>0</v>
      </c>
      <c r="D285" s="2">
        <v>0</v>
      </c>
      <c r="E285" s="2">
        <v>0</v>
      </c>
      <c r="F285" s="2">
        <f>F284*(1+((1+VLOOKUP($B285,'IPCA Hist'!$B:$C,2,0))^12 - 1)+$F$2)^(1/252)</f>
        <v>45568388.847603694</v>
      </c>
      <c r="G285" s="2">
        <f>G284*(1+((1+VLOOKUP($B285,'IPCA Hist'!$B:$C,2,0))^12 - 1)+$G$2)^(1/252)</f>
        <v>45552901.766388476</v>
      </c>
      <c r="H285" s="2">
        <f>H284*(1+((1+VLOOKUP($B285,'IPCA Hist'!$B:$C,2,0))^12 - 1)+$H$2)^(1/252)</f>
        <v>46585789.501102664</v>
      </c>
      <c r="I285" s="2">
        <f>I284*(1+((1+VLOOKUP($B285,'IPCA Hist'!$B:$C,2,0))^12 - 1)+$I$2)^(1/252)</f>
        <v>235292785.6655007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f t="shared" si="44"/>
        <v>372999865.78059554</v>
      </c>
      <c r="P285" s="2">
        <v>0</v>
      </c>
      <c r="Q285" s="2">
        <v>0</v>
      </c>
      <c r="R285" s="2">
        <f t="shared" si="53"/>
        <v>69968.020825326443</v>
      </c>
      <c r="S285" s="2">
        <f t="shared" si="46"/>
        <v>419611.28057026863</v>
      </c>
      <c r="T285" s="2">
        <f t="shared" si="47"/>
        <v>20738025.673704982</v>
      </c>
      <c r="U285" s="11">
        <f t="shared" si="50"/>
        <v>1.1022283300961198</v>
      </c>
      <c r="V285" s="12">
        <f t="shared" si="51"/>
        <v>1.8761708633618923E-4</v>
      </c>
      <c r="W285" s="12">
        <f t="shared" si="48"/>
        <v>1.1262305919390592E-3</v>
      </c>
      <c r="X285" s="12">
        <f t="shared" si="49"/>
        <v>5.8462606984724275E-2</v>
      </c>
      <c r="Y285" s="5">
        <f t="shared" si="52"/>
        <v>0.10222833009611976</v>
      </c>
      <c r="Z285" s="19">
        <f t="shared" si="43"/>
        <v>4.6495393600817669E-2</v>
      </c>
      <c r="AA285" s="19">
        <f t="shared" si="42"/>
        <v>9.3880147662054103E-2</v>
      </c>
      <c r="AB285" s="19" t="s">
        <v>53</v>
      </c>
    </row>
    <row r="286" spans="1:28" x14ac:dyDescent="0.25">
      <c r="A286" s="1">
        <v>45513</v>
      </c>
      <c r="B286" s="1" t="str">
        <f t="shared" si="45"/>
        <v>202408</v>
      </c>
      <c r="C286" s="2">
        <v>0</v>
      </c>
      <c r="D286" s="2">
        <v>0</v>
      </c>
      <c r="E286" s="2">
        <v>0</v>
      </c>
      <c r="F286" s="2">
        <f>F285*(1+((1+VLOOKUP($B286,'IPCA Hist'!$B:$C,2,0))^12 - 1)+$F$2)^(1/252)</f>
        <v>45577090.394226976</v>
      </c>
      <c r="G286" s="2">
        <f>G285*(1+((1+VLOOKUP($B286,'IPCA Hist'!$B:$C,2,0))^12 - 1)+$G$2)^(1/252)</f>
        <v>45561617.585502207</v>
      </c>
      <c r="H286" s="2">
        <f>H285*(1+((1+VLOOKUP($B286,'IPCA Hist'!$B:$C,2,0))^12 - 1)+$H$2)^(1/252)</f>
        <v>46594491.39011173</v>
      </c>
      <c r="I286" s="2">
        <f>I285*(1+((1+VLOOKUP($B286,'IPCA Hist'!$B:$C,2,0))^12 - 1)+$I$2)^(1/252)</f>
        <v>235336647.5602853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f t="shared" si="44"/>
        <v>373069846.93012619</v>
      </c>
      <c r="P286" s="2">
        <v>0</v>
      </c>
      <c r="Q286" s="2">
        <v>0</v>
      </c>
      <c r="R286" s="2">
        <f t="shared" si="53"/>
        <v>69981.149530649185</v>
      </c>
      <c r="S286" s="2">
        <f t="shared" si="46"/>
        <v>489592.43010091782</v>
      </c>
      <c r="T286" s="2">
        <f t="shared" si="47"/>
        <v>20808006.823235631</v>
      </c>
      <c r="U286" s="11">
        <f t="shared" si="50"/>
        <v>1.102435126968349</v>
      </c>
      <c r="V286" s="12">
        <f t="shared" si="51"/>
        <v>1.8761709038206398E-4</v>
      </c>
      <c r="W286" s="12">
        <f t="shared" si="48"/>
        <v>1.3140589824278681E-3</v>
      </c>
      <c r="X286" s="12">
        <f t="shared" si="49"/>
        <v>5.8661192659325012E-2</v>
      </c>
      <c r="Y286" s="5">
        <f t="shared" si="52"/>
        <v>0.102435126968349</v>
      </c>
      <c r="Z286" s="19">
        <f t="shared" si="43"/>
        <v>4.6093082135136632E-2</v>
      </c>
      <c r="AA286" s="19">
        <f t="shared" si="42"/>
        <v>9.3750252309932725E-2</v>
      </c>
      <c r="AB286" s="19" t="s">
        <v>53</v>
      </c>
    </row>
    <row r="287" spans="1:28" x14ac:dyDescent="0.25">
      <c r="A287" s="1">
        <v>45516</v>
      </c>
      <c r="B287" s="1" t="str">
        <f t="shared" si="45"/>
        <v>202408</v>
      </c>
      <c r="C287" s="2">
        <v>0</v>
      </c>
      <c r="D287" s="2">
        <v>0</v>
      </c>
      <c r="E287" s="2">
        <v>0</v>
      </c>
      <c r="F287" s="2">
        <f>F286*(1+((1+VLOOKUP($B287,'IPCA Hist'!$B:$C,2,0))^12 - 1)+$F$2)^(1/252)</f>
        <v>45585793.602460764</v>
      </c>
      <c r="G287" s="2">
        <f>G286*(1+((1+VLOOKUP($B287,'IPCA Hist'!$B:$C,2,0))^12 - 1)+$G$2)^(1/252)</f>
        <v>45570335.072248511</v>
      </c>
      <c r="H287" s="2">
        <f>H286*(1+((1+VLOOKUP($B287,'IPCA Hist'!$B:$C,2,0))^12 - 1)+$H$2)^(1/252)</f>
        <v>46603194.90457081</v>
      </c>
      <c r="I287" s="2">
        <f>I286*(1+((1+VLOOKUP($B287,'IPCA Hist'!$B:$C,2,0))^12 - 1)+$I$2)^(1/252)</f>
        <v>235380517.6315459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f t="shared" si="44"/>
        <v>373139841.21082598</v>
      </c>
      <c r="P287" s="2">
        <v>0</v>
      </c>
      <c r="Q287" s="2">
        <v>0</v>
      </c>
      <c r="R287" s="2">
        <f t="shared" si="53"/>
        <v>69994.280699789524</v>
      </c>
      <c r="S287" s="2">
        <f t="shared" si="46"/>
        <v>559586.71080070734</v>
      </c>
      <c r="T287" s="2">
        <f t="shared" si="47"/>
        <v>20878001.103935421</v>
      </c>
      <c r="U287" s="11">
        <f t="shared" si="50"/>
        <v>1.1026419626436663</v>
      </c>
      <c r="V287" s="12">
        <f t="shared" si="51"/>
        <v>1.8761709442816077E-4</v>
      </c>
      <c r="W287" s="12">
        <f t="shared" si="48"/>
        <v>1.5019226167842792E-3</v>
      </c>
      <c r="X287" s="12">
        <f t="shared" si="49"/>
        <v>5.8859815596275622E-2</v>
      </c>
      <c r="Y287" s="5">
        <f t="shared" si="52"/>
        <v>0.10264196264366632</v>
      </c>
      <c r="Z287" s="19">
        <f t="shared" si="43"/>
        <v>4.5690925333582433E-2</v>
      </c>
      <c r="AA287" s="19">
        <f t="shared" si="42"/>
        <v>9.3620372378391492E-2</v>
      </c>
      <c r="AB287" s="19" t="s">
        <v>53</v>
      </c>
    </row>
    <row r="288" spans="1:28" x14ac:dyDescent="0.25">
      <c r="A288" s="1">
        <v>45517</v>
      </c>
      <c r="B288" s="1" t="str">
        <f t="shared" si="45"/>
        <v>202408</v>
      </c>
      <c r="C288" s="2">
        <v>0</v>
      </c>
      <c r="D288" s="2">
        <v>0</v>
      </c>
      <c r="E288" s="2">
        <v>0</v>
      </c>
      <c r="F288" s="2">
        <f>F287*(1+((1+VLOOKUP($B288,'IPCA Hist'!$B:$C,2,0))^12 - 1)+$F$2)^(1/252)</f>
        <v>45594498.47262235</v>
      </c>
      <c r="G288" s="2">
        <f>G287*(1+((1+VLOOKUP($B288,'IPCA Hist'!$B:$C,2,0))^12 - 1)+$G$2)^(1/252)</f>
        <v>45579054.226946458</v>
      </c>
      <c r="H288" s="2">
        <f>H287*(1+((1+VLOOKUP($B288,'IPCA Hist'!$B:$C,2,0))^12 - 1)+$H$2)^(1/252)</f>
        <v>46611900.044783533</v>
      </c>
      <c r="I288" s="2">
        <f>I287*(1+((1+VLOOKUP($B288,'IPCA Hist'!$B:$C,2,0))^12 - 1)+$I$2)^(1/252)</f>
        <v>235424395.88080671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f t="shared" si="44"/>
        <v>373209848.62515903</v>
      </c>
      <c r="P288" s="2">
        <v>0</v>
      </c>
      <c r="Q288" s="2">
        <v>0</v>
      </c>
      <c r="R288" s="2">
        <f t="shared" si="53"/>
        <v>70007.414333045483</v>
      </c>
      <c r="S288" s="2">
        <f t="shared" si="46"/>
        <v>629594.12513375282</v>
      </c>
      <c r="T288" s="2">
        <f t="shared" si="47"/>
        <v>20948008.518268466</v>
      </c>
      <c r="U288" s="11">
        <f t="shared" si="50"/>
        <v>1.1028488371293532</v>
      </c>
      <c r="V288" s="12">
        <f t="shared" si="51"/>
        <v>1.8761709847403552E-4</v>
      </c>
      <c r="W288" s="12">
        <f t="shared" si="48"/>
        <v>1.6898215016218909E-3</v>
      </c>
      <c r="X288" s="12">
        <f t="shared" si="49"/>
        <v>5.9058475802568511E-2</v>
      </c>
      <c r="Y288" s="5">
        <f t="shared" si="52"/>
        <v>0.10284883712935322</v>
      </c>
      <c r="Z288" s="19">
        <f t="shared" si="43"/>
        <v>4.5288923136695303E-2</v>
      </c>
      <c r="AA288" s="19">
        <f t="shared" si="42"/>
        <v>9.3490507865600314E-2</v>
      </c>
      <c r="AB288" s="19" t="s">
        <v>53</v>
      </c>
    </row>
    <row r="289" spans="1:28" x14ac:dyDescent="0.25">
      <c r="A289" s="1">
        <v>45518</v>
      </c>
      <c r="B289" s="1" t="str">
        <f t="shared" si="45"/>
        <v>202408</v>
      </c>
      <c r="C289" s="2">
        <v>0</v>
      </c>
      <c r="D289" s="2">
        <v>0</v>
      </c>
      <c r="E289" s="2">
        <v>0</v>
      </c>
      <c r="F289" s="2">
        <f>F288*(1+((1+VLOOKUP($B289,'IPCA Hist'!$B:$C,2,0))^12 - 1)+$F$2)^(1/252)</f>
        <v>45603205.00502909</v>
      </c>
      <c r="G289" s="2">
        <f>G288*(1+((1+VLOOKUP($B289,'IPCA Hist'!$B:$C,2,0))^12 - 1)+$G$2)^(1/252)</f>
        <v>45587775.049915195</v>
      </c>
      <c r="H289" s="2">
        <f>H288*(1+((1+VLOOKUP($B289,'IPCA Hist'!$B:$C,2,0))^12 - 1)+$H$2)^(1/252)</f>
        <v>46620606.811053574</v>
      </c>
      <c r="I289" s="2">
        <f>I288*(1+((1+VLOOKUP($B289,'IPCA Hist'!$B:$C,2,0))^12 - 1)+$I$2)^(1/252)</f>
        <v>235468282.30959225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f t="shared" si="44"/>
        <v>373279869.1755901</v>
      </c>
      <c r="P289" s="2">
        <v>0</v>
      </c>
      <c r="Q289" s="2">
        <v>0</v>
      </c>
      <c r="R289" s="2">
        <f t="shared" si="53"/>
        <v>70020.550431072712</v>
      </c>
      <c r="S289" s="2">
        <f t="shared" si="46"/>
        <v>699614.67556482553</v>
      </c>
      <c r="T289" s="2">
        <f t="shared" si="47"/>
        <v>21018029.068699539</v>
      </c>
      <c r="U289" s="11">
        <f t="shared" si="50"/>
        <v>1.1030557504326934</v>
      </c>
      <c r="V289" s="12">
        <f t="shared" si="51"/>
        <v>1.8761710252035435E-4</v>
      </c>
      <c r="W289" s="12">
        <f t="shared" si="48"/>
        <v>1.8777556435560783E-3</v>
      </c>
      <c r="X289" s="12">
        <f t="shared" si="49"/>
        <v>5.9257173285198306E-2</v>
      </c>
      <c r="Y289" s="5">
        <f t="shared" si="52"/>
        <v>0.10305575043269344</v>
      </c>
      <c r="Z289" s="19">
        <f t="shared" si="43"/>
        <v>4.4889964372561986E-2</v>
      </c>
      <c r="AA289" s="19">
        <f t="shared" si="42"/>
        <v>9.3360658769729321E-2</v>
      </c>
      <c r="AB289" s="19" t="s">
        <v>53</v>
      </c>
    </row>
    <row r="290" spans="1:28" s="17" customFormat="1" x14ac:dyDescent="0.25">
      <c r="A290" s="13">
        <v>45519</v>
      </c>
      <c r="B290" s="13" t="str">
        <f t="shared" si="45"/>
        <v>202408</v>
      </c>
      <c r="C290" s="14">
        <v>0</v>
      </c>
      <c r="D290" s="14">
        <v>0</v>
      </c>
      <c r="E290" s="14">
        <v>0</v>
      </c>
      <c r="F290" s="14">
        <f>F289*(1+((1+VLOOKUP($B290,'IPCA Hist'!$B:$C,2,0))^12 - 1)+$F$2)^(1/252) - 1258429.59647491</f>
        <v>44353483.603523493</v>
      </c>
      <c r="G290" s="14">
        <f>G289*(1+((1+VLOOKUP($B290,'IPCA Hist'!$B:$C,2,0))^12 - 1)+$G$2)^(1/252) - 1258429.59647491</f>
        <v>44338067.944999002</v>
      </c>
      <c r="H290" s="14">
        <f>H289*(1+((1+VLOOKUP($B290,'IPCA Hist'!$B:$C,2,0))^12 - 1)+$H$2)^(1/252) - 1283598.1884044</f>
        <v>45345717.015280277</v>
      </c>
      <c r="I290" s="14">
        <f>I289*(1+((1+VLOOKUP($B290,'IPCA Hist'!$B:$C,2,0))^12 - 1)+$I$2)^(1/252) - 6480912.42184577</f>
        <v>229031264.49758148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f t="shared" si="44"/>
        <v>363068533.06138426</v>
      </c>
      <c r="P290" s="14">
        <v>0</v>
      </c>
      <c r="Q290" s="14">
        <v>10280000</v>
      </c>
      <c r="R290" s="2">
        <f t="shared" si="53"/>
        <v>68663.88579416275</v>
      </c>
      <c r="S290" s="2">
        <f t="shared" si="46"/>
        <v>768278.56135898829</v>
      </c>
      <c r="T290" s="2">
        <f t="shared" si="47"/>
        <v>21086692.954493701</v>
      </c>
      <c r="U290" s="15">
        <f t="shared" si="50"/>
        <v>1.103258654742105</v>
      </c>
      <c r="V290" s="16">
        <f t="shared" si="51"/>
        <v>1.8394746533156869E-4</v>
      </c>
      <c r="W290" s="16">
        <f t="shared" si="48"/>
        <v>2.0620485172788694E-3</v>
      </c>
      <c r="X290" s="16">
        <f t="shared" si="49"/>
        <v>5.9452020957358354E-2</v>
      </c>
      <c r="Y290" s="5">
        <f t="shared" si="52"/>
        <v>0.10325865474210505</v>
      </c>
      <c r="Z290" s="19">
        <f t="shared" si="43"/>
        <v>4.4484437991660464E-2</v>
      </c>
      <c r="AA290" s="19">
        <f t="shared" si="42"/>
        <v>9.3226814076567965E-2</v>
      </c>
      <c r="AB290" s="19" t="s">
        <v>53</v>
      </c>
    </row>
    <row r="291" spans="1:28" x14ac:dyDescent="0.25">
      <c r="A291" s="1">
        <v>45520</v>
      </c>
      <c r="B291" s="1" t="str">
        <f t="shared" si="45"/>
        <v>202408</v>
      </c>
      <c r="C291" s="2">
        <v>0</v>
      </c>
      <c r="D291" s="2">
        <v>0</v>
      </c>
      <c r="E291" s="2">
        <v>0</v>
      </c>
      <c r="F291" s="2">
        <f>F290*(1+((1+VLOOKUP($B291,'IPCA Hist'!$B:$C,2,0))^12 - 1)+$F$2)^(1/252)</f>
        <v>44361953.15698459</v>
      </c>
      <c r="G291" s="2">
        <f>G290*(1+((1+VLOOKUP($B291,'IPCA Hist'!$B:$C,2,0))^12 - 1)+$G$2)^(1/252)</f>
        <v>44346551.325092822</v>
      </c>
      <c r="H291" s="2">
        <f>H290*(1+((1+VLOOKUP($B291,'IPCA Hist'!$B:$C,2,0))^12 - 1)+$H$2)^(1/252)</f>
        <v>45354187.267705522</v>
      </c>
      <c r="I291" s="2">
        <f>I290*(1+((1+VLOOKUP($B291,'IPCA Hist'!$B:$C,2,0))^12 - 1)+$I$2)^(1/252)</f>
        <v>229073959.15648216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f t="shared" si="44"/>
        <v>363136650.90626514</v>
      </c>
      <c r="P291" s="2">
        <v>0</v>
      </c>
      <c r="Q291" s="2">
        <v>0</v>
      </c>
      <c r="R291" s="2">
        <f t="shared" si="53"/>
        <v>68117.844880878925</v>
      </c>
      <c r="S291" s="2">
        <f t="shared" si="46"/>
        <v>836396.40623986721</v>
      </c>
      <c r="T291" s="2">
        <f t="shared" si="47"/>
        <v>21154810.79937458</v>
      </c>
      <c r="U291" s="11">
        <f t="shared" si="50"/>
        <v>1.1034656448694884</v>
      </c>
      <c r="V291" s="12">
        <f t="shared" si="51"/>
        <v>1.876170438306346E-4</v>
      </c>
      <c r="W291" s="12">
        <f t="shared" si="48"/>
        <v>2.2500524365565155E-3</v>
      </c>
      <c r="X291" s="12">
        <f t="shared" si="49"/>
        <v>5.9650792213610693E-2</v>
      </c>
      <c r="Y291" s="5">
        <f t="shared" si="52"/>
        <v>0.10346564486948839</v>
      </c>
      <c r="Z291" s="19">
        <f t="shared" si="43"/>
        <v>4.4082899619317217E-2</v>
      </c>
      <c r="AA291" s="19">
        <f t="shared" si="42"/>
        <v>9.3098534288820645E-2</v>
      </c>
      <c r="AB291" s="19" t="s">
        <v>53</v>
      </c>
    </row>
    <row r="292" spans="1:28" x14ac:dyDescent="0.25">
      <c r="A292" s="1">
        <v>45523</v>
      </c>
      <c r="B292" s="1" t="str">
        <f t="shared" si="45"/>
        <v>202408</v>
      </c>
      <c r="C292" s="2">
        <v>0</v>
      </c>
      <c r="D292" s="2">
        <v>0</v>
      </c>
      <c r="E292" s="2">
        <v>0</v>
      </c>
      <c r="F292" s="2">
        <f>F291*(1+((1+VLOOKUP($B292,'IPCA Hist'!$B:$C,2,0))^12 - 1)+$F$2)^(1/252)</f>
        <v>44370424.327755764</v>
      </c>
      <c r="G292" s="2">
        <f>G291*(1+((1+VLOOKUP($B292,'IPCA Hist'!$B:$C,2,0))^12 - 1)+$G$2)^(1/252)</f>
        <v>44355036.328345731</v>
      </c>
      <c r="H292" s="2">
        <f>H291*(1+((1+VLOOKUP($B292,'IPCA Hist'!$B:$C,2,0))^12 - 1)+$H$2)^(1/252)</f>
        <v>45362659.102312744</v>
      </c>
      <c r="I292" s="2">
        <f>I291*(1+((1+VLOOKUP($B292,'IPCA Hist'!$B:$C,2,0))^12 - 1)+$I$2)^(1/252)</f>
        <v>229116661.77426961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f t="shared" si="44"/>
        <v>363204781.53268385</v>
      </c>
      <c r="P292" s="2">
        <v>0</v>
      </c>
      <c r="Q292" s="2">
        <v>0</v>
      </c>
      <c r="R292" s="2">
        <f t="shared" si="53"/>
        <v>68130.626418709755</v>
      </c>
      <c r="S292" s="2">
        <f t="shared" si="46"/>
        <v>904527.03265857697</v>
      </c>
      <c r="T292" s="2">
        <f t="shared" si="47"/>
        <v>21222941.42579329</v>
      </c>
      <c r="U292" s="11">
        <f t="shared" si="50"/>
        <v>1.1036726738362117</v>
      </c>
      <c r="V292" s="12">
        <f t="shared" si="51"/>
        <v>1.876170478762873E-4</v>
      </c>
      <c r="W292" s="12">
        <f t="shared" si="48"/>
        <v>2.4380916326285362E-3</v>
      </c>
      <c r="X292" s="12">
        <f t="shared" si="49"/>
        <v>5.9849600767025501E-2</v>
      </c>
      <c r="Y292" s="5">
        <f t="shared" si="52"/>
        <v>0.1036726738362117</v>
      </c>
      <c r="Z292" s="19">
        <f t="shared" si="43"/>
        <v>4.368151561389011E-2</v>
      </c>
      <c r="AA292" s="19">
        <f t="shared" si="42"/>
        <v>9.2968731902068003E-2</v>
      </c>
      <c r="AB292" s="19" t="s">
        <v>53</v>
      </c>
    </row>
    <row r="293" spans="1:28" x14ac:dyDescent="0.25">
      <c r="A293" s="1">
        <v>45524</v>
      </c>
      <c r="B293" s="1" t="str">
        <f t="shared" si="45"/>
        <v>202408</v>
      </c>
      <c r="C293" s="2">
        <v>0</v>
      </c>
      <c r="D293" s="2">
        <v>0</v>
      </c>
      <c r="E293" s="2">
        <v>0</v>
      </c>
      <c r="F293" s="2">
        <f>F292*(1+((1+VLOOKUP($B293,'IPCA Hist'!$B:$C,2,0))^12 - 1)+$F$2)^(1/252)</f>
        <v>44378897.116145842</v>
      </c>
      <c r="G293" s="2">
        <f>G292*(1+((1+VLOOKUP($B293,'IPCA Hist'!$B:$C,2,0))^12 - 1)+$G$2)^(1/252)</f>
        <v>44363522.95506829</v>
      </c>
      <c r="H293" s="2">
        <f>H292*(1+((1+VLOOKUP($B293,'IPCA Hist'!$B:$C,2,0))^12 - 1)+$H$2)^(1/252)</f>
        <v>45371132.519397475</v>
      </c>
      <c r="I293" s="2">
        <f>I292*(1+((1+VLOOKUP($B293,'IPCA Hist'!$B:$C,2,0))^12 - 1)+$I$2)^(1/252)</f>
        <v>229159372.35242745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f t="shared" si="44"/>
        <v>363272924.94303906</v>
      </c>
      <c r="P293" s="2">
        <v>0</v>
      </c>
      <c r="Q293" s="2">
        <v>0</v>
      </c>
      <c r="R293" s="2">
        <f t="shared" si="53"/>
        <v>68143.410355210304</v>
      </c>
      <c r="S293" s="2">
        <f t="shared" si="46"/>
        <v>972670.44301378727</v>
      </c>
      <c r="T293" s="2">
        <f t="shared" si="47"/>
        <v>21291084.8361485</v>
      </c>
      <c r="U293" s="11">
        <f t="shared" si="50"/>
        <v>1.1038797416495638</v>
      </c>
      <c r="V293" s="12">
        <f t="shared" si="51"/>
        <v>1.8761705192216205E-4</v>
      </c>
      <c r="W293" s="12">
        <f t="shared" si="48"/>
        <v>2.6261661121151914E-3</v>
      </c>
      <c r="X293" s="12">
        <f t="shared" si="49"/>
        <v>6.0048446624602292E-2</v>
      </c>
      <c r="Y293" s="5">
        <f t="shared" si="52"/>
        <v>0.10387974164956382</v>
      </c>
      <c r="Z293" s="19">
        <f t="shared" si="43"/>
        <v>4.3280285916035055E-2</v>
      </c>
      <c r="AA293" s="19">
        <f t="shared" si="42"/>
        <v>9.2838944924840794E-2</v>
      </c>
      <c r="AB293" s="19" t="s">
        <v>53</v>
      </c>
    </row>
    <row r="294" spans="1:28" x14ac:dyDescent="0.25">
      <c r="A294" s="1">
        <v>45525</v>
      </c>
      <c r="B294" s="1" t="str">
        <f t="shared" si="45"/>
        <v>202408</v>
      </c>
      <c r="C294" s="2">
        <v>0</v>
      </c>
      <c r="D294" s="2">
        <v>0</v>
      </c>
      <c r="E294" s="2">
        <v>0</v>
      </c>
      <c r="F294" s="2">
        <f>F293*(1+((1+VLOOKUP($B294,'IPCA Hist'!$B:$C,2,0))^12 - 1)+$F$2)^(1/252)</f>
        <v>44387371.522463724</v>
      </c>
      <c r="G294" s="2">
        <f>G293*(1+((1+VLOOKUP($B294,'IPCA Hist'!$B:$C,2,0))^12 - 1)+$G$2)^(1/252)</f>
        <v>44372011.205571122</v>
      </c>
      <c r="H294" s="2">
        <f>H293*(1+((1+VLOOKUP($B294,'IPCA Hist'!$B:$C,2,0))^12 - 1)+$H$2)^(1/252)</f>
        <v>45379607.519255318</v>
      </c>
      <c r="I294" s="2">
        <f>I293*(1+((1+VLOOKUP($B294,'IPCA Hist'!$B:$C,2,0))^12 - 1)+$I$2)^(1/252)</f>
        <v>229202090.89243963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f t="shared" si="44"/>
        <v>363341081.1397298</v>
      </c>
      <c r="P294" s="2">
        <v>0</v>
      </c>
      <c r="Q294" s="2">
        <v>0</v>
      </c>
      <c r="R294" s="2">
        <f t="shared" si="53"/>
        <v>68156.196690738201</v>
      </c>
      <c r="S294" s="2">
        <f t="shared" si="46"/>
        <v>1040826.6397045255</v>
      </c>
      <c r="T294" s="2">
        <f t="shared" si="47"/>
        <v>21359241.032839239</v>
      </c>
      <c r="U294" s="11">
        <f t="shared" si="50"/>
        <v>1.1040868483168349</v>
      </c>
      <c r="V294" s="12">
        <f t="shared" si="51"/>
        <v>1.8761705596803679E-4</v>
      </c>
      <c r="W294" s="12">
        <f t="shared" si="48"/>
        <v>2.814275881637629E-3</v>
      </c>
      <c r="X294" s="12">
        <f t="shared" si="49"/>
        <v>6.0247329793341464E-2</v>
      </c>
      <c r="Y294" s="5">
        <f t="shared" si="52"/>
        <v>0.1040868483168349</v>
      </c>
      <c r="Z294" s="19">
        <f t="shared" si="43"/>
        <v>4.2879210466429285E-2</v>
      </c>
      <c r="AA294" s="19">
        <f t="shared" si="42"/>
        <v>9.2709173355310703E-2</v>
      </c>
      <c r="AB294" s="19" t="s">
        <v>53</v>
      </c>
    </row>
    <row r="295" spans="1:28" x14ac:dyDescent="0.25">
      <c r="A295" s="1">
        <v>45526</v>
      </c>
      <c r="B295" s="1" t="str">
        <f t="shared" si="45"/>
        <v>202408</v>
      </c>
      <c r="C295" s="2">
        <v>0</v>
      </c>
      <c r="D295" s="2">
        <v>0</v>
      </c>
      <c r="E295" s="2">
        <v>0</v>
      </c>
      <c r="F295" s="2">
        <f>F294*(1+((1+VLOOKUP($B295,'IPCA Hist'!$B:$C,2,0))^12 - 1)+$F$2)^(1/252)</f>
        <v>44395847.547018364</v>
      </c>
      <c r="G295" s="2">
        <f>G294*(1+((1+VLOOKUP($B295,'IPCA Hist'!$B:$C,2,0))^12 - 1)+$G$2)^(1/252)</f>
        <v>44380501.080164917</v>
      </c>
      <c r="H295" s="2">
        <f>H294*(1+((1+VLOOKUP($B295,'IPCA Hist'!$B:$C,2,0))^12 - 1)+$H$2)^(1/252)</f>
        <v>45388084.102181926</v>
      </c>
      <c r="I295" s="2">
        <f>I294*(1+((1+VLOOKUP($B295,'IPCA Hist'!$B:$C,2,0))^12 - 1)+$I$2)^(1/252)</f>
        <v>229244817.39579037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f t="shared" si="44"/>
        <v>363409250.12515557</v>
      </c>
      <c r="P295" s="2">
        <v>0</v>
      </c>
      <c r="Q295" s="2">
        <v>0</v>
      </c>
      <c r="R295" s="2">
        <f t="shared" si="53"/>
        <v>68168.985425770283</v>
      </c>
      <c r="S295" s="2">
        <f t="shared" si="46"/>
        <v>1108995.6251302958</v>
      </c>
      <c r="T295" s="2">
        <f t="shared" si="47"/>
        <v>21427410.018265009</v>
      </c>
      <c r="U295" s="11">
        <f t="shared" si="50"/>
        <v>1.1042939938453165</v>
      </c>
      <c r="V295" s="12">
        <f t="shared" si="51"/>
        <v>1.8761706001413359E-4</v>
      </c>
      <c r="W295" s="12">
        <f t="shared" si="48"/>
        <v>3.0024209478187736E-3</v>
      </c>
      <c r="X295" s="12">
        <f t="shared" si="49"/>
        <v>6.0446250280245195E-2</v>
      </c>
      <c r="Y295" s="5">
        <f t="shared" si="52"/>
        <v>0.10429399384531646</v>
      </c>
      <c r="Z295" s="19">
        <f t="shared" si="43"/>
        <v>4.2478289205773789E-2</v>
      </c>
      <c r="AA295" s="19">
        <f t="shared" si="42"/>
        <v>9.2583423745425719E-2</v>
      </c>
      <c r="AB295" s="19" t="s">
        <v>53</v>
      </c>
    </row>
    <row r="296" spans="1:28" x14ac:dyDescent="0.25">
      <c r="A296" s="1">
        <v>45527</v>
      </c>
      <c r="B296" s="1" t="str">
        <f t="shared" si="45"/>
        <v>202408</v>
      </c>
      <c r="C296" s="2">
        <v>0</v>
      </c>
      <c r="D296" s="2">
        <v>0</v>
      </c>
      <c r="E296" s="2">
        <v>0</v>
      </c>
      <c r="F296" s="2">
        <f>F295*(1+((1+VLOOKUP($B296,'IPCA Hist'!$B:$C,2,0))^12 - 1)+$F$2)^(1/252)</f>
        <v>44404325.190118767</v>
      </c>
      <c r="G296" s="2">
        <f>G295*(1+((1+VLOOKUP($B296,'IPCA Hist'!$B:$C,2,0))^12 - 1)+$G$2)^(1/252)</f>
        <v>44388992.579160415</v>
      </c>
      <c r="H296" s="2">
        <f>H295*(1+((1+VLOOKUP($B296,'IPCA Hist'!$B:$C,2,0))^12 - 1)+$H$2)^(1/252)</f>
        <v>45396562.268472999</v>
      </c>
      <c r="I296" s="2">
        <f>I295*(1+((1+VLOOKUP($B296,'IPCA Hist'!$B:$C,2,0))^12 - 1)+$I$2)^(1/252)</f>
        <v>229287551.86396411</v>
      </c>
      <c r="J296" s="2">
        <v>19997003.499770001</v>
      </c>
      <c r="K296" s="2">
        <v>0</v>
      </c>
      <c r="L296" s="2">
        <v>0</v>
      </c>
      <c r="M296" s="2">
        <v>0</v>
      </c>
      <c r="N296" s="2">
        <v>0</v>
      </c>
      <c r="O296" s="2">
        <f t="shared" si="44"/>
        <v>383474435.40148628</v>
      </c>
      <c r="P296" s="2">
        <v>19997003.499770001</v>
      </c>
      <c r="Q296" s="2">
        <v>0</v>
      </c>
      <c r="R296" s="2">
        <f t="shared" si="53"/>
        <v>68181.77656070888</v>
      </c>
      <c r="S296" s="2">
        <f t="shared" si="46"/>
        <v>1177177.4016910046</v>
      </c>
      <c r="T296" s="2">
        <f t="shared" si="47"/>
        <v>21495591.794825718</v>
      </c>
      <c r="U296" s="11">
        <f t="shared" si="50"/>
        <v>1.1045011782423009</v>
      </c>
      <c r="V296" s="12">
        <f t="shared" si="51"/>
        <v>1.8761706406000833E-4</v>
      </c>
      <c r="W296" s="12">
        <f t="shared" si="48"/>
        <v>3.1906013172819936E-3</v>
      </c>
      <c r="X296" s="12">
        <f t="shared" si="49"/>
        <v>6.0645208092316327E-2</v>
      </c>
      <c r="Y296" s="5">
        <f t="shared" si="52"/>
        <v>0.10450117824230087</v>
      </c>
      <c r="Z296" s="19">
        <f t="shared" si="43"/>
        <v>4.2077522074792206E-2</v>
      </c>
      <c r="AA296" s="19">
        <f t="shared" si="42"/>
        <v>9.2457688595632082E-2</v>
      </c>
      <c r="AB296" s="19" t="s">
        <v>53</v>
      </c>
    </row>
    <row r="297" spans="1:28" x14ac:dyDescent="0.25">
      <c r="A297" s="1">
        <v>45530</v>
      </c>
      <c r="B297" s="1" t="str">
        <f t="shared" si="45"/>
        <v>202408</v>
      </c>
      <c r="C297" s="2">
        <v>0</v>
      </c>
      <c r="D297" s="2">
        <v>0</v>
      </c>
      <c r="E297" s="2">
        <v>0</v>
      </c>
      <c r="F297" s="2">
        <f>F296*(1+((1+VLOOKUP($B297,'IPCA Hist'!$B:$C,2,0))^12 - 1)+$F$2)^(1/252)</f>
        <v>44412804.452074006</v>
      </c>
      <c r="G297" s="2">
        <f>G296*(1+((1+VLOOKUP($B297,'IPCA Hist'!$B:$C,2,0))^12 - 1)+$G$2)^(1/252)</f>
        <v>44397485.702868417</v>
      </c>
      <c r="H297" s="2">
        <f>H296*(1+((1+VLOOKUP($B297,'IPCA Hist'!$B:$C,2,0))^12 - 1)+$H$2)^(1/252)</f>
        <v>45405042.018424302</v>
      </c>
      <c r="I297" s="2">
        <f>I296*(1+((1+VLOOKUP($B297,'IPCA Hist'!$B:$C,2,0))^12 - 1)+$I$2)^(1/252)</f>
        <v>229330294.29844561</v>
      </c>
      <c r="J297" s="2">
        <f>J296*(1+((1+VLOOKUP($B297,'IPCA Hist'!$B:$C,2,0))^12 - 1)+$J$2)^(1/252)</f>
        <v>20001747.023746539</v>
      </c>
      <c r="K297" s="2">
        <v>0</v>
      </c>
      <c r="L297" s="2">
        <v>0</v>
      </c>
      <c r="M297" s="2">
        <v>0</v>
      </c>
      <c r="N297" s="2">
        <v>0</v>
      </c>
      <c r="O297" s="2">
        <f t="shared" si="44"/>
        <v>383547373.49555892</v>
      </c>
      <c r="P297" s="2">
        <v>0</v>
      </c>
      <c r="Q297" s="2">
        <v>0</v>
      </c>
      <c r="R297" s="2">
        <f t="shared" si="53"/>
        <v>72938.094072639942</v>
      </c>
      <c r="S297" s="2">
        <f t="shared" si="46"/>
        <v>1250115.4957636446</v>
      </c>
      <c r="T297" s="2">
        <f t="shared" si="47"/>
        <v>21568529.888898358</v>
      </c>
      <c r="U297" s="11">
        <f t="shared" si="50"/>
        <v>1.1047112579853158</v>
      </c>
      <c r="V297" s="12">
        <f t="shared" si="51"/>
        <v>1.9020327651375624E-4</v>
      </c>
      <c r="W297" s="12">
        <f t="shared" si="48"/>
        <v>3.381411456620409E-3</v>
      </c>
      <c r="X297" s="12">
        <f t="shared" si="49"/>
        <v>6.084694628611409E-2</v>
      </c>
      <c r="Y297" s="5">
        <f t="shared" si="52"/>
        <v>0.10471125798531578</v>
      </c>
      <c r="Z297" s="19">
        <f t="shared" si="43"/>
        <v>4.1679602502466384E-2</v>
      </c>
      <c r="AA297" s="19">
        <f t="shared" si="42"/>
        <v>9.2334792372469554E-2</v>
      </c>
      <c r="AB297" s="19" t="s">
        <v>53</v>
      </c>
    </row>
    <row r="298" spans="1:28" x14ac:dyDescent="0.25">
      <c r="A298" s="1">
        <v>45531</v>
      </c>
      <c r="B298" s="1" t="str">
        <f t="shared" si="45"/>
        <v>202408</v>
      </c>
      <c r="C298" s="2">
        <v>0</v>
      </c>
      <c r="D298" s="2">
        <v>0</v>
      </c>
      <c r="E298" s="2">
        <v>0</v>
      </c>
      <c r="F298" s="2">
        <f>F297*(1+((1+VLOOKUP($B298,'IPCA Hist'!$B:$C,2,0))^12 - 1)+$F$2)^(1/252)</f>
        <v>44421285.333193213</v>
      </c>
      <c r="G298" s="2">
        <f>G297*(1+((1+VLOOKUP($B298,'IPCA Hist'!$B:$C,2,0))^12 - 1)+$G$2)^(1/252)</f>
        <v>44405980.451599792</v>
      </c>
      <c r="H298" s="2">
        <f>H297*(1+((1+VLOOKUP($B298,'IPCA Hist'!$B:$C,2,0))^12 - 1)+$H$2)^(1/252)</f>
        <v>45413523.352331653</v>
      </c>
      <c r="I298" s="2">
        <f>I297*(1+((1+VLOOKUP($B298,'IPCA Hist'!$B:$C,2,0))^12 - 1)+$I$2)^(1/252)</f>
        <v>229373044.70071992</v>
      </c>
      <c r="J298" s="2">
        <f>J297*(1+((1+VLOOKUP($B298,'IPCA Hist'!$B:$C,2,0))^12 - 1)+$J$2)^(1/252)</f>
        <v>20006491.67294265</v>
      </c>
      <c r="K298" s="2">
        <v>0</v>
      </c>
      <c r="L298" s="2">
        <v>0</v>
      </c>
      <c r="M298" s="2">
        <v>0</v>
      </c>
      <c r="N298" s="2">
        <v>0</v>
      </c>
      <c r="O298" s="2">
        <f t="shared" si="44"/>
        <v>383620325.51078725</v>
      </c>
      <c r="P298" s="2">
        <v>0</v>
      </c>
      <c r="Q298" s="2">
        <v>0</v>
      </c>
      <c r="R298" s="2">
        <f t="shared" si="53"/>
        <v>72952.015228331089</v>
      </c>
      <c r="S298" s="2">
        <f t="shared" si="46"/>
        <v>1323067.5109919757</v>
      </c>
      <c r="T298" s="2">
        <f t="shared" si="47"/>
        <v>21641481.904126689</v>
      </c>
      <c r="U298" s="11">
        <f t="shared" si="50"/>
        <v>1.1049213778247009</v>
      </c>
      <c r="V298" s="12">
        <f t="shared" si="51"/>
        <v>1.9020340189923601E-4</v>
      </c>
      <c r="W298" s="12">
        <f t="shared" si="48"/>
        <v>3.5722580144819105E-3</v>
      </c>
      <c r="X298" s="12">
        <f t="shared" si="49"/>
        <v>6.1048722984192061E-2</v>
      </c>
      <c r="Y298" s="5">
        <f t="shared" si="52"/>
        <v>0.1049213778247009</v>
      </c>
      <c r="Z298" s="19">
        <f t="shared" si="43"/>
        <v>4.1281835003663669E-2</v>
      </c>
      <c r="AA298" s="19">
        <f t="shared" si="42"/>
        <v>9.2211910095798322E-2</v>
      </c>
      <c r="AB298" s="19" t="s">
        <v>53</v>
      </c>
    </row>
    <row r="299" spans="1:28" x14ac:dyDescent="0.25">
      <c r="A299" s="1">
        <v>45532</v>
      </c>
      <c r="B299" s="1" t="str">
        <f t="shared" si="45"/>
        <v>202408</v>
      </c>
      <c r="C299" s="2">
        <v>0</v>
      </c>
      <c r="D299" s="2">
        <v>0</v>
      </c>
      <c r="E299" s="2">
        <v>0</v>
      </c>
      <c r="F299" s="2">
        <f>F298*(1+((1+VLOOKUP($B299,'IPCA Hist'!$B:$C,2,0))^12 - 1)+$F$2)^(1/252)</f>
        <v>44429767.833785571</v>
      </c>
      <c r="G299" s="2">
        <f>G298*(1+((1+VLOOKUP($B299,'IPCA Hist'!$B:$C,2,0))^12 - 1)+$G$2)^(1/252)</f>
        <v>44414476.825665459</v>
      </c>
      <c r="H299" s="2">
        <f>H298*(1+((1+VLOOKUP($B299,'IPCA Hist'!$B:$C,2,0))^12 - 1)+$H$2)^(1/252)</f>
        <v>45422006.270490922</v>
      </c>
      <c r="I299" s="2">
        <f>I298*(1+((1+VLOOKUP($B299,'IPCA Hist'!$B:$C,2,0))^12 - 1)+$I$2)^(1/252)</f>
        <v>229415803.07227233</v>
      </c>
      <c r="J299" s="2">
        <f>J298*(1+((1+VLOOKUP($B299,'IPCA Hist'!$B:$C,2,0))^12 - 1)+$J$2)^(1/252)</f>
        <v>20011237.44762525</v>
      </c>
      <c r="K299" s="2">
        <v>0</v>
      </c>
      <c r="L299" s="2">
        <v>0</v>
      </c>
      <c r="M299" s="2">
        <v>0</v>
      </c>
      <c r="N299" s="2">
        <v>0</v>
      </c>
      <c r="O299" s="2">
        <f t="shared" si="44"/>
        <v>383693291.44983959</v>
      </c>
      <c r="P299" s="2">
        <v>0</v>
      </c>
      <c r="Q299" s="2">
        <v>0</v>
      </c>
      <c r="R299" s="2">
        <f t="shared" si="53"/>
        <v>72965.939052343369</v>
      </c>
      <c r="S299" s="2">
        <f t="shared" si="46"/>
        <v>1396033.450044319</v>
      </c>
      <c r="T299" s="2">
        <f t="shared" si="47"/>
        <v>21714447.843179032</v>
      </c>
      <c r="U299" s="11">
        <f t="shared" si="50"/>
        <v>1.1051315377681414</v>
      </c>
      <c r="V299" s="12">
        <f t="shared" si="51"/>
        <v>1.9020352729004486E-4</v>
      </c>
      <c r="W299" s="12">
        <f t="shared" si="48"/>
        <v>3.7631409978466923E-3</v>
      </c>
      <c r="X299" s="12">
        <f t="shared" si="49"/>
        <v>6.1250538193930337E-2</v>
      </c>
      <c r="Y299" s="5">
        <f t="shared" si="52"/>
        <v>0.10513153776814144</v>
      </c>
      <c r="Z299" s="19">
        <f t="shared" si="43"/>
        <v>4.0884219520223031E-2</v>
      </c>
      <c r="AA299" s="19">
        <f t="shared" si="42"/>
        <v>9.2089041764028323E-2</v>
      </c>
      <c r="AB299" s="19" t="s">
        <v>53</v>
      </c>
    </row>
    <row r="300" spans="1:28" x14ac:dyDescent="0.25">
      <c r="A300" s="1">
        <v>45533</v>
      </c>
      <c r="B300" s="1" t="str">
        <f t="shared" si="45"/>
        <v>202408</v>
      </c>
      <c r="C300" s="2">
        <v>0</v>
      </c>
      <c r="D300" s="2">
        <v>0</v>
      </c>
      <c r="E300" s="2">
        <v>0</v>
      </c>
      <c r="F300" s="2">
        <f>F299*(1+((1+VLOOKUP($B300,'IPCA Hist'!$B:$C,2,0))^12 - 1)+$F$2)^(1/252)</f>
        <v>44438251.954160333</v>
      </c>
      <c r="G300" s="2">
        <f>G299*(1+((1+VLOOKUP($B300,'IPCA Hist'!$B:$C,2,0))^12 - 1)+$G$2)^(1/252)</f>
        <v>44422974.825376399</v>
      </c>
      <c r="H300" s="2">
        <f>H299*(1+((1+VLOOKUP($B300,'IPCA Hist'!$B:$C,2,0))^12 - 1)+$H$2)^(1/252)</f>
        <v>45430490.773198031</v>
      </c>
      <c r="I300" s="2">
        <f>I299*(1+((1+VLOOKUP($B300,'IPCA Hist'!$B:$C,2,0))^12 - 1)+$I$2)^(1/252)</f>
        <v>229458569.41458845</v>
      </c>
      <c r="J300" s="2">
        <f>J299*(1+((1+VLOOKUP($B300,'IPCA Hist'!$B:$C,2,0))^12 - 1)+$J$2)^(1/252)</f>
        <v>20015984.348061316</v>
      </c>
      <c r="K300" s="2">
        <v>0</v>
      </c>
      <c r="L300" s="2">
        <v>0</v>
      </c>
      <c r="M300" s="2">
        <v>0</v>
      </c>
      <c r="N300" s="2">
        <v>0</v>
      </c>
      <c r="O300" s="2">
        <f t="shared" si="44"/>
        <v>383766271.31538451</v>
      </c>
      <c r="P300" s="2">
        <v>0</v>
      </c>
      <c r="Q300" s="2">
        <v>0</v>
      </c>
      <c r="R300" s="2">
        <f t="shared" si="53"/>
        <v>72979.865544915199</v>
      </c>
      <c r="S300" s="2">
        <f t="shared" si="46"/>
        <v>1469013.3155892342</v>
      </c>
      <c r="T300" s="2">
        <f t="shared" si="47"/>
        <v>21787427.708723947</v>
      </c>
      <c r="U300" s="11">
        <f t="shared" si="50"/>
        <v>1.1053417378233237</v>
      </c>
      <c r="V300" s="12">
        <f t="shared" si="51"/>
        <v>1.9020365268618278E-4</v>
      </c>
      <c r="W300" s="12">
        <f t="shared" si="48"/>
        <v>3.9540604136962809E-3</v>
      </c>
      <c r="X300" s="12">
        <f t="shared" si="49"/>
        <v>6.1452391922709904E-2</v>
      </c>
      <c r="Y300" s="5">
        <f t="shared" si="52"/>
        <v>0.10534173782332368</v>
      </c>
      <c r="Z300" s="19">
        <f t="shared" si="43"/>
        <v>4.0802035318817209E-2</v>
      </c>
      <c r="AA300" s="19">
        <f t="shared" si="42"/>
        <v>9.1966187375568831E-2</v>
      </c>
      <c r="AB300" s="19" t="s">
        <v>53</v>
      </c>
    </row>
    <row r="301" spans="1:28" x14ac:dyDescent="0.25">
      <c r="A301" s="1">
        <v>45534</v>
      </c>
      <c r="B301" s="1" t="str">
        <f t="shared" si="45"/>
        <v>202408</v>
      </c>
      <c r="C301" s="2">
        <v>0</v>
      </c>
      <c r="D301" s="2">
        <v>0</v>
      </c>
      <c r="E301" s="2">
        <v>0</v>
      </c>
      <c r="F301" s="2">
        <f>F300*(1+((1+VLOOKUP($B301,'IPCA Hist'!$B:$C,2,0))^12 - 1)+$F$2)^(1/252)</f>
        <v>44446737.694626808</v>
      </c>
      <c r="G301" s="2">
        <f>G300*(1+((1+VLOOKUP($B301,'IPCA Hist'!$B:$C,2,0))^12 - 1)+$G$2)^(1/252)</f>
        <v>44431474.451043658</v>
      </c>
      <c r="H301" s="2">
        <f>H300*(1+((1+VLOOKUP($B301,'IPCA Hist'!$B:$C,2,0))^12 - 1)+$H$2)^(1/252)</f>
        <v>45438976.860748969</v>
      </c>
      <c r="I301" s="2">
        <f>I300*(1+((1+VLOOKUP($B301,'IPCA Hist'!$B:$C,2,0))^12 - 1)+$I$2)^(1/252)</f>
        <v>229501343.72915414</v>
      </c>
      <c r="J301" s="2">
        <f>J300*(1+((1+VLOOKUP($B301,'IPCA Hist'!$B:$C,2,0))^12 - 1)+$J$2)^(1/252)</f>
        <v>20020732.374517888</v>
      </c>
      <c r="K301" s="2">
        <v>0</v>
      </c>
      <c r="L301" s="2">
        <v>0</v>
      </c>
      <c r="M301" s="2">
        <v>0</v>
      </c>
      <c r="N301" s="2">
        <v>0</v>
      </c>
      <c r="O301" s="2">
        <f t="shared" si="44"/>
        <v>383839265.11009145</v>
      </c>
      <c r="P301" s="2">
        <v>0</v>
      </c>
      <c r="Q301" s="2">
        <v>0</v>
      </c>
      <c r="R301" s="2">
        <f t="shared" si="53"/>
        <v>72993.794706940651</v>
      </c>
      <c r="S301" s="2">
        <f t="shared" si="46"/>
        <v>1542007.1102961749</v>
      </c>
      <c r="T301" s="2">
        <f t="shared" si="47"/>
        <v>21860421.503430888</v>
      </c>
      <c r="U301" s="11">
        <f t="shared" si="50"/>
        <v>1.1055519779979361</v>
      </c>
      <c r="V301" s="12">
        <f t="shared" si="51"/>
        <v>1.9020377808809386E-4</v>
      </c>
      <c r="W301" s="12">
        <f t="shared" si="48"/>
        <v>4.1450162690137571E-3</v>
      </c>
      <c r="X301" s="12">
        <f t="shared" si="49"/>
        <v>6.1654284177914187E-2</v>
      </c>
      <c r="Y301" s="5">
        <f t="shared" si="52"/>
        <v>0.10555197799793614</v>
      </c>
      <c r="Z301" s="19">
        <f t="shared" si="43"/>
        <v>4.0719857732802733E-2</v>
      </c>
      <c r="AA301" s="19">
        <f t="shared" si="42"/>
        <v>9.1843346928830227E-2</v>
      </c>
      <c r="AB301" s="19" t="s">
        <v>53</v>
      </c>
    </row>
    <row r="302" spans="1:28" x14ac:dyDescent="0.25">
      <c r="A302" s="1">
        <v>45537</v>
      </c>
      <c r="B302" s="1" t="str">
        <f t="shared" si="45"/>
        <v>202409</v>
      </c>
      <c r="C302" s="2">
        <v>0</v>
      </c>
      <c r="D302" s="2">
        <v>0</v>
      </c>
      <c r="E302" s="2">
        <v>0</v>
      </c>
      <c r="F302" s="2">
        <f>F301*(1+((1+VLOOKUP($B302,'IPCA Hist'!$B:$C,2,0))^12 - 1)+$F$2)^(1/252)</f>
        <v>44464477.072241597</v>
      </c>
      <c r="G302" s="2">
        <f>G301*(1+((1+VLOOKUP($B302,'IPCA Hist'!$B:$C,2,0))^12 - 1)+$G$2)^(1/252)</f>
        <v>44449223.687299177</v>
      </c>
      <c r="H302" s="2">
        <f>H301*(1+((1+VLOOKUP($B302,'IPCA Hist'!$B:$C,2,0))^12 - 1)+$H$2)^(1/252)</f>
        <v>45456932.72595001</v>
      </c>
      <c r="I302" s="2">
        <f>I301*(1+((1+VLOOKUP($B302,'IPCA Hist'!$B:$C,2,0))^12 - 1)+$I$2)^(1/252)</f>
        <v>229591952.00803563</v>
      </c>
      <c r="J302" s="2">
        <f>J301*(1+((1+VLOOKUP($B302,'IPCA Hist'!$B:$C,2,0))^12 - 1)+$J$2)^(1/252)</f>
        <v>20029602.165384382</v>
      </c>
      <c r="K302" s="2">
        <v>0</v>
      </c>
      <c r="L302" s="2">
        <v>0</v>
      </c>
      <c r="M302" s="2">
        <v>0</v>
      </c>
      <c r="N302" s="2">
        <v>0</v>
      </c>
      <c r="O302" s="2">
        <f t="shared" si="44"/>
        <v>383992187.65891075</v>
      </c>
      <c r="P302" s="2">
        <v>0</v>
      </c>
      <c r="Q302" s="2">
        <v>0</v>
      </c>
      <c r="R302" s="2">
        <f t="shared" si="53"/>
        <v>152922.54881930351</v>
      </c>
      <c r="S302" s="2">
        <f t="shared" si="46"/>
        <v>152922.54881930351</v>
      </c>
      <c r="T302" s="2">
        <f t="shared" si="47"/>
        <v>22013344.052250192</v>
      </c>
      <c r="U302" s="11">
        <f t="shared" si="50"/>
        <v>1.1059924327447406</v>
      </c>
      <c r="V302" s="12">
        <f t="shared" si="51"/>
        <v>3.9840256773993055E-4</v>
      </c>
      <c r="W302" s="12">
        <f t="shared" si="48"/>
        <v>3.9840256773993055E-4</v>
      </c>
      <c r="X302" s="12">
        <f t="shared" si="49"/>
        <v>6.2077249970782677E-2</v>
      </c>
      <c r="Y302" s="5">
        <f t="shared" si="52"/>
        <v>0.10599243274474057</v>
      </c>
      <c r="Z302" s="19">
        <f t="shared" si="43"/>
        <v>4.085430493636677E-2</v>
      </c>
      <c r="AA302" s="19">
        <f t="shared" si="42"/>
        <v>9.1947771952175295E-2</v>
      </c>
      <c r="AB302" s="19" t="s">
        <v>53</v>
      </c>
    </row>
    <row r="303" spans="1:28" x14ac:dyDescent="0.25">
      <c r="A303" s="1">
        <v>45538</v>
      </c>
      <c r="B303" s="1" t="str">
        <f t="shared" si="45"/>
        <v>202409</v>
      </c>
      <c r="C303" s="2">
        <v>0</v>
      </c>
      <c r="D303" s="2">
        <v>0</v>
      </c>
      <c r="E303" s="2">
        <v>0</v>
      </c>
      <c r="F303" s="2">
        <f>F302*(1+((1+VLOOKUP($B303,'IPCA Hist'!$B:$C,2,0))^12 - 1)+$F$2)^(1/252)</f>
        <v>44482223.529915228</v>
      </c>
      <c r="G303" s="2">
        <f>G302*(1+((1+VLOOKUP($B303,'IPCA Hist'!$B:$C,2,0))^12 - 1)+$G$2)^(1/252)</f>
        <v>44466980.013920061</v>
      </c>
      <c r="H303" s="2">
        <f>H302*(1+((1+VLOOKUP($B303,'IPCA Hist'!$B:$C,2,0))^12 - 1)+$H$2)^(1/252)</f>
        <v>45474895.686669424</v>
      </c>
      <c r="I303" s="2">
        <f>I302*(1+((1+VLOOKUP($B303,'IPCA Hist'!$B:$C,2,0))^12 - 1)+$I$2)^(1/252)</f>
        <v>229682596.05951899</v>
      </c>
      <c r="J303" s="2">
        <f>J302*(1+((1+VLOOKUP($B303,'IPCA Hist'!$B:$C,2,0))^12 - 1)+$J$2)^(1/252)</f>
        <v>20038475.885836896</v>
      </c>
      <c r="K303" s="2">
        <v>0</v>
      </c>
      <c r="L303" s="2">
        <v>0</v>
      </c>
      <c r="M303" s="2">
        <v>0</v>
      </c>
      <c r="N303" s="2">
        <v>0</v>
      </c>
      <c r="O303" s="2">
        <f t="shared" si="44"/>
        <v>384145171.17586058</v>
      </c>
      <c r="P303" s="2">
        <v>0</v>
      </c>
      <c r="Q303" s="2">
        <v>0</v>
      </c>
      <c r="R303" s="2">
        <f t="shared" si="53"/>
        <v>152983.51694983244</v>
      </c>
      <c r="S303" s="2">
        <f t="shared" si="46"/>
        <v>305906.06576913595</v>
      </c>
      <c r="T303" s="2">
        <f t="shared" si="47"/>
        <v>22166327.569200024</v>
      </c>
      <c r="U303" s="11">
        <f t="shared" si="50"/>
        <v>1.1064330630948338</v>
      </c>
      <c r="V303" s="12">
        <f t="shared" si="51"/>
        <v>3.9840268074864404E-4</v>
      </c>
      <c r="W303" s="12">
        <f t="shared" si="48"/>
        <v>7.9696397313955281E-4</v>
      </c>
      <c r="X303" s="12">
        <f t="shared" si="49"/>
        <v>6.2500384394333253E-2</v>
      </c>
      <c r="Y303" s="5">
        <f t="shared" si="52"/>
        <v>0.1064330630948338</v>
      </c>
      <c r="Z303" s="19">
        <f t="shared" si="43"/>
        <v>4.098876962227993E-2</v>
      </c>
      <c r="AA303" s="19">
        <f t="shared" si="42"/>
        <v>9.2052207070538516E-2</v>
      </c>
      <c r="AB303" s="19" t="s">
        <v>53</v>
      </c>
    </row>
    <row r="304" spans="1:28" x14ac:dyDescent="0.25">
      <c r="A304" s="1">
        <v>45539</v>
      </c>
      <c r="B304" s="1" t="str">
        <f t="shared" si="45"/>
        <v>202409</v>
      </c>
      <c r="C304" s="2">
        <v>0</v>
      </c>
      <c r="D304" s="2">
        <v>0</v>
      </c>
      <c r="E304" s="2">
        <v>0</v>
      </c>
      <c r="F304" s="2">
        <f>F303*(1+((1+VLOOKUP($B304,'IPCA Hist'!$B:$C,2,0))^12 - 1)+$F$2)^(1/252)</f>
        <v>44499977.070473462</v>
      </c>
      <c r="G304" s="2">
        <f>G303*(1+((1+VLOOKUP($B304,'IPCA Hist'!$B:$C,2,0))^12 - 1)+$G$2)^(1/252)</f>
        <v>44484743.433738731</v>
      </c>
      <c r="H304" s="2">
        <f>H303*(1+((1+VLOOKUP($B304,'IPCA Hist'!$B:$C,2,0))^12 - 1)+$H$2)^(1/252)</f>
        <v>45492865.745711103</v>
      </c>
      <c r="I304" s="2">
        <f>I303*(1+((1+VLOOKUP($B304,'IPCA Hist'!$B:$C,2,0))^12 - 1)+$I$2)^(1/252)</f>
        <v>229773275.89772746</v>
      </c>
      <c r="J304" s="2">
        <f>J303*(1+((1+VLOOKUP($B304,'IPCA Hist'!$B:$C,2,0))^12 - 1)+$J$2)^(1/252)</f>
        <v>20047353.537616353</v>
      </c>
      <c r="K304" s="2">
        <v>0</v>
      </c>
      <c r="L304" s="2">
        <v>0</v>
      </c>
      <c r="M304" s="2">
        <v>0</v>
      </c>
      <c r="N304" s="2">
        <v>0</v>
      </c>
      <c r="O304" s="2">
        <f t="shared" si="44"/>
        <v>384298215.68526709</v>
      </c>
      <c r="P304" s="2">
        <v>0</v>
      </c>
      <c r="Q304" s="2">
        <v>0</v>
      </c>
      <c r="R304" s="2">
        <f t="shared" si="53"/>
        <v>153044.50940650702</v>
      </c>
      <c r="S304" s="2">
        <f t="shared" si="46"/>
        <v>458950.57517564297</v>
      </c>
      <c r="T304" s="2">
        <f t="shared" si="47"/>
        <v>22319372.078606531</v>
      </c>
      <c r="U304" s="11">
        <f t="shared" si="50"/>
        <v>1.1068738691182809</v>
      </c>
      <c r="V304" s="12">
        <f t="shared" si="51"/>
        <v>3.9840279376157639E-4</v>
      </c>
      <c r="W304" s="12">
        <f t="shared" si="48"/>
        <v>1.1956842795746159E-3</v>
      </c>
      <c r="X304" s="12">
        <f t="shared" si="49"/>
        <v>6.2923687515848759E-2</v>
      </c>
      <c r="Y304" s="5">
        <f t="shared" si="52"/>
        <v>0.1068738691182809</v>
      </c>
      <c r="Z304" s="19">
        <f t="shared" si="43"/>
        <v>4.1123251792833937E-2</v>
      </c>
      <c r="AA304" s="19">
        <f t="shared" si="42"/>
        <v>9.2141826950063788E-2</v>
      </c>
      <c r="AB304" s="19" t="s">
        <v>53</v>
      </c>
    </row>
    <row r="305" spans="1:28" x14ac:dyDescent="0.25">
      <c r="A305" s="1">
        <v>45540</v>
      </c>
      <c r="B305" s="1" t="str">
        <f t="shared" si="45"/>
        <v>202409</v>
      </c>
      <c r="C305" s="2">
        <v>0</v>
      </c>
      <c r="D305" s="2">
        <v>0</v>
      </c>
      <c r="E305" s="2">
        <v>0</v>
      </c>
      <c r="F305" s="2">
        <f>F304*(1+((1+VLOOKUP($B305,'IPCA Hist'!$B:$C,2,0))^12 - 1)+$F$2)^(1/252)</f>
        <v>44517737.696743183</v>
      </c>
      <c r="G305" s="2">
        <f>G304*(1+((1+VLOOKUP($B305,'IPCA Hist'!$B:$C,2,0))^12 - 1)+$G$2)^(1/252)</f>
        <v>44502513.949588738</v>
      </c>
      <c r="H305" s="2">
        <f>H304*(1+((1+VLOOKUP($B305,'IPCA Hist'!$B:$C,2,0))^12 - 1)+$H$2)^(1/252)</f>
        <v>45510842.905880056</v>
      </c>
      <c r="I305" s="2">
        <f>I304*(1+((1+VLOOKUP($B305,'IPCA Hist'!$B:$C,2,0))^12 - 1)+$I$2)^(1/252)</f>
        <v>229863991.53678977</v>
      </c>
      <c r="J305" s="2">
        <f>J304*(1+((1+VLOOKUP($B305,'IPCA Hist'!$B:$C,2,0))^12 - 1)+$J$2)^(1/252)</f>
        <v>20056235.122464452</v>
      </c>
      <c r="K305" s="2">
        <v>0</v>
      </c>
      <c r="L305" s="2">
        <v>0</v>
      </c>
      <c r="M305" s="2">
        <v>0</v>
      </c>
      <c r="N305" s="2">
        <v>0</v>
      </c>
      <c r="O305" s="2">
        <f t="shared" si="44"/>
        <v>384451321.21146625</v>
      </c>
      <c r="P305" s="2">
        <v>0</v>
      </c>
      <c r="Q305" s="2">
        <v>0</v>
      </c>
      <c r="R305" s="2">
        <f t="shared" si="53"/>
        <v>153105.52619916201</v>
      </c>
      <c r="S305" s="2">
        <f t="shared" si="46"/>
        <v>612056.10137480497</v>
      </c>
      <c r="T305" s="2">
        <f t="shared" si="47"/>
        <v>22472477.604805693</v>
      </c>
      <c r="U305" s="11">
        <f t="shared" si="50"/>
        <v>1.1073148508851758</v>
      </c>
      <c r="V305" s="12">
        <f t="shared" si="51"/>
        <v>3.9840290677939372E-4</v>
      </c>
      <c r="W305" s="12">
        <f t="shared" si="48"/>
        <v>1.594563550446626E-3</v>
      </c>
      <c r="X305" s="12">
        <f t="shared" si="49"/>
        <v>6.3347159402639797E-2</v>
      </c>
      <c r="Y305" s="5">
        <f t="shared" si="52"/>
        <v>0.10731485088517578</v>
      </c>
      <c r="Z305" s="19">
        <f t="shared" si="43"/>
        <v>4.1257751450323177E-2</v>
      </c>
      <c r="AA305" s="19">
        <f t="shared" si="42"/>
        <v>9.2231454292130532E-2</v>
      </c>
      <c r="AB305" s="19" t="s">
        <v>53</v>
      </c>
    </row>
    <row r="306" spans="1:28" x14ac:dyDescent="0.25">
      <c r="A306" s="1">
        <v>45541</v>
      </c>
      <c r="B306" s="1" t="str">
        <f t="shared" si="45"/>
        <v>202409</v>
      </c>
      <c r="C306" s="2">
        <v>0</v>
      </c>
      <c r="D306" s="2">
        <v>0</v>
      </c>
      <c r="E306" s="2">
        <v>0</v>
      </c>
      <c r="F306" s="2">
        <f>F305*(1+((1+VLOOKUP($B306,'IPCA Hist'!$B:$C,2,0))^12 - 1)+$F$2)^(1/252)</f>
        <v>44535505.411552414</v>
      </c>
      <c r="G306" s="2">
        <f>G305*(1+((1+VLOOKUP($B306,'IPCA Hist'!$B:$C,2,0))^12 - 1)+$G$2)^(1/252)</f>
        <v>44520291.564304769</v>
      </c>
      <c r="H306" s="2">
        <f>H305*(1+((1+VLOOKUP($B306,'IPCA Hist'!$B:$C,2,0))^12 - 1)+$H$2)^(1/252)</f>
        <v>45528827.169982389</v>
      </c>
      <c r="I306" s="2">
        <f>I305*(1+((1+VLOOKUP($B306,'IPCA Hist'!$B:$C,2,0))^12 - 1)+$I$2)^(1/252)</f>
        <v>229954742.99084032</v>
      </c>
      <c r="J306" s="2">
        <f>J305*(1+((1+VLOOKUP($B306,'IPCA Hist'!$B:$C,2,0))^12 - 1)+$J$2)^(1/252)</f>
        <v>20065120.642123658</v>
      </c>
      <c r="K306" s="2">
        <v>0</v>
      </c>
      <c r="L306" s="2">
        <v>0</v>
      </c>
      <c r="M306" s="2">
        <v>0</v>
      </c>
      <c r="N306" s="2">
        <v>0</v>
      </c>
      <c r="O306" s="2">
        <f t="shared" si="44"/>
        <v>384604487.77880353</v>
      </c>
      <c r="P306" s="2">
        <v>0</v>
      </c>
      <c r="Q306" s="2">
        <v>0</v>
      </c>
      <c r="R306" s="2">
        <f t="shared" si="53"/>
        <v>153166.56733727455</v>
      </c>
      <c r="S306" s="2">
        <f t="shared" si="46"/>
        <v>765222.66871207952</v>
      </c>
      <c r="T306" s="2">
        <f t="shared" si="47"/>
        <v>22625644.172142968</v>
      </c>
      <c r="U306" s="11">
        <f t="shared" si="50"/>
        <v>1.1077560084656395</v>
      </c>
      <c r="V306" s="12">
        <f t="shared" si="51"/>
        <v>3.9840301980142989E-4</v>
      </c>
      <c r="W306" s="12">
        <f t="shared" si="48"/>
        <v>1.9936018491817364E-3</v>
      </c>
      <c r="X306" s="12">
        <f t="shared" si="49"/>
        <v>6.377080012204317E-2</v>
      </c>
      <c r="Y306" s="5">
        <f t="shared" si="52"/>
        <v>0.10775600846563949</v>
      </c>
      <c r="Z306" s="19">
        <f t="shared" si="43"/>
        <v>4.1392268597039816E-2</v>
      </c>
      <c r="AA306" s="19">
        <f t="shared" si="42"/>
        <v>9.2321089097373576E-2</v>
      </c>
      <c r="AB306" s="19" t="s">
        <v>53</v>
      </c>
    </row>
    <row r="307" spans="1:28" x14ac:dyDescent="0.25">
      <c r="A307" s="1">
        <v>45544</v>
      </c>
      <c r="B307" s="1" t="str">
        <f t="shared" si="45"/>
        <v>202409</v>
      </c>
      <c r="C307" s="2">
        <v>0</v>
      </c>
      <c r="D307" s="2">
        <v>0</v>
      </c>
      <c r="E307" s="2">
        <v>0</v>
      </c>
      <c r="F307" s="2">
        <f>F306*(1+((1+VLOOKUP($B307,'IPCA Hist'!$B:$C,2,0))^12 - 1)+$F$2)^(1/252)</f>
        <v>44553280.217730299</v>
      </c>
      <c r="G307" s="2">
        <f>G306*(1+((1+VLOOKUP($B307,'IPCA Hist'!$B:$C,2,0))^12 - 1)+$G$2)^(1/252)</f>
        <v>44538076.280722633</v>
      </c>
      <c r="H307" s="2">
        <f>H306*(1+((1+VLOOKUP($B307,'IPCA Hist'!$B:$C,2,0))^12 - 1)+$H$2)^(1/252)</f>
        <v>45546818.54082533</v>
      </c>
      <c r="I307" s="2">
        <f>I306*(1+((1+VLOOKUP($B307,'IPCA Hist'!$B:$C,2,0))^12 - 1)+$I$2)^(1/252)</f>
        <v>230045530.27401903</v>
      </c>
      <c r="J307" s="2">
        <f>J306*(1+((1+VLOOKUP($B307,'IPCA Hist'!$B:$C,2,0))^12 - 1)+$J$2)^(1/252)</f>
        <v>20074010.098337214</v>
      </c>
      <c r="K307" s="2">
        <v>0</v>
      </c>
      <c r="L307" s="2">
        <v>0</v>
      </c>
      <c r="M307" s="2">
        <v>0</v>
      </c>
      <c r="N307" s="2">
        <v>0</v>
      </c>
      <c r="O307" s="2">
        <f t="shared" si="44"/>
        <v>384757715.4116345</v>
      </c>
      <c r="P307" s="2">
        <v>0</v>
      </c>
      <c r="Q307" s="2">
        <v>0</v>
      </c>
      <c r="R307" s="2">
        <f t="shared" si="53"/>
        <v>153227.63283097744</v>
      </c>
      <c r="S307" s="2">
        <f t="shared" si="46"/>
        <v>918450.30154305696</v>
      </c>
      <c r="T307" s="2">
        <f t="shared" si="47"/>
        <v>22778871.804973945</v>
      </c>
      <c r="U307" s="11">
        <f t="shared" si="50"/>
        <v>1.1081973419298219</v>
      </c>
      <c r="V307" s="12">
        <f t="shared" si="51"/>
        <v>3.9840313282857309E-4</v>
      </c>
      <c r="W307" s="12">
        <f t="shared" si="48"/>
        <v>2.3927992392327457E-3</v>
      </c>
      <c r="X307" s="12">
        <f t="shared" si="49"/>
        <v>6.4194609741423436E-2</v>
      </c>
      <c r="Y307" s="5">
        <f t="shared" si="52"/>
        <v>0.10819734192982189</v>
      </c>
      <c r="Z307" s="19">
        <f t="shared" si="43"/>
        <v>4.1526803235277576E-2</v>
      </c>
      <c r="AA307" s="19">
        <f t="shared" si="42"/>
        <v>9.2410731366428633E-2</v>
      </c>
      <c r="AB307" s="19" t="s">
        <v>53</v>
      </c>
    </row>
    <row r="308" spans="1:28" x14ac:dyDescent="0.25">
      <c r="A308" s="1">
        <v>45545</v>
      </c>
      <c r="B308" s="1" t="str">
        <f t="shared" si="45"/>
        <v>202409</v>
      </c>
      <c r="C308" s="2">
        <v>0</v>
      </c>
      <c r="D308" s="2">
        <v>0</v>
      </c>
      <c r="E308" s="2">
        <v>0</v>
      </c>
      <c r="F308" s="2">
        <f>F307*(1+((1+VLOOKUP($B308,'IPCA Hist'!$B:$C,2,0))^12 - 1)+$F$2)^(1/252)</f>
        <v>44571062.11810711</v>
      </c>
      <c r="G308" s="2">
        <f>G307*(1+((1+VLOOKUP($B308,'IPCA Hist'!$B:$C,2,0))^12 - 1)+$G$2)^(1/252)</f>
        <v>44555868.10167928</v>
      </c>
      <c r="H308" s="2">
        <f>H307*(1+((1+VLOOKUP($B308,'IPCA Hist'!$B:$C,2,0))^12 - 1)+$H$2)^(1/252)</f>
        <v>45564817.021217212</v>
      </c>
      <c r="I308" s="2">
        <f>I307*(1+((1+VLOOKUP($B308,'IPCA Hist'!$B:$C,2,0))^12 - 1)+$I$2)^(1/252)</f>
        <v>230136353.40047142</v>
      </c>
      <c r="J308" s="2">
        <f>J307*(1+((1+VLOOKUP($B308,'IPCA Hist'!$B:$C,2,0))^12 - 1)+$J$2)^(1/252)</f>
        <v>20082903.492849134</v>
      </c>
      <c r="K308" s="2">
        <v>0</v>
      </c>
      <c r="L308" s="2">
        <v>0</v>
      </c>
      <c r="M308" s="2">
        <v>0</v>
      </c>
      <c r="N308" s="2">
        <v>0</v>
      </c>
      <c r="O308" s="2">
        <f t="shared" si="44"/>
        <v>384911004.13432413</v>
      </c>
      <c r="P308" s="2">
        <v>0</v>
      </c>
      <c r="Q308" s="2">
        <v>0</v>
      </c>
      <c r="R308" s="2">
        <f t="shared" si="53"/>
        <v>153288.7226896286</v>
      </c>
      <c r="S308" s="2">
        <f t="shared" si="46"/>
        <v>1071739.0242326856</v>
      </c>
      <c r="T308" s="2">
        <f t="shared" si="47"/>
        <v>22932160.527663574</v>
      </c>
      <c r="U308" s="11">
        <f t="shared" si="50"/>
        <v>1.1086388513479002</v>
      </c>
      <c r="V308" s="12">
        <f t="shared" si="51"/>
        <v>3.9840324585993514E-4</v>
      </c>
      <c r="W308" s="12">
        <f t="shared" si="48"/>
        <v>2.7921557840762112E-3</v>
      </c>
      <c r="X308" s="12">
        <f t="shared" si="49"/>
        <v>6.4618588328171134E-2</v>
      </c>
      <c r="Y308" s="5">
        <f t="shared" si="52"/>
        <v>0.10863885134790019</v>
      </c>
      <c r="Z308" s="19">
        <f t="shared" si="43"/>
        <v>4.1661355367329955E-2</v>
      </c>
      <c r="AA308" s="19">
        <f t="shared" si="42"/>
        <v>9.2500381099930973E-2</v>
      </c>
      <c r="AB308" s="19" t="s">
        <v>53</v>
      </c>
    </row>
    <row r="309" spans="1:28" x14ac:dyDescent="0.25">
      <c r="A309" s="1">
        <v>45546</v>
      </c>
      <c r="B309" s="1" t="str">
        <f t="shared" si="45"/>
        <v>202409</v>
      </c>
      <c r="C309" s="2">
        <v>0</v>
      </c>
      <c r="D309" s="2">
        <v>0</v>
      </c>
      <c r="E309" s="2">
        <v>0</v>
      </c>
      <c r="F309" s="2">
        <f>F308*(1+((1+VLOOKUP($B309,'IPCA Hist'!$B:$C,2,0))^12 - 1)+$F$2)^(1/252)</f>
        <v>44588851.115514249</v>
      </c>
      <c r="G309" s="2">
        <f>G308*(1+((1+VLOOKUP($B309,'IPCA Hist'!$B:$C,2,0))^12 - 1)+$G$2)^(1/252)</f>
        <v>44573667.030012794</v>
      </c>
      <c r="H309" s="2">
        <f>H308*(1+((1+VLOOKUP($B309,'IPCA Hist'!$B:$C,2,0))^12 - 1)+$H$2)^(1/252)</f>
        <v>45582822.613967471</v>
      </c>
      <c r="I309" s="2">
        <f>I308*(1+((1+VLOOKUP($B309,'IPCA Hist'!$B:$C,2,0))^12 - 1)+$I$2)^(1/252)</f>
        <v>230227212.3843486</v>
      </c>
      <c r="J309" s="2">
        <f>J308*(1+((1+VLOOKUP($B309,'IPCA Hist'!$B:$C,2,0))^12 - 1)+$J$2)^(1/252)</f>
        <v>20091800.827404201</v>
      </c>
      <c r="K309" s="2">
        <v>0</v>
      </c>
      <c r="L309" s="2">
        <v>0</v>
      </c>
      <c r="M309" s="2">
        <v>0</v>
      </c>
      <c r="N309" s="2">
        <v>0</v>
      </c>
      <c r="O309" s="2">
        <f t="shared" si="44"/>
        <v>385064353.97124732</v>
      </c>
      <c r="P309" s="2">
        <v>0</v>
      </c>
      <c r="Q309" s="2">
        <v>0</v>
      </c>
      <c r="R309" s="2">
        <f t="shared" si="53"/>
        <v>153349.83692318201</v>
      </c>
      <c r="S309" s="2">
        <f t="shared" si="46"/>
        <v>1225088.8611558676</v>
      </c>
      <c r="T309" s="2">
        <f t="shared" si="47"/>
        <v>23085510.364586756</v>
      </c>
      <c r="U309" s="11">
        <f t="shared" si="50"/>
        <v>1.10908053679008</v>
      </c>
      <c r="V309" s="12">
        <f t="shared" si="51"/>
        <v>3.9840335889618217E-4</v>
      </c>
      <c r="W309" s="12">
        <f t="shared" si="48"/>
        <v>3.1916715472153356E-3</v>
      </c>
      <c r="X309" s="12">
        <f t="shared" si="49"/>
        <v>6.5042735949704333E-2</v>
      </c>
      <c r="Y309" s="5">
        <f t="shared" si="52"/>
        <v>0.10908053679008001</v>
      </c>
      <c r="Z309" s="19">
        <f t="shared" si="43"/>
        <v>4.1795924995491784E-2</v>
      </c>
      <c r="AA309" s="19">
        <f t="shared" si="42"/>
        <v>9.2590038298515198E-2</v>
      </c>
      <c r="AB309" s="19" t="s">
        <v>53</v>
      </c>
    </row>
    <row r="310" spans="1:28" x14ac:dyDescent="0.25">
      <c r="A310" s="1">
        <v>45547</v>
      </c>
      <c r="B310" s="1" t="str">
        <f t="shared" si="45"/>
        <v>202409</v>
      </c>
      <c r="C310" s="2">
        <v>0</v>
      </c>
      <c r="D310" s="2">
        <v>0</v>
      </c>
      <c r="E310" s="2">
        <v>0</v>
      </c>
      <c r="F310" s="2">
        <f>F309*(1+((1+VLOOKUP($B310,'IPCA Hist'!$B:$C,2,0))^12 - 1)+$F$2)^(1/252)</f>
        <v>44606647.212784253</v>
      </c>
      <c r="G310" s="2">
        <f>G309*(1+((1+VLOOKUP($B310,'IPCA Hist'!$B:$C,2,0))^12 - 1)+$G$2)^(1/252)</f>
        <v>44591473.068562388</v>
      </c>
      <c r="H310" s="2">
        <f>H309*(1+((1+VLOOKUP($B310,'IPCA Hist'!$B:$C,2,0))^12 - 1)+$H$2)^(1/252)</f>
        <v>45600835.321886659</v>
      </c>
      <c r="I310" s="2">
        <f>I309*(1+((1+VLOOKUP($B310,'IPCA Hist'!$B:$C,2,0))^12 - 1)+$I$2)^(1/252)</f>
        <v>230318107.23980725</v>
      </c>
      <c r="J310" s="2">
        <f>J309*(1+((1+VLOOKUP($B310,'IPCA Hist'!$B:$C,2,0))^12 - 1)+$J$2)^(1/252)</f>
        <v>20100702.103747975</v>
      </c>
      <c r="K310" s="2">
        <v>0</v>
      </c>
      <c r="L310" s="2">
        <v>0</v>
      </c>
      <c r="M310" s="2">
        <v>0</v>
      </c>
      <c r="N310" s="2">
        <v>0</v>
      </c>
      <c r="O310" s="2">
        <f t="shared" si="44"/>
        <v>385217764.94678855</v>
      </c>
      <c r="P310" s="2">
        <v>0</v>
      </c>
      <c r="Q310" s="2">
        <v>0</v>
      </c>
      <c r="R310" s="2">
        <f t="shared" si="53"/>
        <v>153410.97554123402</v>
      </c>
      <c r="S310" s="2">
        <f t="shared" si="46"/>
        <v>1378499.8366971016</v>
      </c>
      <c r="T310" s="2">
        <f t="shared" si="47"/>
        <v>23238921.34012799</v>
      </c>
      <c r="U310" s="11">
        <f t="shared" si="50"/>
        <v>1.1095223983265947</v>
      </c>
      <c r="V310" s="12">
        <f t="shared" si="51"/>
        <v>3.9840347193687009E-4</v>
      </c>
      <c r="W310" s="12">
        <f t="shared" si="48"/>
        <v>3.5913465921779686E-3</v>
      </c>
      <c r="X310" s="12">
        <f t="shared" si="49"/>
        <v>6.5467052673467752E-2</v>
      </c>
      <c r="Y310" s="5">
        <f t="shared" si="52"/>
        <v>0.10952239832659472</v>
      </c>
      <c r="Z310" s="19">
        <f t="shared" si="43"/>
        <v>4.1930512122057007E-2</v>
      </c>
      <c r="AA310" s="19">
        <f t="shared" si="42"/>
        <v>9.2679702962817245E-2</v>
      </c>
      <c r="AB310" s="19" t="s">
        <v>53</v>
      </c>
    </row>
    <row r="311" spans="1:28" x14ac:dyDescent="0.25">
      <c r="A311" s="1">
        <v>45548</v>
      </c>
      <c r="B311" s="1" t="str">
        <f t="shared" si="45"/>
        <v>202409</v>
      </c>
      <c r="C311" s="2">
        <v>0</v>
      </c>
      <c r="D311" s="2">
        <v>0</v>
      </c>
      <c r="E311" s="2">
        <v>0</v>
      </c>
      <c r="F311" s="2">
        <f>F310*(1+((1+VLOOKUP($B311,'IPCA Hist'!$B:$C,2,0))^12 - 1)+$F$2)^(1/252)</f>
        <v>44624450.412750781</v>
      </c>
      <c r="G311" s="2">
        <f>G310*(1+((1+VLOOKUP($B311,'IPCA Hist'!$B:$C,2,0))^12 - 1)+$G$2)^(1/252)</f>
        <v>44609286.220168412</v>
      </c>
      <c r="H311" s="2">
        <f>H310*(1+((1+VLOOKUP($B311,'IPCA Hist'!$B:$C,2,0))^12 - 1)+$H$2)^(1/252)</f>
        <v>45618855.147786431</v>
      </c>
      <c r="I311" s="2">
        <f>I310*(1+((1+VLOOKUP($B311,'IPCA Hist'!$B:$C,2,0))^12 - 1)+$I$2)^(1/252)</f>
        <v>230409037.98100966</v>
      </c>
      <c r="J311" s="2">
        <f>J310*(1+((1+VLOOKUP($B311,'IPCA Hist'!$B:$C,2,0))^12 - 1)+$J$2)^(1/252)</f>
        <v>20109607.32362679</v>
      </c>
      <c r="K311" s="2">
        <v>0</v>
      </c>
      <c r="L311" s="2">
        <v>0</v>
      </c>
      <c r="M311" s="2">
        <v>0</v>
      </c>
      <c r="N311" s="2">
        <v>0</v>
      </c>
      <c r="O311" s="2">
        <f t="shared" si="44"/>
        <v>385371237.08534211</v>
      </c>
      <c r="P311" s="2">
        <v>0</v>
      </c>
      <c r="Q311" s="2">
        <v>0</v>
      </c>
      <c r="R311" s="2">
        <f t="shared" si="53"/>
        <v>153472.13855355978</v>
      </c>
      <c r="S311" s="2">
        <f t="shared" si="46"/>
        <v>1531971.9752506614</v>
      </c>
      <c r="T311" s="2">
        <f t="shared" si="47"/>
        <v>23392393.478681549</v>
      </c>
      <c r="U311" s="11">
        <f t="shared" si="50"/>
        <v>1.1099644360277059</v>
      </c>
      <c r="V311" s="12">
        <f t="shared" si="51"/>
        <v>3.984035849819989E-4</v>
      </c>
      <c r="W311" s="12">
        <f t="shared" si="48"/>
        <v>3.9911809825172728E-3</v>
      </c>
      <c r="X311" s="12">
        <f t="shared" si="49"/>
        <v>6.5891538566932972E-2</v>
      </c>
      <c r="Y311" s="5">
        <f t="shared" si="52"/>
        <v>0.10996443602770589</v>
      </c>
      <c r="Z311" s="19">
        <f t="shared" si="43"/>
        <v>4.206511674932023E-2</v>
      </c>
      <c r="AA311" s="19">
        <f t="shared" si="42"/>
        <v>9.276937509347194E-2</v>
      </c>
      <c r="AB311" s="19" t="s">
        <v>53</v>
      </c>
    </row>
    <row r="312" spans="1:28" x14ac:dyDescent="0.25">
      <c r="A312" s="1">
        <v>45551</v>
      </c>
      <c r="B312" s="1" t="str">
        <f t="shared" si="45"/>
        <v>202409</v>
      </c>
      <c r="C312" s="2">
        <v>0</v>
      </c>
      <c r="D312" s="2">
        <v>0</v>
      </c>
      <c r="E312" s="2">
        <v>0</v>
      </c>
      <c r="F312" s="2">
        <f>F311*(1+((1+VLOOKUP($B312,'IPCA Hist'!$B:$C,2,0))^12 - 1)+$F$2)^(1/252)</f>
        <v>44642260.718248636</v>
      </c>
      <c r="G312" s="2">
        <f>G311*(1+((1+VLOOKUP($B312,'IPCA Hist'!$B:$C,2,0))^12 - 1)+$G$2)^(1/252)</f>
        <v>44627106.487672344</v>
      </c>
      <c r="H312" s="2">
        <f>H311*(1+((1+VLOOKUP($B312,'IPCA Hist'!$B:$C,2,0))^12 - 1)+$H$2)^(1/252)</f>
        <v>45636882.094479568</v>
      </c>
      <c r="I312" s="2">
        <f>I311*(1+((1+VLOOKUP($B312,'IPCA Hist'!$B:$C,2,0))^12 - 1)+$I$2)^(1/252)</f>
        <v>230500004.62212369</v>
      </c>
      <c r="J312" s="2">
        <f>J311*(1+((1+VLOOKUP($B312,'IPCA Hist'!$B:$C,2,0))^12 - 1)+$J$2)^(1/252)</f>
        <v>20118516.488787748</v>
      </c>
      <c r="K312" s="2">
        <v>0</v>
      </c>
      <c r="L312" s="2">
        <v>0</v>
      </c>
      <c r="M312" s="2">
        <v>0</v>
      </c>
      <c r="N312" s="2">
        <v>0</v>
      </c>
      <c r="O312" s="2">
        <f t="shared" si="44"/>
        <v>385524770.41131198</v>
      </c>
      <c r="P312" s="2">
        <v>0</v>
      </c>
      <c r="Q312" s="2">
        <v>0</v>
      </c>
      <c r="R312" s="2">
        <f t="shared" si="53"/>
        <v>153533.32596987486</v>
      </c>
      <c r="S312" s="2">
        <f t="shared" si="46"/>
        <v>1685505.3012205362</v>
      </c>
      <c r="T312" s="2">
        <f t="shared" si="47"/>
        <v>23545926.804651424</v>
      </c>
      <c r="U312" s="11">
        <f t="shared" si="50"/>
        <v>1.1104066499637031</v>
      </c>
      <c r="V312" s="12">
        <f t="shared" si="51"/>
        <v>3.9840369803179065E-4</v>
      </c>
      <c r="W312" s="12">
        <f t="shared" si="48"/>
        <v>4.3911747818119462E-3</v>
      </c>
      <c r="X312" s="12">
        <f t="shared" si="49"/>
        <v>6.6316193697598891E-2</v>
      </c>
      <c r="Y312" s="5">
        <f t="shared" si="52"/>
        <v>0.11040664996370309</v>
      </c>
      <c r="Z312" s="19">
        <f t="shared" si="43"/>
        <v>4.2199738879576731E-2</v>
      </c>
      <c r="AA312" s="19">
        <f t="shared" si="42"/>
        <v>9.2859054691114551E-2</v>
      </c>
      <c r="AB312" s="19" t="s">
        <v>53</v>
      </c>
    </row>
    <row r="313" spans="1:28" x14ac:dyDescent="0.25">
      <c r="A313" s="1">
        <v>45552</v>
      </c>
      <c r="B313" s="1" t="str">
        <f t="shared" si="45"/>
        <v>202409</v>
      </c>
      <c r="C313" s="2">
        <v>0</v>
      </c>
      <c r="D313" s="2">
        <v>0</v>
      </c>
      <c r="E313" s="2">
        <v>0</v>
      </c>
      <c r="F313" s="2">
        <f>F312*(1+((1+VLOOKUP($B313,'IPCA Hist'!$B:$C,2,0))^12 - 1)+$F$2)^(1/252)</f>
        <v>44660078.13211374</v>
      </c>
      <c r="G313" s="2">
        <f>G312*(1+((1+VLOOKUP($B313,'IPCA Hist'!$B:$C,2,0))^12 - 1)+$G$2)^(1/252)</f>
        <v>44644933.873916812</v>
      </c>
      <c r="H313" s="2">
        <f>H312*(1+((1+VLOOKUP($B313,'IPCA Hist'!$B:$C,2,0))^12 - 1)+$H$2)^(1/252)</f>
        <v>45654916.164779954</v>
      </c>
      <c r="I313" s="2">
        <f>I312*(1+((1+VLOOKUP($B313,'IPCA Hist'!$B:$C,2,0))^12 - 1)+$I$2)^(1/252)</f>
        <v>230591007.1773228</v>
      </c>
      <c r="J313" s="2">
        <f>J312*(1+((1+VLOOKUP($B313,'IPCA Hist'!$B:$C,2,0))^12 - 1)+$J$2)^(1/252)</f>
        <v>20127429.600978728</v>
      </c>
      <c r="K313" s="2">
        <v>0</v>
      </c>
      <c r="L313" s="2">
        <v>0</v>
      </c>
      <c r="M313" s="2">
        <v>0</v>
      </c>
      <c r="N313" s="2">
        <v>0</v>
      </c>
      <c r="O313" s="2">
        <f t="shared" si="44"/>
        <v>385678364.94911206</v>
      </c>
      <c r="P313" s="2">
        <v>0</v>
      </c>
      <c r="Q313" s="2">
        <v>0</v>
      </c>
      <c r="R313" s="2">
        <f t="shared" si="53"/>
        <v>153594.53780007362</v>
      </c>
      <c r="S313" s="2">
        <f t="shared" si="46"/>
        <v>1839099.8390206099</v>
      </c>
      <c r="T313" s="2">
        <f t="shared" si="47"/>
        <v>23699521.342451498</v>
      </c>
      <c r="U313" s="11">
        <f t="shared" si="50"/>
        <v>1.1108490402049045</v>
      </c>
      <c r="V313" s="12">
        <f t="shared" si="51"/>
        <v>3.9840381108646739E-4</v>
      </c>
      <c r="W313" s="12">
        <f t="shared" si="48"/>
        <v>4.7913280536666658E-3</v>
      </c>
      <c r="X313" s="12">
        <f t="shared" si="49"/>
        <v>6.674101813299127E-2</v>
      </c>
      <c r="Y313" s="5">
        <f t="shared" si="52"/>
        <v>0.11084904020490449</v>
      </c>
      <c r="Z313" s="19">
        <f t="shared" si="43"/>
        <v>4.2334378515122006E-2</v>
      </c>
      <c r="AA313" s="19">
        <f t="shared" si="42"/>
        <v>9.2948741756381459E-2</v>
      </c>
      <c r="AB313" s="19" t="s">
        <v>53</v>
      </c>
    </row>
    <row r="314" spans="1:28" x14ac:dyDescent="0.25">
      <c r="A314" s="1">
        <v>45553</v>
      </c>
      <c r="B314" s="1" t="str">
        <f t="shared" si="45"/>
        <v>202409</v>
      </c>
      <c r="C314" s="2">
        <v>0</v>
      </c>
      <c r="D314" s="2">
        <v>0</v>
      </c>
      <c r="E314" s="2">
        <v>0</v>
      </c>
      <c r="F314" s="2">
        <f>F313*(1+((1+VLOOKUP($B314,'IPCA Hist'!$B:$C,2,0))^12 - 1)+$F$2)^(1/252)</f>
        <v>44677902.657183155</v>
      </c>
      <c r="G314" s="2">
        <f>G313*(1+((1+VLOOKUP($B314,'IPCA Hist'!$B:$C,2,0))^12 - 1)+$G$2)^(1/252)</f>
        <v>44662768.381745562</v>
      </c>
      <c r="H314" s="2">
        <f>H313*(1+((1+VLOOKUP($B314,'IPCA Hist'!$B:$C,2,0))^12 - 1)+$H$2)^(1/252)</f>
        <v>45672957.36150258</v>
      </c>
      <c r="I314" s="2">
        <f>I313*(1+((1+VLOOKUP($B314,'IPCA Hist'!$B:$C,2,0))^12 - 1)+$I$2)^(1/252)</f>
        <v>230682045.66078606</v>
      </c>
      <c r="J314" s="2">
        <f>J313*(1+((1+VLOOKUP($B314,'IPCA Hist'!$B:$C,2,0))^12 - 1)+$J$2)^(1/252)</f>
        <v>20136346.661948387</v>
      </c>
      <c r="K314" s="2">
        <v>0</v>
      </c>
      <c r="L314" s="2">
        <v>0</v>
      </c>
      <c r="M314" s="2">
        <v>0</v>
      </c>
      <c r="N314" s="2">
        <v>0</v>
      </c>
      <c r="O314" s="2">
        <f t="shared" si="44"/>
        <v>385832020.72316575</v>
      </c>
      <c r="P314" s="2">
        <v>0</v>
      </c>
      <c r="Q314" s="2">
        <v>0</v>
      </c>
      <c r="R314" s="2">
        <f t="shared" si="53"/>
        <v>153655.77405369282</v>
      </c>
      <c r="S314" s="2">
        <f t="shared" si="46"/>
        <v>1992755.6130743027</v>
      </c>
      <c r="T314" s="2">
        <f t="shared" si="47"/>
        <v>23853177.116505191</v>
      </c>
      <c r="U314" s="11">
        <f t="shared" si="50"/>
        <v>1.1112916068216552</v>
      </c>
      <c r="V314" s="12">
        <f t="shared" si="51"/>
        <v>3.9840392414536296E-4</v>
      </c>
      <c r="W314" s="12">
        <f t="shared" si="48"/>
        <v>5.1916408617105336E-3</v>
      </c>
      <c r="X314" s="12">
        <f t="shared" si="49"/>
        <v>6.7166011940662296E-2</v>
      </c>
      <c r="Y314" s="5">
        <f t="shared" si="52"/>
        <v>0.11129160682165518</v>
      </c>
      <c r="Z314" s="19">
        <f t="shared" si="43"/>
        <v>4.2469035658251331E-2</v>
      </c>
      <c r="AA314" s="19">
        <f t="shared" si="42"/>
        <v>9.3038436289907045E-2</v>
      </c>
      <c r="AB314" s="19" t="s">
        <v>53</v>
      </c>
    </row>
    <row r="315" spans="1:28" x14ac:dyDescent="0.25">
      <c r="A315" s="1">
        <v>45554</v>
      </c>
      <c r="B315" s="1" t="str">
        <f t="shared" si="45"/>
        <v>202409</v>
      </c>
      <c r="C315" s="2">
        <v>0</v>
      </c>
      <c r="D315" s="2">
        <v>0</v>
      </c>
      <c r="E315" s="2">
        <v>0</v>
      </c>
      <c r="F315" s="2">
        <f>F314*(1+((1+VLOOKUP($B315,'IPCA Hist'!$B:$C,2,0))^12 - 1)+$F$2)^(1/252)</f>
        <v>44695734.296295077</v>
      </c>
      <c r="G315" s="2">
        <f>G314*(1+((1+VLOOKUP($B315,'IPCA Hist'!$B:$C,2,0))^12 - 1)+$G$2)^(1/252)</f>
        <v>44680610.014003493</v>
      </c>
      <c r="H315" s="2">
        <f>H314*(1+((1+VLOOKUP($B315,'IPCA Hist'!$B:$C,2,0))^12 - 1)+$H$2)^(1/252)</f>
        <v>45691005.687463552</v>
      </c>
      <c r="I315" s="2">
        <f>I314*(1+((1+VLOOKUP($B315,'IPCA Hist'!$B:$C,2,0))^12 - 1)+$I$2)^(1/252)</f>
        <v>230773120.08669814</v>
      </c>
      <c r="J315" s="2">
        <f>J314*(1+((1+VLOOKUP($B315,'IPCA Hist'!$B:$C,2,0))^12 - 1)+$J$2)^(1/252)</f>
        <v>20145267.673446149</v>
      </c>
      <c r="K315" s="2">
        <v>0</v>
      </c>
      <c r="L315" s="2">
        <v>0</v>
      </c>
      <c r="M315" s="2">
        <v>0</v>
      </c>
      <c r="N315" s="2">
        <v>0</v>
      </c>
      <c r="O315" s="2">
        <f t="shared" si="44"/>
        <v>385985737.75790644</v>
      </c>
      <c r="P315" s="2">
        <v>0</v>
      </c>
      <c r="Q315" s="2">
        <v>0</v>
      </c>
      <c r="R315" s="2">
        <f t="shared" si="53"/>
        <v>153717.03474068642</v>
      </c>
      <c r="S315" s="2">
        <f t="shared" si="46"/>
        <v>2146472.6478149891</v>
      </c>
      <c r="T315" s="2">
        <f t="shared" si="47"/>
        <v>24006894.151245877</v>
      </c>
      <c r="U315" s="11">
        <f t="shared" si="50"/>
        <v>1.1117343498843295</v>
      </c>
      <c r="V315" s="12">
        <f t="shared" si="51"/>
        <v>3.9840403720914352E-4</v>
      </c>
      <c r="W315" s="12">
        <f t="shared" si="48"/>
        <v>5.5921132695986309E-3</v>
      </c>
      <c r="X315" s="12">
        <f t="shared" si="49"/>
        <v>6.759117518819191E-2</v>
      </c>
      <c r="Y315" s="5">
        <f t="shared" si="52"/>
        <v>0.11173434988432951</v>
      </c>
      <c r="Z315" s="19">
        <f t="shared" si="43"/>
        <v>4.2603710311260867E-2</v>
      </c>
      <c r="AA315" s="19">
        <f t="shared" si="42"/>
        <v>9.3128138292328133E-2</v>
      </c>
      <c r="AB315" s="19" t="s">
        <v>53</v>
      </c>
    </row>
    <row r="316" spans="1:28" x14ac:dyDescent="0.25">
      <c r="A316" s="1">
        <v>45555</v>
      </c>
      <c r="B316" s="1" t="str">
        <f t="shared" si="45"/>
        <v>202409</v>
      </c>
      <c r="C316" s="2">
        <v>0</v>
      </c>
      <c r="D316" s="2">
        <v>0</v>
      </c>
      <c r="E316" s="2">
        <v>0</v>
      </c>
      <c r="F316" s="2">
        <f>F315*(1+((1+VLOOKUP($B316,'IPCA Hist'!$B:$C,2,0))^12 - 1)+$F$2)^(1/252)</f>
        <v>44713573.052288823</v>
      </c>
      <c r="G316" s="2">
        <f>G315*(1+((1+VLOOKUP($B316,'IPCA Hist'!$B:$C,2,0))^12 - 1)+$G$2)^(1/252)</f>
        <v>44698458.773536623</v>
      </c>
      <c r="H316" s="2">
        <f>H315*(1+((1+VLOOKUP($B316,'IPCA Hist'!$B:$C,2,0))^12 - 1)+$H$2)^(1/252)</f>
        <v>45709061.145480096</v>
      </c>
      <c r="I316" s="2">
        <f>I315*(1+((1+VLOOKUP($B316,'IPCA Hist'!$B:$C,2,0))^12 - 1)+$I$2)^(1/252)</f>
        <v>230864230.46924928</v>
      </c>
      <c r="J316" s="2">
        <f>J315*(1+((1+VLOOKUP($B316,'IPCA Hist'!$B:$C,2,0))^12 - 1)+$J$2)^(1/252)</f>
        <v>20154192.637222223</v>
      </c>
      <c r="K316" s="2">
        <v>0</v>
      </c>
      <c r="L316" s="2">
        <v>0</v>
      </c>
      <c r="M316" s="2">
        <v>0</v>
      </c>
      <c r="N316" s="2">
        <v>0</v>
      </c>
      <c r="O316" s="2">
        <f t="shared" si="44"/>
        <v>386139516.07777709</v>
      </c>
      <c r="P316" s="2">
        <v>0</v>
      </c>
      <c r="Q316" s="2">
        <v>0</v>
      </c>
      <c r="R316" s="2">
        <f t="shared" si="53"/>
        <v>153778.31987065077</v>
      </c>
      <c r="S316" s="2">
        <f t="shared" si="46"/>
        <v>2300250.9676856399</v>
      </c>
      <c r="T316" s="2">
        <f t="shared" si="47"/>
        <v>24160672.471116528</v>
      </c>
      <c r="U316" s="11">
        <f t="shared" si="50"/>
        <v>1.1121772694633294</v>
      </c>
      <c r="V316" s="12">
        <f t="shared" si="51"/>
        <v>3.9840415027736498E-4</v>
      </c>
      <c r="W316" s="12">
        <f t="shared" si="48"/>
        <v>5.9927453410113518E-3</v>
      </c>
      <c r="X316" s="12">
        <f t="shared" si="49"/>
        <v>6.8016507943186477E-2</v>
      </c>
      <c r="Y316" s="5">
        <f t="shared" si="52"/>
        <v>0.1121772694633294</v>
      </c>
      <c r="Z316" s="19">
        <f t="shared" si="43"/>
        <v>4.273840247644678E-2</v>
      </c>
      <c r="AA316" s="19">
        <f t="shared" si="42"/>
        <v>9.3217847764279327E-2</v>
      </c>
      <c r="AB316" s="19" t="s">
        <v>53</v>
      </c>
    </row>
    <row r="317" spans="1:28" x14ac:dyDescent="0.25">
      <c r="A317" s="1">
        <v>45558</v>
      </c>
      <c r="B317" s="1" t="str">
        <f t="shared" si="45"/>
        <v>202409</v>
      </c>
      <c r="C317" s="2">
        <v>0</v>
      </c>
      <c r="D317" s="2">
        <v>0</v>
      </c>
      <c r="E317" s="2">
        <v>0</v>
      </c>
      <c r="F317" s="2">
        <f>F316*(1+((1+VLOOKUP($B317,'IPCA Hist'!$B:$C,2,0))^12 - 1)+$F$2)^(1/252)</f>
        <v>44731418.928004846</v>
      </c>
      <c r="G317" s="2">
        <f>G316*(1+((1+VLOOKUP($B317,'IPCA Hist'!$B:$C,2,0))^12 - 1)+$G$2)^(1/252)</f>
        <v>44716314.663192123</v>
      </c>
      <c r="H317" s="2">
        <f>H316*(1+((1+VLOOKUP($B317,'IPCA Hist'!$B:$C,2,0))^12 - 1)+$H$2)^(1/252)</f>
        <v>45727123.738370545</v>
      </c>
      <c r="I317" s="2">
        <f>I316*(1+((1+VLOOKUP($B317,'IPCA Hist'!$B:$C,2,0))^12 - 1)+$I$2)^(1/252)</f>
        <v>230955376.82263535</v>
      </c>
      <c r="J317" s="2">
        <f>J316*(1+((1+VLOOKUP($B317,'IPCA Hist'!$B:$C,2,0))^12 - 1)+$J$2)^(1/252)</f>
        <v>20163121.555027585</v>
      </c>
      <c r="K317" s="2">
        <v>0</v>
      </c>
      <c r="L317" s="2">
        <v>0</v>
      </c>
      <c r="M317" s="2">
        <v>0</v>
      </c>
      <c r="N317" s="2">
        <v>0</v>
      </c>
      <c r="O317" s="2">
        <f t="shared" si="44"/>
        <v>386293355.70723045</v>
      </c>
      <c r="P317" s="2">
        <v>0</v>
      </c>
      <c r="Q317" s="2">
        <v>0</v>
      </c>
      <c r="R317" s="2">
        <f t="shared" si="53"/>
        <v>153839.62945336103</v>
      </c>
      <c r="S317" s="2">
        <f t="shared" si="46"/>
        <v>2454090.5971390009</v>
      </c>
      <c r="T317" s="2">
        <f t="shared" si="47"/>
        <v>24314512.100569889</v>
      </c>
      <c r="U317" s="11">
        <f t="shared" si="50"/>
        <v>1.1126203656290847</v>
      </c>
      <c r="V317" s="12">
        <f t="shared" si="51"/>
        <v>3.9840426335024937E-4</v>
      </c>
      <c r="W317" s="12">
        <f t="shared" si="48"/>
        <v>6.3935371396546259E-3</v>
      </c>
      <c r="X317" s="12">
        <f t="shared" si="49"/>
        <v>6.8442010273279452E-2</v>
      </c>
      <c r="Y317" s="5">
        <f t="shared" si="52"/>
        <v>0.11262036562908473</v>
      </c>
      <c r="Z317" s="19">
        <f t="shared" si="43"/>
        <v>4.2873112156105675E-2</v>
      </c>
      <c r="AA317" s="19">
        <f t="shared" si="42"/>
        <v>9.3307564706396784E-2</v>
      </c>
      <c r="AB317" s="19" t="s">
        <v>53</v>
      </c>
    </row>
    <row r="318" spans="1:28" x14ac:dyDescent="0.25">
      <c r="A318" s="1">
        <v>45559</v>
      </c>
      <c r="B318" s="1" t="str">
        <f t="shared" si="45"/>
        <v>202409</v>
      </c>
      <c r="C318" s="2">
        <v>0</v>
      </c>
      <c r="D318" s="2">
        <v>0</v>
      </c>
      <c r="E318" s="2">
        <v>0</v>
      </c>
      <c r="F318" s="2">
        <f>F317*(1+((1+VLOOKUP($B318,'IPCA Hist'!$B:$C,2,0))^12 - 1)+$F$2)^(1/252)</f>
        <v>44749271.926284745</v>
      </c>
      <c r="G318" s="2">
        <f>G317*(1+((1+VLOOKUP($B318,'IPCA Hist'!$B:$C,2,0))^12 - 1)+$G$2)^(1/252)</f>
        <v>44734177.685818292</v>
      </c>
      <c r="H318" s="2">
        <f>H317*(1+((1+VLOOKUP($B318,'IPCA Hist'!$B:$C,2,0))^12 - 1)+$H$2)^(1/252)</f>
        <v>45745193.468954347</v>
      </c>
      <c r="I318" s="2">
        <f>I317*(1+((1+VLOOKUP($B318,'IPCA Hist'!$B:$C,2,0))^12 - 1)+$I$2)^(1/252)</f>
        <v>231046559.16105783</v>
      </c>
      <c r="J318" s="2">
        <f>J317*(1+((1+VLOOKUP($B318,'IPCA Hist'!$B:$C,2,0))^12 - 1)+$J$2)^(1/252)</f>
        <v>20172054.428613991</v>
      </c>
      <c r="K318" s="2">
        <v>0</v>
      </c>
      <c r="L318" s="2">
        <v>0</v>
      </c>
      <c r="M318" s="2">
        <v>0</v>
      </c>
      <c r="N318" s="2">
        <v>0</v>
      </c>
      <c r="O318" s="2">
        <f t="shared" si="44"/>
        <v>386447256.67072928</v>
      </c>
      <c r="P318" s="2">
        <v>0</v>
      </c>
      <c r="Q318" s="2">
        <v>0</v>
      </c>
      <c r="R318" s="2">
        <f t="shared" si="53"/>
        <v>153900.9634988308</v>
      </c>
      <c r="S318" s="2">
        <f t="shared" si="46"/>
        <v>2607991.5606378317</v>
      </c>
      <c r="T318" s="2">
        <f t="shared" si="47"/>
        <v>24468413.06406872</v>
      </c>
      <c r="U318" s="11">
        <f t="shared" si="50"/>
        <v>1.1130636384520542</v>
      </c>
      <c r="V318" s="12">
        <f t="shared" si="51"/>
        <v>3.9840437642801874E-4</v>
      </c>
      <c r="W318" s="12">
        <f t="shared" si="48"/>
        <v>6.7944887292599176E-3</v>
      </c>
      <c r="X318" s="12">
        <f t="shared" si="49"/>
        <v>6.8867682246131823E-2</v>
      </c>
      <c r="Y318" s="5">
        <f t="shared" si="52"/>
        <v>0.11306363845205425</v>
      </c>
      <c r="Z318" s="19">
        <f t="shared" si="43"/>
        <v>4.3007839352534605E-2</v>
      </c>
      <c r="AA318" s="19">
        <f t="shared" si="42"/>
        <v>9.339728911931644E-2</v>
      </c>
      <c r="AB318" s="19" t="s">
        <v>53</v>
      </c>
    </row>
    <row r="319" spans="1:28" x14ac:dyDescent="0.25">
      <c r="A319" s="1">
        <v>45560</v>
      </c>
      <c r="B319" s="1" t="str">
        <f t="shared" si="45"/>
        <v>202409</v>
      </c>
      <c r="C319" s="2">
        <v>0</v>
      </c>
      <c r="D319" s="2">
        <v>0</v>
      </c>
      <c r="E319" s="2">
        <v>0</v>
      </c>
      <c r="F319" s="2">
        <f>F318*(1+((1+VLOOKUP($B319,'IPCA Hist'!$B:$C,2,0))^12 - 1)+$F$2)^(1/252)</f>
        <v>44767132.049971245</v>
      </c>
      <c r="G319" s="2">
        <f>G318*(1+((1+VLOOKUP($B319,'IPCA Hist'!$B:$C,2,0))^12 - 1)+$G$2)^(1/252)</f>
        <v>44752047.844264567</v>
      </c>
      <c r="H319" s="2">
        <f>H318*(1+((1+VLOOKUP($B319,'IPCA Hist'!$B:$C,2,0))^12 - 1)+$H$2)^(1/252)</f>
        <v>45763270.340052068</v>
      </c>
      <c r="I319" s="2">
        <f>I318*(1+((1+VLOOKUP($B319,'IPCA Hist'!$B:$C,2,0))^12 - 1)+$I$2)^(1/252)</f>
        <v>231137777.49872378</v>
      </c>
      <c r="J319" s="2">
        <f>J318*(1+((1+VLOOKUP($B319,'IPCA Hist'!$B:$C,2,0))^12 - 1)+$J$2)^(1/252)</f>
        <v>20180991.259733971</v>
      </c>
      <c r="K319" s="2">
        <v>0</v>
      </c>
      <c r="L319" s="2">
        <v>0</v>
      </c>
      <c r="M319" s="2">
        <v>0</v>
      </c>
      <c r="N319" s="2">
        <v>0</v>
      </c>
      <c r="O319" s="2">
        <f t="shared" si="44"/>
        <v>386601218.99274564</v>
      </c>
      <c r="P319" s="2">
        <v>0</v>
      </c>
      <c r="Q319" s="2">
        <v>0</v>
      </c>
      <c r="R319" s="2">
        <f t="shared" si="53"/>
        <v>153962.32201635838</v>
      </c>
      <c r="S319" s="2">
        <f t="shared" si="46"/>
        <v>2761953.8826541901</v>
      </c>
      <c r="T319" s="2">
        <f t="shared" si="47"/>
        <v>24622375.386085078</v>
      </c>
      <c r="U319" s="11">
        <f t="shared" si="50"/>
        <v>1.1135070880027236</v>
      </c>
      <c r="V319" s="12">
        <f t="shared" si="51"/>
        <v>3.9840448950978491E-4</v>
      </c>
      <c r="W319" s="12">
        <f t="shared" si="48"/>
        <v>7.1956001735833386E-3</v>
      </c>
      <c r="X319" s="12">
        <f t="shared" si="49"/>
        <v>6.9293523929430556E-2</v>
      </c>
      <c r="Y319" s="5">
        <f t="shared" si="52"/>
        <v>0.11350708800272358</v>
      </c>
      <c r="Z319" s="19">
        <f t="shared" si="43"/>
        <v>4.3142584068030398E-2</v>
      </c>
      <c r="AA319" s="19">
        <f t="shared" si="42"/>
        <v>9.3487021003673565E-2</v>
      </c>
      <c r="AB319" s="19" t="s">
        <v>53</v>
      </c>
    </row>
    <row r="320" spans="1:28" x14ac:dyDescent="0.25">
      <c r="A320" s="1">
        <v>45561</v>
      </c>
      <c r="B320" s="1" t="str">
        <f t="shared" si="45"/>
        <v>202409</v>
      </c>
      <c r="C320" s="2">
        <v>0</v>
      </c>
      <c r="D320" s="2">
        <v>0</v>
      </c>
      <c r="E320" s="2">
        <v>0</v>
      </c>
      <c r="F320" s="2">
        <f>F319*(1+((1+VLOOKUP($B320,'IPCA Hist'!$B:$C,2,0))^12 - 1)+$F$2)^(1/252)</f>
        <v>44784999.301908202</v>
      </c>
      <c r="G320" s="2">
        <f>G319*(1+((1+VLOOKUP($B320,'IPCA Hist'!$B:$C,2,0))^12 - 1)+$G$2)^(1/252)</f>
        <v>44769925.141381532</v>
      </c>
      <c r="H320" s="2">
        <f>H319*(1+((1+VLOOKUP($B320,'IPCA Hist'!$B:$C,2,0))^12 - 1)+$H$2)^(1/252)</f>
        <v>45781354.354485378</v>
      </c>
      <c r="I320" s="2">
        <f>I319*(1+((1+VLOOKUP($B320,'IPCA Hist'!$B:$C,2,0))^12 - 1)+$I$2)^(1/252)</f>
        <v>231229031.84984586</v>
      </c>
      <c r="J320" s="2">
        <f>J319*(1+((1+VLOOKUP($B320,'IPCA Hist'!$B:$C,2,0))^12 - 1)+$J$2)^(1/252)</f>
        <v>20189932.050140832</v>
      </c>
      <c r="K320" s="2">
        <v>0</v>
      </c>
      <c r="L320" s="2">
        <v>0</v>
      </c>
      <c r="M320" s="2">
        <v>0</v>
      </c>
      <c r="N320" s="2">
        <v>0</v>
      </c>
      <c r="O320" s="2">
        <f t="shared" si="44"/>
        <v>386755242.69776177</v>
      </c>
      <c r="P320" s="2">
        <v>0</v>
      </c>
      <c r="Q320" s="2">
        <v>0</v>
      </c>
      <c r="R320" s="2">
        <f t="shared" si="53"/>
        <v>154023.70501613617</v>
      </c>
      <c r="S320" s="2">
        <f t="shared" si="46"/>
        <v>2915977.5876703262</v>
      </c>
      <c r="T320" s="2">
        <f t="shared" si="47"/>
        <v>24776399.091101214</v>
      </c>
      <c r="U320" s="11">
        <f t="shared" si="50"/>
        <v>1.1139507143516076</v>
      </c>
      <c r="V320" s="12">
        <f t="shared" si="51"/>
        <v>3.9840460259643606E-4</v>
      </c>
      <c r="W320" s="12">
        <f t="shared" si="48"/>
        <v>7.5968715364074235E-3</v>
      </c>
      <c r="X320" s="12">
        <f t="shared" si="49"/>
        <v>6.9719535390890597E-2</v>
      </c>
      <c r="Y320" s="5">
        <f t="shared" si="52"/>
        <v>0.11395071435160764</v>
      </c>
      <c r="Z320" s="19">
        <f t="shared" si="43"/>
        <v>4.3173460566357846E-2</v>
      </c>
      <c r="AA320" s="19">
        <f t="shared" ref="AA320:AA383" si="54">U320/U68 - 1</f>
        <v>9.3576760360104094E-2</v>
      </c>
      <c r="AB320" s="19" t="s">
        <v>53</v>
      </c>
    </row>
    <row r="321" spans="1:28" x14ac:dyDescent="0.25">
      <c r="A321" s="1">
        <v>45562</v>
      </c>
      <c r="B321" s="1" t="str">
        <f t="shared" si="45"/>
        <v>202409</v>
      </c>
      <c r="C321" s="2">
        <v>0</v>
      </c>
      <c r="D321" s="2">
        <v>0</v>
      </c>
      <c r="E321" s="2">
        <v>0</v>
      </c>
      <c r="F321" s="2">
        <f>F320*(1+((1+VLOOKUP($B321,'IPCA Hist'!$B:$C,2,0))^12 - 1)+$F$2)^(1/252)</f>
        <v>44802873.684940614</v>
      </c>
      <c r="G321" s="2">
        <f>G320*(1+((1+VLOOKUP($B321,'IPCA Hist'!$B:$C,2,0))^12 - 1)+$G$2)^(1/252)</f>
        <v>44787809.580020897</v>
      </c>
      <c r="H321" s="2">
        <f>H320*(1+((1+VLOOKUP($B321,'IPCA Hist'!$B:$C,2,0))^12 - 1)+$H$2)^(1/252)</f>
        <v>45799445.515077069</v>
      </c>
      <c r="I321" s="2">
        <f>I320*(1+((1+VLOOKUP($B321,'IPCA Hist'!$B:$C,2,0))^12 - 1)+$I$2)^(1/252)</f>
        <v>231320322.22864237</v>
      </c>
      <c r="J321" s="2">
        <f>J320*(1+((1+VLOOKUP($B321,'IPCA Hist'!$B:$C,2,0))^12 - 1)+$J$2)^(1/252)</f>
        <v>20198876.801588658</v>
      </c>
      <c r="K321" s="2">
        <v>0</v>
      </c>
      <c r="L321" s="2">
        <v>0</v>
      </c>
      <c r="M321" s="2">
        <v>0</v>
      </c>
      <c r="N321" s="2">
        <v>0</v>
      </c>
      <c r="O321" s="2">
        <f t="shared" si="44"/>
        <v>386909327.81026959</v>
      </c>
      <c r="P321" s="2">
        <v>0</v>
      </c>
      <c r="Q321" s="2">
        <v>0</v>
      </c>
      <c r="R321" s="2">
        <f t="shared" si="53"/>
        <v>154085.11250782013</v>
      </c>
      <c r="S321" s="2">
        <f t="shared" si="46"/>
        <v>3070062.7001781464</v>
      </c>
      <c r="T321" s="2">
        <f t="shared" si="47"/>
        <v>24930484.203609034</v>
      </c>
      <c r="U321" s="11">
        <f t="shared" si="50"/>
        <v>1.1143945175692493</v>
      </c>
      <c r="V321" s="12">
        <f t="shared" si="51"/>
        <v>3.984047156879722E-4</v>
      </c>
      <c r="W321" s="12">
        <f t="shared" si="48"/>
        <v>7.9983028815400203E-3</v>
      </c>
      <c r="X321" s="12">
        <f t="shared" si="49"/>
        <v>7.0145716698253979E-2</v>
      </c>
      <c r="Y321" s="5">
        <f t="shared" si="52"/>
        <v>0.11439451756924934</v>
      </c>
      <c r="Z321" s="19">
        <f t="shared" si="43"/>
        <v>4.3204338092693861E-2</v>
      </c>
      <c r="AA321" s="19">
        <f t="shared" si="54"/>
        <v>9.3666507189244852E-2</v>
      </c>
      <c r="AB321" s="19" t="s">
        <v>53</v>
      </c>
    </row>
    <row r="322" spans="1:28" x14ac:dyDescent="0.25">
      <c r="A322" s="1">
        <v>45565</v>
      </c>
      <c r="B322" s="1" t="str">
        <f t="shared" si="45"/>
        <v>202409</v>
      </c>
      <c r="C322" s="2">
        <v>0</v>
      </c>
      <c r="D322" s="2">
        <v>0</v>
      </c>
      <c r="E322" s="2">
        <v>0</v>
      </c>
      <c r="F322" s="2">
        <f>F321*(1+((1+VLOOKUP($B322,'IPCA Hist'!$B:$C,2,0))^12 - 1)+$F$2)^(1/252)</f>
        <v>44820755.201914608</v>
      </c>
      <c r="G322" s="2">
        <f>G321*(1+((1+VLOOKUP($B322,'IPCA Hist'!$B:$C,2,0))^12 - 1)+$G$2)^(1/252)</f>
        <v>44805701.163035519</v>
      </c>
      <c r="H322" s="2">
        <f>H321*(1+((1+VLOOKUP($B322,'IPCA Hist'!$B:$C,2,0))^12 - 1)+$H$2)^(1/252)</f>
        <v>45817543.824651055</v>
      </c>
      <c r="I322" s="2">
        <f>I321*(1+((1+VLOOKUP($B322,'IPCA Hist'!$B:$C,2,0))^12 - 1)+$I$2)^(1/252)</f>
        <v>231411648.64933723</v>
      </c>
      <c r="J322" s="2">
        <f>J321*(1+((1+VLOOKUP($B322,'IPCA Hist'!$B:$C,2,0))^12 - 1)+$J$2)^(1/252)</f>
        <v>20207825.515832309</v>
      </c>
      <c r="K322" s="2">
        <v>0</v>
      </c>
      <c r="L322" s="2">
        <v>0</v>
      </c>
      <c r="M322" s="2">
        <v>0</v>
      </c>
      <c r="N322" s="2">
        <v>0</v>
      </c>
      <c r="O322" s="2">
        <f t="shared" si="44"/>
        <v>387063474.35477072</v>
      </c>
      <c r="P322" s="2">
        <v>0</v>
      </c>
      <c r="Q322" s="2">
        <v>0</v>
      </c>
      <c r="R322" s="2">
        <f t="shared" si="53"/>
        <v>154146.54450112581</v>
      </c>
      <c r="S322" s="2">
        <f t="shared" si="46"/>
        <v>3224209.2446792722</v>
      </c>
      <c r="T322" s="2">
        <f t="shared" si="47"/>
        <v>25084630.74811016</v>
      </c>
      <c r="U322" s="11">
        <f t="shared" si="50"/>
        <v>1.1148384977262193</v>
      </c>
      <c r="V322" s="12">
        <f t="shared" si="51"/>
        <v>3.9840482878394923E-4</v>
      </c>
      <c r="W322" s="12">
        <f t="shared" si="48"/>
        <v>8.399894272814068E-3</v>
      </c>
      <c r="X322" s="12">
        <f t="shared" si="49"/>
        <v>7.0572067919288939E-2</v>
      </c>
      <c r="Y322" s="5">
        <f t="shared" si="52"/>
        <v>0.11483849772621935</v>
      </c>
      <c r="Z322" s="19">
        <f t="shared" ref="Z322:Z385" si="55">U322/U196 - 1</f>
        <v>4.3235216647079744E-2</v>
      </c>
      <c r="AA322" s="19">
        <f t="shared" si="54"/>
        <v>9.3756261491730886E-2</v>
      </c>
      <c r="AB322" s="19" t="s">
        <v>53</v>
      </c>
    </row>
    <row r="323" spans="1:28" x14ac:dyDescent="0.25">
      <c r="A323" s="1">
        <v>45566</v>
      </c>
      <c r="B323" s="1" t="str">
        <f t="shared" si="45"/>
        <v>202410</v>
      </c>
      <c r="C323" s="2">
        <v>0</v>
      </c>
      <c r="D323" s="2">
        <v>0</v>
      </c>
      <c r="E323" s="2">
        <v>0</v>
      </c>
      <c r="F323" s="2">
        <f>F322*(1+((1+VLOOKUP($B323,'IPCA Hist'!$B:$C,2,0))^12 - 1)+$F$2)^(1/252)</f>
        <v>44841075.018599331</v>
      </c>
      <c r="G323" s="2">
        <f>G322*(1+((1+VLOOKUP($B323,'IPCA Hist'!$B:$C,2,0))^12 - 1)+$G$2)^(1/252)</f>
        <v>44826030.022237629</v>
      </c>
      <c r="H323" s="2">
        <f>H322*(1+((1+VLOOKUP($B323,'IPCA Hist'!$B:$C,2,0))^12 - 1)+$H$2)^(1/252)</f>
        <v>45838136.964745805</v>
      </c>
      <c r="I323" s="2">
        <f>I322*(1+((1+VLOOKUP($B323,'IPCA Hist'!$B:$C,2,0))^12 - 1)+$I$2)^(1/252)</f>
        <v>231515576.8235139</v>
      </c>
      <c r="J323" s="2">
        <f>J322*(1+((1+VLOOKUP($B323,'IPCA Hist'!$B:$C,2,0))^12 - 1)+$J$2)^(1/252)</f>
        <v>20217862.375611421</v>
      </c>
      <c r="K323" s="2">
        <v>0</v>
      </c>
      <c r="L323" s="2">
        <v>0</v>
      </c>
      <c r="M323" s="2">
        <v>0</v>
      </c>
      <c r="N323" s="2">
        <v>0</v>
      </c>
      <c r="O323" s="2">
        <f t="shared" ref="O323:O386" si="56">SUM(C323:N323)</f>
        <v>387238681.2047081</v>
      </c>
      <c r="P323" s="2">
        <v>0</v>
      </c>
      <c r="Q323" s="2">
        <v>0</v>
      </c>
      <c r="R323" s="2">
        <f t="shared" si="53"/>
        <v>175206.84993737936</v>
      </c>
      <c r="S323" s="2">
        <f t="shared" si="46"/>
        <v>175206.84993737936</v>
      </c>
      <c r="T323" s="2">
        <f t="shared" si="47"/>
        <v>25259837.59804754</v>
      </c>
      <c r="U323" s="11">
        <f t="shared" si="50"/>
        <v>1.1153431367694697</v>
      </c>
      <c r="V323" s="12">
        <f t="shared" si="51"/>
        <v>4.5265663527005451E-4</v>
      </c>
      <c r="W323" s="12">
        <f t="shared" si="48"/>
        <v>4.5265663527005451E-4</v>
      </c>
      <c r="X323" s="12">
        <f t="shared" si="49"/>
        <v>7.1056669469367284E-2</v>
      </c>
      <c r="Y323" s="5">
        <f t="shared" si="52"/>
        <v>0.11534313676946972</v>
      </c>
      <c r="Z323" s="19">
        <f t="shared" si="55"/>
        <v>4.3322672641608051E-2</v>
      </c>
      <c r="AA323" s="19">
        <f t="shared" si="54"/>
        <v>9.3905342634135636E-2</v>
      </c>
      <c r="AB323" s="19" t="s">
        <v>53</v>
      </c>
    </row>
    <row r="324" spans="1:28" x14ac:dyDescent="0.25">
      <c r="A324" s="1">
        <v>45567</v>
      </c>
      <c r="B324" s="1" t="str">
        <f t="shared" ref="B324:B387" si="57">_xlfn.CONCAT(TEXT(YEAR(A324),"0000"),TEXT(MONTH(A324),"00"))</f>
        <v>202410</v>
      </c>
      <c r="C324" s="2">
        <v>0</v>
      </c>
      <c r="D324" s="2">
        <v>0</v>
      </c>
      <c r="E324" s="2">
        <v>0</v>
      </c>
      <c r="F324" s="2">
        <f>F323*(1+((1+VLOOKUP($B324,'IPCA Hist'!$B:$C,2,0))^12 - 1)+$F$2)^(1/252)</f>
        <v>44861404.047421344</v>
      </c>
      <c r="G324" s="2">
        <f>G323*(1+((1+VLOOKUP($B324,'IPCA Hist'!$B:$C,2,0))^12 - 1)+$G$2)^(1/252)</f>
        <v>44846368.104875721</v>
      </c>
      <c r="H324" s="2">
        <f>H323*(1+((1+VLOOKUP($B324,'IPCA Hist'!$B:$C,2,0))^12 - 1)+$H$2)^(1/252)</f>
        <v>45858739.36062739</v>
      </c>
      <c r="I324" s="2">
        <f>I323*(1+((1+VLOOKUP($B324,'IPCA Hist'!$B:$C,2,0))^12 - 1)+$I$2)^(1/252)</f>
        <v>231619551.67237377</v>
      </c>
      <c r="J324" s="2">
        <f>J323*(1+((1+VLOOKUP($B324,'IPCA Hist'!$B:$C,2,0))^12 - 1)+$J$2)^(1/252)</f>
        <v>20227904.220516428</v>
      </c>
      <c r="K324" s="2">
        <v>0</v>
      </c>
      <c r="L324" s="2">
        <v>0</v>
      </c>
      <c r="M324" s="2">
        <v>0</v>
      </c>
      <c r="N324" s="2">
        <v>0</v>
      </c>
      <c r="O324" s="2">
        <f t="shared" si="56"/>
        <v>387413967.40581465</v>
      </c>
      <c r="P324" s="2">
        <v>0</v>
      </c>
      <c r="Q324" s="2">
        <v>0</v>
      </c>
      <c r="R324" s="2">
        <f t="shared" si="53"/>
        <v>175286.20110654831</v>
      </c>
      <c r="S324" s="2">
        <f t="shared" ref="S324:S387" si="58">IF(MONTH(A324)=MONTH(A323),R324+S323,R324)</f>
        <v>350493.05104392767</v>
      </c>
      <c r="T324" s="2">
        <f t="shared" ref="T324:T387" si="59">IF(YEAR(A324)=YEAR(A323),R324+T323,R324)</f>
        <v>25435123.799154088</v>
      </c>
      <c r="U324" s="11">
        <f t="shared" si="50"/>
        <v>1.1158480043637047</v>
      </c>
      <c r="V324" s="12">
        <f t="shared" si="51"/>
        <v>4.5265674534689104E-4</v>
      </c>
      <c r="W324" s="12">
        <f t="shared" ref="W324:W387" si="60">IF(MONTH(A324)=MONTH(A323),(1+V324)*(1+W323) - 1,V324)</f>
        <v>9.0551827869611579E-4</v>
      </c>
      <c r="X324" s="12">
        <f t="shared" ref="X324:X387" si="61">IF(YEAR(A324)=YEAR(A323),(1+V324)*(1+X323) - 1,V324)</f>
        <v>7.1541490495451443E-2</v>
      </c>
      <c r="Y324" s="5">
        <f t="shared" si="52"/>
        <v>0.11584800436370468</v>
      </c>
      <c r="Z324" s="19">
        <f t="shared" si="55"/>
        <v>4.3410136078656736E-2</v>
      </c>
      <c r="AA324" s="19">
        <f t="shared" si="54"/>
        <v>9.406434483091064E-2</v>
      </c>
      <c r="AB324" s="19" t="s">
        <v>53</v>
      </c>
    </row>
    <row r="325" spans="1:28" x14ac:dyDescent="0.25">
      <c r="A325" s="1">
        <v>45568</v>
      </c>
      <c r="B325" s="1" t="str">
        <f t="shared" si="57"/>
        <v>202410</v>
      </c>
      <c r="C325" s="2">
        <v>0</v>
      </c>
      <c r="D325" s="2">
        <v>0</v>
      </c>
      <c r="E325" s="2">
        <v>0</v>
      </c>
      <c r="F325" s="2">
        <f>F324*(1+((1+VLOOKUP($B325,'IPCA Hist'!$B:$C,2,0))^12 - 1)+$F$2)^(1/252)</f>
        <v>44881742.292557031</v>
      </c>
      <c r="G325" s="2">
        <f>G324*(1+((1+VLOOKUP($B325,'IPCA Hist'!$B:$C,2,0))^12 - 1)+$G$2)^(1/252)</f>
        <v>44866715.415134579</v>
      </c>
      <c r="H325" s="2">
        <f>H324*(1+((1+VLOOKUP($B325,'IPCA Hist'!$B:$C,2,0))^12 - 1)+$H$2)^(1/252)</f>
        <v>45879351.016455919</v>
      </c>
      <c r="I325" s="2">
        <f>I324*(1+((1+VLOOKUP($B325,'IPCA Hist'!$B:$C,2,0))^12 - 1)+$I$2)^(1/252)</f>
        <v>231723573.21687868</v>
      </c>
      <c r="J325" s="2">
        <f>J324*(1+((1+VLOOKUP($B325,'IPCA Hist'!$B:$C,2,0))^12 - 1)+$J$2)^(1/252)</f>
        <v>20237951.053023349</v>
      </c>
      <c r="K325" s="2">
        <v>0</v>
      </c>
      <c r="L325" s="2">
        <v>0</v>
      </c>
      <c r="M325" s="2">
        <v>0</v>
      </c>
      <c r="N325" s="2">
        <v>0</v>
      </c>
      <c r="O325" s="2">
        <f t="shared" si="56"/>
        <v>387589332.99404955</v>
      </c>
      <c r="P325" s="2">
        <v>0</v>
      </c>
      <c r="Q325" s="2">
        <v>0</v>
      </c>
      <c r="R325" s="2">
        <f t="shared" si="53"/>
        <v>175365.58823490143</v>
      </c>
      <c r="S325" s="2">
        <f t="shared" si="58"/>
        <v>525858.6392788291</v>
      </c>
      <c r="T325" s="2">
        <f t="shared" si="59"/>
        <v>25610489.387388989</v>
      </c>
      <c r="U325" s="11">
        <f t="shared" ref="U325:U388" si="62">(1+(O325-O324-P325+Q325)/O324)*U324</f>
        <v>1.1163531006124958</v>
      </c>
      <c r="V325" s="12">
        <f t="shared" ref="V325:V388" si="63">U325/U324 - 1</f>
        <v>4.5265685542816847E-4</v>
      </c>
      <c r="W325" s="12">
        <f t="shared" si="60"/>
        <v>1.3585850231807584E-3</v>
      </c>
      <c r="X325" s="12">
        <f t="shared" si="61"/>
        <v>7.2026531096999857E-2</v>
      </c>
      <c r="Y325" s="5">
        <f t="shared" ref="Y325:Y388" si="64">(1+V325)*(1+Y324) - 1</f>
        <v>0.11635310061249582</v>
      </c>
      <c r="Z325" s="19">
        <f t="shared" si="55"/>
        <v>4.3497606958872836E-2</v>
      </c>
      <c r="AA325" s="19">
        <f t="shared" si="54"/>
        <v>9.4223370243840643E-2</v>
      </c>
      <c r="AB325" s="19" t="s">
        <v>53</v>
      </c>
    </row>
    <row r="326" spans="1:28" x14ac:dyDescent="0.25">
      <c r="A326" s="1">
        <v>45569</v>
      </c>
      <c r="B326" s="1" t="str">
        <f t="shared" si="57"/>
        <v>202410</v>
      </c>
      <c r="C326" s="2">
        <v>0</v>
      </c>
      <c r="D326" s="2">
        <v>0</v>
      </c>
      <c r="E326" s="2">
        <v>0</v>
      </c>
      <c r="F326" s="2">
        <f>F325*(1+((1+VLOOKUP($B326,'IPCA Hist'!$B:$C,2,0))^12 - 1)+$F$2)^(1/252)</f>
        <v>44902089.758184671</v>
      </c>
      <c r="G326" s="2">
        <f>G325*(1+((1+VLOOKUP($B326,'IPCA Hist'!$B:$C,2,0))^12 - 1)+$G$2)^(1/252)</f>
        <v>44887071.957200877</v>
      </c>
      <c r="H326" s="2">
        <f>H325*(1+((1+VLOOKUP($B326,'IPCA Hist'!$B:$C,2,0))^12 - 1)+$H$2)^(1/252)</f>
        <v>45899971.936393358</v>
      </c>
      <c r="I326" s="2">
        <f>I325*(1+((1+VLOOKUP($B326,'IPCA Hist'!$B:$C,2,0))^12 - 1)+$I$2)^(1/252)</f>
        <v>231827641.47799987</v>
      </c>
      <c r="J326" s="2">
        <f>J325*(1+((1+VLOOKUP($B326,'IPCA Hist'!$B:$C,2,0))^12 - 1)+$J$2)^(1/252)</f>
        <v>20248002.875609435</v>
      </c>
      <c r="K326" s="2">
        <v>0</v>
      </c>
      <c r="L326" s="2">
        <v>0</v>
      </c>
      <c r="M326" s="2">
        <v>0</v>
      </c>
      <c r="N326" s="2">
        <v>0</v>
      </c>
      <c r="O326" s="2">
        <f t="shared" si="56"/>
        <v>387764778.0053882</v>
      </c>
      <c r="P326" s="2">
        <v>0</v>
      </c>
      <c r="Q326" s="2">
        <v>0</v>
      </c>
      <c r="R326" s="2">
        <f t="shared" si="53"/>
        <v>175445.01133865118</v>
      </c>
      <c r="S326" s="2">
        <f t="shared" si="58"/>
        <v>701303.65061748028</v>
      </c>
      <c r="T326" s="2">
        <f t="shared" si="59"/>
        <v>25785934.398727641</v>
      </c>
      <c r="U326" s="11">
        <f t="shared" si="62"/>
        <v>1.1168584256194611</v>
      </c>
      <c r="V326" s="12">
        <f t="shared" si="63"/>
        <v>4.5265696551388679E-4</v>
      </c>
      <c r="W326" s="12">
        <f t="shared" si="60"/>
        <v>1.8118569616685232E-3</v>
      </c>
      <c r="X326" s="12">
        <f t="shared" si="61"/>
        <v>7.251179137351671E-2</v>
      </c>
      <c r="Y326" s="5">
        <f t="shared" si="64"/>
        <v>0.11685842561946114</v>
      </c>
      <c r="Z326" s="19">
        <f t="shared" si="55"/>
        <v>4.3585085282904057E-2</v>
      </c>
      <c r="AA326" s="19">
        <f t="shared" si="54"/>
        <v>9.4382418876335805E-2</v>
      </c>
      <c r="AB326" s="19" t="s">
        <v>53</v>
      </c>
    </row>
    <row r="327" spans="1:28" x14ac:dyDescent="0.25">
      <c r="A327" s="1">
        <v>45572</v>
      </c>
      <c r="B327" s="1" t="str">
        <f t="shared" si="57"/>
        <v>202410</v>
      </c>
      <c r="C327" s="2">
        <v>0</v>
      </c>
      <c r="D327" s="2">
        <v>0</v>
      </c>
      <c r="E327" s="2">
        <v>0</v>
      </c>
      <c r="F327" s="2">
        <f>F326*(1+((1+VLOOKUP($B327,'IPCA Hist'!$B:$C,2,0))^12 - 1)+$F$2)^(1/252)</f>
        <v>44922446.448484451</v>
      </c>
      <c r="G327" s="2">
        <f>G326*(1+((1+VLOOKUP($B327,'IPCA Hist'!$B:$C,2,0))^12 - 1)+$G$2)^(1/252)</f>
        <v>44907437.735263191</v>
      </c>
      <c r="H327" s="2">
        <f>H326*(1+((1+VLOOKUP($B327,'IPCA Hist'!$B:$C,2,0))^12 - 1)+$H$2)^(1/252)</f>
        <v>45920602.124603555</v>
      </c>
      <c r="I327" s="2">
        <f>I326*(1+((1+VLOOKUP($B327,'IPCA Hist'!$B:$C,2,0))^12 - 1)+$I$2)^(1/252)</f>
        <v>231931756.47671801</v>
      </c>
      <c r="J327" s="2">
        <f>J326*(1+((1+VLOOKUP($B327,'IPCA Hist'!$B:$C,2,0))^12 - 1)+$J$2)^(1/252)</f>
        <v>20258059.690753169</v>
      </c>
      <c r="K327" s="2">
        <v>0</v>
      </c>
      <c r="L327" s="2">
        <v>0</v>
      </c>
      <c r="M327" s="2">
        <v>0</v>
      </c>
      <c r="N327" s="2">
        <v>0</v>
      </c>
      <c r="O327" s="2">
        <f t="shared" si="56"/>
        <v>387940302.47582239</v>
      </c>
      <c r="P327" s="2">
        <v>0</v>
      </c>
      <c r="Q327" s="2">
        <v>0</v>
      </c>
      <c r="R327" s="2">
        <f t="shared" si="53"/>
        <v>175524.47043418884</v>
      </c>
      <c r="S327" s="2">
        <f t="shared" si="58"/>
        <v>876828.12105166912</v>
      </c>
      <c r="T327" s="2">
        <f t="shared" si="59"/>
        <v>25961458.869161829</v>
      </c>
      <c r="U327" s="11">
        <f t="shared" si="62"/>
        <v>1.1173639794882657</v>
      </c>
      <c r="V327" s="12">
        <f t="shared" si="63"/>
        <v>4.52657075604046E-4</v>
      </c>
      <c r="W327" s="12">
        <f t="shared" si="60"/>
        <v>2.2653341871463617E-3</v>
      </c>
      <c r="X327" s="12">
        <f t="shared" si="61"/>
        <v>7.2997271424550592E-2</v>
      </c>
      <c r="Y327" s="5">
        <f t="shared" si="64"/>
        <v>0.11736397948826571</v>
      </c>
      <c r="Z327" s="19">
        <f t="shared" si="55"/>
        <v>4.3672571051396769E-2</v>
      </c>
      <c r="AA327" s="19">
        <f t="shared" si="54"/>
        <v>9.4541490731805844E-2</v>
      </c>
      <c r="AB327" s="19" t="s">
        <v>53</v>
      </c>
    </row>
    <row r="328" spans="1:28" x14ac:dyDescent="0.25">
      <c r="A328" s="1">
        <v>45573</v>
      </c>
      <c r="B328" s="1" t="str">
        <f t="shared" si="57"/>
        <v>202410</v>
      </c>
      <c r="C328" s="2">
        <v>0</v>
      </c>
      <c r="D328" s="2">
        <v>0</v>
      </c>
      <c r="E328" s="2">
        <v>0</v>
      </c>
      <c r="F328" s="2">
        <f>F327*(1+((1+VLOOKUP($B328,'IPCA Hist'!$B:$C,2,0))^12 - 1)+$F$2)^(1/252)</f>
        <v>44942812.367638431</v>
      </c>
      <c r="G328" s="2">
        <f>G327*(1+((1+VLOOKUP($B328,'IPCA Hist'!$B:$C,2,0))^12 - 1)+$G$2)^(1/252)</f>
        <v>44927812.753512003</v>
      </c>
      <c r="H328" s="2">
        <f>H327*(1+((1+VLOOKUP($B328,'IPCA Hist'!$B:$C,2,0))^12 - 1)+$H$2)^(1/252)</f>
        <v>45941241.585252218</v>
      </c>
      <c r="I328" s="2">
        <f>I327*(1+((1+VLOOKUP($B328,'IPCA Hist'!$B:$C,2,0))^12 - 1)+$I$2)^(1/252)</f>
        <v>232035918.23402324</v>
      </c>
      <c r="J328" s="2">
        <f>J327*(1+((1+VLOOKUP($B328,'IPCA Hist'!$B:$C,2,0))^12 - 1)+$J$2)^(1/252)</f>
        <v>20268121.500934266</v>
      </c>
      <c r="K328" s="2">
        <v>0</v>
      </c>
      <c r="L328" s="2">
        <v>0</v>
      </c>
      <c r="M328" s="2">
        <v>0</v>
      </c>
      <c r="N328" s="2">
        <v>0</v>
      </c>
      <c r="O328" s="2">
        <f t="shared" si="56"/>
        <v>388115906.44136012</v>
      </c>
      <c r="P328" s="2">
        <v>0</v>
      </c>
      <c r="Q328" s="2">
        <v>0</v>
      </c>
      <c r="R328" s="2">
        <f t="shared" si="53"/>
        <v>175603.96553772688</v>
      </c>
      <c r="S328" s="2">
        <f t="shared" si="58"/>
        <v>1052432.086589396</v>
      </c>
      <c r="T328" s="2">
        <f t="shared" si="59"/>
        <v>26137062.834699556</v>
      </c>
      <c r="U328" s="11">
        <f t="shared" si="62"/>
        <v>1.1178697623226217</v>
      </c>
      <c r="V328" s="12">
        <f t="shared" si="63"/>
        <v>4.5265718569842406E-4</v>
      </c>
      <c r="W328" s="12">
        <f t="shared" si="60"/>
        <v>2.7190167926425257E-3</v>
      </c>
      <c r="X328" s="12">
        <f t="shared" si="61"/>
        <v>7.3482971349695614E-2</v>
      </c>
      <c r="Y328" s="5">
        <f t="shared" si="64"/>
        <v>0.1178697623226217</v>
      </c>
      <c r="Z328" s="19">
        <f t="shared" si="55"/>
        <v>4.3760064264999121E-2</v>
      </c>
      <c r="AA328" s="19">
        <f t="shared" si="54"/>
        <v>9.4700585813661586E-2</v>
      </c>
      <c r="AB328" s="19" t="s">
        <v>53</v>
      </c>
    </row>
    <row r="329" spans="1:28" x14ac:dyDescent="0.25">
      <c r="A329" s="1">
        <v>45574</v>
      </c>
      <c r="B329" s="1" t="str">
        <f t="shared" si="57"/>
        <v>202410</v>
      </c>
      <c r="C329" s="2">
        <v>0</v>
      </c>
      <c r="D329" s="2">
        <v>0</v>
      </c>
      <c r="E329" s="2">
        <v>0</v>
      </c>
      <c r="F329" s="2">
        <f>F328*(1+((1+VLOOKUP($B329,'IPCA Hist'!$B:$C,2,0))^12 - 1)+$F$2)^(1/252)</f>
        <v>44963187.519830592</v>
      </c>
      <c r="G329" s="2">
        <f>G328*(1+((1+VLOOKUP($B329,'IPCA Hist'!$B:$C,2,0))^12 - 1)+$G$2)^(1/252)</f>
        <v>44948197.016139686</v>
      </c>
      <c r="H329" s="2">
        <f>H328*(1+((1+VLOOKUP($B329,'IPCA Hist'!$B:$C,2,0))^12 - 1)+$H$2)^(1/252)</f>
        <v>45961890.322506942</v>
      </c>
      <c r="I329" s="2">
        <f>I328*(1+((1+VLOOKUP($B329,'IPCA Hist'!$B:$C,2,0))^12 - 1)+$I$2)^(1/252)</f>
        <v>232140126.77091506</v>
      </c>
      <c r="J329" s="2">
        <f>J328*(1+((1+VLOOKUP($B329,'IPCA Hist'!$B:$C,2,0))^12 - 1)+$J$2)^(1/252)</f>
        <v>20278188.308633666</v>
      </c>
      <c r="K329" s="2">
        <v>0</v>
      </c>
      <c r="L329" s="2">
        <v>0</v>
      </c>
      <c r="M329" s="2">
        <v>0</v>
      </c>
      <c r="N329" s="2">
        <v>0</v>
      </c>
      <c r="O329" s="2">
        <f t="shared" si="56"/>
        <v>388291589.93802595</v>
      </c>
      <c r="P329" s="2">
        <v>0</v>
      </c>
      <c r="Q329" s="2">
        <v>0</v>
      </c>
      <c r="R329" s="2">
        <f t="shared" ref="R329:R392" si="65">O329-O328-P329+Q329</f>
        <v>175683.49666583538</v>
      </c>
      <c r="S329" s="2">
        <f t="shared" si="58"/>
        <v>1228115.5832552314</v>
      </c>
      <c r="T329" s="2">
        <f t="shared" si="59"/>
        <v>26312746.331365392</v>
      </c>
      <c r="U329" s="11">
        <f t="shared" si="62"/>
        <v>1.1183757742262888</v>
      </c>
      <c r="V329" s="12">
        <f t="shared" si="63"/>
        <v>4.526572957976871E-4</v>
      </c>
      <c r="W329" s="12">
        <f t="shared" si="60"/>
        <v>3.1729048712287877E-3</v>
      </c>
      <c r="X329" s="12">
        <f t="shared" si="61"/>
        <v>7.3968891248591628E-2</v>
      </c>
      <c r="Y329" s="5">
        <f t="shared" si="64"/>
        <v>0.11837577422628875</v>
      </c>
      <c r="Z329" s="19">
        <f t="shared" si="55"/>
        <v>4.3847564924358373E-2</v>
      </c>
      <c r="AA329" s="19">
        <f t="shared" si="54"/>
        <v>9.4859704125314748E-2</v>
      </c>
      <c r="AB329" s="19" t="s">
        <v>53</v>
      </c>
    </row>
    <row r="330" spans="1:28" x14ac:dyDescent="0.25">
      <c r="A330" s="1">
        <v>45575</v>
      </c>
      <c r="B330" s="1" t="str">
        <f t="shared" si="57"/>
        <v>202410</v>
      </c>
      <c r="C330" s="2">
        <v>0</v>
      </c>
      <c r="D330" s="2">
        <v>0</v>
      </c>
      <c r="E330" s="2">
        <v>0</v>
      </c>
      <c r="F330" s="2">
        <f>F329*(1+((1+VLOOKUP($B330,'IPCA Hist'!$B:$C,2,0))^12 - 1)+$F$2)^(1/252)</f>
        <v>44983571.909246787</v>
      </c>
      <c r="G330" s="2">
        <f>G329*(1+((1+VLOOKUP($B330,'IPCA Hist'!$B:$C,2,0))^12 - 1)+$G$2)^(1/252)</f>
        <v>44968590.527340524</v>
      </c>
      <c r="H330" s="2">
        <f>H329*(1+((1+VLOOKUP($B330,'IPCA Hist'!$B:$C,2,0))^12 - 1)+$H$2)^(1/252)</f>
        <v>45982548.340537183</v>
      </c>
      <c r="I330" s="2">
        <f>I329*(1+((1+VLOOKUP($B330,'IPCA Hist'!$B:$C,2,0))^12 - 1)+$I$2)^(1/252)</f>
        <v>232244382.10840243</v>
      </c>
      <c r="J330" s="2">
        <f>J329*(1+((1+VLOOKUP($B330,'IPCA Hist'!$B:$C,2,0))^12 - 1)+$J$2)^(1/252)</f>
        <v>20288260.116333548</v>
      </c>
      <c r="K330" s="2">
        <v>0</v>
      </c>
      <c r="L330" s="2">
        <v>0</v>
      </c>
      <c r="M330" s="2">
        <v>0</v>
      </c>
      <c r="N330" s="2">
        <v>0</v>
      </c>
      <c r="O330" s="2">
        <f t="shared" si="56"/>
        <v>388467353.00186044</v>
      </c>
      <c r="P330" s="2">
        <v>0</v>
      </c>
      <c r="Q330" s="2">
        <v>0</v>
      </c>
      <c r="R330" s="2">
        <f t="shared" si="65"/>
        <v>175763.06383448839</v>
      </c>
      <c r="S330" s="2">
        <f t="shared" si="58"/>
        <v>1403878.6470897198</v>
      </c>
      <c r="T330" s="2">
        <f t="shared" si="59"/>
        <v>26488509.39519988</v>
      </c>
      <c r="U330" s="11">
        <f t="shared" si="62"/>
        <v>1.1188820153030725</v>
      </c>
      <c r="V330" s="12">
        <f t="shared" si="63"/>
        <v>4.5265740590094694E-4</v>
      </c>
      <c r="W330" s="12">
        <f t="shared" si="60"/>
        <v>3.6269985160179985E-3</v>
      </c>
      <c r="X330" s="12">
        <f t="shared" si="61"/>
        <v>7.4455031220922452E-2</v>
      </c>
      <c r="Y330" s="5">
        <f t="shared" si="64"/>
        <v>0.11888201530307252</v>
      </c>
      <c r="Z330" s="19">
        <f t="shared" si="55"/>
        <v>4.3935073030121341E-2</v>
      </c>
      <c r="AA330" s="19">
        <f t="shared" si="54"/>
        <v>9.5018845670176599E-2</v>
      </c>
      <c r="AB330" s="19" t="s">
        <v>53</v>
      </c>
    </row>
    <row r="331" spans="1:28" x14ac:dyDescent="0.25">
      <c r="A331" s="1">
        <v>45576</v>
      </c>
      <c r="B331" s="1" t="str">
        <f t="shared" si="57"/>
        <v>202410</v>
      </c>
      <c r="C331" s="2">
        <v>0</v>
      </c>
      <c r="D331" s="2">
        <v>0</v>
      </c>
      <c r="E331" s="2">
        <v>0</v>
      </c>
      <c r="F331" s="2">
        <f>F330*(1+((1+VLOOKUP($B331,'IPCA Hist'!$B:$C,2,0))^12 - 1)+$F$2)^(1/252)</f>
        <v>45003965.540074788</v>
      </c>
      <c r="G331" s="2">
        <f>G330*(1+((1+VLOOKUP($B331,'IPCA Hist'!$B:$C,2,0))^12 - 1)+$G$2)^(1/252)</f>
        <v>44988993.291310698</v>
      </c>
      <c r="H331" s="2">
        <f>H330*(1+((1+VLOOKUP($B331,'IPCA Hist'!$B:$C,2,0))^12 - 1)+$H$2)^(1/252)</f>
        <v>46003215.643514276</v>
      </c>
      <c r="I331" s="2">
        <f>I330*(1+((1+VLOOKUP($B331,'IPCA Hist'!$B:$C,2,0))^12 - 1)+$I$2)^(1/252)</f>
        <v>232348684.26750371</v>
      </c>
      <c r="J331" s="2">
        <f>J330*(1+((1+VLOOKUP($B331,'IPCA Hist'!$B:$C,2,0))^12 - 1)+$J$2)^(1/252)</f>
        <v>20298336.926517319</v>
      </c>
      <c r="K331" s="2">
        <v>0</v>
      </c>
      <c r="L331" s="2">
        <v>0</v>
      </c>
      <c r="M331" s="2">
        <v>0</v>
      </c>
      <c r="N331" s="2">
        <v>0</v>
      </c>
      <c r="O331" s="2">
        <f t="shared" si="56"/>
        <v>388643195.66892081</v>
      </c>
      <c r="P331" s="2">
        <v>0</v>
      </c>
      <c r="Q331" s="2">
        <v>0</v>
      </c>
      <c r="R331" s="2">
        <f t="shared" si="65"/>
        <v>175842.66706037521</v>
      </c>
      <c r="S331" s="2">
        <f t="shared" si="58"/>
        <v>1579721.314150095</v>
      </c>
      <c r="T331" s="2">
        <f t="shared" si="59"/>
        <v>26664352.062260255</v>
      </c>
      <c r="U331" s="11">
        <f t="shared" si="62"/>
        <v>1.1193884856568266</v>
      </c>
      <c r="V331" s="12">
        <f t="shared" si="63"/>
        <v>4.5265751600886972E-4</v>
      </c>
      <c r="W331" s="12">
        <f t="shared" si="60"/>
        <v>4.0812978201656414E-3</v>
      </c>
      <c r="X331" s="12">
        <f t="shared" si="61"/>
        <v>7.4941391366418086E-2</v>
      </c>
      <c r="Y331" s="5">
        <f t="shared" si="64"/>
        <v>0.11938848565682658</v>
      </c>
      <c r="Z331" s="19">
        <f t="shared" si="55"/>
        <v>4.4022588582935729E-2</v>
      </c>
      <c r="AA331" s="19">
        <f t="shared" si="54"/>
        <v>9.5178010451659745E-2</v>
      </c>
      <c r="AB331" s="19" t="s">
        <v>53</v>
      </c>
    </row>
    <row r="332" spans="1:28" x14ac:dyDescent="0.25">
      <c r="A332" s="1">
        <v>45579</v>
      </c>
      <c r="B332" s="1" t="str">
        <f t="shared" si="57"/>
        <v>202410</v>
      </c>
      <c r="C332" s="2">
        <v>0</v>
      </c>
      <c r="D332" s="2">
        <v>0</v>
      </c>
      <c r="E332" s="2">
        <v>0</v>
      </c>
      <c r="F332" s="2">
        <f>F331*(1+((1+VLOOKUP($B332,'IPCA Hist'!$B:$C,2,0))^12 - 1)+$F$2)^(1/252)</f>
        <v>45024368.416504256</v>
      </c>
      <c r="G332" s="2">
        <f>G331*(1+((1+VLOOKUP($B332,'IPCA Hist'!$B:$C,2,0))^12 - 1)+$G$2)^(1/252)</f>
        <v>45009405.312248297</v>
      </c>
      <c r="H332" s="2">
        <f>H331*(1+((1+VLOOKUP($B332,'IPCA Hist'!$B:$C,2,0))^12 - 1)+$H$2)^(1/252)</f>
        <v>46023892.235611431</v>
      </c>
      <c r="I332" s="2">
        <f>I331*(1+((1+VLOOKUP($B332,'IPCA Hist'!$B:$C,2,0))^12 - 1)+$I$2)^(1/252)</f>
        <v>232453033.26924676</v>
      </c>
      <c r="J332" s="2">
        <f>J331*(1+((1+VLOOKUP($B332,'IPCA Hist'!$B:$C,2,0))^12 - 1)+$J$2)^(1/252)</f>
        <v>20308418.741669625</v>
      </c>
      <c r="K332" s="2">
        <v>0</v>
      </c>
      <c r="L332" s="2">
        <v>0</v>
      </c>
      <c r="M332" s="2">
        <v>0</v>
      </c>
      <c r="N332" s="2">
        <v>0</v>
      </c>
      <c r="O332" s="2">
        <f t="shared" si="56"/>
        <v>388819117.9752804</v>
      </c>
      <c r="P332" s="2">
        <v>0</v>
      </c>
      <c r="Q332" s="2">
        <v>0</v>
      </c>
      <c r="R332" s="2">
        <f t="shared" si="65"/>
        <v>175922.3063595891</v>
      </c>
      <c r="S332" s="2">
        <f t="shared" si="58"/>
        <v>1755643.6205096841</v>
      </c>
      <c r="T332" s="2">
        <f t="shared" si="59"/>
        <v>26840274.368619844</v>
      </c>
      <c r="U332" s="11">
        <f t="shared" si="62"/>
        <v>1.1198951853914512</v>
      </c>
      <c r="V332" s="12">
        <f t="shared" si="63"/>
        <v>4.5265762612101135E-4</v>
      </c>
      <c r="W332" s="12">
        <f t="shared" si="60"/>
        <v>4.5358028768693881E-3</v>
      </c>
      <c r="X332" s="12">
        <f t="shared" si="61"/>
        <v>7.5427971784853165E-2</v>
      </c>
      <c r="Y332" s="5">
        <f t="shared" si="64"/>
        <v>0.11989518539145116</v>
      </c>
      <c r="Z332" s="19">
        <f t="shared" si="55"/>
        <v>4.4110111583449019E-2</v>
      </c>
      <c r="AA332" s="19">
        <f t="shared" si="54"/>
        <v>9.5337198473177009E-2</v>
      </c>
      <c r="AB332" s="19" t="s">
        <v>53</v>
      </c>
    </row>
    <row r="333" spans="1:28" x14ac:dyDescent="0.25">
      <c r="A333" s="1">
        <v>45580</v>
      </c>
      <c r="B333" s="1" t="str">
        <f t="shared" si="57"/>
        <v>202410</v>
      </c>
      <c r="C333" s="2">
        <v>0</v>
      </c>
      <c r="D333" s="2">
        <v>0</v>
      </c>
      <c r="E333" s="2">
        <v>0</v>
      </c>
      <c r="F333" s="2">
        <f>F332*(1+((1+VLOOKUP($B333,'IPCA Hist'!$B:$C,2,0))^12 - 1)+$F$2)^(1/252)</f>
        <v>45044780.542726748</v>
      </c>
      <c r="G333" s="2">
        <f>G332*(1+((1+VLOOKUP($B333,'IPCA Hist'!$B:$C,2,0))^12 - 1)+$G$2)^(1/252)</f>
        <v>45029826.594353311</v>
      </c>
      <c r="H333" s="2">
        <f>H332*(1+((1+VLOOKUP($B333,'IPCA Hist'!$B:$C,2,0))^12 - 1)+$H$2)^(1/252)</f>
        <v>46044578.12100374</v>
      </c>
      <c r="I333" s="2">
        <f>I332*(1+((1+VLOOKUP($B333,'IPCA Hist'!$B:$C,2,0))^12 - 1)+$I$2)^(1/252)</f>
        <v>232557429.13466886</v>
      </c>
      <c r="J333" s="2">
        <f>J332*(1+((1+VLOOKUP($B333,'IPCA Hist'!$B:$C,2,0))^12 - 1)+$J$2)^(1/252)</f>
        <v>20318505.564276341</v>
      </c>
      <c r="K333" s="2">
        <v>0</v>
      </c>
      <c r="L333" s="2">
        <v>0</v>
      </c>
      <c r="M333" s="2">
        <v>0</v>
      </c>
      <c r="N333" s="2">
        <v>0</v>
      </c>
      <c r="O333" s="2">
        <f t="shared" si="56"/>
        <v>388995119.95702899</v>
      </c>
      <c r="P333" s="2">
        <v>0</v>
      </c>
      <c r="Q333" s="2">
        <v>0</v>
      </c>
      <c r="R333" s="2">
        <f t="shared" si="65"/>
        <v>176001.98174858093</v>
      </c>
      <c r="S333" s="2">
        <f t="shared" si="58"/>
        <v>1931645.602258265</v>
      </c>
      <c r="T333" s="2">
        <f t="shared" si="59"/>
        <v>27016276.350368425</v>
      </c>
      <c r="U333" s="11">
        <f t="shared" si="62"/>
        <v>1.1204021146108938</v>
      </c>
      <c r="V333" s="12">
        <f t="shared" si="63"/>
        <v>4.5265773623759387E-4</v>
      </c>
      <c r="W333" s="12">
        <f t="shared" si="60"/>
        <v>4.9905137793693211E-3</v>
      </c>
      <c r="X333" s="12">
        <f t="shared" si="61"/>
        <v>7.591477257604784E-2</v>
      </c>
      <c r="Y333" s="5">
        <f t="shared" si="64"/>
        <v>0.12040211461089378</v>
      </c>
      <c r="Z333" s="19">
        <f t="shared" si="55"/>
        <v>4.4197642032309137E-2</v>
      </c>
      <c r="AA333" s="19">
        <f t="shared" si="54"/>
        <v>9.5496409738140997E-2</v>
      </c>
      <c r="AB333" s="19" t="s">
        <v>53</v>
      </c>
    </row>
    <row r="334" spans="1:28" x14ac:dyDescent="0.25">
      <c r="A334" s="1">
        <v>45581</v>
      </c>
      <c r="B334" s="1" t="str">
        <f t="shared" si="57"/>
        <v>202410</v>
      </c>
      <c r="C334" s="2">
        <v>0</v>
      </c>
      <c r="D334" s="2">
        <v>0</v>
      </c>
      <c r="E334" s="2">
        <v>0</v>
      </c>
      <c r="F334" s="2">
        <f>F333*(1+((1+VLOOKUP($B334,'IPCA Hist'!$B:$C,2,0))^12 - 1)+$F$2)^(1/252)</f>
        <v>45065201.922935724</v>
      </c>
      <c r="G334" s="2">
        <f>G333*(1+((1+VLOOKUP($B334,'IPCA Hist'!$B:$C,2,0))^12 - 1)+$G$2)^(1/252)</f>
        <v>45050257.141827635</v>
      </c>
      <c r="H334" s="2">
        <f>H333*(1+((1+VLOOKUP($B334,'IPCA Hist'!$B:$C,2,0))^12 - 1)+$H$2)^(1/252)</f>
        <v>46065273.30386816</v>
      </c>
      <c r="I334" s="2">
        <f>I333*(1+((1+VLOOKUP($B334,'IPCA Hist'!$B:$C,2,0))^12 - 1)+$I$2)^(1/252)</f>
        <v>232661871.88481671</v>
      </c>
      <c r="J334" s="2">
        <f>J333*(1+((1+VLOOKUP($B334,'IPCA Hist'!$B:$C,2,0))^12 - 1)+$J$2)^(1/252)</f>
        <v>20328597.39682458</v>
      </c>
      <c r="K334" s="2">
        <v>0</v>
      </c>
      <c r="L334" s="2">
        <v>0</v>
      </c>
      <c r="M334" s="2">
        <v>0</v>
      </c>
      <c r="N334" s="2">
        <v>0</v>
      </c>
      <c r="O334" s="2">
        <f t="shared" si="56"/>
        <v>389171201.65027285</v>
      </c>
      <c r="P334" s="2">
        <v>0</v>
      </c>
      <c r="Q334" s="2">
        <v>0</v>
      </c>
      <c r="R334" s="2">
        <f t="shared" si="65"/>
        <v>176081.6932438612</v>
      </c>
      <c r="S334" s="2">
        <f t="shared" si="58"/>
        <v>2107727.2955021262</v>
      </c>
      <c r="T334" s="2">
        <f t="shared" si="59"/>
        <v>27192358.043612286</v>
      </c>
      <c r="U334" s="11">
        <f t="shared" si="62"/>
        <v>1.1209092734191495</v>
      </c>
      <c r="V334" s="12">
        <f t="shared" si="63"/>
        <v>4.5265784635883932E-4</v>
      </c>
      <c r="W334" s="12">
        <f t="shared" si="60"/>
        <v>5.445430620947711E-3</v>
      </c>
      <c r="X334" s="12">
        <f t="shared" si="61"/>
        <v>7.6401793839867782E-2</v>
      </c>
      <c r="Y334" s="5">
        <f t="shared" si="64"/>
        <v>0.12090927341914948</v>
      </c>
      <c r="Z334" s="19">
        <f t="shared" si="55"/>
        <v>4.4285179930163787E-2</v>
      </c>
      <c r="AA334" s="19">
        <f t="shared" si="54"/>
        <v>9.5655644249966754E-2</v>
      </c>
      <c r="AB334" s="19" t="s">
        <v>53</v>
      </c>
    </row>
    <row r="335" spans="1:28" x14ac:dyDescent="0.25">
      <c r="A335" s="1">
        <v>45582</v>
      </c>
      <c r="B335" s="1" t="str">
        <f t="shared" si="57"/>
        <v>202410</v>
      </c>
      <c r="C335" s="2">
        <v>0</v>
      </c>
      <c r="D335" s="2">
        <v>0</v>
      </c>
      <c r="E335" s="2">
        <v>0</v>
      </c>
      <c r="F335" s="2">
        <f>F334*(1+((1+VLOOKUP($B335,'IPCA Hist'!$B:$C,2,0))^12 - 1)+$F$2)^(1/252)</f>
        <v>45085632.561326556</v>
      </c>
      <c r="G335" s="2">
        <f>G334*(1+((1+VLOOKUP($B335,'IPCA Hist'!$B:$C,2,0))^12 - 1)+$G$2)^(1/252)</f>
        <v>45070696.958875082</v>
      </c>
      <c r="H335" s="2">
        <f>H334*(1+((1+VLOOKUP($B335,'IPCA Hist'!$B:$C,2,0))^12 - 1)+$H$2)^(1/252)</f>
        <v>46085977.788383529</v>
      </c>
      <c r="I335" s="2">
        <f>I334*(1+((1+VLOOKUP($B335,'IPCA Hist'!$B:$C,2,0))^12 - 1)+$I$2)^(1/252)</f>
        <v>232766361.54074651</v>
      </c>
      <c r="J335" s="2">
        <f>J334*(1+((1+VLOOKUP($B335,'IPCA Hist'!$B:$C,2,0))^12 - 1)+$J$2)^(1/252)</f>
        <v>20338694.241802685</v>
      </c>
      <c r="K335" s="2">
        <v>0</v>
      </c>
      <c r="L335" s="2">
        <v>0</v>
      </c>
      <c r="M335" s="2">
        <v>0</v>
      </c>
      <c r="N335" s="2">
        <v>0</v>
      </c>
      <c r="O335" s="2">
        <f t="shared" si="56"/>
        <v>389347363.09113437</v>
      </c>
      <c r="P335" s="2">
        <v>0</v>
      </c>
      <c r="Q335" s="2">
        <v>0</v>
      </c>
      <c r="R335" s="2">
        <f t="shared" si="65"/>
        <v>176161.44086152315</v>
      </c>
      <c r="S335" s="2">
        <f t="shared" si="58"/>
        <v>2283888.7363636494</v>
      </c>
      <c r="T335" s="2">
        <f t="shared" si="59"/>
        <v>27368519.48447381</v>
      </c>
      <c r="U335" s="11">
        <f t="shared" si="62"/>
        <v>1.1214166619202597</v>
      </c>
      <c r="V335" s="12">
        <f t="shared" si="63"/>
        <v>4.5265795648430363E-4</v>
      </c>
      <c r="W335" s="12">
        <f t="shared" si="60"/>
        <v>5.9005534949290173E-3</v>
      </c>
      <c r="X335" s="12">
        <f t="shared" si="61"/>
        <v>7.6889035676223294E-2</v>
      </c>
      <c r="Y335" s="5">
        <f t="shared" si="64"/>
        <v>0.12141666192025968</v>
      </c>
      <c r="Z335" s="19">
        <f t="shared" si="55"/>
        <v>4.437272527766023E-2</v>
      </c>
      <c r="AA335" s="19">
        <f t="shared" si="54"/>
        <v>9.5814902012067549E-2</v>
      </c>
      <c r="AB335" s="19" t="s">
        <v>53</v>
      </c>
    </row>
    <row r="336" spans="1:28" x14ac:dyDescent="0.25">
      <c r="A336" s="1">
        <v>45583</v>
      </c>
      <c r="B336" s="1" t="str">
        <f t="shared" si="57"/>
        <v>202410</v>
      </c>
      <c r="C336" s="2">
        <v>0</v>
      </c>
      <c r="D336" s="2">
        <v>0</v>
      </c>
      <c r="E336" s="2">
        <v>0</v>
      </c>
      <c r="F336" s="2">
        <f>F335*(1+((1+VLOOKUP($B336,'IPCA Hist'!$B:$C,2,0))^12 - 1)+$F$2)^(1/252)</f>
        <v>45106072.462096497</v>
      </c>
      <c r="G336" s="2">
        <f>G335*(1+((1+VLOOKUP($B336,'IPCA Hist'!$B:$C,2,0))^12 - 1)+$G$2)^(1/252)</f>
        <v>45091146.049701355</v>
      </c>
      <c r="H336" s="2">
        <f>H335*(1+((1+VLOOKUP($B336,'IPCA Hist'!$B:$C,2,0))^12 - 1)+$H$2)^(1/252)</f>
        <v>46106691.578730561</v>
      </c>
      <c r="I336" s="2">
        <f>I335*(1+((1+VLOOKUP($B336,'IPCA Hist'!$B:$C,2,0))^12 - 1)+$I$2)^(1/252)</f>
        <v>232870898.12352386</v>
      </c>
      <c r="J336" s="2">
        <f>J335*(1+((1+VLOOKUP($B336,'IPCA Hist'!$B:$C,2,0))^12 - 1)+$J$2)^(1/252)</f>
        <v>20348796.101700243</v>
      </c>
      <c r="K336" s="2">
        <v>0</v>
      </c>
      <c r="L336" s="2">
        <v>0</v>
      </c>
      <c r="M336" s="2">
        <v>0</v>
      </c>
      <c r="N336" s="2">
        <v>0</v>
      </c>
      <c r="O336" s="2">
        <f t="shared" si="56"/>
        <v>389523604.31575251</v>
      </c>
      <c r="P336" s="2">
        <v>0</v>
      </c>
      <c r="Q336" s="2">
        <v>0</v>
      </c>
      <c r="R336" s="2">
        <f t="shared" si="65"/>
        <v>176241.22461813688</v>
      </c>
      <c r="S336" s="2">
        <f t="shared" si="58"/>
        <v>2460129.9609817863</v>
      </c>
      <c r="T336" s="2">
        <f t="shared" si="59"/>
        <v>27544760.709091946</v>
      </c>
      <c r="U336" s="11">
        <f t="shared" si="62"/>
        <v>1.1219242802183134</v>
      </c>
      <c r="V336" s="12">
        <f t="shared" si="63"/>
        <v>4.5265806661420882E-4</v>
      </c>
      <c r="W336" s="12">
        <f t="shared" si="60"/>
        <v>6.3558824946801096E-3</v>
      </c>
      <c r="X336" s="12">
        <f t="shared" si="61"/>
        <v>7.7376498185070641E-2</v>
      </c>
      <c r="Y336" s="5">
        <f t="shared" si="64"/>
        <v>0.12192428021831336</v>
      </c>
      <c r="Z336" s="19">
        <f t="shared" si="55"/>
        <v>4.4460278075446169E-2</v>
      </c>
      <c r="AA336" s="19">
        <f t="shared" si="54"/>
        <v>9.5974183027858206E-2</v>
      </c>
      <c r="AB336" s="19" t="s">
        <v>53</v>
      </c>
    </row>
    <row r="337" spans="1:28" x14ac:dyDescent="0.25">
      <c r="A337" s="1">
        <v>45586</v>
      </c>
      <c r="B337" s="1" t="str">
        <f t="shared" si="57"/>
        <v>202410</v>
      </c>
      <c r="C337" s="2">
        <v>0</v>
      </c>
      <c r="D337" s="2">
        <v>0</v>
      </c>
      <c r="E337" s="2">
        <v>0</v>
      </c>
      <c r="F337" s="2">
        <f>F336*(1+((1+VLOOKUP($B337,'IPCA Hist'!$B:$C,2,0))^12 - 1)+$F$2)^(1/252)</f>
        <v>45126521.629444726</v>
      </c>
      <c r="G337" s="2">
        <f>G336*(1+((1+VLOOKUP($B337,'IPCA Hist'!$B:$C,2,0))^12 - 1)+$G$2)^(1/252)</f>
        <v>45111604.41851408</v>
      </c>
      <c r="H337" s="2">
        <f>H336*(1+((1+VLOOKUP($B337,'IPCA Hist'!$B:$C,2,0))^12 - 1)+$H$2)^(1/252)</f>
        <v>46127414.679091856</v>
      </c>
      <c r="I337" s="2">
        <f>I336*(1+((1+VLOOKUP($B337,'IPCA Hist'!$B:$C,2,0))^12 - 1)+$I$2)^(1/252)</f>
        <v>232975481.65422389</v>
      </c>
      <c r="J337" s="2">
        <f>J336*(1+((1+VLOOKUP($B337,'IPCA Hist'!$B:$C,2,0))^12 - 1)+$J$2)^(1/252)</f>
        <v>20358902.979008071</v>
      </c>
      <c r="K337" s="2">
        <v>0</v>
      </c>
      <c r="L337" s="2">
        <v>0</v>
      </c>
      <c r="M337" s="2">
        <v>0</v>
      </c>
      <c r="N337" s="2">
        <v>0</v>
      </c>
      <c r="O337" s="2">
        <f t="shared" si="56"/>
        <v>389699925.36028266</v>
      </c>
      <c r="P337" s="2">
        <v>0</v>
      </c>
      <c r="Q337" s="2">
        <v>0</v>
      </c>
      <c r="R337" s="2">
        <f t="shared" si="65"/>
        <v>176321.04453015327</v>
      </c>
      <c r="S337" s="2">
        <f t="shared" si="58"/>
        <v>2636451.0055119395</v>
      </c>
      <c r="T337" s="2">
        <f t="shared" si="59"/>
        <v>27721081.7536221</v>
      </c>
      <c r="U337" s="11">
        <f t="shared" si="62"/>
        <v>1.1224321284174472</v>
      </c>
      <c r="V337" s="12">
        <f t="shared" si="63"/>
        <v>4.5265817674877695E-4</v>
      </c>
      <c r="W337" s="12">
        <f t="shared" si="60"/>
        <v>6.8114177136104903E-3</v>
      </c>
      <c r="X337" s="12">
        <f t="shared" si="61"/>
        <v>7.7864181466411164E-2</v>
      </c>
      <c r="Y337" s="5">
        <f t="shared" si="64"/>
        <v>0.12243212841744722</v>
      </c>
      <c r="Z337" s="19">
        <f t="shared" si="55"/>
        <v>4.4547838324170197E-2</v>
      </c>
      <c r="AA337" s="19">
        <f t="shared" si="54"/>
        <v>9.6133487300755105E-2</v>
      </c>
      <c r="AB337" s="19" t="s">
        <v>53</v>
      </c>
    </row>
    <row r="338" spans="1:28" x14ac:dyDescent="0.25">
      <c r="A338" s="1">
        <v>45587</v>
      </c>
      <c r="B338" s="1" t="str">
        <f t="shared" si="57"/>
        <v>202410</v>
      </c>
      <c r="C338" s="2">
        <v>0</v>
      </c>
      <c r="D338" s="2">
        <v>0</v>
      </c>
      <c r="E338" s="2">
        <v>0</v>
      </c>
      <c r="F338" s="2">
        <f>F337*(1+((1+VLOOKUP($B338,'IPCA Hist'!$B:$C,2,0))^12 - 1)+$F$2)^(1/252)</f>
        <v>45146980.067572303</v>
      </c>
      <c r="G338" s="2">
        <f>G337*(1+((1+VLOOKUP($B338,'IPCA Hist'!$B:$C,2,0))^12 - 1)+$G$2)^(1/252)</f>
        <v>45132072.069522783</v>
      </c>
      <c r="H338" s="2">
        <f>H337*(1+((1+VLOOKUP($B338,'IPCA Hist'!$B:$C,2,0))^12 - 1)+$H$2)^(1/252)</f>
        <v>46148147.093651891</v>
      </c>
      <c r="I338" s="2">
        <f>I337*(1+((1+VLOOKUP($B338,'IPCA Hist'!$B:$C,2,0))^12 - 1)+$I$2)^(1/252)</f>
        <v>233080112.15393111</v>
      </c>
      <c r="J338" s="2">
        <f>J337*(1+((1+VLOOKUP($B338,'IPCA Hist'!$B:$C,2,0))^12 - 1)+$J$2)^(1/252)</f>
        <v>20369014.876218226</v>
      </c>
      <c r="K338" s="2">
        <v>0</v>
      </c>
      <c r="L338" s="2">
        <v>0</v>
      </c>
      <c r="M338" s="2">
        <v>0</v>
      </c>
      <c r="N338" s="2">
        <v>0</v>
      </c>
      <c r="O338" s="2">
        <f t="shared" si="56"/>
        <v>389876326.26089633</v>
      </c>
      <c r="P338" s="2">
        <v>0</v>
      </c>
      <c r="Q338" s="2">
        <v>0</v>
      </c>
      <c r="R338" s="2">
        <f t="shared" si="65"/>
        <v>176400.90061366558</v>
      </c>
      <c r="S338" s="2">
        <f t="shared" si="58"/>
        <v>2812851.9061256051</v>
      </c>
      <c r="T338" s="2">
        <f t="shared" si="59"/>
        <v>27897482.654235765</v>
      </c>
      <c r="U338" s="11">
        <f t="shared" si="62"/>
        <v>1.1229402066218437</v>
      </c>
      <c r="V338" s="12">
        <f t="shared" si="63"/>
        <v>4.5265828688711984E-4</v>
      </c>
      <c r="W338" s="12">
        <f t="shared" si="60"/>
        <v>7.2671592451711842E-3</v>
      </c>
      <c r="X338" s="12">
        <f t="shared" si="61"/>
        <v>7.8352085620290834E-2</v>
      </c>
      <c r="Y338" s="5">
        <f t="shared" si="64"/>
        <v>0.12294020662184368</v>
      </c>
      <c r="Z338" s="19">
        <f t="shared" si="55"/>
        <v>4.4635406024479352E-2</v>
      </c>
      <c r="AA338" s="19">
        <f t="shared" si="54"/>
        <v>9.6292814834172846E-2</v>
      </c>
      <c r="AB338" s="19" t="s">
        <v>53</v>
      </c>
    </row>
    <row r="339" spans="1:28" x14ac:dyDescent="0.25">
      <c r="A339" s="1">
        <v>45588</v>
      </c>
      <c r="B339" s="1" t="str">
        <f t="shared" si="57"/>
        <v>202410</v>
      </c>
      <c r="C339" s="2">
        <v>0</v>
      </c>
      <c r="D339" s="2">
        <v>0</v>
      </c>
      <c r="E339" s="2">
        <v>0</v>
      </c>
      <c r="F339" s="2">
        <f>F338*(1+((1+VLOOKUP($B339,'IPCA Hist'!$B:$C,2,0))^12 - 1)+$F$2)^(1/252)</f>
        <v>45167447.780682206</v>
      </c>
      <c r="G339" s="2">
        <f>G338*(1+((1+VLOOKUP($B339,'IPCA Hist'!$B:$C,2,0))^12 - 1)+$G$2)^(1/252)</f>
        <v>45152549.006938897</v>
      </c>
      <c r="H339" s="2">
        <f>H338*(1+((1+VLOOKUP($B339,'IPCA Hist'!$B:$C,2,0))^12 - 1)+$H$2)^(1/252)</f>
        <v>46168888.82659702</v>
      </c>
      <c r="I339" s="2">
        <f>I338*(1+((1+VLOOKUP($B339,'IPCA Hist'!$B:$C,2,0))^12 - 1)+$I$2)^(1/252)</f>
        <v>233184789.64373958</v>
      </c>
      <c r="J339" s="2">
        <f>J338*(1+((1+VLOOKUP($B339,'IPCA Hist'!$B:$C,2,0))^12 - 1)+$J$2)^(1/252)</f>
        <v>20379131.795824002</v>
      </c>
      <c r="K339" s="2">
        <v>0</v>
      </c>
      <c r="L339" s="2">
        <v>0</v>
      </c>
      <c r="M339" s="2">
        <v>0</v>
      </c>
      <c r="N339" s="2">
        <v>0</v>
      </c>
      <c r="O339" s="2">
        <f t="shared" si="56"/>
        <v>390052807.05378169</v>
      </c>
      <c r="P339" s="2">
        <v>0</v>
      </c>
      <c r="Q339" s="2">
        <v>0</v>
      </c>
      <c r="R339" s="2">
        <f t="shared" si="65"/>
        <v>176480.7928853631</v>
      </c>
      <c r="S339" s="2">
        <f t="shared" si="58"/>
        <v>2989332.6990109682</v>
      </c>
      <c r="T339" s="2">
        <f t="shared" si="59"/>
        <v>28073963.447121128</v>
      </c>
      <c r="U339" s="11">
        <f t="shared" si="62"/>
        <v>1.1234485149357341</v>
      </c>
      <c r="V339" s="12">
        <f t="shared" si="63"/>
        <v>4.5265839703034771E-4</v>
      </c>
      <c r="W339" s="12">
        <f t="shared" si="60"/>
        <v>7.7231071828565145E-3</v>
      </c>
      <c r="X339" s="12">
        <f t="shared" si="61"/>
        <v>7.8840210746802031E-2</v>
      </c>
      <c r="Y339" s="5">
        <f t="shared" si="64"/>
        <v>0.12344851493573405</v>
      </c>
      <c r="Z339" s="19">
        <f t="shared" si="55"/>
        <v>4.4722981177021781E-2</v>
      </c>
      <c r="AA339" s="19">
        <f t="shared" si="54"/>
        <v>9.6452165631528475E-2</v>
      </c>
      <c r="AB339" s="19" t="s">
        <v>53</v>
      </c>
    </row>
    <row r="340" spans="1:28" x14ac:dyDescent="0.25">
      <c r="A340" s="1">
        <v>45589</v>
      </c>
      <c r="B340" s="1" t="str">
        <f t="shared" si="57"/>
        <v>202410</v>
      </c>
      <c r="C340" s="2">
        <v>0</v>
      </c>
      <c r="D340" s="2">
        <v>0</v>
      </c>
      <c r="E340" s="2">
        <v>0</v>
      </c>
      <c r="F340" s="2">
        <f>F339*(1+((1+VLOOKUP($B340,'IPCA Hist'!$B:$C,2,0))^12 - 1)+$F$2)^(1/252)</f>
        <v>45187924.772979319</v>
      </c>
      <c r="G340" s="2">
        <f>G339*(1+((1+VLOOKUP($B340,'IPCA Hist'!$B:$C,2,0))^12 - 1)+$G$2)^(1/252)</f>
        <v>45173035.234975778</v>
      </c>
      <c r="H340" s="2">
        <f>H339*(1+((1+VLOOKUP($B340,'IPCA Hist'!$B:$C,2,0))^12 - 1)+$H$2)^(1/252)</f>
        <v>46189639.882115491</v>
      </c>
      <c r="I340" s="2">
        <f>I339*(1+((1+VLOOKUP($B340,'IPCA Hist'!$B:$C,2,0))^12 - 1)+$I$2)^(1/252)</f>
        <v>233289514.1447528</v>
      </c>
      <c r="J340" s="2">
        <f>J339*(1+((1+VLOOKUP($B340,'IPCA Hist'!$B:$C,2,0))^12 - 1)+$J$2)^(1/252)</f>
        <v>20389253.740319934</v>
      </c>
      <c r="K340" s="2">
        <v>0</v>
      </c>
      <c r="L340" s="2">
        <v>0</v>
      </c>
      <c r="M340" s="2">
        <v>0</v>
      </c>
      <c r="N340" s="2">
        <v>0</v>
      </c>
      <c r="O340" s="2">
        <f t="shared" si="56"/>
        <v>390229367.77514333</v>
      </c>
      <c r="P340" s="2">
        <v>0</v>
      </c>
      <c r="Q340" s="2">
        <v>0</v>
      </c>
      <c r="R340" s="2">
        <f t="shared" si="65"/>
        <v>176560.72136163712</v>
      </c>
      <c r="S340" s="2">
        <f t="shared" si="58"/>
        <v>3165893.4203726053</v>
      </c>
      <c r="T340" s="2">
        <f t="shared" si="59"/>
        <v>28250524.168482766</v>
      </c>
      <c r="U340" s="11">
        <f t="shared" si="62"/>
        <v>1.1239570534633965</v>
      </c>
      <c r="V340" s="12">
        <f t="shared" si="63"/>
        <v>4.5265850717823852E-4</v>
      </c>
      <c r="W340" s="12">
        <f t="shared" si="60"/>
        <v>8.1792616202029933E-3</v>
      </c>
      <c r="X340" s="12">
        <f t="shared" si="61"/>
        <v>7.9328556946082429E-2</v>
      </c>
      <c r="Y340" s="5">
        <f t="shared" si="64"/>
        <v>0.12395705346339647</v>
      </c>
      <c r="Z340" s="19">
        <f t="shared" si="55"/>
        <v>4.4810563782445856E-2</v>
      </c>
      <c r="AA340" s="19">
        <f t="shared" si="54"/>
        <v>9.6611539696238591E-2</v>
      </c>
      <c r="AB340" s="19" t="s">
        <v>53</v>
      </c>
    </row>
    <row r="341" spans="1:28" x14ac:dyDescent="0.25">
      <c r="A341" s="1">
        <v>45590</v>
      </c>
      <c r="B341" s="1" t="str">
        <f t="shared" si="57"/>
        <v>202410</v>
      </c>
      <c r="C341" s="2">
        <v>0</v>
      </c>
      <c r="D341" s="2">
        <v>0</v>
      </c>
      <c r="E341" s="2">
        <v>0</v>
      </c>
      <c r="F341" s="2">
        <f>F340*(1+((1+VLOOKUP($B341,'IPCA Hist'!$B:$C,2,0))^12 - 1)+$F$2)^(1/252)</f>
        <v>45208411.048670426</v>
      </c>
      <c r="G341" s="2">
        <f>G340*(1+((1+VLOOKUP($B341,'IPCA Hist'!$B:$C,2,0))^12 - 1)+$G$2)^(1/252)</f>
        <v>45193530.757848687</v>
      </c>
      <c r="H341" s="2">
        <f>H340*(1+((1+VLOOKUP($B341,'IPCA Hist'!$B:$C,2,0))^12 - 1)+$H$2)^(1/252)</f>
        <v>46210400.264397413</v>
      </c>
      <c r="I341" s="2">
        <f>I340*(1+((1+VLOOKUP($B341,'IPCA Hist'!$B:$C,2,0))^12 - 1)+$I$2)^(1/252)</f>
        <v>233394285.67808372</v>
      </c>
      <c r="J341" s="2">
        <f>J340*(1+((1+VLOOKUP($B341,'IPCA Hist'!$B:$C,2,0))^12 - 1)+$J$2)^(1/252)</f>
        <v>20399380.712201793</v>
      </c>
      <c r="K341" s="2">
        <v>0</v>
      </c>
      <c r="L341" s="2">
        <v>0</v>
      </c>
      <c r="M341" s="2">
        <v>0</v>
      </c>
      <c r="N341" s="2">
        <v>0</v>
      </c>
      <c r="O341" s="2">
        <f t="shared" si="56"/>
        <v>390406008.46120203</v>
      </c>
      <c r="P341" s="2">
        <v>0</v>
      </c>
      <c r="Q341" s="2">
        <v>0</v>
      </c>
      <c r="R341" s="2">
        <f t="shared" si="65"/>
        <v>176640.68605870008</v>
      </c>
      <c r="S341" s="2">
        <f t="shared" si="58"/>
        <v>3342534.1064313054</v>
      </c>
      <c r="T341" s="2">
        <f t="shared" si="59"/>
        <v>28427164.854541466</v>
      </c>
      <c r="U341" s="11">
        <f t="shared" si="62"/>
        <v>1.1244658223091557</v>
      </c>
      <c r="V341" s="12">
        <f t="shared" si="63"/>
        <v>4.5265861733012613E-4</v>
      </c>
      <c r="W341" s="12">
        <f t="shared" si="60"/>
        <v>8.6356226507888767E-3</v>
      </c>
      <c r="X341" s="12">
        <f t="shared" si="61"/>
        <v>7.9817124318314558E-2</v>
      </c>
      <c r="Y341" s="5">
        <f t="shared" si="64"/>
        <v>0.1244658223091557</v>
      </c>
      <c r="Z341" s="19">
        <f t="shared" si="55"/>
        <v>4.489815384139928E-2</v>
      </c>
      <c r="AA341" s="19">
        <f t="shared" si="54"/>
        <v>9.6770937031720461E-2</v>
      </c>
      <c r="AB341" s="19" t="s">
        <v>53</v>
      </c>
    </row>
    <row r="342" spans="1:28" x14ac:dyDescent="0.25">
      <c r="A342" s="1">
        <v>45593</v>
      </c>
      <c r="B342" s="1" t="str">
        <f t="shared" si="57"/>
        <v>202410</v>
      </c>
      <c r="C342" s="2">
        <v>0</v>
      </c>
      <c r="D342" s="2">
        <v>0</v>
      </c>
      <c r="E342" s="2">
        <v>0</v>
      </c>
      <c r="F342" s="2">
        <f>F341*(1+((1+VLOOKUP($B342,'IPCA Hist'!$B:$C,2,0))^12 - 1)+$F$2)^(1/252)</f>
        <v>45228906.611964226</v>
      </c>
      <c r="G342" s="2">
        <f>G341*(1+((1+VLOOKUP($B342,'IPCA Hist'!$B:$C,2,0))^12 - 1)+$G$2)^(1/252)</f>
        <v>45214035.579774797</v>
      </c>
      <c r="H342" s="2">
        <f>H341*(1+((1+VLOOKUP($B342,'IPCA Hist'!$B:$C,2,0))^12 - 1)+$H$2)^(1/252)</f>
        <v>46231169.977634795</v>
      </c>
      <c r="I342" s="2">
        <f>I341*(1+((1+VLOOKUP($B342,'IPCA Hist'!$B:$C,2,0))^12 - 1)+$I$2)^(1/252)</f>
        <v>233499104.26485482</v>
      </c>
      <c r="J342" s="2">
        <f>J341*(1+((1+VLOOKUP($B342,'IPCA Hist'!$B:$C,2,0))^12 - 1)+$J$2)^(1/252)</f>
        <v>20409512.713966589</v>
      </c>
      <c r="K342" s="2">
        <v>0</v>
      </c>
      <c r="L342" s="2">
        <v>0</v>
      </c>
      <c r="M342" s="2">
        <v>0</v>
      </c>
      <c r="N342" s="2">
        <v>0</v>
      </c>
      <c r="O342" s="2">
        <f t="shared" si="56"/>
        <v>390582729.14819527</v>
      </c>
      <c r="P342" s="2">
        <v>0</v>
      </c>
      <c r="Q342" s="2">
        <v>0</v>
      </c>
      <c r="R342" s="2">
        <f t="shared" si="65"/>
        <v>176720.68699324131</v>
      </c>
      <c r="S342" s="2">
        <f t="shared" si="58"/>
        <v>3519254.7934245467</v>
      </c>
      <c r="T342" s="2">
        <f t="shared" si="59"/>
        <v>28603885.541534707</v>
      </c>
      <c r="U342" s="11">
        <f t="shared" si="62"/>
        <v>1.1249748215773845</v>
      </c>
      <c r="V342" s="12">
        <f t="shared" si="63"/>
        <v>4.5265872748667668E-4</v>
      </c>
      <c r="W342" s="12">
        <f t="shared" si="60"/>
        <v>9.0921903682357197E-3</v>
      </c>
      <c r="X342" s="12">
        <f t="shared" si="61"/>
        <v>8.0305912963726911E-2</v>
      </c>
      <c r="Y342" s="5">
        <f t="shared" si="64"/>
        <v>0.12497482157738449</v>
      </c>
      <c r="Z342" s="19">
        <f t="shared" si="55"/>
        <v>4.4947936628263685E-2</v>
      </c>
      <c r="AA342" s="19">
        <f t="shared" si="54"/>
        <v>9.6930357641392018E-2</v>
      </c>
      <c r="AB342" s="19" t="s">
        <v>53</v>
      </c>
    </row>
    <row r="343" spans="1:28" x14ac:dyDescent="0.25">
      <c r="A343" s="1">
        <v>45594</v>
      </c>
      <c r="B343" s="1" t="str">
        <f t="shared" si="57"/>
        <v>202410</v>
      </c>
      <c r="C343" s="2">
        <v>0</v>
      </c>
      <c r="D343" s="2">
        <v>0</v>
      </c>
      <c r="E343" s="2">
        <v>0</v>
      </c>
      <c r="F343" s="2">
        <f>F342*(1+((1+VLOOKUP($B343,'IPCA Hist'!$B:$C,2,0))^12 - 1)+$F$2)^(1/252)</f>
        <v>45249411.467071317</v>
      </c>
      <c r="G343" s="2">
        <f>G342*(1+((1+VLOOKUP($B343,'IPCA Hist'!$B:$C,2,0))^12 - 1)+$G$2)^(1/252)</f>
        <v>45234549.704973191</v>
      </c>
      <c r="H343" s="2">
        <f>H342*(1+((1+VLOOKUP($B343,'IPCA Hist'!$B:$C,2,0))^12 - 1)+$H$2)^(1/252)</f>
        <v>46251949.026021533</v>
      </c>
      <c r="I343" s="2">
        <f>I342*(1+((1+VLOOKUP($B343,'IPCA Hist'!$B:$C,2,0))^12 - 1)+$I$2)^(1/252)</f>
        <v>233603969.92619804</v>
      </c>
      <c r="J343" s="2">
        <f>J342*(1+((1+VLOOKUP($B343,'IPCA Hist'!$B:$C,2,0))^12 - 1)+$J$2)^(1/252)</f>
        <v>20419649.748112574</v>
      </c>
      <c r="K343" s="2">
        <v>0</v>
      </c>
      <c r="L343" s="2">
        <v>0</v>
      </c>
      <c r="M343" s="2">
        <v>0</v>
      </c>
      <c r="N343" s="2">
        <v>0</v>
      </c>
      <c r="O343" s="2">
        <f t="shared" si="56"/>
        <v>390759529.87237668</v>
      </c>
      <c r="P343" s="2">
        <v>0</v>
      </c>
      <c r="Q343" s="2">
        <v>0</v>
      </c>
      <c r="R343" s="2">
        <f t="shared" si="65"/>
        <v>176800.72418141365</v>
      </c>
      <c r="S343" s="2">
        <f t="shared" si="58"/>
        <v>3696055.5176059604</v>
      </c>
      <c r="T343" s="2">
        <f t="shared" si="59"/>
        <v>28780686.265716121</v>
      </c>
      <c r="U343" s="11">
        <f t="shared" si="62"/>
        <v>1.1254840513725024</v>
      </c>
      <c r="V343" s="12">
        <f t="shared" si="63"/>
        <v>4.5265883764744608E-4</v>
      </c>
      <c r="W343" s="12">
        <f t="shared" si="60"/>
        <v>9.5489648662068216E-3</v>
      </c>
      <c r="X343" s="12">
        <f t="shared" si="61"/>
        <v>8.0794922982592832E-2</v>
      </c>
      <c r="Y343" s="5">
        <f t="shared" si="64"/>
        <v>0.1254840513725024</v>
      </c>
      <c r="Z343" s="19">
        <f t="shared" si="55"/>
        <v>4.4997721898240695E-2</v>
      </c>
      <c r="AA343" s="19">
        <f t="shared" si="54"/>
        <v>9.708980152867186E-2</v>
      </c>
      <c r="AB343" s="19" t="s">
        <v>53</v>
      </c>
    </row>
    <row r="344" spans="1:28" x14ac:dyDescent="0.25">
      <c r="A344" s="1">
        <v>45595</v>
      </c>
      <c r="B344" s="1" t="str">
        <f t="shared" si="57"/>
        <v>202410</v>
      </c>
      <c r="C344" s="2">
        <v>0</v>
      </c>
      <c r="D344" s="2">
        <v>0</v>
      </c>
      <c r="E344" s="2">
        <v>0</v>
      </c>
      <c r="F344" s="2">
        <f>F343*(1+((1+VLOOKUP($B344,'IPCA Hist'!$B:$C,2,0))^12 - 1)+$F$2)^(1/252)</f>
        <v>45269925.618204214</v>
      </c>
      <c r="G344" s="2">
        <f>G343*(1+((1+VLOOKUP($B344,'IPCA Hist'!$B:$C,2,0))^12 - 1)+$G$2)^(1/252)</f>
        <v>45255073.137664869</v>
      </c>
      <c r="H344" s="2">
        <f>H343*(1+((1+VLOOKUP($B344,'IPCA Hist'!$B:$C,2,0))^12 - 1)+$H$2)^(1/252)</f>
        <v>46272737.41375339</v>
      </c>
      <c r="I344" s="2">
        <f>I343*(1+((1+VLOOKUP($B344,'IPCA Hist'!$B:$C,2,0))^12 - 1)+$I$2)^(1/252)</f>
        <v>233708882.68325478</v>
      </c>
      <c r="J344" s="2">
        <f>J343*(1+((1+VLOOKUP($B344,'IPCA Hist'!$B:$C,2,0))^12 - 1)+$J$2)^(1/252)</f>
        <v>20429791.817139242</v>
      </c>
      <c r="K344" s="2">
        <v>0</v>
      </c>
      <c r="L344" s="2">
        <v>0</v>
      </c>
      <c r="M344" s="2">
        <v>0</v>
      </c>
      <c r="N344" s="2">
        <v>0</v>
      </c>
      <c r="O344" s="2">
        <f t="shared" si="56"/>
        <v>390936410.67001653</v>
      </c>
      <c r="P344" s="2">
        <v>0</v>
      </c>
      <c r="Q344" s="2">
        <v>0</v>
      </c>
      <c r="R344" s="2">
        <f t="shared" si="65"/>
        <v>176880.7976398468</v>
      </c>
      <c r="S344" s="2">
        <f t="shared" si="58"/>
        <v>3872936.3152458072</v>
      </c>
      <c r="T344" s="2">
        <f t="shared" si="59"/>
        <v>28957567.063355967</v>
      </c>
      <c r="U344" s="11">
        <f t="shared" si="62"/>
        <v>1.1259935117989768</v>
      </c>
      <c r="V344" s="12">
        <f t="shared" si="63"/>
        <v>4.5265894781287841E-4</v>
      </c>
      <c r="W344" s="12">
        <f t="shared" si="60"/>
        <v>1.0005946238408781E-2</v>
      </c>
      <c r="X344" s="12">
        <f t="shared" si="61"/>
        <v>8.1284154475231629E-2</v>
      </c>
      <c r="Y344" s="5">
        <f t="shared" si="64"/>
        <v>0.12599351179897678</v>
      </c>
      <c r="Z344" s="19">
        <f t="shared" si="55"/>
        <v>4.5047509651463313E-2</v>
      </c>
      <c r="AA344" s="19">
        <f t="shared" si="54"/>
        <v>9.7249268696978586E-2</v>
      </c>
      <c r="AB344" s="19" t="s">
        <v>53</v>
      </c>
    </row>
    <row r="345" spans="1:28" x14ac:dyDescent="0.25">
      <c r="A345" s="1">
        <v>45596</v>
      </c>
      <c r="B345" s="1" t="str">
        <f t="shared" si="57"/>
        <v>202410</v>
      </c>
      <c r="C345" s="2">
        <v>0</v>
      </c>
      <c r="D345" s="2">
        <v>0</v>
      </c>
      <c r="E345" s="2">
        <v>0</v>
      </c>
      <c r="F345" s="2">
        <f>F344*(1+((1+VLOOKUP($B345,'IPCA Hist'!$B:$C,2,0))^12 - 1)+$F$2)^(1/252)</f>
        <v>45290449.069577336</v>
      </c>
      <c r="G345" s="2">
        <f>G344*(1+((1+VLOOKUP($B345,'IPCA Hist'!$B:$C,2,0))^12 - 1)+$G$2)^(1/252)</f>
        <v>45275605.882072754</v>
      </c>
      <c r="H345" s="2">
        <f>H344*(1+((1+VLOOKUP($B345,'IPCA Hist'!$B:$C,2,0))^12 - 1)+$H$2)^(1/252)</f>
        <v>46293535.145028032</v>
      </c>
      <c r="I345" s="2">
        <f>I344*(1+((1+VLOOKUP($B345,'IPCA Hist'!$B:$C,2,0))^12 - 1)+$I$2)^(1/252)</f>
        <v>233813842.55717602</v>
      </c>
      <c r="J345" s="2">
        <f>J344*(1+((1+VLOOKUP($B345,'IPCA Hist'!$B:$C,2,0))^12 - 1)+$J$2)^(1/252)</f>
        <v>20439938.923547324</v>
      </c>
      <c r="K345" s="2">
        <v>0</v>
      </c>
      <c r="L345" s="2">
        <v>0</v>
      </c>
      <c r="M345" s="2">
        <v>0</v>
      </c>
      <c r="N345" s="2">
        <v>0</v>
      </c>
      <c r="O345" s="2">
        <f t="shared" si="56"/>
        <v>391113371.57740146</v>
      </c>
      <c r="P345" s="2">
        <v>0</v>
      </c>
      <c r="Q345" s="2">
        <v>0</v>
      </c>
      <c r="R345" s="2">
        <f t="shared" si="65"/>
        <v>176960.90738493204</v>
      </c>
      <c r="S345" s="2">
        <f t="shared" si="58"/>
        <v>4049897.2226307392</v>
      </c>
      <c r="T345" s="2">
        <f t="shared" si="59"/>
        <v>29134527.970740899</v>
      </c>
      <c r="U345" s="11">
        <f t="shared" si="62"/>
        <v>1.1265032029613222</v>
      </c>
      <c r="V345" s="12">
        <f t="shared" si="63"/>
        <v>4.5265905798252959E-4</v>
      </c>
      <c r="W345" s="12">
        <f t="shared" si="60"/>
        <v>1.0463134578589717E-2</v>
      </c>
      <c r="X345" s="12">
        <f t="shared" si="61"/>
        <v>8.1773607542007909E-2</v>
      </c>
      <c r="Y345" s="5">
        <f t="shared" si="64"/>
        <v>0.12650320296132223</v>
      </c>
      <c r="Z345" s="19">
        <f t="shared" si="55"/>
        <v>4.5097299888065656E-2</v>
      </c>
      <c r="AA345" s="19">
        <f t="shared" si="54"/>
        <v>9.7388898306838279E-2</v>
      </c>
      <c r="AB345" s="19" t="s">
        <v>53</v>
      </c>
    </row>
    <row r="346" spans="1:28" x14ac:dyDescent="0.25">
      <c r="A346" s="1">
        <v>45597</v>
      </c>
      <c r="B346" s="1" t="str">
        <f t="shared" si="57"/>
        <v>202411</v>
      </c>
      <c r="C346" s="2">
        <v>0</v>
      </c>
      <c r="D346" s="2">
        <v>0</v>
      </c>
      <c r="E346" s="2">
        <v>0</v>
      </c>
      <c r="F346" s="2">
        <f>F345*(1+((1+VLOOKUP($B346,'IPCA Hist'!$B:$C,2,0))^12 - 1)+$F$2)^(1/252)</f>
        <v>45307501.243130609</v>
      </c>
      <c r="G346" s="2">
        <f>G345*(1+((1+VLOOKUP($B346,'IPCA Hist'!$B:$C,2,0))^12 - 1)+$G$2)^(1/252)</f>
        <v>45292668.812987477</v>
      </c>
      <c r="H346" s="2">
        <f>H345*(1+((1+VLOOKUP($B346,'IPCA Hist'!$B:$C,2,0))^12 - 1)+$H$2)^(1/252)</f>
        <v>46310781.039831884</v>
      </c>
      <c r="I346" s="2">
        <f>I345*(1+((1+VLOOKUP($B346,'IPCA Hist'!$B:$C,2,0))^12 - 1)+$I$2)^(1/252)</f>
        <v>233900861.55098984</v>
      </c>
      <c r="J346" s="2">
        <f>J345*(1+((1+VLOOKUP($B346,'IPCA Hist'!$B:$C,2,0))^12 - 1)+$J$2)^(1/252)</f>
        <v>20448537.400248609</v>
      </c>
      <c r="K346" s="2">
        <v>0</v>
      </c>
      <c r="L346" s="2">
        <v>0</v>
      </c>
      <c r="M346" s="2">
        <v>0</v>
      </c>
      <c r="N346" s="2">
        <v>0</v>
      </c>
      <c r="O346" s="2">
        <f t="shared" si="56"/>
        <v>391260350.0471884</v>
      </c>
      <c r="P346" s="2">
        <v>0</v>
      </c>
      <c r="Q346" s="2">
        <v>0</v>
      </c>
      <c r="R346" s="2">
        <f t="shared" si="65"/>
        <v>146978.46978694201</v>
      </c>
      <c r="S346" s="2">
        <f t="shared" si="58"/>
        <v>146978.46978694201</v>
      </c>
      <c r="T346" s="2">
        <f t="shared" si="59"/>
        <v>29281506.440527841</v>
      </c>
      <c r="U346" s="11">
        <f t="shared" si="62"/>
        <v>1.1269265372909913</v>
      </c>
      <c r="V346" s="12">
        <f t="shared" si="63"/>
        <v>3.7579505194140772E-4</v>
      </c>
      <c r="W346" s="12">
        <f t="shared" si="60"/>
        <v>3.7579505194140772E-4</v>
      </c>
      <c r="X346" s="12">
        <f t="shared" si="61"/>
        <v>8.2180132711042964E-2</v>
      </c>
      <c r="Y346" s="5">
        <f t="shared" si="64"/>
        <v>0.12692653729099135</v>
      </c>
      <c r="Z346" s="19">
        <f t="shared" si="55"/>
        <v>4.5066794648200625E-2</v>
      </c>
      <c r="AA346" s="19">
        <f t="shared" si="54"/>
        <v>9.7444223398069019E-2</v>
      </c>
      <c r="AB346" s="19" t="s">
        <v>53</v>
      </c>
    </row>
    <row r="347" spans="1:28" x14ac:dyDescent="0.25">
      <c r="A347" s="1">
        <v>45600</v>
      </c>
      <c r="B347" s="1" t="str">
        <f t="shared" si="57"/>
        <v>202411</v>
      </c>
      <c r="C347" s="2">
        <v>0</v>
      </c>
      <c r="D347" s="2">
        <v>0</v>
      </c>
      <c r="E347" s="2">
        <v>0</v>
      </c>
      <c r="F347" s="2">
        <f>F346*(1+((1+VLOOKUP($B347,'IPCA Hist'!$B:$C,2,0))^12 - 1)+$F$2)^(1/252)</f>
        <v>45324559.836947516</v>
      </c>
      <c r="G347" s="2">
        <f>G346*(1+((1+VLOOKUP($B347,'IPCA Hist'!$B:$C,2,0))^12 - 1)+$G$2)^(1/252)</f>
        <v>45309738.174376309</v>
      </c>
      <c r="H347" s="2">
        <f>H346*(1+((1+VLOOKUP($B347,'IPCA Hist'!$B:$C,2,0))^12 - 1)+$H$2)^(1/252)</f>
        <v>46328033.359310083</v>
      </c>
      <c r="I347" s="2">
        <f>I346*(1+((1+VLOOKUP($B347,'IPCA Hist'!$B:$C,2,0))^12 - 1)+$I$2)^(1/252)</f>
        <v>233987912.9308472</v>
      </c>
      <c r="J347" s="2">
        <f>J346*(1+((1+VLOOKUP($B347,'IPCA Hist'!$B:$C,2,0))^12 - 1)+$J$2)^(1/252)</f>
        <v>20457139.494074285</v>
      </c>
      <c r="K347" s="2">
        <v>0</v>
      </c>
      <c r="L347" s="2">
        <v>0</v>
      </c>
      <c r="M347" s="2">
        <v>0</v>
      </c>
      <c r="N347" s="2">
        <v>0</v>
      </c>
      <c r="O347" s="2">
        <f t="shared" si="56"/>
        <v>391407383.79555541</v>
      </c>
      <c r="P347" s="2">
        <v>0</v>
      </c>
      <c r="Q347" s="2">
        <v>0</v>
      </c>
      <c r="R347" s="2">
        <f t="shared" si="65"/>
        <v>147033.74836701155</v>
      </c>
      <c r="S347" s="2">
        <f t="shared" si="58"/>
        <v>294012.21815395355</v>
      </c>
      <c r="T347" s="2">
        <f t="shared" si="59"/>
        <v>29428540.188894853</v>
      </c>
      <c r="U347" s="11">
        <f t="shared" si="62"/>
        <v>1.1273500308366373</v>
      </c>
      <c r="V347" s="12">
        <f t="shared" si="63"/>
        <v>3.7579516643915234E-4</v>
      </c>
      <c r="W347" s="12">
        <f t="shared" si="60"/>
        <v>7.5173144034468287E-4</v>
      </c>
      <c r="X347" s="12">
        <f t="shared" si="61"/>
        <v>8.2586810774132324E-2</v>
      </c>
      <c r="Y347" s="5">
        <f t="shared" si="64"/>
        <v>0.12735003083663732</v>
      </c>
      <c r="Z347" s="19">
        <f t="shared" si="55"/>
        <v>4.503629041457069E-2</v>
      </c>
      <c r="AA347" s="19">
        <f t="shared" si="54"/>
        <v>9.7499551388576577E-2</v>
      </c>
      <c r="AB347" s="19" t="s">
        <v>53</v>
      </c>
    </row>
    <row r="348" spans="1:28" x14ac:dyDescent="0.25">
      <c r="A348" s="1">
        <v>45601</v>
      </c>
      <c r="B348" s="1" t="str">
        <f t="shared" si="57"/>
        <v>202411</v>
      </c>
      <c r="C348" s="2">
        <v>0</v>
      </c>
      <c r="D348" s="2">
        <v>0</v>
      </c>
      <c r="E348" s="2">
        <v>0</v>
      </c>
      <c r="F348" s="2">
        <f>F347*(1+((1+VLOOKUP($B348,'IPCA Hist'!$B:$C,2,0))^12 - 1)+$F$2)^(1/252)</f>
        <v>45341624.853445321</v>
      </c>
      <c r="G348" s="2">
        <f>G347*(1+((1+VLOOKUP($B348,'IPCA Hist'!$B:$C,2,0))^12 - 1)+$G$2)^(1/252)</f>
        <v>45326813.968662694</v>
      </c>
      <c r="H348" s="2">
        <f>H347*(1+((1+VLOOKUP($B348,'IPCA Hist'!$B:$C,2,0))^12 - 1)+$H$2)^(1/252)</f>
        <v>46345292.105856031</v>
      </c>
      <c r="I348" s="2">
        <f>I347*(1+((1+VLOOKUP($B348,'IPCA Hist'!$B:$C,2,0))^12 - 1)+$I$2)^(1/252)</f>
        <v>234074996.70880127</v>
      </c>
      <c r="J348" s="2">
        <f>J347*(1+((1+VLOOKUP($B348,'IPCA Hist'!$B:$C,2,0))^12 - 1)+$J$2)^(1/252)</f>
        <v>20465745.206545964</v>
      </c>
      <c r="K348" s="2">
        <v>0</v>
      </c>
      <c r="L348" s="2">
        <v>0</v>
      </c>
      <c r="M348" s="2">
        <v>0</v>
      </c>
      <c r="N348" s="2">
        <v>0</v>
      </c>
      <c r="O348" s="2">
        <f t="shared" si="56"/>
        <v>391554472.84331125</v>
      </c>
      <c r="P348" s="2">
        <v>0</v>
      </c>
      <c r="Q348" s="2">
        <v>0</v>
      </c>
      <c r="R348" s="2">
        <f t="shared" si="65"/>
        <v>147089.04775583744</v>
      </c>
      <c r="S348" s="2">
        <f t="shared" si="58"/>
        <v>441101.26590979099</v>
      </c>
      <c r="T348" s="2">
        <f t="shared" si="59"/>
        <v>29575629.23665069</v>
      </c>
      <c r="U348" s="11">
        <f t="shared" si="62"/>
        <v>1.1277736836581946</v>
      </c>
      <c r="V348" s="12">
        <f t="shared" si="63"/>
        <v>3.7579528094111581E-4</v>
      </c>
      <c r="W348" s="12">
        <f t="shared" si="60"/>
        <v>1.1278092184137112E-3</v>
      </c>
      <c r="X348" s="12">
        <f t="shared" si="61"/>
        <v>8.2993641788830397E-2</v>
      </c>
      <c r="Y348" s="5">
        <f t="shared" si="64"/>
        <v>0.12777368365819464</v>
      </c>
      <c r="Z348" s="19">
        <f t="shared" si="55"/>
        <v>4.5005787187144541E-2</v>
      </c>
      <c r="AA348" s="19">
        <f t="shared" si="54"/>
        <v>9.7554882278523491E-2</v>
      </c>
      <c r="AB348" s="19" t="s">
        <v>53</v>
      </c>
    </row>
    <row r="349" spans="1:28" x14ac:dyDescent="0.25">
      <c r="A349" s="1">
        <v>45602</v>
      </c>
      <c r="B349" s="1" t="str">
        <f t="shared" si="57"/>
        <v>202411</v>
      </c>
      <c r="C349" s="2">
        <v>0</v>
      </c>
      <c r="D349" s="2">
        <v>0</v>
      </c>
      <c r="E349" s="2">
        <v>0</v>
      </c>
      <c r="F349" s="2">
        <f>F348*(1+((1+VLOOKUP($B349,'IPCA Hist'!$B:$C,2,0))^12 - 1)+$F$2)^(1/252)</f>
        <v>45358696.295042217</v>
      </c>
      <c r="G349" s="2">
        <f>G348*(1+((1+VLOOKUP($B349,'IPCA Hist'!$B:$C,2,0))^12 - 1)+$G$2)^(1/252)</f>
        <v>45343896.198270984</v>
      </c>
      <c r="H349" s="2">
        <f>H348*(1+((1+VLOOKUP($B349,'IPCA Hist'!$B:$C,2,0))^12 - 1)+$H$2)^(1/252)</f>
        <v>46362557.281864025</v>
      </c>
      <c r="I349" s="2">
        <f>I348*(1+((1+VLOOKUP($B349,'IPCA Hist'!$B:$C,2,0))^12 - 1)+$I$2)^(1/252)</f>
        <v>234162112.89690971</v>
      </c>
      <c r="J349" s="2">
        <f>J348*(1+((1+VLOOKUP($B349,'IPCA Hist'!$B:$C,2,0))^12 - 1)+$J$2)^(1/252)</f>
        <v>20474354.539185908</v>
      </c>
      <c r="K349" s="2">
        <v>0</v>
      </c>
      <c r="L349" s="2">
        <v>0</v>
      </c>
      <c r="M349" s="2">
        <v>0</v>
      </c>
      <c r="N349" s="2">
        <v>0</v>
      </c>
      <c r="O349" s="2">
        <f t="shared" si="56"/>
        <v>391701617.21127284</v>
      </c>
      <c r="P349" s="2">
        <v>0</v>
      </c>
      <c r="Q349" s="2">
        <v>0</v>
      </c>
      <c r="R349" s="2">
        <f t="shared" si="65"/>
        <v>147144.36796158552</v>
      </c>
      <c r="S349" s="2">
        <f t="shared" si="58"/>
        <v>588245.63387137651</v>
      </c>
      <c r="T349" s="2">
        <f t="shared" si="59"/>
        <v>29722773.604612276</v>
      </c>
      <c r="U349" s="11">
        <f t="shared" si="62"/>
        <v>1.1281974958156207</v>
      </c>
      <c r="V349" s="12">
        <f t="shared" si="63"/>
        <v>3.7579539544796425E-4</v>
      </c>
      <c r="W349" s="12">
        <f t="shared" si="60"/>
        <v>1.5040284393728065E-3</v>
      </c>
      <c r="X349" s="12">
        <f t="shared" si="61"/>
        <v>8.3400625812714013E-2</v>
      </c>
      <c r="Y349" s="5">
        <f t="shared" si="64"/>
        <v>0.12819749581562068</v>
      </c>
      <c r="Z349" s="19">
        <f t="shared" si="55"/>
        <v>4.4975284965890872E-2</v>
      </c>
      <c r="AA349" s="19">
        <f t="shared" si="54"/>
        <v>9.7610216068071631E-2</v>
      </c>
      <c r="AB349" s="19" t="s">
        <v>53</v>
      </c>
    </row>
    <row r="350" spans="1:28" x14ac:dyDescent="0.25">
      <c r="A350" s="1">
        <v>45603</v>
      </c>
      <c r="B350" s="1" t="str">
        <f t="shared" si="57"/>
        <v>202411</v>
      </c>
      <c r="C350" s="2">
        <v>0</v>
      </c>
      <c r="D350" s="2">
        <v>0</v>
      </c>
      <c r="E350" s="2">
        <v>0</v>
      </c>
      <c r="F350" s="2">
        <f>F349*(1+((1+VLOOKUP($B350,'IPCA Hist'!$B:$C,2,0))^12 - 1)+$F$2)^(1/252)</f>
        <v>45375774.164157294</v>
      </c>
      <c r="G350" s="2">
        <f>G349*(1+((1+VLOOKUP($B350,'IPCA Hist'!$B:$C,2,0))^12 - 1)+$G$2)^(1/252)</f>
        <v>45360984.865626439</v>
      </c>
      <c r="H350" s="2">
        <f>H349*(1+((1+VLOOKUP($B350,'IPCA Hist'!$B:$C,2,0))^12 - 1)+$H$2)^(1/252)</f>
        <v>46379828.889729261</v>
      </c>
      <c r="I350" s="2">
        <f>I349*(1+((1+VLOOKUP($B350,'IPCA Hist'!$B:$C,2,0))^12 - 1)+$I$2)^(1/252)</f>
        <v>234249261.50723472</v>
      </c>
      <c r="J350" s="2">
        <f>J349*(1+((1+VLOOKUP($B350,'IPCA Hist'!$B:$C,2,0))^12 - 1)+$J$2)^(1/252)</f>
        <v>20482967.493517011</v>
      </c>
      <c r="K350" s="2">
        <v>0</v>
      </c>
      <c r="L350" s="2">
        <v>0</v>
      </c>
      <c r="M350" s="2">
        <v>0</v>
      </c>
      <c r="N350" s="2">
        <v>0</v>
      </c>
      <c r="O350" s="2">
        <f t="shared" si="56"/>
        <v>391848816.92026472</v>
      </c>
      <c r="P350" s="2">
        <v>0</v>
      </c>
      <c r="Q350" s="2">
        <v>0</v>
      </c>
      <c r="R350" s="2">
        <f t="shared" si="65"/>
        <v>147199.70899188519</v>
      </c>
      <c r="S350" s="2">
        <f t="shared" si="58"/>
        <v>735445.3428632617</v>
      </c>
      <c r="T350" s="2">
        <f t="shared" si="59"/>
        <v>29869973.313604161</v>
      </c>
      <c r="U350" s="11">
        <f t="shared" si="62"/>
        <v>1.1286214673688957</v>
      </c>
      <c r="V350" s="12">
        <f t="shared" si="63"/>
        <v>3.7579550995947564E-4</v>
      </c>
      <c r="W350" s="12">
        <f t="shared" si="60"/>
        <v>1.8803891564667108E-3</v>
      </c>
      <c r="X350" s="12">
        <f t="shared" si="61"/>
        <v>8.3807762903381766E-2</v>
      </c>
      <c r="Y350" s="5">
        <f t="shared" si="64"/>
        <v>0.12862146736889568</v>
      </c>
      <c r="Z350" s="19">
        <f t="shared" si="55"/>
        <v>4.494478375077815E-2</v>
      </c>
      <c r="AA350" s="19">
        <f t="shared" si="54"/>
        <v>9.7665552757383756E-2</v>
      </c>
      <c r="AB350" s="19" t="s">
        <v>53</v>
      </c>
    </row>
    <row r="351" spans="1:28" x14ac:dyDescent="0.25">
      <c r="A351" s="1">
        <v>45604</v>
      </c>
      <c r="B351" s="1" t="str">
        <f t="shared" si="57"/>
        <v>202411</v>
      </c>
      <c r="C351" s="2">
        <v>0</v>
      </c>
      <c r="D351" s="2">
        <v>0</v>
      </c>
      <c r="E351" s="2">
        <v>0</v>
      </c>
      <c r="F351" s="2">
        <f>F350*(1+((1+VLOOKUP($B351,'IPCA Hist'!$B:$C,2,0))^12 - 1)+$F$2)^(1/252)</f>
        <v>45392858.46321056</v>
      </c>
      <c r="G351" s="2">
        <f>G350*(1+((1+VLOOKUP($B351,'IPCA Hist'!$B:$C,2,0))^12 - 1)+$G$2)^(1/252)</f>
        <v>45378079.973155253</v>
      </c>
      <c r="H351" s="2">
        <f>H350*(1+((1+VLOOKUP($B351,'IPCA Hist'!$B:$C,2,0))^12 - 1)+$H$2)^(1/252)</f>
        <v>46397106.931847818</v>
      </c>
      <c r="I351" s="2">
        <f>I350*(1+((1+VLOOKUP($B351,'IPCA Hist'!$B:$C,2,0))^12 - 1)+$I$2)^(1/252)</f>
        <v>234336442.5518429</v>
      </c>
      <c r="J351" s="2">
        <f>J350*(1+((1+VLOOKUP($B351,'IPCA Hist'!$B:$C,2,0))^12 - 1)+$J$2)^(1/252)</f>
        <v>20491584.071062814</v>
      </c>
      <c r="K351" s="2">
        <v>0</v>
      </c>
      <c r="L351" s="2">
        <v>0</v>
      </c>
      <c r="M351" s="2">
        <v>0</v>
      </c>
      <c r="N351" s="2">
        <v>0</v>
      </c>
      <c r="O351" s="2">
        <f t="shared" si="56"/>
        <v>391996071.99111933</v>
      </c>
      <c r="P351" s="2">
        <v>0</v>
      </c>
      <c r="Q351" s="2">
        <v>0</v>
      </c>
      <c r="R351" s="2">
        <f t="shared" si="65"/>
        <v>147255.07085460424</v>
      </c>
      <c r="S351" s="2">
        <f t="shared" si="58"/>
        <v>882700.41371786594</v>
      </c>
      <c r="T351" s="2">
        <f t="shared" si="59"/>
        <v>30017228.384458765</v>
      </c>
      <c r="U351" s="11">
        <f t="shared" si="62"/>
        <v>1.1290455983780221</v>
      </c>
      <c r="V351" s="12">
        <f t="shared" si="63"/>
        <v>3.7579562447564996E-4</v>
      </c>
      <c r="W351" s="12">
        <f t="shared" si="60"/>
        <v>2.2568914229597059E-3</v>
      </c>
      <c r="X351" s="12">
        <f t="shared" si="61"/>
        <v>8.4215053118453564E-2</v>
      </c>
      <c r="Y351" s="5">
        <f t="shared" si="64"/>
        <v>0.1290455983780221</v>
      </c>
      <c r="Z351" s="19">
        <f t="shared" si="55"/>
        <v>4.4914283541775735E-2</v>
      </c>
      <c r="AA351" s="19">
        <f t="shared" si="54"/>
        <v>9.7720892346622179E-2</v>
      </c>
      <c r="AB351" s="19" t="s">
        <v>53</v>
      </c>
    </row>
    <row r="352" spans="1:28" x14ac:dyDescent="0.25">
      <c r="A352" s="1">
        <v>45607</v>
      </c>
      <c r="B352" s="1" t="str">
        <f t="shared" si="57"/>
        <v>202411</v>
      </c>
      <c r="C352" s="2">
        <v>0</v>
      </c>
      <c r="D352" s="2">
        <v>0</v>
      </c>
      <c r="E352" s="2">
        <v>0</v>
      </c>
      <c r="F352" s="2">
        <f>F351*(1+((1+VLOOKUP($B352,'IPCA Hist'!$B:$C,2,0))^12 - 1)+$F$2)^(1/252)</f>
        <v>45409949.194622934</v>
      </c>
      <c r="G352" s="2">
        <f>G351*(1+((1+VLOOKUP($B352,'IPCA Hist'!$B:$C,2,0))^12 - 1)+$G$2)^(1/252)</f>
        <v>45395181.52328451</v>
      </c>
      <c r="H352" s="2">
        <f>H351*(1+((1+VLOOKUP($B352,'IPCA Hist'!$B:$C,2,0))^12 - 1)+$H$2)^(1/252)</f>
        <v>46414391.410616674</v>
      </c>
      <c r="I352" s="2">
        <f>I351*(1+((1+VLOOKUP($B352,'IPCA Hist'!$B:$C,2,0))^12 - 1)+$I$2)^(1/252)</f>
        <v>234423656.0428054</v>
      </c>
      <c r="J352" s="2">
        <f>J351*(1+((1+VLOOKUP($B352,'IPCA Hist'!$B:$C,2,0))^12 - 1)+$J$2)^(1/252)</f>
        <v>20500204.273347493</v>
      </c>
      <c r="K352" s="2">
        <v>0</v>
      </c>
      <c r="L352" s="2">
        <v>0</v>
      </c>
      <c r="M352" s="2">
        <v>0</v>
      </c>
      <c r="N352" s="2">
        <v>0</v>
      </c>
      <c r="O352" s="2">
        <f t="shared" si="56"/>
        <v>392143382.444677</v>
      </c>
      <c r="P352" s="2">
        <v>0</v>
      </c>
      <c r="Q352" s="2">
        <v>0</v>
      </c>
      <c r="R352" s="2">
        <f t="shared" si="65"/>
        <v>147310.45355767012</v>
      </c>
      <c r="S352" s="2">
        <f t="shared" si="58"/>
        <v>1030010.8672755361</v>
      </c>
      <c r="T352" s="2">
        <f t="shared" si="59"/>
        <v>30164538.838016436</v>
      </c>
      <c r="U352" s="11">
        <f t="shared" si="62"/>
        <v>1.1294698889030255</v>
      </c>
      <c r="V352" s="12">
        <f t="shared" si="63"/>
        <v>3.7579573899670926E-4</v>
      </c>
      <c r="W352" s="12">
        <f t="shared" si="60"/>
        <v>2.6335352921365018E-3</v>
      </c>
      <c r="X352" s="12">
        <f t="shared" si="61"/>
        <v>8.4622496515571521E-2</v>
      </c>
      <c r="Y352" s="5">
        <f t="shared" si="64"/>
        <v>0.12946988890302547</v>
      </c>
      <c r="Z352" s="19">
        <f t="shared" si="55"/>
        <v>4.4883784338852317E-2</v>
      </c>
      <c r="AA352" s="19">
        <f t="shared" si="54"/>
        <v>9.777623483594966E-2</v>
      </c>
      <c r="AB352" s="19" t="s">
        <v>53</v>
      </c>
    </row>
    <row r="353" spans="1:28" x14ac:dyDescent="0.25">
      <c r="A353" s="1">
        <v>45608</v>
      </c>
      <c r="B353" s="1" t="str">
        <f t="shared" si="57"/>
        <v>202411</v>
      </c>
      <c r="C353" s="2">
        <v>0</v>
      </c>
      <c r="D353" s="2">
        <v>0</v>
      </c>
      <c r="E353" s="2">
        <v>0</v>
      </c>
      <c r="F353" s="2">
        <f>F352*(1+((1+VLOOKUP($B353,'IPCA Hist'!$B:$C,2,0))^12 - 1)+$F$2)^(1/252)</f>
        <v>45427046.36081624</v>
      </c>
      <c r="G353" s="2">
        <f>G352*(1+((1+VLOOKUP($B353,'IPCA Hist'!$B:$C,2,0))^12 - 1)+$G$2)^(1/252)</f>
        <v>45412289.518442228</v>
      </c>
      <c r="H353" s="2">
        <f>H352*(1+((1+VLOOKUP($B353,'IPCA Hist'!$B:$C,2,0))^12 - 1)+$H$2)^(1/252)</f>
        <v>46431682.3284337</v>
      </c>
      <c r="I353" s="2">
        <f>I352*(1+((1+VLOOKUP($B353,'IPCA Hist'!$B:$C,2,0))^12 - 1)+$I$2)^(1/252)</f>
        <v>234510901.99219787</v>
      </c>
      <c r="J353" s="2">
        <f>J352*(1+((1+VLOOKUP($B353,'IPCA Hist'!$B:$C,2,0))^12 - 1)+$J$2)^(1/252)</f>
        <v>20508828.101895869</v>
      </c>
      <c r="K353" s="2">
        <v>0</v>
      </c>
      <c r="L353" s="2">
        <v>0</v>
      </c>
      <c r="M353" s="2">
        <v>0</v>
      </c>
      <c r="N353" s="2">
        <v>0</v>
      </c>
      <c r="O353" s="2">
        <f t="shared" si="56"/>
        <v>392290748.30178589</v>
      </c>
      <c r="P353" s="2">
        <v>0</v>
      </c>
      <c r="Q353" s="2">
        <v>0</v>
      </c>
      <c r="R353" s="2">
        <f t="shared" si="65"/>
        <v>147365.85710889101</v>
      </c>
      <c r="S353" s="2">
        <f t="shared" si="58"/>
        <v>1177376.7243844271</v>
      </c>
      <c r="T353" s="2">
        <f t="shared" si="59"/>
        <v>30311904.695125327</v>
      </c>
      <c r="U353" s="11">
        <f t="shared" si="62"/>
        <v>1.1298943390039533</v>
      </c>
      <c r="V353" s="12">
        <f t="shared" si="63"/>
        <v>3.7579585352220946E-4</v>
      </c>
      <c r="W353" s="12">
        <f t="shared" si="60"/>
        <v>3.0103208173015705E-3</v>
      </c>
      <c r="X353" s="12">
        <f t="shared" si="61"/>
        <v>8.5030093152399067E-2</v>
      </c>
      <c r="Y353" s="5">
        <f t="shared" si="64"/>
        <v>0.12989433900395331</v>
      </c>
      <c r="Z353" s="19">
        <f t="shared" si="55"/>
        <v>4.4853286141976367E-2</v>
      </c>
      <c r="AA353" s="19">
        <f t="shared" si="54"/>
        <v>9.7831580225527848E-2</v>
      </c>
      <c r="AB353" s="19" t="s">
        <v>53</v>
      </c>
    </row>
    <row r="354" spans="1:28" x14ac:dyDescent="0.25">
      <c r="A354" s="1">
        <v>45609</v>
      </c>
      <c r="B354" s="1" t="str">
        <f t="shared" si="57"/>
        <v>202411</v>
      </c>
      <c r="C354" s="2">
        <v>0</v>
      </c>
      <c r="D354" s="2">
        <v>0</v>
      </c>
      <c r="E354" s="2">
        <v>0</v>
      </c>
      <c r="F354" s="2">
        <f>F353*(1+((1+VLOOKUP($B354,'IPCA Hist'!$B:$C,2,0))^12 - 1)+$F$2)^(1/252)</f>
        <v>45444149.964213222</v>
      </c>
      <c r="G354" s="2">
        <f>G353*(1+((1+VLOOKUP($B354,'IPCA Hist'!$B:$C,2,0))^12 - 1)+$G$2)^(1/252)</f>
        <v>45429403.961057328</v>
      </c>
      <c r="H354" s="2">
        <f>H353*(1+((1+VLOOKUP($B354,'IPCA Hist'!$B:$C,2,0))^12 - 1)+$H$2)^(1/252)</f>
        <v>46448979.687697649</v>
      </c>
      <c r="I354" s="2">
        <f>I353*(1+((1+VLOOKUP($B354,'IPCA Hist'!$B:$C,2,0))^12 - 1)+$I$2)^(1/252)</f>
        <v>234598180.4121004</v>
      </c>
      <c r="J354" s="2">
        <f>J353*(1+((1+VLOOKUP($B354,'IPCA Hist'!$B:$C,2,0))^12 - 1)+$J$2)^(1/252)</f>
        <v>20517455.558233406</v>
      </c>
      <c r="K354" s="2">
        <v>0</v>
      </c>
      <c r="L354" s="2">
        <v>0</v>
      </c>
      <c r="M354" s="2">
        <v>0</v>
      </c>
      <c r="N354" s="2">
        <v>0</v>
      </c>
      <c r="O354" s="2">
        <f t="shared" si="56"/>
        <v>392438169.58330202</v>
      </c>
      <c r="P354" s="2">
        <v>0</v>
      </c>
      <c r="Q354" s="2">
        <v>0</v>
      </c>
      <c r="R354" s="2">
        <f t="shared" si="65"/>
        <v>147421.28151613474</v>
      </c>
      <c r="S354" s="2">
        <f t="shared" si="58"/>
        <v>1324798.0059005618</v>
      </c>
      <c r="T354" s="2">
        <f t="shared" si="59"/>
        <v>30459325.976641461</v>
      </c>
      <c r="U354" s="11">
        <f t="shared" si="62"/>
        <v>1.1303189487408765</v>
      </c>
      <c r="V354" s="12">
        <f t="shared" si="63"/>
        <v>3.7579596805259463E-4</v>
      </c>
      <c r="W354" s="12">
        <f t="shared" si="60"/>
        <v>3.387248051779812E-3</v>
      </c>
      <c r="X354" s="12">
        <f t="shared" si="61"/>
        <v>8.543784308662139E-2</v>
      </c>
      <c r="Y354" s="5">
        <f t="shared" si="64"/>
        <v>0.13031894874087646</v>
      </c>
      <c r="Z354" s="19">
        <f t="shared" si="55"/>
        <v>4.4822788951117021E-2</v>
      </c>
      <c r="AA354" s="19">
        <f t="shared" si="54"/>
        <v>9.7886928515520166E-2</v>
      </c>
      <c r="AB354" s="19" t="s">
        <v>53</v>
      </c>
    </row>
    <row r="355" spans="1:28" x14ac:dyDescent="0.25">
      <c r="A355" s="1">
        <v>45610</v>
      </c>
      <c r="B355" s="1" t="str">
        <f t="shared" si="57"/>
        <v>202411</v>
      </c>
      <c r="C355" s="2">
        <v>0</v>
      </c>
      <c r="D355" s="2">
        <v>0</v>
      </c>
      <c r="E355" s="2">
        <v>0</v>
      </c>
      <c r="F355" s="2">
        <f>F354*(1+((1+VLOOKUP($B355,'IPCA Hist'!$B:$C,2,0))^12 - 1)+$F$2)^(1/252)</f>
        <v>45461260.007237531</v>
      </c>
      <c r="G355" s="2">
        <f>G354*(1+((1+VLOOKUP($B355,'IPCA Hist'!$B:$C,2,0))^12 - 1)+$G$2)^(1/252)</f>
        <v>45446524.85355965</v>
      </c>
      <c r="H355" s="2">
        <f>H354*(1+((1+VLOOKUP($B355,'IPCA Hist'!$B:$C,2,0))^12 - 1)+$H$2)^(1/252)</f>
        <v>46466283.490808181</v>
      </c>
      <c r="I355" s="2">
        <f>I354*(1+((1+VLOOKUP($B355,'IPCA Hist'!$B:$C,2,0))^12 - 1)+$I$2)^(1/252)</f>
        <v>234685491.31459764</v>
      </c>
      <c r="J355" s="2">
        <f>J354*(1+((1+VLOOKUP($B355,'IPCA Hist'!$B:$C,2,0))^12 - 1)+$J$2)^(1/252)</f>
        <v>20526086.643886205</v>
      </c>
      <c r="K355" s="2">
        <v>0</v>
      </c>
      <c r="L355" s="2">
        <v>0</v>
      </c>
      <c r="M355" s="2">
        <v>0</v>
      </c>
      <c r="N355" s="2">
        <v>0</v>
      </c>
      <c r="O355" s="2">
        <f t="shared" si="56"/>
        <v>392585646.31008923</v>
      </c>
      <c r="P355" s="2">
        <v>0</v>
      </c>
      <c r="Q355" s="2">
        <v>0</v>
      </c>
      <c r="R355" s="2">
        <f t="shared" si="65"/>
        <v>147476.72678720951</v>
      </c>
      <c r="S355" s="2">
        <f t="shared" si="58"/>
        <v>1472274.7326877713</v>
      </c>
      <c r="T355" s="2">
        <f t="shared" si="59"/>
        <v>30606802.703428671</v>
      </c>
      <c r="U355" s="11">
        <f t="shared" si="62"/>
        <v>1.1307437181738875</v>
      </c>
      <c r="V355" s="12">
        <f t="shared" si="63"/>
        <v>3.757960825874207E-4</v>
      </c>
      <c r="W355" s="12">
        <f t="shared" si="60"/>
        <v>3.7643170489158884E-3</v>
      </c>
      <c r="X355" s="12">
        <f t="shared" si="61"/>
        <v>8.5845746375945442E-2</v>
      </c>
      <c r="Y355" s="5">
        <f t="shared" si="64"/>
        <v>0.13074371817388752</v>
      </c>
      <c r="Z355" s="19">
        <f t="shared" si="55"/>
        <v>4.4792292766242303E-2</v>
      </c>
      <c r="AA355" s="19">
        <f t="shared" si="54"/>
        <v>9.7942279706088042E-2</v>
      </c>
      <c r="AB355" s="19" t="s">
        <v>53</v>
      </c>
    </row>
    <row r="356" spans="1:28" s="17" customFormat="1" x14ac:dyDescent="0.25">
      <c r="A356" s="13">
        <v>45614</v>
      </c>
      <c r="B356" s="13" t="str">
        <f t="shared" si="57"/>
        <v>202411</v>
      </c>
      <c r="C356" s="14">
        <v>0</v>
      </c>
      <c r="D356" s="14">
        <v>0</v>
      </c>
      <c r="E356" s="14">
        <v>0</v>
      </c>
      <c r="F356" s="14">
        <f>F355*(1+((1+VLOOKUP($B356,'IPCA Hist'!$B:$C,2,0))^12 - 1)+$F$2)^(1/252)</f>
        <v>45478376.492313735</v>
      </c>
      <c r="G356" s="14">
        <f>G355*(1+((1+VLOOKUP($B356,'IPCA Hist'!$B:$C,2,0))^12 - 1)+$G$2)^(1/252)</f>
        <v>45463652.198379956</v>
      </c>
      <c r="H356" s="14">
        <f>H355*(1+((1+VLOOKUP($B356,'IPCA Hist'!$B:$C,2,0))^12 - 1)+$H$2)^(1/252)</f>
        <v>46483593.740165852</v>
      </c>
      <c r="I356" s="14">
        <f>I355*(1+((1+VLOOKUP($B356,'IPCA Hist'!$B:$C,2,0))^12 - 1)+$I$2)^(1/252)</f>
        <v>234772834.71177867</v>
      </c>
      <c r="J356" s="14">
        <f>J355*(1+((1+VLOOKUP($B356,'IPCA Hist'!$B:$C,2,0))^12 - 1)+$J$2)^(1/252)</f>
        <v>20534721.360381015</v>
      </c>
      <c r="K356" s="14">
        <v>0</v>
      </c>
      <c r="L356" s="14">
        <v>0</v>
      </c>
      <c r="M356" s="14">
        <v>0</v>
      </c>
      <c r="N356" s="14">
        <v>0</v>
      </c>
      <c r="O356" s="14">
        <f t="shared" si="56"/>
        <v>392733178.50301921</v>
      </c>
      <c r="P356" s="14">
        <v>0</v>
      </c>
      <c r="Q356" s="14">
        <v>0</v>
      </c>
      <c r="R356" s="2">
        <f t="shared" si="65"/>
        <v>147532.19292998314</v>
      </c>
      <c r="S356" s="2">
        <f t="shared" si="58"/>
        <v>1619806.9256177545</v>
      </c>
      <c r="T356" s="2">
        <f t="shared" si="59"/>
        <v>30754334.896358654</v>
      </c>
      <c r="U356" s="15">
        <f t="shared" si="62"/>
        <v>1.1311686473631024</v>
      </c>
      <c r="V356" s="16">
        <f t="shared" si="63"/>
        <v>3.757961971269097E-4</v>
      </c>
      <c r="W356" s="16">
        <f t="shared" si="60"/>
        <v>4.1415278620746676E-3</v>
      </c>
      <c r="X356" s="16">
        <f t="shared" si="61"/>
        <v>8.6253803078099933E-2</v>
      </c>
      <c r="Y356" s="5">
        <f t="shared" si="64"/>
        <v>0.13116864736310241</v>
      </c>
      <c r="Z356" s="19">
        <f t="shared" si="55"/>
        <v>4.4761797587321572E-2</v>
      </c>
      <c r="AA356" s="19">
        <f t="shared" si="54"/>
        <v>9.7997633797394235E-2</v>
      </c>
      <c r="AB356" s="19" t="s">
        <v>53</v>
      </c>
    </row>
    <row r="357" spans="1:28" x14ac:dyDescent="0.25">
      <c r="A357" s="1">
        <v>45615</v>
      </c>
      <c r="B357" s="1" t="str">
        <f t="shared" si="57"/>
        <v>202411</v>
      </c>
      <c r="C357" s="2">
        <v>0</v>
      </c>
      <c r="D357" s="2">
        <v>0</v>
      </c>
      <c r="E357" s="2">
        <v>0</v>
      </c>
      <c r="F357" s="2">
        <f>F356*(1+((1+VLOOKUP($B357,'IPCA Hist'!$B:$C,2,0))^12 - 1)+$F$2)^(1/252)</f>
        <v>45495499.421867311</v>
      </c>
      <c r="G357" s="2">
        <f>G356*(1+((1+VLOOKUP($B357,'IPCA Hist'!$B:$C,2,0))^12 - 1)+$G$2)^(1/252)</f>
        <v>45480785.997949921</v>
      </c>
      <c r="H357" s="2">
        <f>H356*(1+((1+VLOOKUP($B357,'IPCA Hist'!$B:$C,2,0))^12 - 1)+$H$2)^(1/252)</f>
        <v>46500910.438172095</v>
      </c>
      <c r="I357" s="2">
        <f>I356*(1+((1+VLOOKUP($B357,'IPCA Hist'!$B:$C,2,0))^12 - 1)+$I$2)^(1/252)</f>
        <v>234860210.61573714</v>
      </c>
      <c r="J357" s="2">
        <f>J356*(1+((1+VLOOKUP($B357,'IPCA Hist'!$B:$C,2,0))^12 - 1)+$J$2)^(1/252)</f>
        <v>20543359.70924522</v>
      </c>
      <c r="K357" s="2">
        <v>0</v>
      </c>
      <c r="L357" s="2">
        <v>0</v>
      </c>
      <c r="M357" s="2">
        <v>0</v>
      </c>
      <c r="N357" s="2">
        <v>0</v>
      </c>
      <c r="O357" s="2">
        <f t="shared" si="56"/>
        <v>392880766.18297172</v>
      </c>
      <c r="P357" s="2">
        <v>0</v>
      </c>
      <c r="Q357" s="2">
        <v>0</v>
      </c>
      <c r="R357" s="2">
        <f t="shared" si="65"/>
        <v>147587.67995250225</v>
      </c>
      <c r="S357" s="2">
        <f t="shared" si="58"/>
        <v>1767394.6055702567</v>
      </c>
      <c r="T357" s="2">
        <f t="shared" si="59"/>
        <v>30901922.576311156</v>
      </c>
      <c r="U357" s="11">
        <f t="shared" si="62"/>
        <v>1.1315937363686599</v>
      </c>
      <c r="V357" s="12">
        <f t="shared" si="63"/>
        <v>3.7579631167150573E-4</v>
      </c>
      <c r="W357" s="12">
        <f t="shared" si="60"/>
        <v>4.518880544641446E-3</v>
      </c>
      <c r="X357" s="12">
        <f t="shared" si="61"/>
        <v>8.6662013250835779E-2</v>
      </c>
      <c r="Y357" s="5">
        <f t="shared" si="64"/>
        <v>0.1315937363686599</v>
      </c>
      <c r="Z357" s="19">
        <f t="shared" si="55"/>
        <v>4.4731303414323742E-2</v>
      </c>
      <c r="AA357" s="19">
        <f t="shared" si="54"/>
        <v>9.8052990789601724E-2</v>
      </c>
      <c r="AB357" s="19" t="s">
        <v>53</v>
      </c>
    </row>
    <row r="358" spans="1:28" x14ac:dyDescent="0.25">
      <c r="A358" s="1">
        <v>45617</v>
      </c>
      <c r="B358" s="1" t="str">
        <f t="shared" si="57"/>
        <v>202411</v>
      </c>
      <c r="C358" s="2">
        <v>0</v>
      </c>
      <c r="D358" s="2">
        <v>0</v>
      </c>
      <c r="E358" s="2">
        <v>0</v>
      </c>
      <c r="F358" s="2">
        <f>F357*(1+((1+VLOOKUP($B358,'IPCA Hist'!$B:$C,2,0))^12 - 1)+$F$2)^(1/252)</f>
        <v>45512628.798324645</v>
      </c>
      <c r="G358" s="2">
        <f>G357*(1+((1+VLOOKUP($B358,'IPCA Hist'!$B:$C,2,0))^12 - 1)+$G$2)^(1/252)</f>
        <v>45497926.254702128</v>
      </c>
      <c r="H358" s="2">
        <f>H357*(1+((1+VLOOKUP($B358,'IPCA Hist'!$B:$C,2,0))^12 - 1)+$H$2)^(1/252)</f>
        <v>46518233.587229252</v>
      </c>
      <c r="I358" s="2">
        <f>I357*(1+((1+VLOOKUP($B358,'IPCA Hist'!$B:$C,2,0))^12 - 1)+$I$2)^(1/252)</f>
        <v>234947619.03857115</v>
      </c>
      <c r="J358" s="2">
        <f>J357*(1+((1+VLOOKUP($B358,'IPCA Hist'!$B:$C,2,0))^12 - 1)+$J$2)^(1/252)</f>
        <v>20552001.692006849</v>
      </c>
      <c r="K358" s="2">
        <v>0</v>
      </c>
      <c r="L358" s="2">
        <v>0</v>
      </c>
      <c r="M358" s="2">
        <v>0</v>
      </c>
      <c r="N358" s="2">
        <v>0</v>
      </c>
      <c r="O358" s="2">
        <f t="shared" si="56"/>
        <v>393028409.37083399</v>
      </c>
      <c r="P358" s="2">
        <v>0</v>
      </c>
      <c r="Q358" s="2">
        <v>0</v>
      </c>
      <c r="R358" s="2">
        <f t="shared" si="65"/>
        <v>147643.18786227703</v>
      </c>
      <c r="S358" s="2">
        <f t="shared" si="58"/>
        <v>1915037.7934325337</v>
      </c>
      <c r="T358" s="2">
        <f t="shared" si="59"/>
        <v>31049565.764173433</v>
      </c>
      <c r="U358" s="11">
        <f t="shared" si="62"/>
        <v>1.1320189852507205</v>
      </c>
      <c r="V358" s="12">
        <f t="shared" si="63"/>
        <v>3.7579642622032061E-4</v>
      </c>
      <c r="W358" s="12">
        <f t="shared" si="60"/>
        <v>4.8963751500210595E-3</v>
      </c>
      <c r="X358" s="12">
        <f t="shared" si="61"/>
        <v>8.7070376951924766E-2</v>
      </c>
      <c r="Y358" s="5">
        <f t="shared" si="64"/>
        <v>0.13201898525072053</v>
      </c>
      <c r="Z358" s="19">
        <f t="shared" si="55"/>
        <v>4.4700810247216616E-2</v>
      </c>
      <c r="AA358" s="19">
        <f t="shared" si="54"/>
        <v>9.8108350682872159E-2</v>
      </c>
      <c r="AB358" s="19" t="s">
        <v>53</v>
      </c>
    </row>
    <row r="359" spans="1:28" x14ac:dyDescent="0.25">
      <c r="A359" s="1">
        <v>45618</v>
      </c>
      <c r="B359" s="1" t="str">
        <f t="shared" si="57"/>
        <v>202411</v>
      </c>
      <c r="C359" s="2">
        <v>0</v>
      </c>
      <c r="D359" s="2">
        <v>0</v>
      </c>
      <c r="E359" s="2">
        <v>0</v>
      </c>
      <c r="F359" s="2">
        <f>F358*(1+((1+VLOOKUP($B359,'IPCA Hist'!$B:$C,2,0))^12 - 1)+$F$2)^(1/252)</f>
        <v>45529764.624113046</v>
      </c>
      <c r="G359" s="2">
        <f>G358*(1+((1+VLOOKUP($B359,'IPCA Hist'!$B:$C,2,0))^12 - 1)+$G$2)^(1/252)</f>
        <v>45515072.971070081</v>
      </c>
      <c r="H359" s="2">
        <f>H358*(1+((1+VLOOKUP($B359,'IPCA Hist'!$B:$C,2,0))^12 - 1)+$H$2)^(1/252)</f>
        <v>46535563.189740553</v>
      </c>
      <c r="I359" s="2">
        <f>I358*(1+((1+VLOOKUP($B359,'IPCA Hist'!$B:$C,2,0))^12 - 1)+$I$2)^(1/252)</f>
        <v>235035059.99238333</v>
      </c>
      <c r="J359" s="2">
        <f>J358*(1+((1+VLOOKUP($B359,'IPCA Hist'!$B:$C,2,0))^12 - 1)+$J$2)^(1/252)</f>
        <v>20560647.310194578</v>
      </c>
      <c r="K359" s="2">
        <v>0</v>
      </c>
      <c r="L359" s="2">
        <v>0</v>
      </c>
      <c r="M359" s="2">
        <v>0</v>
      </c>
      <c r="N359" s="2">
        <v>0</v>
      </c>
      <c r="O359" s="2">
        <f t="shared" si="56"/>
        <v>393176108.08750159</v>
      </c>
      <c r="P359" s="2">
        <v>0</v>
      </c>
      <c r="Q359" s="2">
        <v>0</v>
      </c>
      <c r="R359" s="2">
        <f t="shared" si="65"/>
        <v>147698.71666759253</v>
      </c>
      <c r="S359" s="2">
        <f t="shared" si="58"/>
        <v>2062736.5101001263</v>
      </c>
      <c r="T359" s="2">
        <f t="shared" si="59"/>
        <v>31197264.480841026</v>
      </c>
      <c r="U359" s="11">
        <f t="shared" si="62"/>
        <v>1.1324443940694686</v>
      </c>
      <c r="V359" s="12">
        <f t="shared" si="63"/>
        <v>3.7579654077424252E-4</v>
      </c>
      <c r="W359" s="12">
        <f t="shared" si="60"/>
        <v>5.2740117316389945E-3</v>
      </c>
      <c r="X359" s="12">
        <f t="shared" si="61"/>
        <v>8.7478894239161553E-2</v>
      </c>
      <c r="Y359" s="5">
        <f t="shared" si="64"/>
        <v>0.13244439406946862</v>
      </c>
      <c r="Z359" s="19">
        <f t="shared" si="55"/>
        <v>4.4670318085970218E-2</v>
      </c>
      <c r="AA359" s="19">
        <f t="shared" si="54"/>
        <v>9.8163713477368741E-2</v>
      </c>
      <c r="AB359" s="19" t="s">
        <v>53</v>
      </c>
    </row>
    <row r="360" spans="1:28" x14ac:dyDescent="0.25">
      <c r="A360" s="1">
        <v>45621</v>
      </c>
      <c r="B360" s="1" t="str">
        <f t="shared" si="57"/>
        <v>202411</v>
      </c>
      <c r="C360" s="2">
        <v>0</v>
      </c>
      <c r="D360" s="2">
        <v>0</v>
      </c>
      <c r="E360" s="2">
        <v>0</v>
      </c>
      <c r="F360" s="2">
        <f>F359*(1+((1+VLOOKUP($B360,'IPCA Hist'!$B:$C,2,0))^12 - 1)+$F$2)^(1/252)</f>
        <v>45546906.901660733</v>
      </c>
      <c r="G360" s="2">
        <f>G359*(1+((1+VLOOKUP($B360,'IPCA Hist'!$B:$C,2,0))^12 - 1)+$G$2)^(1/252)</f>
        <v>45532226.149488211</v>
      </c>
      <c r="H360" s="2">
        <f>H359*(1+((1+VLOOKUP($B360,'IPCA Hist'!$B:$C,2,0))^12 - 1)+$H$2)^(1/252)</f>
        <v>46552899.24811013</v>
      </c>
      <c r="I360" s="2">
        <f>I359*(1+((1+VLOOKUP($B360,'IPCA Hist'!$B:$C,2,0))^12 - 1)+$I$2)^(1/252)</f>
        <v>235122533.48928079</v>
      </c>
      <c r="J360" s="2">
        <f>J359*(1+((1+VLOOKUP($B360,'IPCA Hist'!$B:$C,2,0))^12 - 1)+$J$2)^(1/252)</f>
        <v>20569296.565337721</v>
      </c>
      <c r="K360" s="2">
        <v>0</v>
      </c>
      <c r="L360" s="2">
        <v>0</v>
      </c>
      <c r="M360" s="2">
        <v>0</v>
      </c>
      <c r="N360" s="2">
        <v>0</v>
      </c>
      <c r="O360" s="2">
        <f t="shared" si="56"/>
        <v>393323862.3538776</v>
      </c>
      <c r="P360" s="2">
        <v>0</v>
      </c>
      <c r="Q360" s="2">
        <v>0</v>
      </c>
      <c r="R360" s="2">
        <f t="shared" si="65"/>
        <v>147754.26637601852</v>
      </c>
      <c r="S360" s="2">
        <f t="shared" si="58"/>
        <v>2210490.7764761448</v>
      </c>
      <c r="T360" s="2">
        <f t="shared" si="59"/>
        <v>31345018.747217044</v>
      </c>
      <c r="U360" s="11">
        <f t="shared" si="62"/>
        <v>1.1328699628851104</v>
      </c>
      <c r="V360" s="12">
        <f t="shared" si="63"/>
        <v>3.7579665533282736E-4</v>
      </c>
      <c r="W360" s="12">
        <f t="shared" si="60"/>
        <v>5.6517903429407212E-3</v>
      </c>
      <c r="X360" s="12">
        <f t="shared" si="61"/>
        <v>8.788756517036167E-2</v>
      </c>
      <c r="Y360" s="5">
        <f t="shared" si="64"/>
        <v>0.13286996288511044</v>
      </c>
      <c r="Z360" s="19">
        <f t="shared" si="55"/>
        <v>4.4639826930553461E-2</v>
      </c>
      <c r="AA360" s="19">
        <f t="shared" si="54"/>
        <v>9.8219079173253787E-2</v>
      </c>
      <c r="AB360" s="19" t="s">
        <v>53</v>
      </c>
    </row>
    <row r="361" spans="1:28" x14ac:dyDescent="0.25">
      <c r="A361" s="1">
        <v>45622</v>
      </c>
      <c r="B361" s="1" t="str">
        <f t="shared" si="57"/>
        <v>202411</v>
      </c>
      <c r="C361" s="2">
        <v>0</v>
      </c>
      <c r="D361" s="2">
        <v>0</v>
      </c>
      <c r="E361" s="2">
        <v>0</v>
      </c>
      <c r="F361" s="2">
        <f>F360*(1+((1+VLOOKUP($B361,'IPCA Hist'!$B:$C,2,0))^12 - 1)+$F$2)^(1/252)</f>
        <v>45564055.633396842</v>
      </c>
      <c r="G361" s="2">
        <f>G360*(1+((1+VLOOKUP($B361,'IPCA Hist'!$B:$C,2,0))^12 - 1)+$G$2)^(1/252)</f>
        <v>45549385.792391852</v>
      </c>
      <c r="H361" s="2">
        <f>H360*(1+((1+VLOOKUP($B361,'IPCA Hist'!$B:$C,2,0))^12 - 1)+$H$2)^(1/252)</f>
        <v>46570241.764743</v>
      </c>
      <c r="I361" s="2">
        <f>I360*(1+((1+VLOOKUP($B361,'IPCA Hist'!$B:$C,2,0))^12 - 1)+$I$2)^(1/252)</f>
        <v>235210039.54137516</v>
      </c>
      <c r="J361" s="2">
        <f>J360*(1+((1+VLOOKUP($B361,'IPCA Hist'!$B:$C,2,0))^12 - 1)+$J$2)^(1/252)</f>
        <v>20577949.45896624</v>
      </c>
      <c r="K361" s="2">
        <v>0</v>
      </c>
      <c r="L361" s="2">
        <v>0</v>
      </c>
      <c r="M361" s="2">
        <v>0</v>
      </c>
      <c r="N361" s="2">
        <v>0</v>
      </c>
      <c r="O361" s="2">
        <f t="shared" si="56"/>
        <v>393471672.19087315</v>
      </c>
      <c r="P361" s="2">
        <v>0</v>
      </c>
      <c r="Q361" s="2">
        <v>0</v>
      </c>
      <c r="R361" s="2">
        <f t="shared" si="65"/>
        <v>147809.83699554205</v>
      </c>
      <c r="S361" s="2">
        <f t="shared" si="58"/>
        <v>2358300.6134716868</v>
      </c>
      <c r="T361" s="2">
        <f t="shared" si="59"/>
        <v>31492828.584212586</v>
      </c>
      <c r="U361" s="11">
        <f t="shared" si="62"/>
        <v>1.1332956917578747</v>
      </c>
      <c r="V361" s="12">
        <f t="shared" si="63"/>
        <v>3.7579676989585309E-4</v>
      </c>
      <c r="W361" s="12">
        <f t="shared" si="60"/>
        <v>6.029711037391472E-3</v>
      </c>
      <c r="X361" s="12">
        <f t="shared" si="61"/>
        <v>8.8296389803362629E-2</v>
      </c>
      <c r="Y361" s="5">
        <f t="shared" si="64"/>
        <v>0.1332956917578747</v>
      </c>
      <c r="Z361" s="19">
        <f t="shared" si="55"/>
        <v>4.4609336780933706E-2</v>
      </c>
      <c r="AA361" s="19">
        <f t="shared" si="54"/>
        <v>9.8274447770689166E-2</v>
      </c>
      <c r="AB361" s="19" t="s">
        <v>53</v>
      </c>
    </row>
    <row r="362" spans="1:28" x14ac:dyDescent="0.25">
      <c r="A362" s="1">
        <v>45623</v>
      </c>
      <c r="B362" s="1" t="str">
        <f t="shared" si="57"/>
        <v>202411</v>
      </c>
      <c r="C362" s="2">
        <v>0</v>
      </c>
      <c r="D362" s="2">
        <v>0</v>
      </c>
      <c r="E362" s="2">
        <v>0</v>
      </c>
      <c r="F362" s="2">
        <f>F361*(1+((1+VLOOKUP($B362,'IPCA Hist'!$B:$C,2,0))^12 - 1)+$F$2)^(1/252)</f>
        <v>45581210.821751416</v>
      </c>
      <c r="G362" s="2">
        <f>G361*(1+((1+VLOOKUP($B362,'IPCA Hist'!$B:$C,2,0))^12 - 1)+$G$2)^(1/252)</f>
        <v>45566551.902217261</v>
      </c>
      <c r="H362" s="2">
        <f>H361*(1+((1+VLOOKUP($B362,'IPCA Hist'!$B:$C,2,0))^12 - 1)+$H$2)^(1/252)</f>
        <v>46587590.74204509</v>
      </c>
      <c r="I362" s="2">
        <f>I361*(1+((1+VLOOKUP($B362,'IPCA Hist'!$B:$C,2,0))^12 - 1)+$I$2)^(1/252)</f>
        <v>235297578.16078258</v>
      </c>
      <c r="J362" s="2">
        <f>J361*(1+((1+VLOOKUP($B362,'IPCA Hist'!$B:$C,2,0))^12 - 1)+$J$2)^(1/252)</f>
        <v>20586605.992610738</v>
      </c>
      <c r="K362" s="2">
        <v>0</v>
      </c>
      <c r="L362" s="2">
        <v>0</v>
      </c>
      <c r="M362" s="2">
        <v>0</v>
      </c>
      <c r="N362" s="2">
        <v>0</v>
      </c>
      <c r="O362" s="2">
        <f t="shared" si="56"/>
        <v>393619537.61940712</v>
      </c>
      <c r="P362" s="2">
        <v>0</v>
      </c>
      <c r="Q362" s="2">
        <v>0</v>
      </c>
      <c r="R362" s="2">
        <f t="shared" si="65"/>
        <v>147865.42853397131</v>
      </c>
      <c r="S362" s="2">
        <f t="shared" si="58"/>
        <v>2506166.0420056581</v>
      </c>
      <c r="T362" s="2">
        <f t="shared" si="59"/>
        <v>31640694.012746558</v>
      </c>
      <c r="U362" s="11">
        <f t="shared" si="62"/>
        <v>1.1337215807480132</v>
      </c>
      <c r="V362" s="12">
        <f t="shared" si="63"/>
        <v>3.7579688446354176E-4</v>
      </c>
      <c r="W362" s="12">
        <f t="shared" si="60"/>
        <v>6.407773868477129E-3</v>
      </c>
      <c r="X362" s="12">
        <f t="shared" si="61"/>
        <v>8.8705368196023704E-2</v>
      </c>
      <c r="Y362" s="5">
        <f t="shared" si="64"/>
        <v>0.13372158074801321</v>
      </c>
      <c r="Z362" s="19">
        <f t="shared" si="55"/>
        <v>4.457884763708031E-2</v>
      </c>
      <c r="AA362" s="19">
        <f t="shared" si="54"/>
        <v>9.8329819269837859E-2</v>
      </c>
      <c r="AB362" s="19" t="s">
        <v>53</v>
      </c>
    </row>
    <row r="363" spans="1:28" x14ac:dyDescent="0.25">
      <c r="A363" s="1">
        <v>45624</v>
      </c>
      <c r="B363" s="1" t="str">
        <f t="shared" si="57"/>
        <v>202411</v>
      </c>
      <c r="C363" s="2">
        <v>0</v>
      </c>
      <c r="D363" s="2">
        <v>0</v>
      </c>
      <c r="E363" s="2">
        <v>0</v>
      </c>
      <c r="F363" s="2">
        <f>F362*(1+((1+VLOOKUP($B363,'IPCA Hist'!$B:$C,2,0))^12 - 1)+$F$2)^(1/252)</f>
        <v>45598372.469155416</v>
      </c>
      <c r="G363" s="2">
        <f>G362*(1+((1+VLOOKUP($B363,'IPCA Hist'!$B:$C,2,0))^12 - 1)+$G$2)^(1/252)</f>
        <v>45583724.481401622</v>
      </c>
      <c r="H363" s="2">
        <f>H362*(1+((1+VLOOKUP($B363,'IPCA Hist'!$B:$C,2,0))^12 - 1)+$H$2)^(1/252)</f>
        <v>46604946.182423212</v>
      </c>
      <c r="I363" s="2">
        <f>I362*(1+((1+VLOOKUP($B363,'IPCA Hist'!$B:$C,2,0))^12 - 1)+$I$2)^(1/252)</f>
        <v>235385149.3596237</v>
      </c>
      <c r="J363" s="2">
        <f>J362*(1+((1+VLOOKUP($B363,'IPCA Hist'!$B:$C,2,0))^12 - 1)+$J$2)^(1/252)</f>
        <v>20595266.16780246</v>
      </c>
      <c r="K363" s="2">
        <v>0</v>
      </c>
      <c r="L363" s="2">
        <v>0</v>
      </c>
      <c r="M363" s="2">
        <v>0</v>
      </c>
      <c r="N363" s="2">
        <v>0</v>
      </c>
      <c r="O363" s="2">
        <f t="shared" si="56"/>
        <v>393767458.66040641</v>
      </c>
      <c r="P363" s="2">
        <v>0</v>
      </c>
      <c r="Q363" s="2">
        <v>0</v>
      </c>
      <c r="R363" s="2">
        <f t="shared" si="65"/>
        <v>147921.04099929333</v>
      </c>
      <c r="S363" s="2">
        <f t="shared" si="58"/>
        <v>2654087.0830049515</v>
      </c>
      <c r="T363" s="2">
        <f t="shared" si="59"/>
        <v>31788615.053745851</v>
      </c>
      <c r="U363" s="11">
        <f t="shared" si="62"/>
        <v>1.1341476299158006</v>
      </c>
      <c r="V363" s="12">
        <f t="shared" si="63"/>
        <v>3.7579699903589336E-4</v>
      </c>
      <c r="W363" s="12">
        <f t="shared" si="60"/>
        <v>6.7859788897033368E-3</v>
      </c>
      <c r="X363" s="12">
        <f t="shared" si="61"/>
        <v>8.9114500406225927E-2</v>
      </c>
      <c r="Y363" s="5">
        <f t="shared" si="64"/>
        <v>0.13414762991580065</v>
      </c>
      <c r="Z363" s="19">
        <f t="shared" si="55"/>
        <v>4.4666534163461336E-2</v>
      </c>
      <c r="AA363" s="19">
        <f t="shared" si="54"/>
        <v>9.8385193670861737E-2</v>
      </c>
      <c r="AB363" s="19" t="s">
        <v>53</v>
      </c>
    </row>
    <row r="364" spans="1:28" x14ac:dyDescent="0.25">
      <c r="A364" s="1">
        <v>45625</v>
      </c>
      <c r="B364" s="1" t="str">
        <f t="shared" si="57"/>
        <v>202411</v>
      </c>
      <c r="C364" s="2">
        <v>0</v>
      </c>
      <c r="D364" s="2">
        <v>0</v>
      </c>
      <c r="E364" s="2">
        <v>0</v>
      </c>
      <c r="F364" s="2">
        <f>F363*(1+((1+VLOOKUP($B364,'IPCA Hist'!$B:$C,2,0))^12 - 1)+$F$2)^(1/252)</f>
        <v>45615540.578040719</v>
      </c>
      <c r="G364" s="2">
        <f>G363*(1+((1+VLOOKUP($B364,'IPCA Hist'!$B:$C,2,0))^12 - 1)+$G$2)^(1/252)</f>
        <v>45600903.532383025</v>
      </c>
      <c r="H364" s="2">
        <f>H363*(1+((1+VLOOKUP($B364,'IPCA Hist'!$B:$C,2,0))^12 - 1)+$H$2)^(1/252)</f>
        <v>46622308.088285081</v>
      </c>
      <c r="I364" s="2">
        <f>I363*(1+((1+VLOOKUP($B364,'IPCA Hist'!$B:$C,2,0))^12 - 1)+$I$2)^(1/252)</f>
        <v>235472753.15002367</v>
      </c>
      <c r="J364" s="2">
        <f>J363*(1+((1+VLOOKUP($B364,'IPCA Hist'!$B:$C,2,0))^12 - 1)+$J$2)^(1/252)</f>
        <v>20603929.986073297</v>
      </c>
      <c r="K364" s="2">
        <v>0</v>
      </c>
      <c r="L364" s="2">
        <v>0</v>
      </c>
      <c r="M364" s="2">
        <v>0</v>
      </c>
      <c r="N364" s="2">
        <v>0</v>
      </c>
      <c r="O364" s="2">
        <f t="shared" si="56"/>
        <v>393915435.33480579</v>
      </c>
      <c r="P364" s="2">
        <v>0</v>
      </c>
      <c r="Q364" s="2">
        <v>0</v>
      </c>
      <c r="R364" s="2">
        <f t="shared" si="65"/>
        <v>147976.67439937592</v>
      </c>
      <c r="S364" s="2">
        <f t="shared" si="58"/>
        <v>2802063.7574043274</v>
      </c>
      <c r="T364" s="2">
        <f t="shared" si="59"/>
        <v>31936591.728145227</v>
      </c>
      <c r="U364" s="11">
        <f t="shared" si="62"/>
        <v>1.1345738393215341</v>
      </c>
      <c r="V364" s="12">
        <f t="shared" si="63"/>
        <v>3.7579711361312995E-4</v>
      </c>
      <c r="W364" s="12">
        <f t="shared" si="60"/>
        <v>7.1643261545961678E-3</v>
      </c>
      <c r="X364" s="12">
        <f t="shared" si="61"/>
        <v>8.9523786491872759E-2</v>
      </c>
      <c r="Y364" s="5">
        <f t="shared" si="64"/>
        <v>0.13457383932153411</v>
      </c>
      <c r="Z364" s="19">
        <f t="shared" si="55"/>
        <v>4.4754228166283605E-2</v>
      </c>
      <c r="AA364" s="19">
        <f t="shared" si="54"/>
        <v>9.8440570973924446E-2</v>
      </c>
      <c r="AB364" s="19" t="s">
        <v>53</v>
      </c>
    </row>
    <row r="365" spans="1:28" x14ac:dyDescent="0.25">
      <c r="A365" s="1">
        <v>45628</v>
      </c>
      <c r="B365" s="1" t="str">
        <f t="shared" si="57"/>
        <v>202412</v>
      </c>
      <c r="C365" s="2">
        <v>0</v>
      </c>
      <c r="D365" s="2">
        <v>0</v>
      </c>
      <c r="E365" s="2">
        <v>0</v>
      </c>
      <c r="F365" s="2">
        <f>F364*(1+((1+VLOOKUP($B365,'IPCA Hist'!$B:$C,2,0))^12 - 1)+$F$2)^(1/252)</f>
        <v>45635396.089216068</v>
      </c>
      <c r="G365" s="2">
        <f>G364*(1+((1+VLOOKUP($B365,'IPCA Hist'!$B:$C,2,0))^12 - 1)+$G$2)^(1/252)</f>
        <v>45620768.894745618</v>
      </c>
      <c r="H365" s="2">
        <f>H364*(1+((1+VLOOKUP($B365,'IPCA Hist'!$B:$C,2,0))^12 - 1)+$H$2)^(1/252)</f>
        <v>46642419.283672281</v>
      </c>
      <c r="I365" s="2">
        <f>I364*(1+((1+VLOOKUP($B365,'IPCA Hist'!$B:$C,2,0))^12 - 1)+$I$2)^(1/252)</f>
        <v>235574243.81104061</v>
      </c>
      <c r="J365" s="2">
        <f>J364*(1+((1+VLOOKUP($B365,'IPCA Hist'!$B:$C,2,0))^12 - 1)+$J$2)^(1/252)</f>
        <v>20613795.146311507</v>
      </c>
      <c r="K365" s="2">
        <v>0</v>
      </c>
      <c r="L365" s="2">
        <v>0</v>
      </c>
      <c r="M365" s="2">
        <v>0</v>
      </c>
      <c r="N365" s="2">
        <v>0</v>
      </c>
      <c r="O365" s="2">
        <f t="shared" si="56"/>
        <v>394086623.22498608</v>
      </c>
      <c r="P365" s="2">
        <v>0</v>
      </c>
      <c r="Q365" s="2">
        <v>0</v>
      </c>
      <c r="R365" s="2">
        <f t="shared" si="65"/>
        <v>171187.89018028975</v>
      </c>
      <c r="S365" s="2">
        <f t="shared" si="58"/>
        <v>171187.89018028975</v>
      </c>
      <c r="T365" s="2">
        <f t="shared" si="59"/>
        <v>32107779.618325517</v>
      </c>
      <c r="U365" s="11">
        <f t="shared" si="62"/>
        <v>1.1350669027670985</v>
      </c>
      <c r="V365" s="12">
        <f t="shared" si="63"/>
        <v>4.3458030537646408E-4</v>
      </c>
      <c r="W365" s="12">
        <f t="shared" si="60"/>
        <v>4.3458030537646408E-4</v>
      </c>
      <c r="X365" s="12">
        <f t="shared" si="61"/>
        <v>8.9997272071721257E-2</v>
      </c>
      <c r="Y365" s="5">
        <f t="shared" si="64"/>
        <v>0.13506690276709854</v>
      </c>
      <c r="Z365" s="19">
        <f t="shared" si="55"/>
        <v>4.4903325597564159E-2</v>
      </c>
      <c r="AA365" s="19">
        <f t="shared" si="54"/>
        <v>9.8421432753118543E-2</v>
      </c>
      <c r="AB365" s="19" t="s">
        <v>53</v>
      </c>
    </row>
    <row r="366" spans="1:28" x14ac:dyDescent="0.25">
      <c r="A366" s="1">
        <v>45629</v>
      </c>
      <c r="B366" s="1" t="str">
        <f t="shared" si="57"/>
        <v>202412</v>
      </c>
      <c r="C366" s="2">
        <v>0</v>
      </c>
      <c r="D366" s="2">
        <v>0</v>
      </c>
      <c r="E366" s="2">
        <v>0</v>
      </c>
      <c r="F366" s="2">
        <f>F365*(1+((1+VLOOKUP($B366,'IPCA Hist'!$B:$C,2,0))^12 - 1)+$F$2)^(1/252)</f>
        <v>45655260.243089035</v>
      </c>
      <c r="G366" s="2">
        <f>G365*(1+((1+VLOOKUP($B366,'IPCA Hist'!$B:$C,2,0))^12 - 1)+$G$2)^(1/252)</f>
        <v>45640642.911160894</v>
      </c>
      <c r="H366" s="2">
        <f>H365*(1+((1+VLOOKUP($B366,'IPCA Hist'!$B:$C,2,0))^12 - 1)+$H$2)^(1/252)</f>
        <v>46662539.154309511</v>
      </c>
      <c r="I366" s="2">
        <f>I365*(1+((1+VLOOKUP($B366,'IPCA Hist'!$B:$C,2,0))^12 - 1)+$I$2)^(1/252)</f>
        <v>235675778.21535325</v>
      </c>
      <c r="J366" s="2">
        <f>J365*(1+((1+VLOOKUP($B366,'IPCA Hist'!$B:$C,2,0))^12 - 1)+$J$2)^(1/252)</f>
        <v>20623665.029987749</v>
      </c>
      <c r="K366" s="2">
        <v>0</v>
      </c>
      <c r="L366" s="2">
        <v>0</v>
      </c>
      <c r="M366" s="2">
        <v>0</v>
      </c>
      <c r="N366" s="2">
        <v>0</v>
      </c>
      <c r="O366" s="2">
        <f t="shared" si="56"/>
        <v>394257885.55390042</v>
      </c>
      <c r="P366" s="2">
        <v>0</v>
      </c>
      <c r="Q366" s="2">
        <v>0</v>
      </c>
      <c r="R366" s="2">
        <f t="shared" si="65"/>
        <v>171262.32891434431</v>
      </c>
      <c r="S366" s="2">
        <f t="shared" si="58"/>
        <v>342450.21909463406</v>
      </c>
      <c r="T366" s="2">
        <f t="shared" si="59"/>
        <v>32279041.947239861</v>
      </c>
      <c r="U366" s="11">
        <f t="shared" si="62"/>
        <v>1.1355601806146203</v>
      </c>
      <c r="V366" s="12">
        <f t="shared" si="63"/>
        <v>4.3458041664257152E-4</v>
      </c>
      <c r="W366" s="12">
        <f t="shared" si="60"/>
        <v>8.6934958210926894E-4</v>
      </c>
      <c r="X366" s="12">
        <f t="shared" si="61"/>
        <v>9.0470963540357552E-2</v>
      </c>
      <c r="Y366" s="5">
        <f t="shared" si="64"/>
        <v>0.13556018061462027</v>
      </c>
      <c r="Z366" s="19">
        <f t="shared" si="55"/>
        <v>4.5052444418836046E-2</v>
      </c>
      <c r="AA366" s="19">
        <f t="shared" si="54"/>
        <v>9.8402294973306992E-2</v>
      </c>
      <c r="AB366" s="19" t="s">
        <v>53</v>
      </c>
    </row>
    <row r="367" spans="1:28" x14ac:dyDescent="0.25">
      <c r="A367" s="1">
        <v>45630</v>
      </c>
      <c r="B367" s="1" t="str">
        <f t="shared" si="57"/>
        <v>202412</v>
      </c>
      <c r="C367" s="2">
        <v>0</v>
      </c>
      <c r="D367" s="2">
        <v>0</v>
      </c>
      <c r="E367" s="2">
        <v>0</v>
      </c>
      <c r="F367" s="2">
        <f>F366*(1+((1+VLOOKUP($B367,'IPCA Hist'!$B:$C,2,0))^12 - 1)+$F$2)^(1/252)</f>
        <v>45675133.043421611</v>
      </c>
      <c r="G367" s="2">
        <f>G366*(1+((1+VLOOKUP($B367,'IPCA Hist'!$B:$C,2,0))^12 - 1)+$G$2)^(1/252)</f>
        <v>45660525.585398868</v>
      </c>
      <c r="H367" s="2">
        <f>H366*(1+((1+VLOOKUP($B367,'IPCA Hist'!$B:$C,2,0))^12 - 1)+$H$2)^(1/252)</f>
        <v>46682667.703938976</v>
      </c>
      <c r="I367" s="2">
        <f>I366*(1+((1+VLOOKUP($B367,'IPCA Hist'!$B:$C,2,0))^12 - 1)+$I$2)^(1/252)</f>
        <v>235777356.38181534</v>
      </c>
      <c r="J367" s="2">
        <f>J366*(1+((1+VLOOKUP($B367,'IPCA Hist'!$B:$C,2,0))^12 - 1)+$J$2)^(1/252)</f>
        <v>20633539.639363606</v>
      </c>
      <c r="K367" s="2">
        <v>0</v>
      </c>
      <c r="L367" s="2">
        <v>0</v>
      </c>
      <c r="M367" s="2">
        <v>0</v>
      </c>
      <c r="N367" s="2">
        <v>0</v>
      </c>
      <c r="O367" s="2">
        <f t="shared" si="56"/>
        <v>394429222.3539384</v>
      </c>
      <c r="P367" s="2">
        <v>0</v>
      </c>
      <c r="Q367" s="2">
        <v>0</v>
      </c>
      <c r="R367" s="2">
        <f t="shared" si="65"/>
        <v>171336.80003798008</v>
      </c>
      <c r="S367" s="2">
        <f t="shared" si="58"/>
        <v>513787.01913261414</v>
      </c>
      <c r="T367" s="2">
        <f t="shared" si="59"/>
        <v>32450378.747277841</v>
      </c>
      <c r="U367" s="11">
        <f t="shared" si="62"/>
        <v>1.1360536729573891</v>
      </c>
      <c r="V367" s="12">
        <f t="shared" si="63"/>
        <v>4.345805279133419E-4</v>
      </c>
      <c r="W367" s="12">
        <f t="shared" si="60"/>
        <v>1.304307912422864E-3</v>
      </c>
      <c r="X367" s="12">
        <f t="shared" si="61"/>
        <v>9.0944860987367093E-2</v>
      </c>
      <c r="Y367" s="5">
        <f t="shared" si="64"/>
        <v>0.13605367295738913</v>
      </c>
      <c r="Z367" s="19">
        <f t="shared" si="55"/>
        <v>4.5201584633188574E-2</v>
      </c>
      <c r="AA367" s="19">
        <f t="shared" si="54"/>
        <v>9.8383157634483576E-2</v>
      </c>
      <c r="AB367" s="19" t="s">
        <v>53</v>
      </c>
    </row>
    <row r="368" spans="1:28" x14ac:dyDescent="0.25">
      <c r="A368" s="1">
        <v>45631</v>
      </c>
      <c r="B368" s="1" t="str">
        <f t="shared" si="57"/>
        <v>202412</v>
      </c>
      <c r="C368" s="2">
        <v>0</v>
      </c>
      <c r="D368" s="2">
        <v>0</v>
      </c>
      <c r="E368" s="2">
        <v>0</v>
      </c>
      <c r="F368" s="2">
        <f>F367*(1+((1+VLOOKUP($B368,'IPCA Hist'!$B:$C,2,0))^12 - 1)+$F$2)^(1/252)</f>
        <v>45695014.493977427</v>
      </c>
      <c r="G368" s="2">
        <f>G367*(1+((1+VLOOKUP($B368,'IPCA Hist'!$B:$C,2,0))^12 - 1)+$G$2)^(1/252)</f>
        <v>45680416.921231195</v>
      </c>
      <c r="H368" s="2">
        <f>H367*(1+((1+VLOOKUP($B368,'IPCA Hist'!$B:$C,2,0))^12 - 1)+$H$2)^(1/252)</f>
        <v>46702804.936304472</v>
      </c>
      <c r="I368" s="2">
        <f>I367*(1+((1+VLOOKUP($B368,'IPCA Hist'!$B:$C,2,0))^12 - 1)+$I$2)^(1/252)</f>
        <v>235878978.32928869</v>
      </c>
      <c r="J368" s="2">
        <f>J367*(1+((1+VLOOKUP($B368,'IPCA Hist'!$B:$C,2,0))^12 - 1)+$J$2)^(1/252)</f>
        <v>20643418.97670174</v>
      </c>
      <c r="K368" s="2">
        <v>0</v>
      </c>
      <c r="L368" s="2">
        <v>0</v>
      </c>
      <c r="M368" s="2">
        <v>0</v>
      </c>
      <c r="N368" s="2">
        <v>0</v>
      </c>
      <c r="O368" s="2">
        <f t="shared" si="56"/>
        <v>394600633.65750349</v>
      </c>
      <c r="P368" s="2">
        <v>0</v>
      </c>
      <c r="Q368" s="2">
        <v>0</v>
      </c>
      <c r="R368" s="2">
        <f t="shared" si="65"/>
        <v>171411.30356508493</v>
      </c>
      <c r="S368" s="2">
        <f t="shared" si="58"/>
        <v>685198.32269769907</v>
      </c>
      <c r="T368" s="2">
        <f t="shared" si="59"/>
        <v>32621790.050842926</v>
      </c>
      <c r="U368" s="11">
        <f t="shared" si="62"/>
        <v>1.1365473798887349</v>
      </c>
      <c r="V368" s="12">
        <f t="shared" si="63"/>
        <v>4.3458063918810907E-4</v>
      </c>
      <c r="W368" s="12">
        <f t="shared" si="60"/>
        <v>1.739455378577226E-3</v>
      </c>
      <c r="X368" s="12">
        <f t="shared" si="61"/>
        <v>9.1418964502373967E-2</v>
      </c>
      <c r="Y368" s="5">
        <f t="shared" si="64"/>
        <v>0.13654737988873489</v>
      </c>
      <c r="Z368" s="19">
        <f t="shared" si="55"/>
        <v>4.5350746243710827E-2</v>
      </c>
      <c r="AA368" s="19">
        <f t="shared" si="54"/>
        <v>9.8364020736640967E-2</v>
      </c>
      <c r="AB368" s="19" t="s">
        <v>53</v>
      </c>
    </row>
    <row r="369" spans="1:28" x14ac:dyDescent="0.25">
      <c r="A369" s="1">
        <v>45632</v>
      </c>
      <c r="B369" s="1" t="str">
        <f t="shared" si="57"/>
        <v>202412</v>
      </c>
      <c r="C369" s="2">
        <v>0</v>
      </c>
      <c r="D369" s="2">
        <v>0</v>
      </c>
      <c r="E369" s="2">
        <v>0</v>
      </c>
      <c r="F369" s="2">
        <f>F368*(1+((1+VLOOKUP($B369,'IPCA Hist'!$B:$C,2,0))^12 - 1)+$F$2)^(1/252)</f>
        <v>45714904.598521747</v>
      </c>
      <c r="G369" s="2">
        <f>G368*(1+((1+VLOOKUP($B369,'IPCA Hist'!$B:$C,2,0))^12 - 1)+$G$2)^(1/252)</f>
        <v>45700316.922431171</v>
      </c>
      <c r="H369" s="2">
        <f>H368*(1+((1+VLOOKUP($B369,'IPCA Hist'!$B:$C,2,0))^12 - 1)+$H$2)^(1/252)</f>
        <v>46722950.855151422</v>
      </c>
      <c r="I369" s="2">
        <f>I368*(1+((1+VLOOKUP($B369,'IPCA Hist'!$B:$C,2,0))^12 - 1)+$I$2)^(1/252)</f>
        <v>235980644.07664329</v>
      </c>
      <c r="J369" s="2">
        <f>J368*(1+((1+VLOOKUP($B369,'IPCA Hist'!$B:$C,2,0))^12 - 1)+$J$2)^(1/252)</f>
        <v>20653303.044265904</v>
      </c>
      <c r="K369" s="2">
        <v>0</v>
      </c>
      <c r="L369" s="2">
        <v>0</v>
      </c>
      <c r="M369" s="2">
        <v>0</v>
      </c>
      <c r="N369" s="2">
        <v>0</v>
      </c>
      <c r="O369" s="2">
        <f t="shared" si="56"/>
        <v>394772119.49701351</v>
      </c>
      <c r="P369" s="2">
        <v>0</v>
      </c>
      <c r="Q369" s="2">
        <v>0</v>
      </c>
      <c r="R369" s="2">
        <f t="shared" si="65"/>
        <v>171485.83951002359</v>
      </c>
      <c r="S369" s="2">
        <f t="shared" si="58"/>
        <v>856684.16220772266</v>
      </c>
      <c r="T369" s="2">
        <f t="shared" si="59"/>
        <v>32793275.89035295</v>
      </c>
      <c r="U369" s="11">
        <f t="shared" si="62"/>
        <v>1.1370413015020293</v>
      </c>
      <c r="V369" s="12">
        <f t="shared" si="63"/>
        <v>4.3458075046798328E-4</v>
      </c>
      <c r="W369" s="12">
        <f t="shared" si="60"/>
        <v>2.1747920628689688E-3</v>
      </c>
      <c r="X369" s="12">
        <f t="shared" si="61"/>
        <v>9.189327417504245E-2</v>
      </c>
      <c r="Y369" s="5">
        <f t="shared" si="64"/>
        <v>0.13704130150202931</v>
      </c>
      <c r="Z369" s="19">
        <f t="shared" si="55"/>
        <v>4.5499929253493887E-2</v>
      </c>
      <c r="AA369" s="19">
        <f t="shared" si="54"/>
        <v>9.8344884279773392E-2</v>
      </c>
      <c r="AB369" s="19" t="s">
        <v>53</v>
      </c>
    </row>
    <row r="370" spans="1:28" x14ac:dyDescent="0.25">
      <c r="A370" s="1">
        <v>45635</v>
      </c>
      <c r="B370" s="1" t="str">
        <f t="shared" si="57"/>
        <v>202412</v>
      </c>
      <c r="C370" s="2">
        <v>0</v>
      </c>
      <c r="D370" s="2">
        <v>0</v>
      </c>
      <c r="E370" s="2">
        <v>0</v>
      </c>
      <c r="F370" s="2">
        <f>F369*(1+((1+VLOOKUP($B370,'IPCA Hist'!$B:$C,2,0))^12 - 1)+$F$2)^(1/252)</f>
        <v>45734803.360821471</v>
      </c>
      <c r="G370" s="2">
        <f>G369*(1+((1+VLOOKUP($B370,'IPCA Hist'!$B:$C,2,0))^12 - 1)+$G$2)^(1/252)</f>
        <v>45720225.592773736</v>
      </c>
      <c r="H370" s="2">
        <f>H369*(1+((1+VLOOKUP($B370,'IPCA Hist'!$B:$C,2,0))^12 - 1)+$H$2)^(1/252)</f>
        <v>46743105.464226872</v>
      </c>
      <c r="I370" s="2">
        <f>I369*(1+((1+VLOOKUP($B370,'IPCA Hist'!$B:$C,2,0))^12 - 1)+$I$2)^(1/252)</f>
        <v>236082353.64275721</v>
      </c>
      <c r="J370" s="2">
        <f>J369*(1+((1+VLOOKUP($B370,'IPCA Hist'!$B:$C,2,0))^12 - 1)+$J$2)^(1/252)</f>
        <v>20663191.844320927</v>
      </c>
      <c r="K370" s="2">
        <v>0</v>
      </c>
      <c r="L370" s="2">
        <v>0</v>
      </c>
      <c r="M370" s="2">
        <v>0</v>
      </c>
      <c r="N370" s="2">
        <v>0</v>
      </c>
      <c r="O370" s="2">
        <f t="shared" si="56"/>
        <v>394943679.90490025</v>
      </c>
      <c r="P370" s="2">
        <v>0</v>
      </c>
      <c r="Q370" s="2">
        <v>0</v>
      </c>
      <c r="R370" s="2">
        <f t="shared" si="65"/>
        <v>171560.40788674355</v>
      </c>
      <c r="S370" s="2">
        <f t="shared" si="58"/>
        <v>1028244.5700944662</v>
      </c>
      <c r="T370" s="2">
        <f t="shared" si="59"/>
        <v>32964836.298239693</v>
      </c>
      <c r="U370" s="11">
        <f t="shared" si="62"/>
        <v>1.1375354378906837</v>
      </c>
      <c r="V370" s="12">
        <f t="shared" si="63"/>
        <v>4.3458086175207633E-4</v>
      </c>
      <c r="W370" s="12">
        <f t="shared" si="60"/>
        <v>2.6103180476297894E-3</v>
      </c>
      <c r="X370" s="12">
        <f t="shared" si="61"/>
        <v>9.2367790095074787E-2</v>
      </c>
      <c r="Y370" s="5">
        <f t="shared" si="64"/>
        <v>0.13753543789068368</v>
      </c>
      <c r="Z370" s="19">
        <f t="shared" si="55"/>
        <v>4.5649133665628394E-2</v>
      </c>
      <c r="AA370" s="19">
        <f t="shared" si="54"/>
        <v>9.8325748263873969E-2</v>
      </c>
      <c r="AB370" s="19" t="s">
        <v>53</v>
      </c>
    </row>
    <row r="371" spans="1:28" x14ac:dyDescent="0.25">
      <c r="A371" s="1">
        <v>45636</v>
      </c>
      <c r="B371" s="1" t="str">
        <f t="shared" si="57"/>
        <v>202412</v>
      </c>
      <c r="C371" s="2">
        <v>0</v>
      </c>
      <c r="D371" s="2">
        <v>0</v>
      </c>
      <c r="E371" s="2">
        <v>0</v>
      </c>
      <c r="F371" s="2">
        <f>F370*(1+((1+VLOOKUP($B371,'IPCA Hist'!$B:$C,2,0))^12 - 1)+$F$2)^(1/252)</f>
        <v>45754710.784645148</v>
      </c>
      <c r="G371" s="2">
        <f>G370*(1+((1+VLOOKUP($B371,'IPCA Hist'!$B:$C,2,0))^12 - 1)+$G$2)^(1/252)</f>
        <v>45740142.936035469</v>
      </c>
      <c r="H371" s="2">
        <f>H370*(1+((1+VLOOKUP($B371,'IPCA Hist'!$B:$C,2,0))^12 - 1)+$H$2)^(1/252)</f>
        <v>46763268.767279468</v>
      </c>
      <c r="I371" s="2">
        <f>I370*(1+((1+VLOOKUP($B371,'IPCA Hist'!$B:$C,2,0))^12 - 1)+$I$2)^(1/252)</f>
        <v>236184107.04651672</v>
      </c>
      <c r="J371" s="2">
        <f>J370*(1+((1+VLOOKUP($B371,'IPCA Hist'!$B:$C,2,0))^12 - 1)+$J$2)^(1/252)</f>
        <v>20673085.379132725</v>
      </c>
      <c r="K371" s="2">
        <v>0</v>
      </c>
      <c r="L371" s="2">
        <v>0</v>
      </c>
      <c r="M371" s="2">
        <v>0</v>
      </c>
      <c r="N371" s="2">
        <v>0</v>
      </c>
      <c r="O371" s="2">
        <f t="shared" si="56"/>
        <v>395115314.91360956</v>
      </c>
      <c r="P371" s="2">
        <v>0</v>
      </c>
      <c r="Q371" s="2">
        <v>0</v>
      </c>
      <c r="R371" s="2">
        <f t="shared" si="65"/>
        <v>171635.00870931149</v>
      </c>
      <c r="S371" s="2">
        <f t="shared" si="58"/>
        <v>1199879.5788037777</v>
      </c>
      <c r="T371" s="2">
        <f t="shared" si="59"/>
        <v>33136471.306949005</v>
      </c>
      <c r="U371" s="11">
        <f t="shared" si="62"/>
        <v>1.1380297891481503</v>
      </c>
      <c r="V371" s="12">
        <f t="shared" si="63"/>
        <v>4.3458097304061027E-4</v>
      </c>
      <c r="W371" s="12">
        <f t="shared" si="60"/>
        <v>3.0460334152275781E-3</v>
      </c>
      <c r="X371" s="12">
        <f t="shared" si="61"/>
        <v>9.2842512352212525E-2</v>
      </c>
      <c r="Y371" s="5">
        <f t="shared" si="64"/>
        <v>0.13802978914815034</v>
      </c>
      <c r="Z371" s="19">
        <f t="shared" si="55"/>
        <v>4.5798359483204765E-2</v>
      </c>
      <c r="AA371" s="19">
        <f t="shared" si="54"/>
        <v>9.8306612688936035E-2</v>
      </c>
      <c r="AB371" s="19" t="s">
        <v>53</v>
      </c>
    </row>
    <row r="372" spans="1:28" x14ac:dyDescent="0.25">
      <c r="A372" s="1">
        <v>45637</v>
      </c>
      <c r="B372" s="1" t="str">
        <f t="shared" si="57"/>
        <v>202412</v>
      </c>
      <c r="C372" s="2">
        <v>0</v>
      </c>
      <c r="D372" s="2">
        <v>0</v>
      </c>
      <c r="E372" s="2">
        <v>0</v>
      </c>
      <c r="F372" s="2">
        <f>F371*(1+((1+VLOOKUP($B372,'IPCA Hist'!$B:$C,2,0))^12 - 1)+$F$2)^(1/252)</f>
        <v>45774626.873762958</v>
      </c>
      <c r="G372" s="2">
        <f>G371*(1+((1+VLOOKUP($B372,'IPCA Hist'!$B:$C,2,0))^12 - 1)+$G$2)^(1/252)</f>
        <v>45760068.955994606</v>
      </c>
      <c r="H372" s="2">
        <f>H371*(1+((1+VLOOKUP($B372,'IPCA Hist'!$B:$C,2,0))^12 - 1)+$H$2)^(1/252)</f>
        <v>46783440.768059477</v>
      </c>
      <c r="I372" s="2">
        <f>I371*(1+((1+VLOOKUP($B372,'IPCA Hist'!$B:$C,2,0))^12 - 1)+$I$2)^(1/252)</f>
        <v>236285904.30681619</v>
      </c>
      <c r="J372" s="2">
        <f>J371*(1+((1+VLOOKUP($B372,'IPCA Hist'!$B:$C,2,0))^12 - 1)+$J$2)^(1/252)</f>
        <v>20682983.650968302</v>
      </c>
      <c r="K372" s="2">
        <v>0</v>
      </c>
      <c r="L372" s="2">
        <v>0</v>
      </c>
      <c r="M372" s="2">
        <v>0</v>
      </c>
      <c r="N372" s="2">
        <v>0</v>
      </c>
      <c r="O372" s="2">
        <f t="shared" si="56"/>
        <v>395287024.5556016</v>
      </c>
      <c r="P372" s="2">
        <v>0</v>
      </c>
      <c r="Q372" s="2">
        <v>0</v>
      </c>
      <c r="R372" s="2">
        <f t="shared" si="65"/>
        <v>171709.64199203253</v>
      </c>
      <c r="S372" s="2">
        <f t="shared" si="58"/>
        <v>1371589.2207958102</v>
      </c>
      <c r="T372" s="2">
        <f t="shared" si="59"/>
        <v>33308180.948941037</v>
      </c>
      <c r="U372" s="11">
        <f t="shared" si="62"/>
        <v>1.1385243553679225</v>
      </c>
      <c r="V372" s="12">
        <f t="shared" si="63"/>
        <v>4.3458108433380715E-4</v>
      </c>
      <c r="W372" s="12">
        <f t="shared" si="60"/>
        <v>3.4819382480659744E-3</v>
      </c>
      <c r="X372" s="12">
        <f t="shared" si="61"/>
        <v>9.3317441036236737E-2</v>
      </c>
      <c r="Y372" s="5">
        <f t="shared" si="64"/>
        <v>0.13852435536792251</v>
      </c>
      <c r="Z372" s="19">
        <f t="shared" si="55"/>
        <v>4.5947606709315192E-2</v>
      </c>
      <c r="AA372" s="19">
        <f t="shared" si="54"/>
        <v>9.8287477554953595E-2</v>
      </c>
      <c r="AB372" s="19" t="s">
        <v>53</v>
      </c>
    </row>
    <row r="373" spans="1:28" x14ac:dyDescent="0.25">
      <c r="A373" s="1">
        <v>45638</v>
      </c>
      <c r="B373" s="1" t="str">
        <f t="shared" si="57"/>
        <v>202412</v>
      </c>
      <c r="C373" s="2">
        <v>0</v>
      </c>
      <c r="D373" s="2">
        <v>0</v>
      </c>
      <c r="E373" s="2">
        <v>0</v>
      </c>
      <c r="F373" s="2">
        <f>F372*(1+((1+VLOOKUP($B373,'IPCA Hist'!$B:$C,2,0))^12 - 1)+$F$2)^(1/252)</f>
        <v>45794551.631946728</v>
      </c>
      <c r="G373" s="2">
        <f>G372*(1+((1+VLOOKUP($B373,'IPCA Hist'!$B:$C,2,0))^12 - 1)+$G$2)^(1/252)</f>
        <v>45780003.656431019</v>
      </c>
      <c r="H373" s="2">
        <f>H372*(1+((1+VLOOKUP($B373,'IPCA Hist'!$B:$C,2,0))^12 - 1)+$H$2)^(1/252)</f>
        <v>46803621.470318794</v>
      </c>
      <c r="I373" s="2">
        <f>I372*(1+((1+VLOOKUP($B373,'IPCA Hist'!$B:$C,2,0))^12 - 1)+$I$2)^(1/252)</f>
        <v>236387745.44255814</v>
      </c>
      <c r="J373" s="2">
        <f>J372*(1+((1+VLOOKUP($B373,'IPCA Hist'!$B:$C,2,0))^12 - 1)+$J$2)^(1/252)</f>
        <v>20692886.66209574</v>
      </c>
      <c r="K373" s="2">
        <v>0</v>
      </c>
      <c r="L373" s="2">
        <v>0</v>
      </c>
      <c r="M373" s="2">
        <v>0</v>
      </c>
      <c r="N373" s="2">
        <v>0</v>
      </c>
      <c r="O373" s="2">
        <f t="shared" si="56"/>
        <v>395458808.86335045</v>
      </c>
      <c r="P373" s="2">
        <v>0</v>
      </c>
      <c r="Q373" s="2">
        <v>0</v>
      </c>
      <c r="R373" s="2">
        <f t="shared" si="65"/>
        <v>171784.30774885416</v>
      </c>
      <c r="S373" s="2">
        <f t="shared" si="58"/>
        <v>1543373.5285446644</v>
      </c>
      <c r="T373" s="2">
        <f t="shared" si="59"/>
        <v>33479965.256689891</v>
      </c>
      <c r="U373" s="11">
        <f t="shared" si="62"/>
        <v>1.1390191366435336</v>
      </c>
      <c r="V373" s="12">
        <f t="shared" si="63"/>
        <v>4.3458119563122288E-4</v>
      </c>
      <c r="W373" s="12">
        <f t="shared" si="60"/>
        <v>3.9180326285841449E-3</v>
      </c>
      <c r="X373" s="12">
        <f t="shared" si="61"/>
        <v>9.3792576236966685E-2</v>
      </c>
      <c r="Y373" s="5">
        <f t="shared" si="64"/>
        <v>0.1390191366435336</v>
      </c>
      <c r="Z373" s="19">
        <f t="shared" si="55"/>
        <v>4.6096875347050981E-2</v>
      </c>
      <c r="AA373" s="19">
        <f t="shared" si="54"/>
        <v>9.8268342861919322E-2</v>
      </c>
      <c r="AB373" s="19" t="s">
        <v>53</v>
      </c>
    </row>
    <row r="374" spans="1:28" x14ac:dyDescent="0.25">
      <c r="A374" s="1">
        <v>45639</v>
      </c>
      <c r="B374" s="1" t="str">
        <f t="shared" si="57"/>
        <v>202412</v>
      </c>
      <c r="C374" s="2">
        <v>0</v>
      </c>
      <c r="D374" s="2">
        <v>0</v>
      </c>
      <c r="E374" s="2">
        <v>0</v>
      </c>
      <c r="F374" s="2">
        <f>F373*(1+((1+VLOOKUP($B374,'IPCA Hist'!$B:$C,2,0))^12 - 1)+$F$2)^(1/252)</f>
        <v>45814485.062969923</v>
      </c>
      <c r="G374" s="2">
        <f>G373*(1+((1+VLOOKUP($B374,'IPCA Hist'!$B:$C,2,0))^12 - 1)+$G$2)^(1/252)</f>
        <v>45799947.041126236</v>
      </c>
      <c r="H374" s="2">
        <f>H373*(1+((1+VLOOKUP($B374,'IPCA Hist'!$B:$C,2,0))^12 - 1)+$H$2)^(1/252)</f>
        <v>46823810.877810925</v>
      </c>
      <c r="I374" s="2">
        <f>I373*(1+((1+VLOOKUP($B374,'IPCA Hist'!$B:$C,2,0))^12 - 1)+$I$2)^(1/252)</f>
        <v>236489630.47265324</v>
      </c>
      <c r="J374" s="2">
        <f>J373*(1+((1+VLOOKUP($B374,'IPCA Hist'!$B:$C,2,0))^12 - 1)+$J$2)^(1/252)</f>
        <v>20702794.414784215</v>
      </c>
      <c r="K374" s="2">
        <v>0</v>
      </c>
      <c r="L374" s="2">
        <v>0</v>
      </c>
      <c r="M374" s="2">
        <v>0</v>
      </c>
      <c r="N374" s="2">
        <v>0</v>
      </c>
      <c r="O374" s="2">
        <f t="shared" si="56"/>
        <v>395630667.86934447</v>
      </c>
      <c r="P374" s="2">
        <v>0</v>
      </c>
      <c r="Q374" s="2">
        <v>0</v>
      </c>
      <c r="R374" s="2">
        <f t="shared" si="65"/>
        <v>171859.00599402189</v>
      </c>
      <c r="S374" s="2">
        <f t="shared" si="58"/>
        <v>1715232.5345386863</v>
      </c>
      <c r="T374" s="2">
        <f t="shared" si="59"/>
        <v>33651824.262683913</v>
      </c>
      <c r="U374" s="11">
        <f t="shared" si="62"/>
        <v>1.1395141330685579</v>
      </c>
      <c r="V374" s="12">
        <f t="shared" si="63"/>
        <v>4.345813069330795E-4</v>
      </c>
      <c r="W374" s="12">
        <f t="shared" si="60"/>
        <v>4.3543166392576715E-3</v>
      </c>
      <c r="X374" s="12">
        <f t="shared" si="61"/>
        <v>9.4267918044261378E-2</v>
      </c>
      <c r="Y374" s="5">
        <f t="shared" si="64"/>
        <v>0.13951413306855787</v>
      </c>
      <c r="Z374" s="19">
        <f t="shared" si="55"/>
        <v>4.6246165399504768E-2</v>
      </c>
      <c r="AA374" s="19">
        <f t="shared" si="54"/>
        <v>9.8249208609826999E-2</v>
      </c>
      <c r="AB374" s="19" t="s">
        <v>53</v>
      </c>
    </row>
    <row r="375" spans="1:28" x14ac:dyDescent="0.25">
      <c r="A375" s="1">
        <v>45642</v>
      </c>
      <c r="B375" s="1" t="str">
        <f t="shared" si="57"/>
        <v>202412</v>
      </c>
      <c r="C375" s="2">
        <v>0</v>
      </c>
      <c r="D375" s="2">
        <v>0</v>
      </c>
      <c r="E375" s="2">
        <v>0</v>
      </c>
      <c r="F375" s="2">
        <f>F374*(1+((1+VLOOKUP($B375,'IPCA Hist'!$B:$C,2,0))^12 - 1)+$F$2)^(1/252)</f>
        <v>45834427.170607656</v>
      </c>
      <c r="G375" s="2">
        <f>G374*(1+((1+VLOOKUP($B375,'IPCA Hist'!$B:$C,2,0))^12 - 1)+$G$2)^(1/252)</f>
        <v>45819899.113863423</v>
      </c>
      <c r="H375" s="2">
        <f>H374*(1+((1+VLOOKUP($B375,'IPCA Hist'!$B:$C,2,0))^12 - 1)+$H$2)^(1/252)</f>
        <v>46844008.994290993</v>
      </c>
      <c r="I375" s="2">
        <f>I374*(1+((1+VLOOKUP($B375,'IPCA Hist'!$B:$C,2,0))^12 - 1)+$I$2)^(1/252)</f>
        <v>236591559.41602033</v>
      </c>
      <c r="J375" s="2">
        <f>J374*(1+((1+VLOOKUP($B375,'IPCA Hist'!$B:$C,2,0))^12 - 1)+$J$2)^(1/252)</f>
        <v>20712706.911303986</v>
      </c>
      <c r="K375" s="2">
        <v>79990569.642960012</v>
      </c>
      <c r="L375" s="2">
        <v>0</v>
      </c>
      <c r="M375" s="2">
        <v>0</v>
      </c>
      <c r="N375" s="2">
        <v>0</v>
      </c>
      <c r="O375" s="2">
        <f t="shared" si="56"/>
        <v>475793171.24904639</v>
      </c>
      <c r="P375" s="2">
        <v>79990569.642960012</v>
      </c>
      <c r="Q375" s="2">
        <v>0</v>
      </c>
      <c r="R375" s="2">
        <f t="shared" si="65"/>
        <v>171933.73674190044</v>
      </c>
      <c r="S375" s="2">
        <f t="shared" si="58"/>
        <v>1887166.2712805867</v>
      </c>
      <c r="T375" s="2">
        <f t="shared" si="59"/>
        <v>33823757.999425814</v>
      </c>
      <c r="U375" s="11">
        <f t="shared" si="62"/>
        <v>1.1400093447366113</v>
      </c>
      <c r="V375" s="12">
        <f t="shared" si="63"/>
        <v>4.3458141824004315E-4</v>
      </c>
      <c r="W375" s="12">
        <f t="shared" si="60"/>
        <v>4.7907903625983295E-3</v>
      </c>
      <c r="X375" s="12">
        <f t="shared" si="61"/>
        <v>9.4743466548019573E-2</v>
      </c>
      <c r="Y375" s="5">
        <f t="shared" si="64"/>
        <v>0.14000934473661131</v>
      </c>
      <c r="Z375" s="19">
        <f t="shared" si="55"/>
        <v>4.6395476869770302E-2</v>
      </c>
      <c r="AA375" s="19">
        <f t="shared" si="54"/>
        <v>9.823007479867063E-2</v>
      </c>
      <c r="AB375" s="19" t="s">
        <v>53</v>
      </c>
    </row>
    <row r="376" spans="1:28" x14ac:dyDescent="0.25">
      <c r="A376" s="1">
        <v>45643</v>
      </c>
      <c r="B376" s="1" t="str">
        <f t="shared" si="57"/>
        <v>202412</v>
      </c>
      <c r="C376" s="2">
        <v>0</v>
      </c>
      <c r="D376" s="2">
        <v>0</v>
      </c>
      <c r="E376" s="2">
        <v>0</v>
      </c>
      <c r="F376" s="2">
        <f>F375*(1+((1+VLOOKUP($B376,'IPCA Hist'!$B:$C,2,0))^12 - 1)+$F$2)^(1/252)</f>
        <v>45854377.958636679</v>
      </c>
      <c r="G376" s="2">
        <f>G375*(1+((1+VLOOKUP($B376,'IPCA Hist'!$B:$C,2,0))^12 - 1)+$G$2)^(1/252)</f>
        <v>45839859.878427394</v>
      </c>
      <c r="H376" s="2">
        <f>H375*(1+((1+VLOOKUP($B376,'IPCA Hist'!$B:$C,2,0))^12 - 1)+$H$2)^(1/252)</f>
        <v>46864215.823515743</v>
      </c>
      <c r="I376" s="2">
        <f>I375*(1+((1+VLOOKUP($B376,'IPCA Hist'!$B:$C,2,0))^12 - 1)+$I$2)^(1/252)</f>
        <v>236693532.29158637</v>
      </c>
      <c r="J376" s="2">
        <f>J375*(1+((1+VLOOKUP($B376,'IPCA Hist'!$B:$C,2,0))^12 - 1)+$J$2)^(1/252)</f>
        <v>20722624.153926399</v>
      </c>
      <c r="K376" s="2">
        <f>K375*(1+((1+VLOOKUP($B376,'IPCA Hist'!$B:$C,2,0))^12 - 1)+$K$2)^(1/252)</f>
        <v>80032980.355783984</v>
      </c>
      <c r="L376" s="2">
        <v>0</v>
      </c>
      <c r="M376" s="2">
        <v>0</v>
      </c>
      <c r="N376" s="2">
        <v>0</v>
      </c>
      <c r="O376" s="2">
        <f t="shared" si="56"/>
        <v>476007590.46187657</v>
      </c>
      <c r="P376" s="2">
        <v>0</v>
      </c>
      <c r="Q376" s="2">
        <v>0</v>
      </c>
      <c r="R376" s="2">
        <f t="shared" si="65"/>
        <v>214419.21283018589</v>
      </c>
      <c r="S376" s="2">
        <f t="shared" si="58"/>
        <v>2101585.4841107726</v>
      </c>
      <c r="T376" s="2">
        <f t="shared" si="59"/>
        <v>34038177.212255999</v>
      </c>
      <c r="U376" s="11">
        <f t="shared" si="62"/>
        <v>1.1405230971842888</v>
      </c>
      <c r="V376" s="12">
        <f t="shared" si="63"/>
        <v>4.5065634773044927E-4</v>
      </c>
      <c r="W376" s="12">
        <f t="shared" si="60"/>
        <v>5.2436057104163769E-3</v>
      </c>
      <c r="X376" s="12">
        <f t="shared" si="61"/>
        <v>9.5236819640355908E-2</v>
      </c>
      <c r="Y376" s="5">
        <f t="shared" si="64"/>
        <v>0.14052309718428879</v>
      </c>
      <c r="Z376" s="19">
        <f t="shared" si="55"/>
        <v>4.656162547067666E-2</v>
      </c>
      <c r="AA376" s="19">
        <f t="shared" si="54"/>
        <v>9.8228587301078862E-2</v>
      </c>
      <c r="AB376" s="19" t="s">
        <v>53</v>
      </c>
    </row>
    <row r="377" spans="1:28" x14ac:dyDescent="0.25">
      <c r="A377" s="1">
        <v>45644</v>
      </c>
      <c r="B377" s="1" t="str">
        <f t="shared" si="57"/>
        <v>202412</v>
      </c>
      <c r="C377" s="2">
        <v>0</v>
      </c>
      <c r="D377" s="2">
        <v>0</v>
      </c>
      <c r="E377" s="2">
        <v>0</v>
      </c>
      <c r="F377" s="2">
        <f>F376*(1+((1+VLOOKUP($B377,'IPCA Hist'!$B:$C,2,0))^12 - 1)+$F$2)^(1/252)</f>
        <v>45874337.430835381</v>
      </c>
      <c r="G377" s="2">
        <f>G376*(1+((1+VLOOKUP($B377,'IPCA Hist'!$B:$C,2,0))^12 - 1)+$G$2)^(1/252)</f>
        <v>45859829.338604614</v>
      </c>
      <c r="H377" s="2">
        <f>H376*(1+((1+VLOOKUP($B377,'IPCA Hist'!$B:$C,2,0))^12 - 1)+$H$2)^(1/252)</f>
        <v>46884431.369243547</v>
      </c>
      <c r="I377" s="2">
        <f>I376*(1+((1+VLOOKUP($B377,'IPCA Hist'!$B:$C,2,0))^12 - 1)+$I$2)^(1/252)</f>
        <v>236795549.11828649</v>
      </c>
      <c r="J377" s="2">
        <f>J376*(1+((1+VLOOKUP($B377,'IPCA Hist'!$B:$C,2,0))^12 - 1)+$J$2)^(1/252)</f>
        <v>20732546.144923884</v>
      </c>
      <c r="K377" s="2">
        <f>K376*(1+((1+VLOOKUP($B377,'IPCA Hist'!$B:$C,2,0))^12 - 1)+$K$2)^(1/252)</f>
        <v>80075413.554615617</v>
      </c>
      <c r="L377" s="2">
        <v>0</v>
      </c>
      <c r="M377" s="2">
        <v>0</v>
      </c>
      <c r="N377" s="2">
        <v>0</v>
      </c>
      <c r="O377" s="2">
        <f t="shared" si="56"/>
        <v>476222106.95650953</v>
      </c>
      <c r="P377" s="2">
        <v>0</v>
      </c>
      <c r="Q377" s="2">
        <v>0</v>
      </c>
      <c r="R377" s="2">
        <f t="shared" si="65"/>
        <v>214516.49463295937</v>
      </c>
      <c r="S377" s="2">
        <f t="shared" si="58"/>
        <v>2316101.978743732</v>
      </c>
      <c r="T377" s="2">
        <f t="shared" si="59"/>
        <v>34252693.706888959</v>
      </c>
      <c r="U377" s="11">
        <f t="shared" si="62"/>
        <v>1.1410370827209868</v>
      </c>
      <c r="V377" s="12">
        <f t="shared" si="63"/>
        <v>4.5065771834607027E-4</v>
      </c>
      <c r="W377" s="12">
        <f t="shared" si="60"/>
        <v>5.6966265001479055E-3</v>
      </c>
      <c r="X377" s="12">
        <f t="shared" si="61"/>
        <v>9.5730396566543696E-2</v>
      </c>
      <c r="Y377" s="5">
        <f t="shared" si="64"/>
        <v>0.14103708272098681</v>
      </c>
      <c r="Z377" s="19">
        <f t="shared" si="55"/>
        <v>4.672780188296155E-2</v>
      </c>
      <c r="AA377" s="19">
        <f t="shared" si="54"/>
        <v>9.9056372912617929E-2</v>
      </c>
      <c r="AB377" s="19" t="s">
        <v>53</v>
      </c>
    </row>
    <row r="378" spans="1:28" x14ac:dyDescent="0.25">
      <c r="A378" s="1">
        <v>45645</v>
      </c>
      <c r="B378" s="1" t="str">
        <f t="shared" si="57"/>
        <v>202412</v>
      </c>
      <c r="C378" s="2">
        <v>0</v>
      </c>
      <c r="D378" s="2">
        <v>0</v>
      </c>
      <c r="E378" s="2">
        <v>0</v>
      </c>
      <c r="F378" s="2">
        <f>F377*(1+((1+VLOOKUP($B378,'IPCA Hist'!$B:$C,2,0))^12 - 1)+$F$2)^(1/252)</f>
        <v>45894305.590983815</v>
      </c>
      <c r="G378" s="2">
        <f>G377*(1+((1+VLOOKUP($B378,'IPCA Hist'!$B:$C,2,0))^12 - 1)+$G$2)^(1/252)</f>
        <v>45879807.498183206</v>
      </c>
      <c r="H378" s="2">
        <f>H377*(1+((1+VLOOKUP($B378,'IPCA Hist'!$B:$C,2,0))^12 - 1)+$H$2)^(1/252)</f>
        <v>46904655.635234393</v>
      </c>
      <c r="I378" s="2">
        <f>I377*(1+((1+VLOOKUP($B378,'IPCA Hist'!$B:$C,2,0))^12 - 1)+$I$2)^(1/252)</f>
        <v>236897609.91506401</v>
      </c>
      <c r="J378" s="2">
        <f>J377*(1+((1+VLOOKUP($B378,'IPCA Hist'!$B:$C,2,0))^12 - 1)+$J$2)^(1/252)</f>
        <v>20742472.886569969</v>
      </c>
      <c r="K378" s="2">
        <f>K377*(1+((1+VLOOKUP($B378,'IPCA Hist'!$B:$C,2,0))^12 - 1)+$K$2)^(1/252)</f>
        <v>80117869.251376912</v>
      </c>
      <c r="L378" s="2">
        <v>0</v>
      </c>
      <c r="M378" s="2">
        <v>0</v>
      </c>
      <c r="N378" s="2">
        <v>0</v>
      </c>
      <c r="O378" s="2">
        <f t="shared" si="56"/>
        <v>476436720.77741235</v>
      </c>
      <c r="P378" s="2">
        <v>0</v>
      </c>
      <c r="Q378" s="2">
        <v>0</v>
      </c>
      <c r="R378" s="2">
        <f t="shared" si="65"/>
        <v>214613.8209028244</v>
      </c>
      <c r="S378" s="2">
        <f t="shared" si="58"/>
        <v>2530715.7996465564</v>
      </c>
      <c r="T378" s="2">
        <f t="shared" si="59"/>
        <v>34467307.527791783</v>
      </c>
      <c r="U378" s="11">
        <f t="shared" si="62"/>
        <v>1.1415513014532492</v>
      </c>
      <c r="V378" s="12">
        <f t="shared" si="63"/>
        <v>4.5065908904229346E-4</v>
      </c>
      <c r="W378" s="12">
        <f t="shared" si="60"/>
        <v>6.1498528256993534E-3</v>
      </c>
      <c r="X378" s="12">
        <f t="shared" si="61"/>
        <v>9.622419742889643E-2</v>
      </c>
      <c r="Y378" s="5">
        <f t="shared" si="64"/>
        <v>0.14155130145324923</v>
      </c>
      <c r="Z378" s="19">
        <f t="shared" si="55"/>
        <v>4.6894006111579678E-2</v>
      </c>
      <c r="AA378" s="19">
        <f t="shared" si="54"/>
        <v>9.9188857271413466E-2</v>
      </c>
      <c r="AB378" s="19" t="s">
        <v>53</v>
      </c>
    </row>
    <row r="379" spans="1:28" x14ac:dyDescent="0.25">
      <c r="A379" s="1">
        <v>45646</v>
      </c>
      <c r="B379" s="1" t="str">
        <f t="shared" si="57"/>
        <v>202412</v>
      </c>
      <c r="C379" s="2">
        <v>0</v>
      </c>
      <c r="D379" s="2">
        <v>0</v>
      </c>
      <c r="E379" s="2">
        <v>0</v>
      </c>
      <c r="F379" s="2">
        <f>F378*(1+((1+VLOOKUP($B379,'IPCA Hist'!$B:$C,2,0))^12 - 1)+$F$2)^(1/252)</f>
        <v>45914282.442863658</v>
      </c>
      <c r="G379" s="2">
        <f>G378*(1+((1+VLOOKUP($B379,'IPCA Hist'!$B:$C,2,0))^12 - 1)+$G$2)^(1/252)</f>
        <v>45899794.360952936</v>
      </c>
      <c r="H379" s="2">
        <f>H378*(1+((1+VLOOKUP($B379,'IPCA Hist'!$B:$C,2,0))^12 - 1)+$H$2)^(1/252)</f>
        <v>46924888.625249885</v>
      </c>
      <c r="I379" s="2">
        <f>I378*(1+((1+VLOOKUP($B379,'IPCA Hist'!$B:$C,2,0))^12 - 1)+$I$2)^(1/252)</f>
        <v>236999714.70087036</v>
      </c>
      <c r="J379" s="2">
        <f>J378*(1+((1+VLOOKUP($B379,'IPCA Hist'!$B:$C,2,0))^12 - 1)+$J$2)^(1/252)</f>
        <v>20752404.38113926</v>
      </c>
      <c r="K379" s="2">
        <f>K378*(1+((1+VLOOKUP($B379,'IPCA Hist'!$B:$C,2,0))^12 - 1)+$K$2)^(1/252)</f>
        <v>80160347.457996204</v>
      </c>
      <c r="L379" s="2">
        <v>0</v>
      </c>
      <c r="M379" s="2">
        <v>0</v>
      </c>
      <c r="N379" s="2">
        <v>0</v>
      </c>
      <c r="O379" s="2">
        <f t="shared" si="56"/>
        <v>476651431.96907228</v>
      </c>
      <c r="P379" s="2">
        <v>0</v>
      </c>
      <c r="Q379" s="2">
        <v>0</v>
      </c>
      <c r="R379" s="2">
        <f t="shared" si="65"/>
        <v>214711.19165992737</v>
      </c>
      <c r="S379" s="2">
        <f t="shared" si="58"/>
        <v>2745426.9913064837</v>
      </c>
      <c r="T379" s="2">
        <f t="shared" si="59"/>
        <v>34682018.719451711</v>
      </c>
      <c r="U379" s="11">
        <f t="shared" si="62"/>
        <v>1.1420657534876686</v>
      </c>
      <c r="V379" s="12">
        <f t="shared" si="63"/>
        <v>4.5066045981845271E-4</v>
      </c>
      <c r="W379" s="12">
        <f t="shared" si="60"/>
        <v>6.6032847810200135E-3</v>
      </c>
      <c r="X379" s="12">
        <f t="shared" si="61"/>
        <v>9.6718222329773784E-2</v>
      </c>
      <c r="Y379" s="5">
        <f t="shared" si="64"/>
        <v>0.14206575348766859</v>
      </c>
      <c r="Z379" s="19">
        <f t="shared" si="55"/>
        <v>4.7060238161485524E-2</v>
      </c>
      <c r="AA379" s="19">
        <f t="shared" si="54"/>
        <v>9.918932913604972E-2</v>
      </c>
      <c r="AB379" s="19" t="s">
        <v>53</v>
      </c>
    </row>
    <row r="380" spans="1:28" x14ac:dyDescent="0.25">
      <c r="A380" s="1">
        <v>45649</v>
      </c>
      <c r="B380" s="1" t="str">
        <f t="shared" si="57"/>
        <v>202412</v>
      </c>
      <c r="C380" s="2">
        <v>0</v>
      </c>
      <c r="D380" s="2">
        <v>0</v>
      </c>
      <c r="E380" s="2">
        <v>0</v>
      </c>
      <c r="F380" s="2">
        <f>F379*(1+((1+VLOOKUP($B380,'IPCA Hist'!$B:$C,2,0))^12 - 1)+$F$2)^(1/252)</f>
        <v>45934267.990258247</v>
      </c>
      <c r="G380" s="2">
        <f>G379*(1+((1+VLOOKUP($B380,'IPCA Hist'!$B:$C,2,0))^12 - 1)+$G$2)^(1/252)</f>
        <v>45919789.930705212</v>
      </c>
      <c r="H380" s="2">
        <f>H379*(1+((1+VLOOKUP($B380,'IPCA Hist'!$B:$C,2,0))^12 - 1)+$H$2)^(1/252)</f>
        <v>46945130.343053259</v>
      </c>
      <c r="I380" s="2">
        <f>I379*(1+((1+VLOOKUP($B380,'IPCA Hist'!$B:$C,2,0))^12 - 1)+$I$2)^(1/252)</f>
        <v>237101863.49466518</v>
      </c>
      <c r="J380" s="2">
        <f>J379*(1+((1+VLOOKUP($B380,'IPCA Hist'!$B:$C,2,0))^12 - 1)+$J$2)^(1/252)</f>
        <v>20762340.630907457</v>
      </c>
      <c r="K380" s="2">
        <f>K379*(1+((1+VLOOKUP($B380,'IPCA Hist'!$B:$C,2,0))^12 - 1)+$K$2)^(1/252)</f>
        <v>80202848.186408132</v>
      </c>
      <c r="L380" s="2">
        <v>0</v>
      </c>
      <c r="M380" s="2">
        <v>0</v>
      </c>
      <c r="N380" s="2">
        <v>0</v>
      </c>
      <c r="O380" s="2">
        <f t="shared" si="56"/>
        <v>476866240.57599747</v>
      </c>
      <c r="P380" s="2">
        <v>0</v>
      </c>
      <c r="Q380" s="2">
        <v>0</v>
      </c>
      <c r="R380" s="2">
        <f t="shared" si="65"/>
        <v>214808.6069251895</v>
      </c>
      <c r="S380" s="2">
        <f t="shared" si="58"/>
        <v>2960235.5982316732</v>
      </c>
      <c r="T380" s="2">
        <f t="shared" si="59"/>
        <v>34896827.3263769</v>
      </c>
      <c r="U380" s="11">
        <f t="shared" si="62"/>
        <v>1.1425804389308869</v>
      </c>
      <c r="V380" s="12">
        <f t="shared" si="63"/>
        <v>4.5066183067521415E-4</v>
      </c>
      <c r="W380" s="12">
        <f t="shared" si="60"/>
        <v>7.0569224601031433E-3</v>
      </c>
      <c r="X380" s="12">
        <f t="shared" si="61"/>
        <v>9.7212471371583842E-2</v>
      </c>
      <c r="Y380" s="5">
        <f t="shared" si="64"/>
        <v>0.1425804389308869</v>
      </c>
      <c r="Z380" s="19">
        <f t="shared" si="55"/>
        <v>4.7226498037635567E-2</v>
      </c>
      <c r="AA380" s="19">
        <f t="shared" si="54"/>
        <v>9.918980250314724E-2</v>
      </c>
      <c r="AB380" s="19" t="s">
        <v>53</v>
      </c>
    </row>
    <row r="381" spans="1:28" x14ac:dyDescent="0.25">
      <c r="A381" s="1">
        <v>45650</v>
      </c>
      <c r="B381" s="1" t="str">
        <f t="shared" si="57"/>
        <v>202412</v>
      </c>
      <c r="C381" s="2">
        <v>0</v>
      </c>
      <c r="D381" s="2">
        <v>0</v>
      </c>
      <c r="E381" s="2">
        <v>0</v>
      </c>
      <c r="F381" s="2">
        <f>F380*(1+((1+VLOOKUP($B381,'IPCA Hist'!$B:$C,2,0))^12 - 1)+$F$2)^(1/252)</f>
        <v>45954262.236952566</v>
      </c>
      <c r="G381" s="2">
        <f>G380*(1+((1+VLOOKUP($B381,'IPCA Hist'!$B:$C,2,0))^12 - 1)+$G$2)^(1/252)</f>
        <v>45939794.211233109</v>
      </c>
      <c r="H381" s="2">
        <f>H380*(1+((1+VLOOKUP($B381,'IPCA Hist'!$B:$C,2,0))^12 - 1)+$H$2)^(1/252)</f>
        <v>46965380.792409368</v>
      </c>
      <c r="I381" s="2">
        <f>I380*(1+((1+VLOOKUP($B381,'IPCA Hist'!$B:$C,2,0))^12 - 1)+$I$2)^(1/252)</f>
        <v>237204056.31541625</v>
      </c>
      <c r="J381" s="2">
        <f>J380*(1+((1+VLOOKUP($B381,'IPCA Hist'!$B:$C,2,0))^12 - 1)+$J$2)^(1/252)</f>
        <v>20772281.638151348</v>
      </c>
      <c r="K381" s="2">
        <f>K380*(1+((1+VLOOKUP($B381,'IPCA Hist'!$B:$C,2,0))^12 - 1)+$K$2)^(1/252)</f>
        <v>80245371.448553666</v>
      </c>
      <c r="L381" s="2">
        <v>0</v>
      </c>
      <c r="M381" s="2">
        <v>0</v>
      </c>
      <c r="N381" s="2">
        <v>0</v>
      </c>
      <c r="O381" s="2">
        <f t="shared" si="56"/>
        <v>477081146.64271635</v>
      </c>
      <c r="P381" s="2">
        <v>0</v>
      </c>
      <c r="Q381" s="2">
        <v>0</v>
      </c>
      <c r="R381" s="2">
        <f t="shared" si="65"/>
        <v>214906.06671887636</v>
      </c>
      <c r="S381" s="2">
        <f t="shared" si="58"/>
        <v>3175141.6649505496</v>
      </c>
      <c r="T381" s="2">
        <f t="shared" si="59"/>
        <v>35111733.393095776</v>
      </c>
      <c r="U381" s="11">
        <f t="shared" si="62"/>
        <v>1.143095357889595</v>
      </c>
      <c r="V381" s="12">
        <f t="shared" si="63"/>
        <v>4.5066320161235573E-4</v>
      </c>
      <c r="W381" s="12">
        <f t="shared" si="60"/>
        <v>7.5107659569848551E-3</v>
      </c>
      <c r="X381" s="12">
        <f t="shared" si="61"/>
        <v>9.7706944656781092E-2</v>
      </c>
      <c r="Y381" s="5">
        <f t="shared" si="64"/>
        <v>0.14309535788959504</v>
      </c>
      <c r="Z381" s="19">
        <f t="shared" si="55"/>
        <v>4.7392785744986288E-2</v>
      </c>
      <c r="AA381" s="19">
        <f t="shared" si="54"/>
        <v>9.9190277372795732E-2</v>
      </c>
      <c r="AB381" s="19" t="s">
        <v>53</v>
      </c>
    </row>
    <row r="382" spans="1:28" x14ac:dyDescent="0.25">
      <c r="A382" s="1">
        <v>45652</v>
      </c>
      <c r="B382" s="1" t="str">
        <f t="shared" si="57"/>
        <v>202412</v>
      </c>
      <c r="C382" s="2">
        <v>0</v>
      </c>
      <c r="D382" s="2">
        <v>0</v>
      </c>
      <c r="E382" s="2">
        <v>0</v>
      </c>
      <c r="F382" s="2">
        <f>F381*(1+((1+VLOOKUP($B382,'IPCA Hist'!$B:$C,2,0))^12 - 1)+$F$2)^(1/252)</f>
        <v>45974265.186733231</v>
      </c>
      <c r="G382" s="2">
        <f>G381*(1+((1+VLOOKUP($B382,'IPCA Hist'!$B:$C,2,0))^12 - 1)+$G$2)^(1/252)</f>
        <v>45959807.20633135</v>
      </c>
      <c r="H382" s="2">
        <f>H381*(1+((1+VLOOKUP($B382,'IPCA Hist'!$B:$C,2,0))^12 - 1)+$H$2)^(1/252)</f>
        <v>46985639.977084689</v>
      </c>
      <c r="I382" s="2">
        <f>I381*(1+((1+VLOOKUP($B382,'IPCA Hist'!$B:$C,2,0))^12 - 1)+$I$2)^(1/252)</f>
        <v>237306293.18209955</v>
      </c>
      <c r="J382" s="2">
        <f>J381*(1+((1+VLOOKUP($B382,'IPCA Hist'!$B:$C,2,0))^12 - 1)+$J$2)^(1/252)</f>
        <v>20782227.405148812</v>
      </c>
      <c r="K382" s="2">
        <f>K381*(1+((1+VLOOKUP($B382,'IPCA Hist'!$B:$C,2,0))^12 - 1)+$K$2)^(1/252)</f>
        <v>80287917.256380111</v>
      </c>
      <c r="L382" s="2">
        <v>0</v>
      </c>
      <c r="M382" s="2">
        <v>0</v>
      </c>
      <c r="N382" s="2">
        <v>0</v>
      </c>
      <c r="O382" s="2">
        <f t="shared" si="56"/>
        <v>477296150.21377778</v>
      </c>
      <c r="P382" s="2">
        <v>0</v>
      </c>
      <c r="Q382" s="2">
        <v>0</v>
      </c>
      <c r="R382" s="2">
        <f t="shared" si="65"/>
        <v>215003.57106143236</v>
      </c>
      <c r="S382" s="2">
        <f t="shared" si="58"/>
        <v>3390145.236011982</v>
      </c>
      <c r="T382" s="2">
        <f t="shared" si="59"/>
        <v>35326736.964157209</v>
      </c>
      <c r="U382" s="11">
        <f t="shared" si="62"/>
        <v>1.1436105104705332</v>
      </c>
      <c r="V382" s="12">
        <f t="shared" si="63"/>
        <v>4.5066457262965542E-4</v>
      </c>
      <c r="W382" s="12">
        <f t="shared" si="60"/>
        <v>7.9648153657445597E-3</v>
      </c>
      <c r="X382" s="12">
        <f t="shared" si="61"/>
        <v>9.8201642287867541E-2</v>
      </c>
      <c r="Y382" s="5">
        <f t="shared" si="64"/>
        <v>0.14361051047053319</v>
      </c>
      <c r="Z382" s="19">
        <f t="shared" si="55"/>
        <v>4.7559101288495498E-2</v>
      </c>
      <c r="AA382" s="19">
        <f t="shared" si="54"/>
        <v>9.9190753745086235E-2</v>
      </c>
      <c r="AB382" s="19" t="s">
        <v>53</v>
      </c>
    </row>
    <row r="383" spans="1:28" x14ac:dyDescent="0.25">
      <c r="A383" s="1">
        <v>45653</v>
      </c>
      <c r="B383" s="1" t="str">
        <f t="shared" si="57"/>
        <v>202412</v>
      </c>
      <c r="C383" s="2">
        <v>0</v>
      </c>
      <c r="D383" s="2">
        <v>0</v>
      </c>
      <c r="E383" s="2">
        <v>0</v>
      </c>
      <c r="F383" s="2">
        <f>F382*(1+((1+VLOOKUP($B383,'IPCA Hist'!$B:$C,2,0))^12 - 1)+$F$2)^(1/252)</f>
        <v>45994276.843388528</v>
      </c>
      <c r="G383" s="2">
        <f>G382*(1+((1+VLOOKUP($B383,'IPCA Hist'!$B:$C,2,0))^12 - 1)+$G$2)^(1/252)</f>
        <v>45979828.91979631</v>
      </c>
      <c r="H383" s="2">
        <f>H382*(1+((1+VLOOKUP($B383,'IPCA Hist'!$B:$C,2,0))^12 - 1)+$H$2)^(1/252)</f>
        <v>47005907.900847331</v>
      </c>
      <c r="I383" s="2">
        <f>I382*(1+((1+VLOOKUP($B383,'IPCA Hist'!$B:$C,2,0))^12 - 1)+$I$2)^(1/252)</f>
        <v>237408574.11369926</v>
      </c>
      <c r="J383" s="2">
        <f>J382*(1+((1+VLOOKUP($B383,'IPCA Hist'!$B:$C,2,0))^12 - 1)+$J$2)^(1/252)</f>
        <v>20792177.934178822</v>
      </c>
      <c r="K383" s="2">
        <f>K382*(1+((1+VLOOKUP($B383,'IPCA Hist'!$B:$C,2,0))^12 - 1)+$K$2)^(1/252)</f>
        <v>80330485.621841103</v>
      </c>
      <c r="L383" s="2">
        <v>0</v>
      </c>
      <c r="M383" s="2">
        <v>0</v>
      </c>
      <c r="N383" s="2">
        <v>0</v>
      </c>
      <c r="O383" s="2">
        <f t="shared" si="56"/>
        <v>477511251.33375132</v>
      </c>
      <c r="P383" s="2">
        <v>0</v>
      </c>
      <c r="Q383" s="2">
        <v>0</v>
      </c>
      <c r="R383" s="2">
        <f t="shared" si="65"/>
        <v>215101.11997354031</v>
      </c>
      <c r="S383" s="2">
        <f t="shared" si="58"/>
        <v>3605246.3559855223</v>
      </c>
      <c r="T383" s="2">
        <f t="shared" si="59"/>
        <v>35541838.084130749</v>
      </c>
      <c r="U383" s="11">
        <f t="shared" si="62"/>
        <v>1.1441258967804908</v>
      </c>
      <c r="V383" s="12">
        <f t="shared" si="63"/>
        <v>4.5066594372733526E-4</v>
      </c>
      <c r="W383" s="12">
        <f t="shared" si="60"/>
        <v>8.419070780505411E-3</v>
      </c>
      <c r="X383" s="12">
        <f t="shared" si="61"/>
        <v>9.8696564367392048E-2</v>
      </c>
      <c r="Y383" s="5">
        <f t="shared" si="64"/>
        <v>0.14412589678049081</v>
      </c>
      <c r="Z383" s="19">
        <f t="shared" si="55"/>
        <v>4.7644834929747359E-2</v>
      </c>
      <c r="AA383" s="19">
        <f t="shared" si="54"/>
        <v>9.9191231620108455E-2</v>
      </c>
      <c r="AB383" s="19" t="s">
        <v>53</v>
      </c>
    </row>
    <row r="384" spans="1:28" x14ac:dyDescent="0.25">
      <c r="A384" s="1">
        <v>45656</v>
      </c>
      <c r="B384" s="1" t="str">
        <f t="shared" si="57"/>
        <v>202412</v>
      </c>
      <c r="C384" s="2">
        <v>0</v>
      </c>
      <c r="D384" s="2">
        <v>0</v>
      </c>
      <c r="E384" s="2">
        <v>0</v>
      </c>
      <c r="F384" s="2">
        <f>F383*(1+((1+VLOOKUP($B384,'IPCA Hist'!$B:$C,2,0))^12 - 1)+$F$2)^(1/252)</f>
        <v>46014297.21070838</v>
      </c>
      <c r="G384" s="2">
        <f>G383*(1+((1+VLOOKUP($B384,'IPCA Hist'!$B:$C,2,0))^12 - 1)+$G$2)^(1/252)</f>
        <v>45999859.355426013</v>
      </c>
      <c r="H384" s="2">
        <f>H383*(1+((1+VLOOKUP($B384,'IPCA Hist'!$B:$C,2,0))^12 - 1)+$H$2)^(1/252)</f>
        <v>47026184.567467019</v>
      </c>
      <c r="I384" s="2">
        <f>I383*(1+((1+VLOOKUP($B384,'IPCA Hist'!$B:$C,2,0))^12 - 1)+$I$2)^(1/252)</f>
        <v>237510899.1292077</v>
      </c>
      <c r="J384" s="2">
        <f>J383*(1+((1+VLOOKUP($B384,'IPCA Hist'!$B:$C,2,0))^12 - 1)+$J$2)^(1/252)</f>
        <v>20802133.227521434</v>
      </c>
      <c r="K384" s="2">
        <f>K383*(1+((1+VLOOKUP($B384,'IPCA Hist'!$B:$C,2,0))^12 - 1)+$K$2)^(1/252)</f>
        <v>80373076.556896627</v>
      </c>
      <c r="L384" s="2">
        <v>0</v>
      </c>
      <c r="M384" s="2">
        <v>0</v>
      </c>
      <c r="N384" s="2">
        <v>0</v>
      </c>
      <c r="O384" s="2">
        <f t="shared" si="56"/>
        <v>477726450.0472272</v>
      </c>
      <c r="P384" s="2">
        <v>0</v>
      </c>
      <c r="Q384" s="2">
        <v>0</v>
      </c>
      <c r="R384" s="2">
        <f t="shared" si="65"/>
        <v>215198.71347588301</v>
      </c>
      <c r="S384" s="2">
        <f t="shared" si="58"/>
        <v>3820445.0694614053</v>
      </c>
      <c r="T384" s="2">
        <f t="shared" si="59"/>
        <v>35757036.797606632</v>
      </c>
      <c r="U384" s="11">
        <f t="shared" si="62"/>
        <v>1.1446415169263071</v>
      </c>
      <c r="V384" s="12">
        <f t="shared" si="63"/>
        <v>4.5066731490583933E-4</v>
      </c>
      <c r="W384" s="12">
        <f t="shared" si="60"/>
        <v>8.8735322954338613E-3</v>
      </c>
      <c r="X384" s="12">
        <f t="shared" si="61"/>
        <v>9.9191710997951876E-2</v>
      </c>
      <c r="Y384" s="5">
        <f t="shared" si="64"/>
        <v>0.14464151692630711</v>
      </c>
      <c r="Z384" s="19">
        <f t="shared" si="55"/>
        <v>4.7730577019665654E-2</v>
      </c>
      <c r="AA384" s="19">
        <f t="shared" ref="AA384:AA447" si="66">U384/U132 - 1</f>
        <v>9.9191710997952987E-2</v>
      </c>
      <c r="AB384" s="19" t="s">
        <v>53</v>
      </c>
    </row>
    <row r="385" spans="1:28" x14ac:dyDescent="0.25">
      <c r="A385" s="1">
        <v>45657</v>
      </c>
      <c r="B385" s="1" t="str">
        <f t="shared" si="57"/>
        <v>202412</v>
      </c>
      <c r="C385" s="2">
        <v>0</v>
      </c>
      <c r="D385" s="2">
        <v>0</v>
      </c>
      <c r="E385" s="2">
        <v>0</v>
      </c>
      <c r="F385" s="2">
        <f>F384*(1+((1+VLOOKUP($B385,'IPCA Hist'!$B:$C,2,0))^12 - 1)+$F$2)^(1/252)</f>
        <v>46034326.292484358</v>
      </c>
      <c r="G385" s="2">
        <f>G384*(1+((1+VLOOKUP($B385,'IPCA Hist'!$B:$C,2,0))^12 - 1)+$G$2)^(1/252)</f>
        <v>46019898.517020144</v>
      </c>
      <c r="H385" s="2">
        <f>H384*(1+((1+VLOOKUP($B385,'IPCA Hist'!$B:$C,2,0))^12 - 1)+$H$2)^(1/252)</f>
        <v>47046469.980715111</v>
      </c>
      <c r="I385" s="2">
        <f>I384*(1+((1+VLOOKUP($B385,'IPCA Hist'!$B:$C,2,0))^12 - 1)+$I$2)^(1/252)</f>
        <v>237613268.24762538</v>
      </c>
      <c r="J385" s="2">
        <f>J384*(1+((1+VLOOKUP($B385,'IPCA Hist'!$B:$C,2,0))^12 - 1)+$J$2)^(1/252)</f>
        <v>20812093.287457805</v>
      </c>
      <c r="K385" s="2">
        <f>K384*(1+((1+VLOOKUP($B385,'IPCA Hist'!$B:$C,2,0))^12 - 1)+$K$2)^(1/252)</f>
        <v>80415690.073513001</v>
      </c>
      <c r="L385" s="2">
        <v>0</v>
      </c>
      <c r="M385" s="2">
        <v>0</v>
      </c>
      <c r="N385" s="2">
        <v>0</v>
      </c>
      <c r="O385" s="2">
        <f t="shared" si="56"/>
        <v>477941746.39881587</v>
      </c>
      <c r="P385" s="2">
        <v>0</v>
      </c>
      <c r="Q385" s="2">
        <v>0</v>
      </c>
      <c r="R385" s="2">
        <f t="shared" si="65"/>
        <v>215296.35158866644</v>
      </c>
      <c r="S385" s="2">
        <f t="shared" si="58"/>
        <v>4035741.4210500717</v>
      </c>
      <c r="T385" s="2">
        <f t="shared" si="59"/>
        <v>35972333.149195299</v>
      </c>
      <c r="U385" s="11">
        <f t="shared" si="62"/>
        <v>1.1451573710148695</v>
      </c>
      <c r="V385" s="12">
        <f t="shared" si="63"/>
        <v>4.5066868616427946E-4</v>
      </c>
      <c r="W385" s="12">
        <f t="shared" si="60"/>
        <v>9.3282000047394398E-3</v>
      </c>
      <c r="X385" s="12">
        <f t="shared" si="61"/>
        <v>9.9687082282190032E-2</v>
      </c>
      <c r="Y385" s="5">
        <f t="shared" si="64"/>
        <v>0.14515737101486947</v>
      </c>
      <c r="Z385" s="19">
        <f t="shared" si="55"/>
        <v>4.7816327559259797E-2</v>
      </c>
      <c r="AA385" s="19">
        <f t="shared" si="66"/>
        <v>9.9261782041203617E-2</v>
      </c>
      <c r="AB385" s="19" t="s">
        <v>53</v>
      </c>
    </row>
    <row r="386" spans="1:28" x14ac:dyDescent="0.25">
      <c r="A386" s="1">
        <v>45659</v>
      </c>
      <c r="B386" s="1" t="str">
        <f t="shared" si="57"/>
        <v>202501</v>
      </c>
      <c r="C386" s="2">
        <v>0</v>
      </c>
      <c r="D386" s="2">
        <v>0</v>
      </c>
      <c r="E386" s="2">
        <v>0</v>
      </c>
      <c r="F386" s="2">
        <f>F385*(1+((1+VLOOKUP($B386,'IPCA Hist'!$B:$C,2,0))^12 - 1)+$F$2)^(1/252)</f>
        <v>46046868.461048275</v>
      </c>
      <c r="G386" s="2">
        <f>G385*(1+((1+VLOOKUP($B386,'IPCA Hist'!$B:$C,2,0))^12 - 1)+$G$2)^(1/252)</f>
        <v>46032453.808826901</v>
      </c>
      <c r="H386" s="2">
        <f>H385*(1+((1+VLOOKUP($B386,'IPCA Hist'!$B:$C,2,0))^12 - 1)+$H$2)^(1/252)</f>
        <v>47059096.023198999</v>
      </c>
      <c r="I386" s="2">
        <f>I385*(1+((1+VLOOKUP($B386,'IPCA Hist'!$B:$C,2,0))^12 - 1)+$I$2)^(1/252)</f>
        <v>237676949.28280768</v>
      </c>
      <c r="J386" s="2">
        <f>J385*(1+((1+VLOOKUP($B386,'IPCA Hist'!$B:$C,2,0))^12 - 1)+$J$2)^(1/252)</f>
        <v>20818706.901496328</v>
      </c>
      <c r="K386" s="2">
        <f>K385*(1+((1+VLOOKUP($B386,'IPCA Hist'!$B:$C,2,0))^12 - 1)+$K$2)^(1/252)</f>
        <v>80445546.704793811</v>
      </c>
      <c r="L386" s="2">
        <v>0</v>
      </c>
      <c r="M386" s="2">
        <v>0</v>
      </c>
      <c r="N386" s="2">
        <v>0</v>
      </c>
      <c r="O386" s="2">
        <f t="shared" si="56"/>
        <v>478079621.182172</v>
      </c>
      <c r="P386" s="2">
        <v>0</v>
      </c>
      <c r="Q386" s="2">
        <v>0</v>
      </c>
      <c r="R386" s="2">
        <f t="shared" si="65"/>
        <v>137874.78335613012</v>
      </c>
      <c r="S386" s="2">
        <f t="shared" si="58"/>
        <v>137874.78335613012</v>
      </c>
      <c r="T386" s="2">
        <f t="shared" si="59"/>
        <v>137874.78335613012</v>
      </c>
      <c r="U386" s="11">
        <f t="shared" si="62"/>
        <v>1.1454877215766837</v>
      </c>
      <c r="V386" s="12">
        <f t="shared" si="63"/>
        <v>2.8847612579352422E-4</v>
      </c>
      <c r="W386" s="12">
        <f t="shared" si="60"/>
        <v>2.8847612579352422E-4</v>
      </c>
      <c r="X386" s="12">
        <f t="shared" si="61"/>
        <v>2.8847612579352422E-4</v>
      </c>
      <c r="Y386" s="5">
        <f t="shared" si="64"/>
        <v>0.14548772157668366</v>
      </c>
      <c r="Z386" s="19">
        <f t="shared" ref="Z386:Z449" si="67">U386/U260 - 1</f>
        <v>4.7732199752968274E-2</v>
      </c>
      <c r="AA386" s="19">
        <f t="shared" si="66"/>
        <v>9.9153634418218006E-2</v>
      </c>
      <c r="AB386" s="19" t="s">
        <v>53</v>
      </c>
    </row>
    <row r="387" spans="1:28" x14ac:dyDescent="0.25">
      <c r="A387" s="1">
        <v>45660</v>
      </c>
      <c r="B387" s="1" t="str">
        <f t="shared" si="57"/>
        <v>202501</v>
      </c>
      <c r="C387" s="2">
        <v>0</v>
      </c>
      <c r="D387" s="2">
        <v>0</v>
      </c>
      <c r="E387" s="2">
        <v>0</v>
      </c>
      <c r="F387" s="2">
        <f>F386*(1+((1+VLOOKUP($B387,'IPCA Hist'!$B:$C,2,0))^12 - 1)+$F$2)^(1/252)</f>
        <v>46059414.04675772</v>
      </c>
      <c r="G387" s="2">
        <f>G386*(1+((1+VLOOKUP($B387,'IPCA Hist'!$B:$C,2,0))^12 - 1)+$G$2)^(1/252)</f>
        <v>46045012.526007406</v>
      </c>
      <c r="H387" s="2">
        <f>H386*(1+((1+VLOOKUP($B387,'IPCA Hist'!$B:$C,2,0))^12 - 1)+$H$2)^(1/252)</f>
        <v>47071725.454182573</v>
      </c>
      <c r="I387" s="2">
        <f>I386*(1+((1+VLOOKUP($B387,'IPCA Hist'!$B:$C,2,0))^12 - 1)+$I$2)^(1/252)</f>
        <v>237740647.38468945</v>
      </c>
      <c r="J387" s="2">
        <f>J386*(1+((1+VLOOKUP($B387,'IPCA Hist'!$B:$C,2,0))^12 - 1)+$J$2)^(1/252)</f>
        <v>20825322.617192291</v>
      </c>
      <c r="K387" s="2">
        <f>K386*(1+((1+VLOOKUP($B387,'IPCA Hist'!$B:$C,2,0))^12 - 1)+$K$2)^(1/252)</f>
        <v>80475414.421205282</v>
      </c>
      <c r="L387" s="2">
        <v>42364024.700000003</v>
      </c>
      <c r="M387" s="2">
        <v>0</v>
      </c>
      <c r="N387" s="2">
        <v>0</v>
      </c>
      <c r="O387" s="2">
        <f t="shared" ref="O387:O450" si="68">SUM(C387:N387)</f>
        <v>520581561.15003473</v>
      </c>
      <c r="P387" s="2">
        <v>42364024.700000003</v>
      </c>
      <c r="Q387" s="2">
        <v>0</v>
      </c>
      <c r="R387" s="2">
        <f t="shared" si="65"/>
        <v>137915.26786272228</v>
      </c>
      <c r="S387" s="2">
        <f t="shared" si="58"/>
        <v>275790.0512188524</v>
      </c>
      <c r="T387" s="2">
        <f t="shared" si="59"/>
        <v>275790.0512188524</v>
      </c>
      <c r="U387" s="11">
        <f t="shared" si="62"/>
        <v>1.1458181691401335</v>
      </c>
      <c r="V387" s="12">
        <f t="shared" si="63"/>
        <v>2.8847761283290474E-4</v>
      </c>
      <c r="W387" s="12">
        <f t="shared" si="60"/>
        <v>5.770369575306411E-4</v>
      </c>
      <c r="X387" s="12">
        <f t="shared" si="61"/>
        <v>5.770369575306411E-4</v>
      </c>
      <c r="Y387" s="5">
        <f t="shared" si="64"/>
        <v>0.14581816914013346</v>
      </c>
      <c r="Z387" s="19">
        <f t="shared" si="67"/>
        <v>4.7648080254764968E-2</v>
      </c>
      <c r="AA387" s="19">
        <f t="shared" si="66"/>
        <v>9.9045499064849496E-2</v>
      </c>
      <c r="AB387" s="19" t="s">
        <v>53</v>
      </c>
    </row>
    <row r="388" spans="1:28" x14ac:dyDescent="0.25">
      <c r="A388" s="1">
        <v>45663</v>
      </c>
      <c r="B388" s="1" t="str">
        <f t="shared" ref="B388:B451" si="69">_xlfn.CONCAT(TEXT(YEAR(A388),"0000"),TEXT(MONTH(A388),"00"))</f>
        <v>202501</v>
      </c>
      <c r="C388" s="2">
        <v>0</v>
      </c>
      <c r="D388" s="2">
        <v>0</v>
      </c>
      <c r="E388" s="2">
        <v>0</v>
      </c>
      <c r="F388" s="2">
        <f>F387*(1+((1+VLOOKUP($B388,'IPCA Hist'!$B:$C,2,0))^12 - 1)+$F$2)^(1/252)</f>
        <v>46071963.050543703</v>
      </c>
      <c r="G388" s="2">
        <f>G387*(1+((1+VLOOKUP($B388,'IPCA Hist'!$B:$C,2,0))^12 - 1)+$G$2)^(1/252)</f>
        <v>46057574.669496186</v>
      </c>
      <c r="H388" s="2">
        <f>H387*(1+((1+VLOOKUP($B388,'IPCA Hist'!$B:$C,2,0))^12 - 1)+$H$2)^(1/252)</f>
        <v>47084358.274575219</v>
      </c>
      <c r="I388" s="2">
        <f>I387*(1+((1+VLOOKUP($B388,'IPCA Hist'!$B:$C,2,0))^12 - 1)+$I$2)^(1/252)</f>
        <v>237804362.55784464</v>
      </c>
      <c r="J388" s="2">
        <f>J387*(1+((1+VLOOKUP($B388,'IPCA Hist'!$B:$C,2,0))^12 - 1)+$J$2)^(1/252)</f>
        <v>20831940.435213547</v>
      </c>
      <c r="K388" s="2">
        <f>K387*(1+((1+VLOOKUP($B388,'IPCA Hist'!$B:$C,2,0))^12 - 1)+$K$2)^(1/252)</f>
        <v>80505293.226863071</v>
      </c>
      <c r="L388" s="2">
        <f>L387*(1+((1+VLOOKUP($B388,'IPCA Hist'!$B:$C,2,0))^12 - 1)+$L$2)^(1/252)</f>
        <v>42379892.872961149</v>
      </c>
      <c r="M388" s="2">
        <v>0</v>
      </c>
      <c r="N388" s="2">
        <v>0</v>
      </c>
      <c r="O388" s="2">
        <f t="shared" si="68"/>
        <v>520735385.08749753</v>
      </c>
      <c r="P388" s="2">
        <v>0</v>
      </c>
      <c r="Q388" s="2">
        <v>0</v>
      </c>
      <c r="R388" s="2">
        <f t="shared" si="65"/>
        <v>153823.9374628067</v>
      </c>
      <c r="S388" s="2">
        <f t="shared" ref="S388:S451" si="70">IF(MONTH(A388)=MONTH(A387),R388+S387,R388)</f>
        <v>429613.9886816591</v>
      </c>
      <c r="T388" s="2">
        <f t="shared" ref="T388:T451" si="71">IF(YEAR(A388)=YEAR(A387),R388+T387,R388)</f>
        <v>429613.9886816591</v>
      </c>
      <c r="U388" s="11">
        <f t="shared" si="62"/>
        <v>1.1461567409904392</v>
      </c>
      <c r="V388" s="12">
        <f t="shared" si="63"/>
        <v>2.9548479804586414E-4</v>
      </c>
      <c r="W388" s="12">
        <f t="shared" ref="W388:W451" si="72">IF(MONTH(A388)=MONTH(A387),(1+V388)*(1+W387) - 1,V388)</f>
        <v>8.7269226122543841E-4</v>
      </c>
      <c r="X388" s="12">
        <f t="shared" ref="X388:X451" si="73">IF(YEAR(A388)=YEAR(A387),(1+V388)*(1+X387) - 1,V388)</f>
        <v>8.7269226122543841E-4</v>
      </c>
      <c r="Y388" s="5">
        <f t="shared" si="64"/>
        <v>0.14615674099043918</v>
      </c>
      <c r="Z388" s="19">
        <f t="shared" si="67"/>
        <v>4.7571305864204882E-2</v>
      </c>
      <c r="AA388" s="19">
        <f t="shared" si="66"/>
        <v>9.8945072582828697E-2</v>
      </c>
      <c r="AB388" s="19" t="s">
        <v>53</v>
      </c>
    </row>
    <row r="389" spans="1:28" x14ac:dyDescent="0.25">
      <c r="A389" s="1">
        <v>45664</v>
      </c>
      <c r="B389" s="1" t="str">
        <f t="shared" si="69"/>
        <v>202501</v>
      </c>
      <c r="C389" s="2">
        <v>0</v>
      </c>
      <c r="D389" s="2">
        <v>0</v>
      </c>
      <c r="E389" s="2">
        <v>0</v>
      </c>
      <c r="F389" s="2">
        <f>F388*(1+((1+VLOOKUP($B389,'IPCA Hist'!$B:$C,2,0))^12 - 1)+$F$2)^(1/252)</f>
        <v>46084515.473337486</v>
      </c>
      <c r="G389" s="2">
        <f>G388*(1+((1+VLOOKUP($B389,'IPCA Hist'!$B:$C,2,0))^12 - 1)+$G$2)^(1/252)</f>
        <v>46070140.240228012</v>
      </c>
      <c r="H389" s="2">
        <f>H388*(1+((1+VLOOKUP($B389,'IPCA Hist'!$B:$C,2,0))^12 - 1)+$H$2)^(1/252)</f>
        <v>47096994.485286564</v>
      </c>
      <c r="I389" s="2">
        <f>I388*(1+((1+VLOOKUP($B389,'IPCA Hist'!$B:$C,2,0))^12 - 1)+$I$2)^(1/252)</f>
        <v>237868094.80684838</v>
      </c>
      <c r="J389" s="2">
        <f>J388*(1+((1+VLOOKUP($B389,'IPCA Hist'!$B:$C,2,0))^12 - 1)+$J$2)^(1/252)</f>
        <v>20838560.356228173</v>
      </c>
      <c r="K389" s="2">
        <f>K388*(1+((1+VLOOKUP($B389,'IPCA Hist'!$B:$C,2,0))^12 - 1)+$K$2)^(1/252)</f>
        <v>80535183.125884399</v>
      </c>
      <c r="L389" s="2">
        <f>L388*(1+((1+VLOOKUP($B389,'IPCA Hist'!$B:$C,2,0))^12 - 1)+$L$2)^(1/252)</f>
        <v>42395766.989618972</v>
      </c>
      <c r="M389" s="2">
        <v>0</v>
      </c>
      <c r="N389" s="2">
        <v>0</v>
      </c>
      <c r="O389" s="2">
        <f t="shared" si="68"/>
        <v>520889255.47743201</v>
      </c>
      <c r="P389" s="2">
        <v>0</v>
      </c>
      <c r="Q389" s="2">
        <v>0</v>
      </c>
      <c r="R389" s="2">
        <f t="shared" si="65"/>
        <v>153870.38993448019</v>
      </c>
      <c r="S389" s="2">
        <f t="shared" si="70"/>
        <v>583484.37861613929</v>
      </c>
      <c r="T389" s="2">
        <f t="shared" si="71"/>
        <v>583484.37861613929</v>
      </c>
      <c r="U389" s="11">
        <f t="shared" ref="U389:U452" si="74">(1+(O389-O388-P389+Q389)/O388)*U388</f>
        <v>1.1464954150842548</v>
      </c>
      <c r="V389" s="12">
        <f t="shared" ref="V389:V452" si="75">U389/U388 - 1</f>
        <v>2.9548671809309646E-4</v>
      </c>
      <c r="W389" s="12">
        <f t="shared" si="72"/>
        <v>1.1684368482907104E-3</v>
      </c>
      <c r="X389" s="12">
        <f t="shared" si="73"/>
        <v>1.1684368482907104E-3</v>
      </c>
      <c r="Y389" s="5">
        <f t="shared" ref="Y389:Y452" si="76">(1+V389)*(1+Y388) - 1</f>
        <v>0.14649541508425479</v>
      </c>
      <c r="Z389" s="19">
        <f t="shared" si="67"/>
        <v>4.7494539106649913E-2</v>
      </c>
      <c r="AA389" s="19">
        <f t="shared" si="66"/>
        <v>9.8844657382577861E-2</v>
      </c>
      <c r="AB389" s="19" t="s">
        <v>53</v>
      </c>
    </row>
    <row r="390" spans="1:28" x14ac:dyDescent="0.25">
      <c r="A390" s="1">
        <v>45665</v>
      </c>
      <c r="B390" s="1" t="str">
        <f t="shared" si="69"/>
        <v>202501</v>
      </c>
      <c r="C390" s="2">
        <v>0</v>
      </c>
      <c r="D390" s="2">
        <v>0</v>
      </c>
      <c r="E390" s="2">
        <v>0</v>
      </c>
      <c r="F390" s="2">
        <f>F389*(1+((1+VLOOKUP($B390,'IPCA Hist'!$B:$C,2,0))^12 - 1)+$F$2)^(1/252)</f>
        <v>46097071.316070594</v>
      </c>
      <c r="G390" s="2">
        <f>G389*(1+((1+VLOOKUP($B390,'IPCA Hist'!$B:$C,2,0))^12 - 1)+$G$2)^(1/252)</f>
        <v>46082709.239137918</v>
      </c>
      <c r="H390" s="2">
        <f>H389*(1+((1+VLOOKUP($B390,'IPCA Hist'!$B:$C,2,0))^12 - 1)+$H$2)^(1/252)</f>
        <v>47109634.087226488</v>
      </c>
      <c r="I390" s="2">
        <f>I389*(1+((1+VLOOKUP($B390,'IPCA Hist'!$B:$C,2,0))^12 - 1)+$I$2)^(1/252)</f>
        <v>237931844.13627705</v>
      </c>
      <c r="J390" s="2">
        <f>J389*(1+((1+VLOOKUP($B390,'IPCA Hist'!$B:$C,2,0))^12 - 1)+$J$2)^(1/252)</f>
        <v>20845182.380904451</v>
      </c>
      <c r="K390" s="2">
        <f>K389*(1+((1+VLOOKUP($B390,'IPCA Hist'!$B:$C,2,0))^12 - 1)+$K$2)^(1/252)</f>
        <v>80565084.12238799</v>
      </c>
      <c r="L390" s="2">
        <f>L389*(1+((1+VLOOKUP($B390,'IPCA Hist'!$B:$C,2,0))^12 - 1)+$L$2)^(1/252)</f>
        <v>42411647.052199796</v>
      </c>
      <c r="M390" s="2">
        <v>0</v>
      </c>
      <c r="N390" s="2">
        <v>0</v>
      </c>
      <c r="O390" s="2">
        <f t="shared" si="68"/>
        <v>521043172.33420426</v>
      </c>
      <c r="P390" s="2">
        <v>0</v>
      </c>
      <c r="Q390" s="2">
        <v>0</v>
      </c>
      <c r="R390" s="2">
        <f t="shared" si="65"/>
        <v>153916.85677224398</v>
      </c>
      <c r="S390" s="2">
        <f t="shared" si="70"/>
        <v>737401.23538838327</v>
      </c>
      <c r="T390" s="2">
        <f t="shared" si="71"/>
        <v>737401.23538838327</v>
      </c>
      <c r="U390" s="11">
        <f t="shared" si="74"/>
        <v>1.1468341914532005</v>
      </c>
      <c r="V390" s="12">
        <f t="shared" si="75"/>
        <v>2.9548863823491978E-4</v>
      </c>
      <c r="W390" s="12">
        <f t="shared" si="72"/>
        <v>1.4642707463388138E-3</v>
      </c>
      <c r="X390" s="12">
        <f t="shared" si="73"/>
        <v>1.4642707463388138E-3</v>
      </c>
      <c r="Y390" s="5">
        <f t="shared" si="76"/>
        <v>0.14683419145320054</v>
      </c>
      <c r="Z390" s="19">
        <f t="shared" si="67"/>
        <v>4.7417779981345998E-2</v>
      </c>
      <c r="AA390" s="19">
        <f t="shared" si="66"/>
        <v>9.8744253462786258E-2</v>
      </c>
      <c r="AB390" s="19" t="s">
        <v>53</v>
      </c>
    </row>
    <row r="391" spans="1:28" x14ac:dyDescent="0.25">
      <c r="A391" s="1">
        <v>45666</v>
      </c>
      <c r="B391" s="1" t="str">
        <f t="shared" si="69"/>
        <v>202501</v>
      </c>
      <c r="C391" s="2">
        <v>0</v>
      </c>
      <c r="D391" s="2">
        <v>0</v>
      </c>
      <c r="E391" s="2">
        <v>0</v>
      </c>
      <c r="F391" s="2">
        <f>F390*(1+((1+VLOOKUP($B391,'IPCA Hist'!$B:$C,2,0))^12 - 1)+$F$2)^(1/252)</f>
        <v>46109630.579674788</v>
      </c>
      <c r="G391" s="2">
        <f>G390*(1+((1+VLOOKUP($B391,'IPCA Hist'!$B:$C,2,0))^12 - 1)+$G$2)^(1/252)</f>
        <v>46095281.667161189</v>
      </c>
      <c r="H391" s="2">
        <f>H390*(1+((1+VLOOKUP($B391,'IPCA Hist'!$B:$C,2,0))^12 - 1)+$H$2)^(1/252)</f>
        <v>47122277.081305102</v>
      </c>
      <c r="I391" s="2">
        <f>I390*(1+((1+VLOOKUP($B391,'IPCA Hist'!$B:$C,2,0))^12 - 1)+$I$2)^(1/252)</f>
        <v>237995610.55070826</v>
      </c>
      <c r="J391" s="2">
        <f>J390*(1+((1+VLOOKUP($B391,'IPCA Hist'!$B:$C,2,0))^12 - 1)+$J$2)^(1/252)</f>
        <v>20851806.509910878</v>
      </c>
      <c r="K391" s="2">
        <f>K390*(1+((1+VLOOKUP($B391,'IPCA Hist'!$B:$C,2,0))^12 - 1)+$K$2)^(1/252)</f>
        <v>80594996.220494092</v>
      </c>
      <c r="L391" s="2">
        <f>L390*(1+((1+VLOOKUP($B391,'IPCA Hist'!$B:$C,2,0))^12 - 1)+$L$2)^(1/252)</f>
        <v>42427533.062930763</v>
      </c>
      <c r="M391" s="2">
        <v>0</v>
      </c>
      <c r="N391" s="2">
        <v>0</v>
      </c>
      <c r="O391" s="2">
        <f t="shared" si="68"/>
        <v>521197135.67218512</v>
      </c>
      <c r="P391" s="2">
        <v>0</v>
      </c>
      <c r="Q391" s="2">
        <v>0</v>
      </c>
      <c r="R391" s="2">
        <f t="shared" si="65"/>
        <v>153963.33798086643</v>
      </c>
      <c r="S391" s="2">
        <f t="shared" si="70"/>
        <v>891364.5733692497</v>
      </c>
      <c r="T391" s="2">
        <f t="shared" si="71"/>
        <v>891364.5733692497</v>
      </c>
      <c r="U391" s="11">
        <f t="shared" si="74"/>
        <v>1.1471730701289073</v>
      </c>
      <c r="V391" s="12">
        <f t="shared" si="75"/>
        <v>2.9549055847155614E-4</v>
      </c>
      <c r="W391" s="12">
        <f t="shared" si="72"/>
        <v>1.7601939829909874E-3</v>
      </c>
      <c r="X391" s="12">
        <f t="shared" si="73"/>
        <v>1.7601939829909874E-3</v>
      </c>
      <c r="Y391" s="5">
        <f t="shared" si="76"/>
        <v>0.14717307012890735</v>
      </c>
      <c r="Z391" s="19">
        <f t="shared" si="67"/>
        <v>4.7341028487539072E-2</v>
      </c>
      <c r="AA391" s="19">
        <f t="shared" si="66"/>
        <v>9.8643860822141605E-2</v>
      </c>
      <c r="AB391" s="19" t="s">
        <v>53</v>
      </c>
    </row>
    <row r="392" spans="1:28" x14ac:dyDescent="0.25">
      <c r="A392" s="1">
        <v>45667</v>
      </c>
      <c r="B392" s="1" t="str">
        <f t="shared" si="69"/>
        <v>202501</v>
      </c>
      <c r="C392" s="2">
        <v>0</v>
      </c>
      <c r="D392" s="2">
        <v>0</v>
      </c>
      <c r="E392" s="2">
        <v>0</v>
      </c>
      <c r="F392" s="2">
        <f>F391*(1+((1+VLOOKUP($B392,'IPCA Hist'!$B:$C,2,0))^12 - 1)+$F$2)^(1/252)</f>
        <v>46122193.265082099</v>
      </c>
      <c r="G392" s="2">
        <f>G391*(1+((1+VLOOKUP($B392,'IPCA Hist'!$B:$C,2,0))^12 - 1)+$G$2)^(1/252)</f>
        <v>46107857.525233366</v>
      </c>
      <c r="H392" s="2">
        <f>H391*(1+((1+VLOOKUP($B392,'IPCA Hist'!$B:$C,2,0))^12 - 1)+$H$2)^(1/252)</f>
        <v>47134923.468432762</v>
      </c>
      <c r="I392" s="2">
        <f>I391*(1+((1+VLOOKUP($B392,'IPCA Hist'!$B:$C,2,0))^12 - 1)+$I$2)^(1/252)</f>
        <v>238059394.05472082</v>
      </c>
      <c r="J392" s="2">
        <f>J391*(1+((1+VLOOKUP($B392,'IPCA Hist'!$B:$C,2,0))^12 - 1)+$J$2)^(1/252)</f>
        <v>20858432.743916161</v>
      </c>
      <c r="K392" s="2">
        <f>K391*(1+((1+VLOOKUP($B392,'IPCA Hist'!$B:$C,2,0))^12 - 1)+$K$2)^(1/252)</f>
        <v>80624919.424324512</v>
      </c>
      <c r="L392" s="2">
        <f>L391*(1+((1+VLOOKUP($B392,'IPCA Hist'!$B:$C,2,0))^12 - 1)+$L$2)^(1/252)</f>
        <v>42443425.024039857</v>
      </c>
      <c r="M392" s="2">
        <v>0</v>
      </c>
      <c r="N392" s="2">
        <v>0</v>
      </c>
      <c r="O392" s="2">
        <f t="shared" si="68"/>
        <v>521351145.50574958</v>
      </c>
      <c r="P392" s="2">
        <v>0</v>
      </c>
      <c r="Q392" s="2">
        <v>0</v>
      </c>
      <c r="R392" s="2">
        <f t="shared" si="65"/>
        <v>154009.83356446028</v>
      </c>
      <c r="S392" s="2">
        <f t="shared" si="70"/>
        <v>1045374.40693371</v>
      </c>
      <c r="T392" s="2">
        <f t="shared" si="71"/>
        <v>1045374.40693371</v>
      </c>
      <c r="U392" s="11">
        <f t="shared" si="74"/>
        <v>1.147512051143015</v>
      </c>
      <c r="V392" s="12">
        <f t="shared" si="75"/>
        <v>2.9549247880233942E-4</v>
      </c>
      <c r="W392" s="12">
        <f t="shared" si="72"/>
        <v>2.0562065858764633E-3</v>
      </c>
      <c r="X392" s="12">
        <f t="shared" si="73"/>
        <v>2.0562065858764633E-3</v>
      </c>
      <c r="Y392" s="5">
        <f t="shared" si="76"/>
        <v>0.14751205114301502</v>
      </c>
      <c r="Z392" s="19">
        <f t="shared" si="67"/>
        <v>4.726428462447374E-2</v>
      </c>
      <c r="AA392" s="19">
        <f t="shared" si="66"/>
        <v>9.8543479459332728E-2</v>
      </c>
      <c r="AB392" s="19" t="s">
        <v>53</v>
      </c>
    </row>
    <row r="393" spans="1:28" x14ac:dyDescent="0.25">
      <c r="A393" s="1">
        <v>45670</v>
      </c>
      <c r="B393" s="1" t="str">
        <f t="shared" si="69"/>
        <v>202501</v>
      </c>
      <c r="C393" s="2">
        <v>0</v>
      </c>
      <c r="D393" s="2">
        <v>0</v>
      </c>
      <c r="E393" s="2">
        <v>0</v>
      </c>
      <c r="F393" s="2">
        <f>F392*(1+((1+VLOOKUP($B393,'IPCA Hist'!$B:$C,2,0))^12 - 1)+$F$2)^(1/252)</f>
        <v>46134759.37322481</v>
      </c>
      <c r="G393" s="2">
        <f>G392*(1+((1+VLOOKUP($B393,'IPCA Hist'!$B:$C,2,0))^12 - 1)+$G$2)^(1/252)</f>
        <v>46120436.81429024</v>
      </c>
      <c r="H393" s="2">
        <f>H392*(1+((1+VLOOKUP($B393,'IPCA Hist'!$B:$C,2,0))^12 - 1)+$H$2)^(1/252)</f>
        <v>47147573.249520086</v>
      </c>
      <c r="I393" s="2">
        <f>I392*(1+((1+VLOOKUP($B393,'IPCA Hist'!$B:$C,2,0))^12 - 1)+$I$2)^(1/252)</f>
        <v>238123194.65289479</v>
      </c>
      <c r="J393" s="2">
        <f>J392*(1+((1+VLOOKUP($B393,'IPCA Hist'!$B:$C,2,0))^12 - 1)+$J$2)^(1/252)</f>
        <v>20865061.083589226</v>
      </c>
      <c r="K393" s="2">
        <f>K392*(1+((1+VLOOKUP($B393,'IPCA Hist'!$B:$C,2,0))^12 - 1)+$K$2)^(1/252)</f>
        <v>80654853.738002554</v>
      </c>
      <c r="L393" s="2">
        <f>L392*(1+((1+VLOOKUP($B393,'IPCA Hist'!$B:$C,2,0))^12 - 1)+$L$2)^(1/252)</f>
        <v>42459322.937755898</v>
      </c>
      <c r="M393" s="2">
        <v>0</v>
      </c>
      <c r="N393" s="2">
        <v>0</v>
      </c>
      <c r="O393" s="2">
        <f t="shared" si="68"/>
        <v>521505201.84927756</v>
      </c>
      <c r="P393" s="2">
        <v>0</v>
      </c>
      <c r="Q393" s="2">
        <v>0</v>
      </c>
      <c r="R393" s="2">
        <f t="shared" ref="R393:R456" si="77">O393-O392-P393+Q393</f>
        <v>154056.3435279727</v>
      </c>
      <c r="S393" s="2">
        <f t="shared" si="70"/>
        <v>1199430.7504616827</v>
      </c>
      <c r="T393" s="2">
        <f t="shared" si="71"/>
        <v>1199430.7504616827</v>
      </c>
      <c r="U393" s="11">
        <f t="shared" si="74"/>
        <v>1.1478511345271742</v>
      </c>
      <c r="V393" s="12">
        <f t="shared" si="75"/>
        <v>2.9549439922793574E-4</v>
      </c>
      <c r="W393" s="12">
        <f t="shared" si="72"/>
        <v>2.3523085826342438E-3</v>
      </c>
      <c r="X393" s="12">
        <f t="shared" si="73"/>
        <v>2.3523085826342438E-3</v>
      </c>
      <c r="Y393" s="5">
        <f t="shared" si="76"/>
        <v>0.14785113452717424</v>
      </c>
      <c r="Z393" s="19">
        <f t="shared" si="67"/>
        <v>4.7187548391396827E-2</v>
      </c>
      <c r="AA393" s="19">
        <f t="shared" si="66"/>
        <v>9.8443109373048232E-2</v>
      </c>
      <c r="AB393" s="19" t="s">
        <v>53</v>
      </c>
    </row>
    <row r="394" spans="1:28" x14ac:dyDescent="0.25">
      <c r="A394" s="1">
        <v>45671</v>
      </c>
      <c r="B394" s="1" t="str">
        <f t="shared" si="69"/>
        <v>202501</v>
      </c>
      <c r="C394" s="2">
        <v>0</v>
      </c>
      <c r="D394" s="2">
        <v>0</v>
      </c>
      <c r="E394" s="2">
        <v>0</v>
      </c>
      <c r="F394" s="2">
        <f>F393*(1+((1+VLOOKUP($B394,'IPCA Hist'!$B:$C,2,0))^12 - 1)+$F$2)^(1/252)</f>
        <v>46147328.905035444</v>
      </c>
      <c r="G394" s="2">
        <f>G393*(1+((1+VLOOKUP($B394,'IPCA Hist'!$B:$C,2,0))^12 - 1)+$G$2)^(1/252)</f>
        <v>46133019.535267867</v>
      </c>
      <c r="H394" s="2">
        <f>H393*(1+((1+VLOOKUP($B394,'IPCA Hist'!$B:$C,2,0))^12 - 1)+$H$2)^(1/252)</f>
        <v>47160226.425477915</v>
      </c>
      <c r="I394" s="2">
        <f>I393*(1+((1+VLOOKUP($B394,'IPCA Hist'!$B:$C,2,0))^12 - 1)+$I$2)^(1/252)</f>
        <v>238187012.34981149</v>
      </c>
      <c r="J394" s="2">
        <f>J393*(1+((1+VLOOKUP($B394,'IPCA Hist'!$B:$C,2,0))^12 - 1)+$J$2)^(1/252)</f>
        <v>20871691.529599201</v>
      </c>
      <c r="K394" s="2">
        <f>K393*(1+((1+VLOOKUP($B394,'IPCA Hist'!$B:$C,2,0))^12 - 1)+$K$2)^(1/252)</f>
        <v>80684799.165653065</v>
      </c>
      <c r="L394" s="2">
        <f>L393*(1+((1+VLOOKUP($B394,'IPCA Hist'!$B:$C,2,0))^12 - 1)+$L$2)^(1/252)</f>
        <v>42475226.80630853</v>
      </c>
      <c r="M394" s="2">
        <v>0</v>
      </c>
      <c r="N394" s="2">
        <v>0</v>
      </c>
      <c r="O394" s="2">
        <f t="shared" si="68"/>
        <v>521659304.71715349</v>
      </c>
      <c r="P394" s="2">
        <v>0</v>
      </c>
      <c r="Q394" s="2">
        <v>0</v>
      </c>
      <c r="R394" s="2">
        <f t="shared" si="77"/>
        <v>154102.86787593365</v>
      </c>
      <c r="S394" s="2">
        <f t="shared" si="70"/>
        <v>1353533.6183376163</v>
      </c>
      <c r="T394" s="2">
        <f t="shared" si="71"/>
        <v>1353533.6183376163</v>
      </c>
      <c r="U394" s="11">
        <f t="shared" si="74"/>
        <v>1.1481903203130457</v>
      </c>
      <c r="V394" s="12">
        <f t="shared" si="75"/>
        <v>2.9549631974812307E-4</v>
      </c>
      <c r="W394" s="12">
        <f t="shared" si="72"/>
        <v>2.6485000009115467E-3</v>
      </c>
      <c r="X394" s="12">
        <f t="shared" si="73"/>
        <v>2.6485000009115467E-3</v>
      </c>
      <c r="Y394" s="5">
        <f t="shared" si="76"/>
        <v>0.14819032031304569</v>
      </c>
      <c r="Z394" s="19">
        <f t="shared" si="67"/>
        <v>4.7110819787554048E-2</v>
      </c>
      <c r="AA394" s="19">
        <f t="shared" si="66"/>
        <v>9.8342750561977388E-2</v>
      </c>
      <c r="AB394" s="19" t="s">
        <v>53</v>
      </c>
    </row>
    <row r="395" spans="1:28" x14ac:dyDescent="0.25">
      <c r="A395" s="1">
        <v>45672</v>
      </c>
      <c r="B395" s="1" t="str">
        <f t="shared" si="69"/>
        <v>202501</v>
      </c>
      <c r="C395" s="2">
        <v>0</v>
      </c>
      <c r="D395" s="2">
        <v>0</v>
      </c>
      <c r="E395" s="2">
        <v>0</v>
      </c>
      <c r="F395" s="2">
        <f>F394*(1+((1+VLOOKUP($B395,'IPCA Hist'!$B:$C,2,0))^12 - 1)+$F$2)^(1/252)</f>
        <v>46159901.861446798</v>
      </c>
      <c r="G395" s="2">
        <f>G394*(1+((1+VLOOKUP($B395,'IPCA Hist'!$B:$C,2,0))^12 - 1)+$G$2)^(1/252)</f>
        <v>46145605.68910256</v>
      </c>
      <c r="H395" s="2">
        <f>H394*(1+((1+VLOOKUP($B395,'IPCA Hist'!$B:$C,2,0))^12 - 1)+$H$2)^(1/252)</f>
        <v>47172882.997217342</v>
      </c>
      <c r="I395" s="2">
        <f>I394*(1+((1+VLOOKUP($B395,'IPCA Hist'!$B:$C,2,0))^12 - 1)+$I$2)^(1/252)</f>
        <v>238250847.15005341</v>
      </c>
      <c r="J395" s="2">
        <f>J394*(1+((1+VLOOKUP($B395,'IPCA Hist'!$B:$C,2,0))^12 - 1)+$J$2)^(1/252)</f>
        <v>20878324.082615435</v>
      </c>
      <c r="K395" s="2">
        <f>K394*(1+((1+VLOOKUP($B395,'IPCA Hist'!$B:$C,2,0))^12 - 1)+$K$2)^(1/252)</f>
        <v>80714755.711402446</v>
      </c>
      <c r="L395" s="2">
        <f>L394*(1+((1+VLOOKUP($B395,'IPCA Hist'!$B:$C,2,0))^12 - 1)+$L$2)^(1/252)</f>
        <v>42491136.631928243</v>
      </c>
      <c r="M395" s="2">
        <v>0</v>
      </c>
      <c r="N395" s="2">
        <v>0</v>
      </c>
      <c r="O395" s="2">
        <f t="shared" si="68"/>
        <v>521813454.12376624</v>
      </c>
      <c r="P395" s="2">
        <v>0</v>
      </c>
      <c r="Q395" s="2">
        <v>0</v>
      </c>
      <c r="R395" s="2">
        <f t="shared" si="77"/>
        <v>154149.40661275387</v>
      </c>
      <c r="S395" s="2">
        <f t="shared" si="70"/>
        <v>1507683.0249503702</v>
      </c>
      <c r="T395" s="2">
        <f t="shared" si="71"/>
        <v>1507683.0249503702</v>
      </c>
      <c r="U395" s="11">
        <f t="shared" si="74"/>
        <v>1.1485296085322996</v>
      </c>
      <c r="V395" s="12">
        <f t="shared" si="75"/>
        <v>2.9549824036267935E-4</v>
      </c>
      <c r="W395" s="12">
        <f t="shared" si="72"/>
        <v>2.9447808683640275E-3</v>
      </c>
      <c r="X395" s="12">
        <f t="shared" si="73"/>
        <v>2.9447808683640275E-3</v>
      </c>
      <c r="Y395" s="5">
        <f t="shared" si="76"/>
        <v>0.14852960853229957</v>
      </c>
      <c r="Z395" s="19">
        <f t="shared" si="67"/>
        <v>4.703409881219045E-2</v>
      </c>
      <c r="AA395" s="19">
        <f t="shared" si="66"/>
        <v>9.82424030248088E-2</v>
      </c>
      <c r="AB395" s="19" t="s">
        <v>53</v>
      </c>
    </row>
    <row r="396" spans="1:28" x14ac:dyDescent="0.25">
      <c r="A396" s="1">
        <v>45673</v>
      </c>
      <c r="B396" s="1" t="str">
        <f t="shared" si="69"/>
        <v>202501</v>
      </c>
      <c r="C396" s="2">
        <v>0</v>
      </c>
      <c r="D396" s="2">
        <v>0</v>
      </c>
      <c r="E396" s="2">
        <v>0</v>
      </c>
      <c r="F396" s="2">
        <f>F395*(1+((1+VLOOKUP($B396,'IPCA Hist'!$B:$C,2,0))^12 - 1)+$F$2)^(1/252)</f>
        <v>46172478.243391909</v>
      </c>
      <c r="G396" s="2">
        <f>G395*(1+((1+VLOOKUP($B396,'IPCA Hist'!$B:$C,2,0))^12 - 1)+$G$2)^(1/252)</f>
        <v>46158195.276730873</v>
      </c>
      <c r="H396" s="2">
        <f>H395*(1+((1+VLOOKUP($B396,'IPCA Hist'!$B:$C,2,0))^12 - 1)+$H$2)^(1/252)</f>
        <v>47185542.965649717</v>
      </c>
      <c r="I396" s="2">
        <f>I395*(1+((1+VLOOKUP($B396,'IPCA Hist'!$B:$C,2,0))^12 - 1)+$I$2)^(1/252)</f>
        <v>238314699.05820426</v>
      </c>
      <c r="J396" s="2">
        <f>J395*(1+((1+VLOOKUP($B396,'IPCA Hist'!$B:$C,2,0))^12 - 1)+$J$2)^(1/252)</f>
        <v>20884958.743307486</v>
      </c>
      <c r="K396" s="2">
        <f>K395*(1+((1+VLOOKUP($B396,'IPCA Hist'!$B:$C,2,0))^12 - 1)+$K$2)^(1/252)</f>
        <v>80744723.379378587</v>
      </c>
      <c r="L396" s="2">
        <f>L395*(1+((1+VLOOKUP($B396,'IPCA Hist'!$B:$C,2,0))^12 - 1)+$L$2)^(1/252)</f>
        <v>42507052.416846357</v>
      </c>
      <c r="M396" s="2">
        <v>0</v>
      </c>
      <c r="N396" s="2">
        <v>0</v>
      </c>
      <c r="O396" s="2">
        <f t="shared" si="68"/>
        <v>521967650.08350915</v>
      </c>
      <c r="P396" s="2">
        <v>0</v>
      </c>
      <c r="Q396" s="2">
        <v>0</v>
      </c>
      <c r="R396" s="2">
        <f t="shared" si="77"/>
        <v>154195.95974290371</v>
      </c>
      <c r="S396" s="2">
        <f t="shared" si="70"/>
        <v>1661878.9846932739</v>
      </c>
      <c r="T396" s="2">
        <f t="shared" si="71"/>
        <v>1661878.9846932739</v>
      </c>
      <c r="U396" s="11">
        <f t="shared" si="74"/>
        <v>1.1488689992166163</v>
      </c>
      <c r="V396" s="12">
        <f t="shared" si="75"/>
        <v>2.9550016107160459E-4</v>
      </c>
      <c r="W396" s="12">
        <f t="shared" si="72"/>
        <v>3.2411512126564457E-3</v>
      </c>
      <c r="X396" s="12">
        <f t="shared" si="73"/>
        <v>3.2411512126564457E-3</v>
      </c>
      <c r="Y396" s="5">
        <f t="shared" si="76"/>
        <v>0.14886899921661634</v>
      </c>
      <c r="Z396" s="19">
        <f t="shared" si="67"/>
        <v>4.6957385464552859E-2</v>
      </c>
      <c r="AA396" s="19">
        <f t="shared" si="66"/>
        <v>9.8142066760231295E-2</v>
      </c>
      <c r="AB396" s="19" t="s">
        <v>53</v>
      </c>
    </row>
    <row r="397" spans="1:28" x14ac:dyDescent="0.25">
      <c r="A397" s="1">
        <v>45674</v>
      </c>
      <c r="B397" s="1" t="str">
        <f t="shared" si="69"/>
        <v>202501</v>
      </c>
      <c r="C397" s="2">
        <v>0</v>
      </c>
      <c r="D397" s="2">
        <v>0</v>
      </c>
      <c r="E397" s="2">
        <v>0</v>
      </c>
      <c r="F397" s="2">
        <f>F396*(1+((1+VLOOKUP($B397,'IPCA Hist'!$B:$C,2,0))^12 - 1)+$F$2)^(1/252)</f>
        <v>46185058.051804066</v>
      </c>
      <c r="G397" s="2">
        <f>G396*(1+((1+VLOOKUP($B397,'IPCA Hist'!$B:$C,2,0))^12 - 1)+$G$2)^(1/252)</f>
        <v>46170788.299089633</v>
      </c>
      <c r="H397" s="2">
        <f>H396*(1+((1+VLOOKUP($B397,'IPCA Hist'!$B:$C,2,0))^12 - 1)+$H$2)^(1/252)</f>
        <v>47198206.331686616</v>
      </c>
      <c r="I397" s="2">
        <f>I396*(1+((1+VLOOKUP($B397,'IPCA Hist'!$B:$C,2,0))^12 - 1)+$I$2)^(1/252)</f>
        <v>238378568.07884905</v>
      </c>
      <c r="J397" s="2">
        <f>J396*(1+((1+VLOOKUP($B397,'IPCA Hist'!$B:$C,2,0))^12 - 1)+$J$2)^(1/252)</f>
        <v>20891595.512345128</v>
      </c>
      <c r="K397" s="2">
        <f>K396*(1+((1+VLOOKUP($B397,'IPCA Hist'!$B:$C,2,0))^12 - 1)+$K$2)^(1/252)</f>
        <v>80774702.173710942</v>
      </c>
      <c r="L397" s="2">
        <f>L396*(1+((1+VLOOKUP($B397,'IPCA Hist'!$B:$C,2,0))^12 - 1)+$L$2)^(1/252)</f>
        <v>42522974.163295031</v>
      </c>
      <c r="M397" s="2">
        <v>0</v>
      </c>
      <c r="N397" s="2">
        <v>0</v>
      </c>
      <c r="O397" s="2">
        <f t="shared" si="68"/>
        <v>522121892.61078048</v>
      </c>
      <c r="P397" s="2">
        <v>0</v>
      </c>
      <c r="Q397" s="2">
        <v>0</v>
      </c>
      <c r="R397" s="2">
        <f t="shared" si="77"/>
        <v>154242.52727133036</v>
      </c>
      <c r="S397" s="2">
        <f t="shared" si="70"/>
        <v>1816121.5119646043</v>
      </c>
      <c r="T397" s="2">
        <f t="shared" si="71"/>
        <v>1816121.5119646043</v>
      </c>
      <c r="U397" s="11">
        <f t="shared" si="74"/>
        <v>1.1492084923976871</v>
      </c>
      <c r="V397" s="12">
        <f t="shared" si="75"/>
        <v>2.9550208187556493E-4</v>
      </c>
      <c r="W397" s="12">
        <f t="shared" si="72"/>
        <v>3.5376110614631084E-3</v>
      </c>
      <c r="X397" s="12">
        <f t="shared" si="73"/>
        <v>3.5376110614631084E-3</v>
      </c>
      <c r="Y397" s="5">
        <f t="shared" si="76"/>
        <v>0.14920849239768708</v>
      </c>
      <c r="Z397" s="19">
        <f t="shared" si="67"/>
        <v>4.6880679743886988E-2</v>
      </c>
      <c r="AA397" s="19">
        <f t="shared" si="66"/>
        <v>9.8041741766935031E-2</v>
      </c>
      <c r="AB397" s="19" t="s">
        <v>53</v>
      </c>
    </row>
    <row r="398" spans="1:28" x14ac:dyDescent="0.25">
      <c r="A398" s="1">
        <v>45677</v>
      </c>
      <c r="B398" s="1" t="str">
        <f t="shared" si="69"/>
        <v>202501</v>
      </c>
      <c r="C398" s="2">
        <v>0</v>
      </c>
      <c r="D398" s="2">
        <v>0</v>
      </c>
      <c r="E398" s="2">
        <v>0</v>
      </c>
      <c r="F398" s="2">
        <f>F397*(1+((1+VLOOKUP($B398,'IPCA Hist'!$B:$C,2,0))^12 - 1)+$F$2)^(1/252)</f>
        <v>46197641.287616827</v>
      </c>
      <c r="G398" s="2">
        <f>G397*(1+((1+VLOOKUP($B398,'IPCA Hist'!$B:$C,2,0))^12 - 1)+$G$2)^(1/252)</f>
        <v>46183384.757115908</v>
      </c>
      <c r="H398" s="2">
        <f>H397*(1+((1+VLOOKUP($B398,'IPCA Hist'!$B:$C,2,0))^12 - 1)+$H$2)^(1/252)</f>
        <v>47210873.096239865</v>
      </c>
      <c r="I398" s="2">
        <f>I397*(1+((1+VLOOKUP($B398,'IPCA Hist'!$B:$C,2,0))^12 - 1)+$I$2)^(1/252)</f>
        <v>238442454.21657395</v>
      </c>
      <c r="J398" s="2">
        <f>J397*(1+((1+VLOOKUP($B398,'IPCA Hist'!$B:$C,2,0))^12 - 1)+$J$2)^(1/252)</f>
        <v>20898234.390398346</v>
      </c>
      <c r="K398" s="2">
        <f>K397*(1+((1+VLOOKUP($B398,'IPCA Hist'!$B:$C,2,0))^12 - 1)+$K$2)^(1/252)</f>
        <v>80804692.098530501</v>
      </c>
      <c r="L398" s="2">
        <f>L397*(1+((1+VLOOKUP($B398,'IPCA Hist'!$B:$C,2,0))^12 - 1)+$L$2)^(1/252)</f>
        <v>42538901.873507261</v>
      </c>
      <c r="M398" s="2">
        <v>0</v>
      </c>
      <c r="N398" s="2">
        <v>0</v>
      </c>
      <c r="O398" s="2">
        <f t="shared" si="68"/>
        <v>522276181.71998262</v>
      </c>
      <c r="P398" s="2">
        <v>0</v>
      </c>
      <c r="Q398" s="2">
        <v>0</v>
      </c>
      <c r="R398" s="2">
        <f t="shared" si="77"/>
        <v>154289.10920214653</v>
      </c>
      <c r="S398" s="2">
        <f t="shared" si="70"/>
        <v>1970410.6211667508</v>
      </c>
      <c r="T398" s="2">
        <f t="shared" si="71"/>
        <v>1970410.6211667508</v>
      </c>
      <c r="U398" s="11">
        <f t="shared" si="74"/>
        <v>1.1495480881072118</v>
      </c>
      <c r="V398" s="12">
        <f t="shared" si="75"/>
        <v>2.9550400277345013E-4</v>
      </c>
      <c r="W398" s="12">
        <f t="shared" si="72"/>
        <v>3.8341604424654285E-3</v>
      </c>
      <c r="X398" s="12">
        <f t="shared" si="73"/>
        <v>3.8341604424654285E-3</v>
      </c>
      <c r="Y398" s="5">
        <f t="shared" si="76"/>
        <v>0.14954808810721176</v>
      </c>
      <c r="Z398" s="19">
        <f t="shared" si="67"/>
        <v>4.6803981649438331E-2</v>
      </c>
      <c r="AA398" s="19">
        <f t="shared" si="66"/>
        <v>9.7941428043608614E-2</v>
      </c>
      <c r="AB398" s="19" t="s">
        <v>53</v>
      </c>
    </row>
    <row r="399" spans="1:28" x14ac:dyDescent="0.25">
      <c r="A399" s="1">
        <v>45678</v>
      </c>
      <c r="B399" s="1" t="str">
        <f t="shared" si="69"/>
        <v>202501</v>
      </c>
      <c r="C399" s="2">
        <v>0</v>
      </c>
      <c r="D399" s="2">
        <v>0</v>
      </c>
      <c r="E399" s="2">
        <v>0</v>
      </c>
      <c r="F399" s="2">
        <f>F398*(1+((1+VLOOKUP($B399,'IPCA Hist'!$B:$C,2,0))^12 - 1)+$F$2)^(1/252)</f>
        <v>46210227.951763995</v>
      </c>
      <c r="G399" s="2">
        <f>G398*(1+((1+VLOOKUP($B399,'IPCA Hist'!$B:$C,2,0))^12 - 1)+$G$2)^(1/252)</f>
        <v>46195984.651747026</v>
      </c>
      <c r="H399" s="2">
        <f>H398*(1+((1+VLOOKUP($B399,'IPCA Hist'!$B:$C,2,0))^12 - 1)+$H$2)^(1/252)</f>
        <v>47223543.260221541</v>
      </c>
      <c r="I399" s="2">
        <f>I398*(1+((1+VLOOKUP($B399,'IPCA Hist'!$B:$C,2,0))^12 - 1)+$I$2)^(1/252)</f>
        <v>238506357.47596642</v>
      </c>
      <c r="J399" s="2">
        <f>J398*(1+((1+VLOOKUP($B399,'IPCA Hist'!$B:$C,2,0))^12 - 1)+$J$2)^(1/252)</f>
        <v>20904875.378137335</v>
      </c>
      <c r="K399" s="2">
        <f>K398*(1+((1+VLOOKUP($B399,'IPCA Hist'!$B:$C,2,0))^12 - 1)+$K$2)^(1/252)</f>
        <v>80834693.157969773</v>
      </c>
      <c r="L399" s="2">
        <f>L398*(1+((1+VLOOKUP($B399,'IPCA Hist'!$B:$C,2,0))^12 - 1)+$L$2)^(1/252)</f>
        <v>42554835.549716875</v>
      </c>
      <c r="M399" s="2">
        <v>0</v>
      </c>
      <c r="N399" s="2">
        <v>0</v>
      </c>
      <c r="O399" s="2">
        <f t="shared" si="68"/>
        <v>522430517.42552304</v>
      </c>
      <c r="P399" s="2">
        <v>0</v>
      </c>
      <c r="Q399" s="2">
        <v>0</v>
      </c>
      <c r="R399" s="2">
        <f t="shared" si="77"/>
        <v>154335.70554041862</v>
      </c>
      <c r="S399" s="2">
        <f t="shared" si="70"/>
        <v>2124746.3267071694</v>
      </c>
      <c r="T399" s="2">
        <f t="shared" si="71"/>
        <v>2124746.3267071694</v>
      </c>
      <c r="U399" s="11">
        <f t="shared" si="74"/>
        <v>1.1498877863769019</v>
      </c>
      <c r="V399" s="12">
        <f t="shared" si="75"/>
        <v>2.9550592376659246E-4</v>
      </c>
      <c r="W399" s="12">
        <f t="shared" si="72"/>
        <v>4.1307993833554768E-3</v>
      </c>
      <c r="X399" s="12">
        <f t="shared" si="73"/>
        <v>4.1307993833554768E-3</v>
      </c>
      <c r="Y399" s="5">
        <f t="shared" si="76"/>
        <v>0.14988778637690192</v>
      </c>
      <c r="Z399" s="19">
        <f t="shared" si="67"/>
        <v>4.6727291180454378E-2</v>
      </c>
      <c r="AA399" s="19">
        <f t="shared" si="66"/>
        <v>9.7841125588942424E-2</v>
      </c>
      <c r="AB399" s="19" t="s">
        <v>53</v>
      </c>
    </row>
    <row r="400" spans="1:28" x14ac:dyDescent="0.25">
      <c r="A400" s="1">
        <v>45679</v>
      </c>
      <c r="B400" s="1" t="str">
        <f t="shared" si="69"/>
        <v>202501</v>
      </c>
      <c r="C400" s="2">
        <v>0</v>
      </c>
      <c r="D400" s="2">
        <v>0</v>
      </c>
      <c r="E400" s="2">
        <v>0</v>
      </c>
      <c r="F400" s="2">
        <f>F399*(1+((1+VLOOKUP($B400,'IPCA Hist'!$B:$C,2,0))^12 - 1)+$F$2)^(1/252)</f>
        <v>46222818.04517962</v>
      </c>
      <c r="G400" s="2">
        <f>G399*(1+((1+VLOOKUP($B400,'IPCA Hist'!$B:$C,2,0))^12 - 1)+$G$2)^(1/252)</f>
        <v>46208587.983920574</v>
      </c>
      <c r="H400" s="2">
        <f>H399*(1+((1+VLOOKUP($B400,'IPCA Hist'!$B:$C,2,0))^12 - 1)+$H$2)^(1/252)</f>
        <v>47236216.82454396</v>
      </c>
      <c r="I400" s="2">
        <f>I399*(1+((1+VLOOKUP($B400,'IPCA Hist'!$B:$C,2,0))^12 - 1)+$I$2)^(1/252)</f>
        <v>238570277.86161509</v>
      </c>
      <c r="J400" s="2">
        <f>J399*(1+((1+VLOOKUP($B400,'IPCA Hist'!$B:$C,2,0))^12 - 1)+$J$2)^(1/252)</f>
        <v>20911518.476232506</v>
      </c>
      <c r="K400" s="2">
        <f>K399*(1+((1+VLOOKUP($B400,'IPCA Hist'!$B:$C,2,0))^12 - 1)+$K$2)^(1/252)</f>
        <v>80864705.356162786</v>
      </c>
      <c r="L400" s="2">
        <f>L399*(1+((1+VLOOKUP($B400,'IPCA Hist'!$B:$C,2,0))^12 - 1)+$L$2)^(1/252)</f>
        <v>42570775.194158539</v>
      </c>
      <c r="M400" s="2">
        <v>0</v>
      </c>
      <c r="N400" s="2">
        <v>0</v>
      </c>
      <c r="O400" s="2">
        <f t="shared" si="68"/>
        <v>522584899.74181312</v>
      </c>
      <c r="P400" s="2">
        <v>0</v>
      </c>
      <c r="Q400" s="2">
        <v>0</v>
      </c>
      <c r="R400" s="2">
        <f t="shared" si="77"/>
        <v>154382.31629008055</v>
      </c>
      <c r="S400" s="2">
        <f t="shared" si="70"/>
        <v>2279128.64299725</v>
      </c>
      <c r="T400" s="2">
        <f t="shared" si="71"/>
        <v>2279128.64299725</v>
      </c>
      <c r="U400" s="11">
        <f t="shared" si="74"/>
        <v>1.1502275872384775</v>
      </c>
      <c r="V400" s="12">
        <f t="shared" si="75"/>
        <v>2.9550784485343762E-4</v>
      </c>
      <c r="W400" s="12">
        <f t="shared" si="72"/>
        <v>4.4275279118322075E-3</v>
      </c>
      <c r="X400" s="12">
        <f t="shared" si="73"/>
        <v>4.4275279118322075E-3</v>
      </c>
      <c r="Y400" s="5">
        <f t="shared" si="76"/>
        <v>0.15022758723847751</v>
      </c>
      <c r="Z400" s="19">
        <f t="shared" si="67"/>
        <v>4.6650608336180177E-2</v>
      </c>
      <c r="AA400" s="19">
        <f t="shared" si="66"/>
        <v>9.7740834401625953E-2</v>
      </c>
      <c r="AB400" s="19" t="s">
        <v>53</v>
      </c>
    </row>
    <row r="401" spans="1:28" x14ac:dyDescent="0.25">
      <c r="A401" s="1">
        <v>45680</v>
      </c>
      <c r="B401" s="1" t="str">
        <f t="shared" si="69"/>
        <v>202501</v>
      </c>
      <c r="C401" s="2">
        <v>0</v>
      </c>
      <c r="D401" s="2">
        <v>0</v>
      </c>
      <c r="E401" s="2">
        <v>0</v>
      </c>
      <c r="F401" s="2">
        <f>F400*(1+((1+VLOOKUP($B401,'IPCA Hist'!$B:$C,2,0))^12 - 1)+$F$2)^(1/252)</f>
        <v>46235411.568798028</v>
      </c>
      <c r="G401" s="2">
        <f>G400*(1+((1+VLOOKUP($B401,'IPCA Hist'!$B:$C,2,0))^12 - 1)+$G$2)^(1/252)</f>
        <v>46221194.754574396</v>
      </c>
      <c r="H401" s="2">
        <f>H400*(1+((1+VLOOKUP($B401,'IPCA Hist'!$B:$C,2,0))^12 - 1)+$H$2)^(1/252)</f>
        <v>47248893.790119685</v>
      </c>
      <c r="I401" s="2">
        <f>I400*(1+((1+VLOOKUP($B401,'IPCA Hist'!$B:$C,2,0))^12 - 1)+$I$2)^(1/252)</f>
        <v>238634215.37810984</v>
      </c>
      <c r="J401" s="2">
        <f>J400*(1+((1+VLOOKUP($B401,'IPCA Hist'!$B:$C,2,0))^12 - 1)+$J$2)^(1/252)</f>
        <v>20918163.685354482</v>
      </c>
      <c r="K401" s="2">
        <f>K400*(1+((1+VLOOKUP($B401,'IPCA Hist'!$B:$C,2,0))^12 - 1)+$K$2)^(1/252)</f>
        <v>80894728.697245136</v>
      </c>
      <c r="L401" s="2">
        <f>L400*(1+((1+VLOOKUP($B401,'IPCA Hist'!$B:$C,2,0))^12 - 1)+$L$2)^(1/252)</f>
        <v>42586720.809067756</v>
      </c>
      <c r="M401" s="2">
        <v>0</v>
      </c>
      <c r="N401" s="2">
        <v>0</v>
      </c>
      <c r="O401" s="2">
        <f t="shared" si="68"/>
        <v>522739328.68326926</v>
      </c>
      <c r="P401" s="2">
        <v>0</v>
      </c>
      <c r="Q401" s="2">
        <v>0</v>
      </c>
      <c r="R401" s="2">
        <f t="shared" si="77"/>
        <v>154428.94145613909</v>
      </c>
      <c r="S401" s="2">
        <f t="shared" si="70"/>
        <v>2433557.584453389</v>
      </c>
      <c r="T401" s="2">
        <f t="shared" si="71"/>
        <v>2433557.584453389</v>
      </c>
      <c r="U401" s="11">
        <f t="shared" si="74"/>
        <v>1.1505674907236694</v>
      </c>
      <c r="V401" s="12">
        <f t="shared" si="75"/>
        <v>2.9550976603509582E-4</v>
      </c>
      <c r="W401" s="12">
        <f t="shared" si="72"/>
        <v>4.7243460556045669E-3</v>
      </c>
      <c r="X401" s="12">
        <f t="shared" si="73"/>
        <v>4.7243460556045669E-3</v>
      </c>
      <c r="Y401" s="5">
        <f t="shared" si="76"/>
        <v>0.15056749072366937</v>
      </c>
      <c r="Z401" s="19">
        <f t="shared" si="67"/>
        <v>4.6573933115862554E-2</v>
      </c>
      <c r="AA401" s="19">
        <f t="shared" si="66"/>
        <v>9.7640554480348474E-2</v>
      </c>
      <c r="AB401" s="19" t="s">
        <v>53</v>
      </c>
    </row>
    <row r="402" spans="1:28" x14ac:dyDescent="0.25">
      <c r="A402" s="1">
        <v>45681</v>
      </c>
      <c r="B402" s="1" t="str">
        <f t="shared" si="69"/>
        <v>202501</v>
      </c>
      <c r="C402" s="2">
        <v>0</v>
      </c>
      <c r="D402" s="2">
        <v>0</v>
      </c>
      <c r="E402" s="2">
        <v>0</v>
      </c>
      <c r="F402" s="2">
        <f>F401*(1+((1+VLOOKUP($B402,'IPCA Hist'!$B:$C,2,0))^12 - 1)+$F$2)^(1/252)</f>
        <v>46248008.523553774</v>
      </c>
      <c r="G402" s="2">
        <f>G401*(1+((1+VLOOKUP($B402,'IPCA Hist'!$B:$C,2,0))^12 - 1)+$G$2)^(1/252)</f>
        <v>46233804.964646585</v>
      </c>
      <c r="H402" s="2">
        <f>H401*(1+((1+VLOOKUP($B402,'IPCA Hist'!$B:$C,2,0))^12 - 1)+$H$2)^(1/252)</f>
        <v>47261574.157861523</v>
      </c>
      <c r="I402" s="2">
        <f>I401*(1+((1+VLOOKUP($B402,'IPCA Hist'!$B:$C,2,0))^12 - 1)+$I$2)^(1/252)</f>
        <v>238698170.03004181</v>
      </c>
      <c r="J402" s="2">
        <f>J401*(1+((1+VLOOKUP($B402,'IPCA Hist'!$B:$C,2,0))^12 - 1)+$J$2)^(1/252)</f>
        <v>20924811.006174102</v>
      </c>
      <c r="K402" s="2">
        <f>K401*(1+((1+VLOOKUP($B402,'IPCA Hist'!$B:$C,2,0))^12 - 1)+$K$2)^(1/252)</f>
        <v>80924763.18535395</v>
      </c>
      <c r="L402" s="2">
        <f>L401*(1+((1+VLOOKUP($B402,'IPCA Hist'!$B:$C,2,0))^12 - 1)+$L$2)^(1/252)</f>
        <v>42602672.396680869</v>
      </c>
      <c r="M402" s="2">
        <v>0</v>
      </c>
      <c r="N402" s="2">
        <v>0</v>
      </c>
      <c r="O402" s="2">
        <f t="shared" si="68"/>
        <v>522893804.26431262</v>
      </c>
      <c r="P402" s="2">
        <v>0</v>
      </c>
      <c r="Q402" s="2">
        <v>0</v>
      </c>
      <c r="R402" s="2">
        <f t="shared" si="77"/>
        <v>154475.58104336262</v>
      </c>
      <c r="S402" s="2">
        <f t="shared" si="70"/>
        <v>2588033.1654967517</v>
      </c>
      <c r="T402" s="2">
        <f t="shared" si="71"/>
        <v>2588033.1654967517</v>
      </c>
      <c r="U402" s="11">
        <f t="shared" si="74"/>
        <v>1.150907496864219</v>
      </c>
      <c r="V402" s="12">
        <f t="shared" si="75"/>
        <v>2.9551168731156707E-4</v>
      </c>
      <c r="W402" s="12">
        <f t="shared" si="72"/>
        <v>5.021253842390383E-3</v>
      </c>
      <c r="X402" s="12">
        <f t="shared" si="73"/>
        <v>5.021253842390383E-3</v>
      </c>
      <c r="Y402" s="5">
        <f t="shared" si="76"/>
        <v>0.150907496864219</v>
      </c>
      <c r="Z402" s="19">
        <f t="shared" si="67"/>
        <v>4.649726551874811E-2</v>
      </c>
      <c r="AA402" s="19">
        <f t="shared" si="66"/>
        <v>9.7540285823801254E-2</v>
      </c>
      <c r="AB402" s="19" t="s">
        <v>53</v>
      </c>
    </row>
    <row r="403" spans="1:28" x14ac:dyDescent="0.25">
      <c r="A403" s="1">
        <v>45684</v>
      </c>
      <c r="B403" s="1" t="str">
        <f t="shared" si="69"/>
        <v>202501</v>
      </c>
      <c r="C403" s="2">
        <v>0</v>
      </c>
      <c r="D403" s="2">
        <v>0</v>
      </c>
      <c r="E403" s="2">
        <v>0</v>
      </c>
      <c r="F403" s="2">
        <f>F402*(1+((1+VLOOKUP($B403,'IPCA Hist'!$B:$C,2,0))^12 - 1)+$F$2)^(1/252)</f>
        <v>46260608.91038169</v>
      </c>
      <c r="G403" s="2">
        <f>G402*(1+((1+VLOOKUP($B403,'IPCA Hist'!$B:$C,2,0))^12 - 1)+$G$2)^(1/252)</f>
        <v>46246418.615075499</v>
      </c>
      <c r="H403" s="2">
        <f>H402*(1+((1+VLOOKUP($B403,'IPCA Hist'!$B:$C,2,0))^12 - 1)+$H$2)^(1/252)</f>
        <v>47274257.928682528</v>
      </c>
      <c r="I403" s="2">
        <f>I402*(1+((1+VLOOKUP($B403,'IPCA Hist'!$B:$C,2,0))^12 - 1)+$I$2)^(1/252)</f>
        <v>238762141.82200333</v>
      </c>
      <c r="J403" s="2">
        <f>J402*(1+((1+VLOOKUP($B403,'IPCA Hist'!$B:$C,2,0))^12 - 1)+$J$2)^(1/252)</f>
        <v>20931460.439362414</v>
      </c>
      <c r="K403" s="2">
        <f>K402*(1+((1+VLOOKUP($B403,'IPCA Hist'!$B:$C,2,0))^12 - 1)+$K$2)^(1/252)</f>
        <v>80954808.824627861</v>
      </c>
      <c r="L403" s="2">
        <f>L402*(1+((1+VLOOKUP($B403,'IPCA Hist'!$B:$C,2,0))^12 - 1)+$L$2)^(1/252)</f>
        <v>42618629.959235057</v>
      </c>
      <c r="M403" s="2">
        <v>0</v>
      </c>
      <c r="N403" s="2">
        <v>0</v>
      </c>
      <c r="O403" s="2">
        <f t="shared" si="68"/>
        <v>523048326.49936843</v>
      </c>
      <c r="P403" s="2">
        <v>0</v>
      </c>
      <c r="Q403" s="2">
        <v>0</v>
      </c>
      <c r="R403" s="2">
        <f t="shared" si="77"/>
        <v>154522.23505580425</v>
      </c>
      <c r="S403" s="2">
        <f t="shared" si="70"/>
        <v>2742555.4005525559</v>
      </c>
      <c r="T403" s="2">
        <f t="shared" si="71"/>
        <v>2742555.4005525559</v>
      </c>
      <c r="U403" s="11">
        <f t="shared" si="74"/>
        <v>1.151247605691877</v>
      </c>
      <c r="V403" s="12">
        <f t="shared" si="75"/>
        <v>2.9551360868240728E-4</v>
      </c>
      <c r="W403" s="12">
        <f t="shared" si="72"/>
        <v>5.3182512999159215E-3</v>
      </c>
      <c r="X403" s="12">
        <f t="shared" si="73"/>
        <v>5.3182512999159215E-3</v>
      </c>
      <c r="Y403" s="5">
        <f t="shared" si="76"/>
        <v>0.15124760569187701</v>
      </c>
      <c r="Z403" s="19">
        <f t="shared" si="67"/>
        <v>4.6420605544083449E-2</v>
      </c>
      <c r="AA403" s="19">
        <f t="shared" si="66"/>
        <v>9.7440028430673786E-2</v>
      </c>
      <c r="AB403" s="19" t="s">
        <v>53</v>
      </c>
    </row>
    <row r="404" spans="1:28" x14ac:dyDescent="0.25">
      <c r="A404" s="1">
        <v>45685</v>
      </c>
      <c r="B404" s="1" t="str">
        <f t="shared" si="69"/>
        <v>202501</v>
      </c>
      <c r="C404" s="2">
        <v>0</v>
      </c>
      <c r="D404" s="2">
        <v>0</v>
      </c>
      <c r="E404" s="2">
        <v>0</v>
      </c>
      <c r="F404" s="2">
        <f>F403*(1+((1+VLOOKUP($B404,'IPCA Hist'!$B:$C,2,0))^12 - 1)+$F$2)^(1/252)</f>
        <v>46273212.730216846</v>
      </c>
      <c r="G404" s="2">
        <f>G403*(1+((1+VLOOKUP($B404,'IPCA Hist'!$B:$C,2,0))^12 - 1)+$G$2)^(1/252)</f>
        <v>46259035.706799746</v>
      </c>
      <c r="H404" s="2">
        <f>H403*(1+((1+VLOOKUP($B404,'IPCA Hist'!$B:$C,2,0))^12 - 1)+$H$2)^(1/252)</f>
        <v>47286945.103495993</v>
      </c>
      <c r="I404" s="2">
        <f>I403*(1+((1+VLOOKUP($B404,'IPCA Hist'!$B:$C,2,0))^12 - 1)+$I$2)^(1/252)</f>
        <v>238826130.75858799</v>
      </c>
      <c r="J404" s="2">
        <f>J403*(1+((1+VLOOKUP($B404,'IPCA Hist'!$B:$C,2,0))^12 - 1)+$J$2)^(1/252)</f>
        <v>20938111.985590681</v>
      </c>
      <c r="K404" s="2">
        <f>K403*(1+((1+VLOOKUP($B404,'IPCA Hist'!$B:$C,2,0))^12 - 1)+$K$2)^(1/252)</f>
        <v>80984865.619207069</v>
      </c>
      <c r="L404" s="2">
        <f>L403*(1+((1+VLOOKUP($B404,'IPCA Hist'!$B:$C,2,0))^12 - 1)+$L$2)^(1/252)</f>
        <v>42634593.498968333</v>
      </c>
      <c r="M404" s="2">
        <v>0</v>
      </c>
      <c r="N404" s="2">
        <v>0</v>
      </c>
      <c r="O404" s="2">
        <f t="shared" si="68"/>
        <v>523202895.40286672</v>
      </c>
      <c r="P404" s="2">
        <v>0</v>
      </c>
      <c r="Q404" s="2">
        <v>0</v>
      </c>
      <c r="R404" s="2">
        <f t="shared" si="77"/>
        <v>154568.90349829197</v>
      </c>
      <c r="S404" s="2">
        <f t="shared" si="70"/>
        <v>2897124.3040508479</v>
      </c>
      <c r="T404" s="2">
        <f t="shared" si="71"/>
        <v>2897124.3040508479</v>
      </c>
      <c r="U404" s="11">
        <f t="shared" si="74"/>
        <v>1.1515878172384042</v>
      </c>
      <c r="V404" s="12">
        <f t="shared" si="75"/>
        <v>2.9551553014761645E-4</v>
      </c>
      <c r="W404" s="12">
        <f t="shared" si="72"/>
        <v>5.6153384559158859E-3</v>
      </c>
      <c r="X404" s="12">
        <f t="shared" si="73"/>
        <v>5.6153384559158859E-3</v>
      </c>
      <c r="Y404" s="5">
        <f t="shared" si="76"/>
        <v>0.1515878172384042</v>
      </c>
      <c r="Z404" s="19">
        <f t="shared" si="67"/>
        <v>4.6343953191114062E-2</v>
      </c>
      <c r="AA404" s="19">
        <f t="shared" si="66"/>
        <v>9.7339782299656452E-2</v>
      </c>
      <c r="AB404" s="19" t="s">
        <v>53</v>
      </c>
    </row>
    <row r="405" spans="1:28" x14ac:dyDescent="0.25">
      <c r="A405" s="1">
        <v>45686</v>
      </c>
      <c r="B405" s="1" t="str">
        <f t="shared" si="69"/>
        <v>202501</v>
      </c>
      <c r="C405" s="2">
        <v>0</v>
      </c>
      <c r="D405" s="2">
        <v>0</v>
      </c>
      <c r="E405" s="2">
        <v>0</v>
      </c>
      <c r="F405" s="2">
        <f>F404*(1+((1+VLOOKUP($B405,'IPCA Hist'!$B:$C,2,0))^12 - 1)+$F$2)^(1/252)</f>
        <v>46285819.983994581</v>
      </c>
      <c r="G405" s="2">
        <f>G404*(1+((1+VLOOKUP($B405,'IPCA Hist'!$B:$C,2,0))^12 - 1)+$G$2)^(1/252)</f>
        <v>46271656.240758188</v>
      </c>
      <c r="H405" s="2">
        <f>H404*(1+((1+VLOOKUP($B405,'IPCA Hist'!$B:$C,2,0))^12 - 1)+$H$2)^(1/252)</f>
        <v>47299635.683215462</v>
      </c>
      <c r="I405" s="2">
        <f>I404*(1+((1+VLOOKUP($B405,'IPCA Hist'!$B:$C,2,0))^12 - 1)+$I$2)^(1/252)</f>
        <v>238890136.84439057</v>
      </c>
      <c r="J405" s="2">
        <f>J404*(1+((1+VLOOKUP($B405,'IPCA Hist'!$B:$C,2,0))^12 - 1)+$J$2)^(1/252)</f>
        <v>20944765.645530384</v>
      </c>
      <c r="K405" s="2">
        <f>K404*(1+((1+VLOOKUP($B405,'IPCA Hist'!$B:$C,2,0))^12 - 1)+$K$2)^(1/252)</f>
        <v>81014933.573233306</v>
      </c>
      <c r="L405" s="2">
        <f>L404*(1+((1+VLOOKUP($B405,'IPCA Hist'!$B:$C,2,0))^12 - 1)+$L$2)^(1/252)</f>
        <v>42650563.018119559</v>
      </c>
      <c r="M405" s="2">
        <v>0</v>
      </c>
      <c r="N405" s="2">
        <v>0</v>
      </c>
      <c r="O405" s="2">
        <f t="shared" si="68"/>
        <v>523357510.98924208</v>
      </c>
      <c r="P405" s="2">
        <v>0</v>
      </c>
      <c r="Q405" s="2">
        <v>0</v>
      </c>
      <c r="R405" s="2">
        <f t="shared" si="77"/>
        <v>154615.58637535572</v>
      </c>
      <c r="S405" s="2">
        <f t="shared" si="70"/>
        <v>3051739.8904262036</v>
      </c>
      <c r="T405" s="2">
        <f t="shared" si="71"/>
        <v>3051739.8904262036</v>
      </c>
      <c r="U405" s="11">
        <f t="shared" si="74"/>
        <v>1.1519281315355718</v>
      </c>
      <c r="V405" s="12">
        <f t="shared" si="75"/>
        <v>2.9551745170741661E-4</v>
      </c>
      <c r="W405" s="12">
        <f t="shared" si="72"/>
        <v>5.9125153381343054E-3</v>
      </c>
      <c r="X405" s="12">
        <f t="shared" si="73"/>
        <v>5.9125153381343054E-3</v>
      </c>
      <c r="Y405" s="5">
        <f t="shared" si="76"/>
        <v>0.15192813153557183</v>
      </c>
      <c r="Z405" s="19">
        <f t="shared" si="67"/>
        <v>4.6267308459087886E-2</v>
      </c>
      <c r="AA405" s="19">
        <f t="shared" si="66"/>
        <v>9.7239547429439854E-2</v>
      </c>
      <c r="AB405" s="19" t="s">
        <v>53</v>
      </c>
    </row>
    <row r="406" spans="1:28" ht="13.5" customHeight="1" x14ac:dyDescent="0.25">
      <c r="A406" s="1">
        <v>45687</v>
      </c>
      <c r="B406" s="1" t="str">
        <f t="shared" si="69"/>
        <v>202501</v>
      </c>
      <c r="C406" s="2">
        <v>0</v>
      </c>
      <c r="D406" s="2">
        <v>0</v>
      </c>
      <c r="E406" s="2">
        <v>0</v>
      </c>
      <c r="F406" s="2">
        <f>F405*(1+((1+VLOOKUP($B406,'IPCA Hist'!$B:$C,2,0))^12 - 1)+$F$2)^(1/252)</f>
        <v>46298430.672650471</v>
      </c>
      <c r="G406" s="2">
        <f>G405*(1+((1+VLOOKUP($B406,'IPCA Hist'!$B:$C,2,0))^12 - 1)+$G$2)^(1/252)</f>
        <v>46284280.217889942</v>
      </c>
      <c r="H406" s="2">
        <f>H405*(1+((1+VLOOKUP($B406,'IPCA Hist'!$B:$C,2,0))^12 - 1)+$H$2)^(1/252)</f>
        <v>47312329.668754727</v>
      </c>
      <c r="I406" s="2">
        <f>I405*(1+((1+VLOOKUP($B406,'IPCA Hist'!$B:$C,2,0))^12 - 1)+$I$2)^(1/252)</f>
        <v>238954160.08400711</v>
      </c>
      <c r="J406" s="2">
        <f>J405*(1+((1+VLOOKUP($B406,'IPCA Hist'!$B:$C,2,0))^12 - 1)+$J$2)^(1/252)</f>
        <v>20951421.419853207</v>
      </c>
      <c r="K406" s="2">
        <f>K405*(1+((1+VLOOKUP($B406,'IPCA Hist'!$B:$C,2,0))^12 - 1)+$K$2)^(1/252)</f>
        <v>81045012.690849826</v>
      </c>
      <c r="L406" s="2">
        <f>L405*(1+((1+VLOOKUP($B406,'IPCA Hist'!$B:$C,2,0))^12 - 1)+$L$2)^(1/252)</f>
        <v>42666538.518928424</v>
      </c>
      <c r="M406" s="2">
        <v>0</v>
      </c>
      <c r="N406" s="2">
        <v>0</v>
      </c>
      <c r="O406" s="2">
        <f t="shared" si="68"/>
        <v>523512173.27293372</v>
      </c>
      <c r="P406" s="2">
        <v>0</v>
      </c>
      <c r="Q406" s="2">
        <v>0</v>
      </c>
      <c r="R406" s="2">
        <f t="shared" si="77"/>
        <v>154662.28369164467</v>
      </c>
      <c r="S406" s="2">
        <f t="shared" si="70"/>
        <v>3206402.1741178483</v>
      </c>
      <c r="T406" s="2">
        <f t="shared" si="71"/>
        <v>3206402.1741178483</v>
      </c>
      <c r="U406" s="11">
        <f t="shared" si="74"/>
        <v>1.1522685486151607</v>
      </c>
      <c r="V406" s="12">
        <f t="shared" si="75"/>
        <v>2.9551937336158574E-4</v>
      </c>
      <c r="W406" s="12">
        <f t="shared" si="72"/>
        <v>6.2097819743236471E-3</v>
      </c>
      <c r="X406" s="12">
        <f t="shared" si="73"/>
        <v>6.2097819743236471E-3</v>
      </c>
      <c r="Y406" s="5">
        <f t="shared" si="76"/>
        <v>0.1522685486151607</v>
      </c>
      <c r="Z406" s="19">
        <f t="shared" si="67"/>
        <v>4.6380181938685094E-2</v>
      </c>
      <c r="AA406" s="19">
        <f t="shared" si="66"/>
        <v>9.7139323818714818E-2</v>
      </c>
      <c r="AB406" s="19" t="s">
        <v>53</v>
      </c>
    </row>
    <row r="407" spans="1:28" x14ac:dyDescent="0.25">
      <c r="A407" s="1">
        <v>45688</v>
      </c>
      <c r="B407" s="1" t="str">
        <f t="shared" si="69"/>
        <v>202501</v>
      </c>
      <c r="C407" s="2">
        <v>0</v>
      </c>
      <c r="D407" s="2">
        <v>0</v>
      </c>
      <c r="E407" s="2">
        <v>0</v>
      </c>
      <c r="F407" s="2">
        <f>F406*(1+((1+VLOOKUP($B407,'IPCA Hist'!$B:$C,2,0))^12 - 1)+$F$2)^(1/252)</f>
        <v>46311044.797120363</v>
      </c>
      <c r="G407" s="2">
        <f>G406*(1+((1+VLOOKUP($B407,'IPCA Hist'!$B:$C,2,0))^12 - 1)+$G$2)^(1/252)</f>
        <v>46296907.639134392</v>
      </c>
      <c r="H407" s="2">
        <f>H406*(1+((1+VLOOKUP($B407,'IPCA Hist'!$B:$C,2,0))^12 - 1)+$H$2)^(1/252)</f>
        <v>47325027.061027817</v>
      </c>
      <c r="I407" s="2">
        <f>I406*(1+((1+VLOOKUP($B407,'IPCA Hist'!$B:$C,2,0))^12 - 1)+$I$2)^(1/252)</f>
        <v>239018200.48203492</v>
      </c>
      <c r="J407" s="2">
        <f>J406*(1+((1+VLOOKUP($B407,'IPCA Hist'!$B:$C,2,0))^12 - 1)+$J$2)^(1/252)</f>
        <v>20958079.309231054</v>
      </c>
      <c r="K407" s="2">
        <f>K406*(1+((1+VLOOKUP($B407,'IPCA Hist'!$B:$C,2,0))^12 - 1)+$K$2)^(1/252)</f>
        <v>81075102.976201445</v>
      </c>
      <c r="L407" s="2">
        <f>L406*(1+((1+VLOOKUP($B407,'IPCA Hist'!$B:$C,2,0))^12 - 1)+$L$2)^(1/252)</f>
        <v>42682520.003635459</v>
      </c>
      <c r="M407" s="2">
        <v>0</v>
      </c>
      <c r="N407" s="2">
        <v>0</v>
      </c>
      <c r="O407" s="2">
        <f t="shared" si="68"/>
        <v>523666882.26838547</v>
      </c>
      <c r="P407" s="2">
        <v>0</v>
      </c>
      <c r="Q407" s="2">
        <v>0</v>
      </c>
      <c r="R407" s="2">
        <f t="shared" si="77"/>
        <v>154708.99545174837</v>
      </c>
      <c r="S407" s="2">
        <f t="shared" si="70"/>
        <v>3361111.1695695966</v>
      </c>
      <c r="T407" s="2">
        <f t="shared" si="71"/>
        <v>3361111.1695695966</v>
      </c>
      <c r="U407" s="11">
        <f t="shared" si="74"/>
        <v>1.1526090685089627</v>
      </c>
      <c r="V407" s="12">
        <f t="shared" si="75"/>
        <v>2.9552129511056791E-4</v>
      </c>
      <c r="W407" s="12">
        <f t="shared" si="72"/>
        <v>6.5071383922457038E-3</v>
      </c>
      <c r="X407" s="12">
        <f t="shared" si="73"/>
        <v>6.5071383922457038E-3</v>
      </c>
      <c r="Y407" s="5">
        <f t="shared" si="76"/>
        <v>0.15260906850896272</v>
      </c>
      <c r="Z407" s="19">
        <f t="shared" si="67"/>
        <v>4.6493069601576176E-2</v>
      </c>
      <c r="AA407" s="19">
        <f>U407/U155 - 1</f>
        <v>9.6835861210529783E-2</v>
      </c>
      <c r="AB407" s="19" t="s">
        <v>53</v>
      </c>
    </row>
    <row r="408" spans="1:28" x14ac:dyDescent="0.25">
      <c r="A408" s="1">
        <v>45691</v>
      </c>
      <c r="B408" s="1" t="str">
        <f t="shared" si="69"/>
        <v>202502</v>
      </c>
      <c r="C408" s="2">
        <v>0</v>
      </c>
      <c r="D408" s="2">
        <v>0</v>
      </c>
      <c r="E408" s="2">
        <v>0</v>
      </c>
      <c r="F408" s="2">
        <f>F407*(1+((1+VLOOKUP($B408,'IPCA Hist'!$B:$C,2,0))^12 - 1)+$F$2)^(1/252)</f>
        <v>46347712.207732424</v>
      </c>
      <c r="G408" s="2">
        <f>G407*(1+((1+VLOOKUP($B408,'IPCA Hist'!$B:$C,2,0))^12 - 1)+$G$2)^(1/252)</f>
        <v>46333578.917648174</v>
      </c>
      <c r="H408" s="2">
        <f>H407*(1+((1+VLOOKUP($B408,'IPCA Hist'!$B:$C,2,0))^12 - 1)+$H$2)^(1/252)</f>
        <v>47362327.870941736</v>
      </c>
      <c r="I408" s="2">
        <f>I407*(1+((1+VLOOKUP($B408,'IPCA Hist'!$B:$C,2,0))^12 - 1)+$I$2)^(1/252)</f>
        <v>239206512.87331852</v>
      </c>
      <c r="J408" s="2">
        <f>J407*(1+((1+VLOOKUP($B408,'IPCA Hist'!$B:$C,2,0))^12 - 1)+$J$2)^(1/252)</f>
        <v>20975507.62999567</v>
      </c>
      <c r="K408" s="2">
        <f>K407*(1+((1+VLOOKUP($B408,'IPCA Hist'!$B:$C,2,0))^12 - 1)+$K$2)^(1/252)</f>
        <v>81146339.581589893</v>
      </c>
      <c r="L408" s="2">
        <f>L407*(1+((1+VLOOKUP($B408,'IPCA Hist'!$B:$C,2,0))^12 - 1)+$L$2)^(1/252)</f>
        <v>42720146.57548435</v>
      </c>
      <c r="M408" s="2">
        <v>0</v>
      </c>
      <c r="N408" s="2">
        <v>0</v>
      </c>
      <c r="O408" s="2">
        <f t="shared" si="68"/>
        <v>524092125.65671068</v>
      </c>
      <c r="P408" s="2">
        <v>0</v>
      </c>
      <c r="Q408" s="2">
        <v>0</v>
      </c>
      <c r="R408" s="2">
        <f t="shared" si="77"/>
        <v>425243.38832521439</v>
      </c>
      <c r="S408" s="2">
        <f t="shared" si="70"/>
        <v>425243.38832521439</v>
      </c>
      <c r="T408" s="2">
        <f t="shared" si="71"/>
        <v>3786354.557894811</v>
      </c>
      <c r="U408" s="11">
        <f t="shared" si="74"/>
        <v>1.1535450440352057</v>
      </c>
      <c r="V408" s="12">
        <f t="shared" si="75"/>
        <v>8.120494205843265E-4</v>
      </c>
      <c r="W408" s="12">
        <f t="shared" si="72"/>
        <v>8.120494205843265E-4</v>
      </c>
      <c r="X408" s="12">
        <f t="shared" si="73"/>
        <v>7.3244719307912209E-3</v>
      </c>
      <c r="Y408" s="5">
        <f t="shared" si="76"/>
        <v>0.15354504403520575</v>
      </c>
      <c r="Z408" s="19">
        <f t="shared" si="67"/>
        <v>4.7146411146475442E-2</v>
      </c>
      <c r="AA408" s="19">
        <f t="shared" si="66"/>
        <v>9.7098705071660518E-2</v>
      </c>
      <c r="AB408" s="19" t="s">
        <v>53</v>
      </c>
    </row>
    <row r="409" spans="1:28" x14ac:dyDescent="0.25">
      <c r="A409" s="1">
        <v>45692</v>
      </c>
      <c r="B409" s="1" t="str">
        <f t="shared" si="69"/>
        <v>202502</v>
      </c>
      <c r="C409" s="2">
        <v>0</v>
      </c>
      <c r="D409" s="2">
        <v>0</v>
      </c>
      <c r="E409" s="2">
        <v>0</v>
      </c>
      <c r="F409" s="2">
        <f>F408*(1+((1+VLOOKUP($B409,'IPCA Hist'!$B:$C,2,0))^12 - 1)+$F$2)^(1/252)</f>
        <v>46384408.650274277</v>
      </c>
      <c r="G409" s="2">
        <f>G408*(1+((1+VLOOKUP($B409,'IPCA Hist'!$B:$C,2,0))^12 - 1)+$G$2)^(1/252)</f>
        <v>46370279.243084021</v>
      </c>
      <c r="H409" s="2">
        <f>H408*(1+((1+VLOOKUP($B409,'IPCA Hist'!$B:$C,2,0))^12 - 1)+$H$2)^(1/252)</f>
        <v>47399658.080742076</v>
      </c>
      <c r="I409" s="2">
        <f>I408*(1+((1+VLOOKUP($B409,'IPCA Hist'!$B:$C,2,0))^12 - 1)+$I$2)^(1/252)</f>
        <v>239394973.62801814</v>
      </c>
      <c r="J409" s="2">
        <f>J408*(1+((1+VLOOKUP($B409,'IPCA Hist'!$B:$C,2,0))^12 - 1)+$J$2)^(1/252)</f>
        <v>20992950.443804242</v>
      </c>
      <c r="K409" s="2">
        <f>K408*(1+((1+VLOOKUP($B409,'IPCA Hist'!$B:$C,2,0))^12 - 1)+$K$2)^(1/252)</f>
        <v>81217638.778991938</v>
      </c>
      <c r="L409" s="2">
        <f>L408*(1+((1+VLOOKUP($B409,'IPCA Hist'!$B:$C,2,0))^12 - 1)+$L$2)^(1/252)</f>
        <v>42757806.31685812</v>
      </c>
      <c r="M409" s="2">
        <v>0</v>
      </c>
      <c r="N409" s="2">
        <v>0</v>
      </c>
      <c r="O409" s="2">
        <f t="shared" si="68"/>
        <v>524517715.14177281</v>
      </c>
      <c r="P409" s="2">
        <v>0</v>
      </c>
      <c r="Q409" s="2">
        <v>0</v>
      </c>
      <c r="R409" s="2">
        <f t="shared" si="77"/>
        <v>425589.48506212234</v>
      </c>
      <c r="S409" s="2">
        <f t="shared" si="70"/>
        <v>850832.87338733673</v>
      </c>
      <c r="T409" s="2">
        <f t="shared" si="71"/>
        <v>4211944.0429569334</v>
      </c>
      <c r="U409" s="11">
        <f t="shared" si="74"/>
        <v>1.1544817813324351</v>
      </c>
      <c r="V409" s="12">
        <f t="shared" si="75"/>
        <v>8.1205090522740164E-4</v>
      </c>
      <c r="W409" s="12">
        <f t="shared" si="72"/>
        <v>1.6247597512788481E-3</v>
      </c>
      <c r="X409" s="12">
        <f t="shared" si="73"/>
        <v>8.1424706800803381E-3</v>
      </c>
      <c r="Y409" s="5">
        <f t="shared" si="76"/>
        <v>0.15448178133243506</v>
      </c>
      <c r="Z409" s="19">
        <f t="shared" si="67"/>
        <v>4.7800162132549007E-2</v>
      </c>
      <c r="AA409" s="19">
        <f t="shared" si="66"/>
        <v>9.7361613544454828E-2</v>
      </c>
      <c r="AB409" s="19" t="s">
        <v>53</v>
      </c>
    </row>
    <row r="410" spans="1:28" x14ac:dyDescent="0.25">
      <c r="A410" s="1">
        <v>45693</v>
      </c>
      <c r="B410" s="1" t="str">
        <f t="shared" si="69"/>
        <v>202502</v>
      </c>
      <c r="C410" s="2">
        <v>0</v>
      </c>
      <c r="D410" s="2">
        <v>0</v>
      </c>
      <c r="E410" s="2">
        <v>0</v>
      </c>
      <c r="F410" s="2">
        <f>F409*(1+((1+VLOOKUP($B410,'IPCA Hist'!$B:$C,2,0))^12 - 1)+$F$2)^(1/252)</f>
        <v>46421134.147732347</v>
      </c>
      <c r="G410" s="2">
        <f>G409*(1+((1+VLOOKUP($B410,'IPCA Hist'!$B:$C,2,0))^12 - 1)+$G$2)^(1/252)</f>
        <v>46407008.638449676</v>
      </c>
      <c r="H410" s="2">
        <f>H409*(1+((1+VLOOKUP($B410,'IPCA Hist'!$B:$C,2,0))^12 - 1)+$H$2)^(1/252)</f>
        <v>47437017.713601336</v>
      </c>
      <c r="I410" s="2">
        <f>I409*(1+((1+VLOOKUP($B410,'IPCA Hist'!$B:$C,2,0))^12 - 1)+$I$2)^(1/252)</f>
        <v>239583582.86302304</v>
      </c>
      <c r="J410" s="2">
        <f>J409*(1+((1+VLOOKUP($B410,'IPCA Hist'!$B:$C,2,0))^12 - 1)+$J$2)^(1/252)</f>
        <v>21010407.762708899</v>
      </c>
      <c r="K410" s="2">
        <f>K409*(1+((1+VLOOKUP($B410,'IPCA Hist'!$B:$C,2,0))^12 - 1)+$K$2)^(1/252)</f>
        <v>81289000.623404011</v>
      </c>
      <c r="L410" s="2">
        <f>L409*(1+((1+VLOOKUP($B410,'IPCA Hist'!$B:$C,2,0))^12 - 1)+$L$2)^(1/252)</f>
        <v>42795499.256997198</v>
      </c>
      <c r="M410" s="2">
        <v>0</v>
      </c>
      <c r="N410" s="2">
        <v>0</v>
      </c>
      <c r="O410" s="2">
        <f t="shared" si="68"/>
        <v>524943651.00591648</v>
      </c>
      <c r="P410" s="2">
        <v>0</v>
      </c>
      <c r="Q410" s="2">
        <v>0</v>
      </c>
      <c r="R410" s="2">
        <f t="shared" si="77"/>
        <v>425935.86414366961</v>
      </c>
      <c r="S410" s="2">
        <f t="shared" si="70"/>
        <v>1276768.7375310063</v>
      </c>
      <c r="T410" s="2">
        <f t="shared" si="71"/>
        <v>4637879.907100603</v>
      </c>
      <c r="U410" s="11">
        <f t="shared" si="74"/>
        <v>1.1554192810221016</v>
      </c>
      <c r="V410" s="12">
        <f t="shared" si="75"/>
        <v>8.1205238993420359E-4</v>
      </c>
      <c r="W410" s="12">
        <f t="shared" si="72"/>
        <v>2.4381315312520524E-3</v>
      </c>
      <c r="X410" s="12">
        <f t="shared" si="73"/>
        <v>8.9611351827902919E-3</v>
      </c>
      <c r="Y410" s="5">
        <f t="shared" si="76"/>
        <v>0.15541928102210156</v>
      </c>
      <c r="Z410" s="19">
        <f t="shared" si="67"/>
        <v>4.845432281742057E-2</v>
      </c>
      <c r="AA410" s="19">
        <f t="shared" si="66"/>
        <v>9.7624586645243872E-2</v>
      </c>
      <c r="AB410" s="19" t="s">
        <v>53</v>
      </c>
    </row>
    <row r="411" spans="1:28" x14ac:dyDescent="0.25">
      <c r="A411" s="1">
        <v>45694</v>
      </c>
      <c r="B411" s="1" t="str">
        <f t="shared" si="69"/>
        <v>202502</v>
      </c>
      <c r="C411" s="2">
        <v>0</v>
      </c>
      <c r="D411" s="2">
        <v>0</v>
      </c>
      <c r="E411" s="2">
        <v>0</v>
      </c>
      <c r="F411" s="2">
        <f>F410*(1+((1+VLOOKUP($B411,'IPCA Hist'!$B:$C,2,0))^12 - 1)+$F$2)^(1/252)</f>
        <v>46457888.723111272</v>
      </c>
      <c r="G411" s="2">
        <f>G410*(1+((1+VLOOKUP($B411,'IPCA Hist'!$B:$C,2,0))^12 - 1)+$G$2)^(1/252)</f>
        <v>46443767.126771122</v>
      </c>
      <c r="H411" s="2">
        <f>H410*(1+((1+VLOOKUP($B411,'IPCA Hist'!$B:$C,2,0))^12 - 1)+$H$2)^(1/252)</f>
        <v>47474406.792710297</v>
      </c>
      <c r="I411" s="2">
        <f>I410*(1+((1+VLOOKUP($B411,'IPCA Hist'!$B:$C,2,0))^12 - 1)+$I$2)^(1/252)</f>
        <v>239772340.69531465</v>
      </c>
      <c r="J411" s="2">
        <f>J410*(1+((1+VLOOKUP($B411,'IPCA Hist'!$B:$C,2,0))^12 - 1)+$J$2)^(1/252)</f>
        <v>21027879.598771784</v>
      </c>
      <c r="K411" s="2">
        <f>K410*(1+((1+VLOOKUP($B411,'IPCA Hist'!$B:$C,2,0))^12 - 1)+$K$2)^(1/252)</f>
        <v>81360425.169870898</v>
      </c>
      <c r="L411" s="2">
        <f>L410*(1+((1+VLOOKUP($B411,'IPCA Hist'!$B:$C,2,0))^12 - 1)+$L$2)^(1/252)</f>
        <v>42833225.425167806</v>
      </c>
      <c r="M411" s="2">
        <v>0</v>
      </c>
      <c r="N411" s="2">
        <v>0</v>
      </c>
      <c r="O411" s="2">
        <f t="shared" si="68"/>
        <v>525369933.53171784</v>
      </c>
      <c r="P411" s="2">
        <v>0</v>
      </c>
      <c r="Q411" s="2">
        <v>0</v>
      </c>
      <c r="R411" s="2">
        <f t="shared" si="77"/>
        <v>426282.52580136061</v>
      </c>
      <c r="S411" s="2">
        <f t="shared" si="70"/>
        <v>1703051.2633323669</v>
      </c>
      <c r="T411" s="2">
        <f t="shared" si="71"/>
        <v>5064162.4329019636</v>
      </c>
      <c r="U411" s="11">
        <f t="shared" si="74"/>
        <v>1.1563575437261648</v>
      </c>
      <c r="V411" s="12">
        <f t="shared" si="75"/>
        <v>8.1205387470539847E-4</v>
      </c>
      <c r="W411" s="12">
        <f t="shared" si="72"/>
        <v>3.2521653001145179E-3</v>
      </c>
      <c r="X411" s="12">
        <f t="shared" si="73"/>
        <v>9.7804659820426298E-3</v>
      </c>
      <c r="Y411" s="5">
        <f t="shared" si="76"/>
        <v>0.15635754372616484</v>
      </c>
      <c r="Z411" s="19">
        <f t="shared" si="67"/>
        <v>4.9108893458875924E-2</v>
      </c>
      <c r="AA411" s="19">
        <f t="shared" si="66"/>
        <v>9.7887624390364802E-2</v>
      </c>
      <c r="AB411" s="19" t="s">
        <v>53</v>
      </c>
    </row>
    <row r="412" spans="1:28" x14ac:dyDescent="0.25">
      <c r="A412" s="1">
        <v>45695</v>
      </c>
      <c r="B412" s="1" t="str">
        <f t="shared" si="69"/>
        <v>202502</v>
      </c>
      <c r="C412" s="2">
        <v>0</v>
      </c>
      <c r="D412" s="2">
        <v>0</v>
      </c>
      <c r="E412" s="2">
        <v>0</v>
      </c>
      <c r="F412" s="2">
        <f>F411*(1+((1+VLOOKUP($B412,'IPCA Hist'!$B:$C,2,0))^12 - 1)+$F$2)^(1/252)</f>
        <v>46494672.399433896</v>
      </c>
      <c r="G412" s="2">
        <f>G411*(1+((1+VLOOKUP($B412,'IPCA Hist'!$B:$C,2,0))^12 - 1)+$G$2)^(1/252)</f>
        <v>46480554.731092572</v>
      </c>
      <c r="H412" s="2">
        <f>H411*(1+((1+VLOOKUP($B412,'IPCA Hist'!$B:$C,2,0))^12 - 1)+$H$2)^(1/252)</f>
        <v>47511825.341278002</v>
      </c>
      <c r="I412" s="2">
        <f>I411*(1+((1+VLOOKUP($B412,'IPCA Hist'!$B:$C,2,0))^12 - 1)+$I$2)^(1/252)</f>
        <v>239961247.24196649</v>
      </c>
      <c r="J412" s="2">
        <f>J411*(1+((1+VLOOKUP($B412,'IPCA Hist'!$B:$C,2,0))^12 - 1)+$J$2)^(1/252)</f>
        <v>21045365.964065082</v>
      </c>
      <c r="K412" s="2">
        <f>K411*(1+((1+VLOOKUP($B412,'IPCA Hist'!$B:$C,2,0))^12 - 1)+$K$2)^(1/252)</f>
        <v>81431912.473485723</v>
      </c>
      <c r="L412" s="2">
        <f>L411*(1+((1+VLOOKUP($B412,'IPCA Hist'!$B:$C,2,0))^12 - 1)+$L$2)^(1/252)</f>
        <v>42870984.850661956</v>
      </c>
      <c r="M412" s="2">
        <v>0</v>
      </c>
      <c r="N412" s="2">
        <v>0</v>
      </c>
      <c r="O412" s="2">
        <f t="shared" si="68"/>
        <v>525796563.0019837</v>
      </c>
      <c r="P412" s="2">
        <v>0</v>
      </c>
      <c r="Q412" s="2">
        <v>0</v>
      </c>
      <c r="R412" s="2">
        <f t="shared" si="77"/>
        <v>426629.47026586533</v>
      </c>
      <c r="S412" s="2">
        <f t="shared" si="70"/>
        <v>2129680.7335982323</v>
      </c>
      <c r="T412" s="2">
        <f t="shared" si="71"/>
        <v>5490791.9031678289</v>
      </c>
      <c r="U412" s="11">
        <f t="shared" si="74"/>
        <v>1.1572965700670927</v>
      </c>
      <c r="V412" s="12">
        <f t="shared" si="75"/>
        <v>8.120553595405422E-4</v>
      </c>
      <c r="W412" s="12">
        <f t="shared" si="72"/>
        <v>4.0668615979171374E-3</v>
      </c>
      <c r="X412" s="12">
        <f t="shared" si="73"/>
        <v>1.0600463621402767E-2</v>
      </c>
      <c r="Y412" s="5">
        <f t="shared" si="76"/>
        <v>0.15729657006709274</v>
      </c>
      <c r="Z412" s="19">
        <f t="shared" si="67"/>
        <v>4.9763874314863621E-2</v>
      </c>
      <c r="AA412" s="19">
        <f t="shared" si="66"/>
        <v>9.8150726796158105E-2</v>
      </c>
      <c r="AB412" s="19" t="s">
        <v>53</v>
      </c>
    </row>
    <row r="413" spans="1:28" x14ac:dyDescent="0.25">
      <c r="A413" s="1">
        <v>45698</v>
      </c>
      <c r="B413" s="1" t="str">
        <f t="shared" si="69"/>
        <v>202502</v>
      </c>
      <c r="C413" s="2">
        <v>0</v>
      </c>
      <c r="D413" s="2">
        <v>0</v>
      </c>
      <c r="E413" s="2">
        <v>0</v>
      </c>
      <c r="F413" s="2">
        <f>F412*(1+((1+VLOOKUP($B413,'IPCA Hist'!$B:$C,2,0))^12 - 1)+$F$2)^(1/252)</f>
        <v>46531485.199741296</v>
      </c>
      <c r="G413" s="2">
        <f>G412*(1+((1+VLOOKUP($B413,'IPCA Hist'!$B:$C,2,0))^12 - 1)+$G$2)^(1/252)</f>
        <v>46517371.474476494</v>
      </c>
      <c r="H413" s="2">
        <f>H412*(1+((1+VLOOKUP($B413,'IPCA Hist'!$B:$C,2,0))^12 - 1)+$H$2)^(1/252)</f>
        <v>47549273.382531799</v>
      </c>
      <c r="I413" s="2">
        <f>I412*(1+((1+VLOOKUP($B413,'IPCA Hist'!$B:$C,2,0))^12 - 1)+$I$2)^(1/252)</f>
        <v>240150302.62014437</v>
      </c>
      <c r="J413" s="2">
        <f>J412*(1+((1+VLOOKUP($B413,'IPCA Hist'!$B:$C,2,0))^12 - 1)+$J$2)^(1/252)</f>
        <v>21062866.870671008</v>
      </c>
      <c r="K413" s="2">
        <f>K412*(1+((1+VLOOKUP($B413,'IPCA Hist'!$B:$C,2,0))^12 - 1)+$K$2)^(1/252)</f>
        <v>81503462.589390025</v>
      </c>
      <c r="L413" s="2">
        <f>L412*(1+((1+VLOOKUP($B413,'IPCA Hist'!$B:$C,2,0))^12 - 1)+$L$2)^(1/252)</f>
        <v>42908777.562797479</v>
      </c>
      <c r="M413" s="2">
        <v>0</v>
      </c>
      <c r="N413" s="2">
        <v>0</v>
      </c>
      <c r="O413" s="2">
        <f t="shared" si="68"/>
        <v>526223539.69975251</v>
      </c>
      <c r="P413" s="2">
        <v>0</v>
      </c>
      <c r="Q413" s="2">
        <v>0</v>
      </c>
      <c r="R413" s="2">
        <f t="shared" si="77"/>
        <v>426976.69776880741</v>
      </c>
      <c r="S413" s="2">
        <f t="shared" si="70"/>
        <v>2556657.4313670397</v>
      </c>
      <c r="T413" s="2">
        <f t="shared" si="71"/>
        <v>5917768.6009366363</v>
      </c>
      <c r="U413" s="11">
        <f t="shared" si="74"/>
        <v>1.1582363606678627</v>
      </c>
      <c r="V413" s="12">
        <f t="shared" si="75"/>
        <v>8.1205684444007886E-4</v>
      </c>
      <c r="W413" s="12">
        <f t="shared" si="72"/>
        <v>4.8822209651531168E-3</v>
      </c>
      <c r="X413" s="12">
        <f t="shared" si="73"/>
        <v>1.1421128644880874E-2</v>
      </c>
      <c r="Y413" s="5">
        <f t="shared" si="76"/>
        <v>0.15823636066786273</v>
      </c>
      <c r="Z413" s="19">
        <f t="shared" si="67"/>
        <v>5.0419265643495637E-2</v>
      </c>
      <c r="AA413" s="19">
        <f t="shared" si="66"/>
        <v>9.841389387896915E-2</v>
      </c>
      <c r="AB413" s="19" t="s">
        <v>53</v>
      </c>
    </row>
    <row r="414" spans="1:28" x14ac:dyDescent="0.25">
      <c r="A414" s="1">
        <v>45699</v>
      </c>
      <c r="B414" s="1" t="str">
        <f t="shared" si="69"/>
        <v>202502</v>
      </c>
      <c r="C414" s="2">
        <v>0</v>
      </c>
      <c r="D414" s="2">
        <v>0</v>
      </c>
      <c r="E414" s="2">
        <v>0</v>
      </c>
      <c r="F414" s="2">
        <f>F413*(1+((1+VLOOKUP($B414,'IPCA Hist'!$B:$C,2,0))^12 - 1)+$F$2)^(1/252)</f>
        <v>46568327.147092789</v>
      </c>
      <c r="G414" s="2">
        <f>G413*(1+((1+VLOOKUP($B414,'IPCA Hist'!$B:$C,2,0))^12 - 1)+$G$2)^(1/252)</f>
        <v>46554217.380003624</v>
      </c>
      <c r="H414" s="2">
        <f>H413*(1+((1+VLOOKUP($B414,'IPCA Hist'!$B:$C,2,0))^12 - 1)+$H$2)^(1/252)</f>
        <v>47586750.939717337</v>
      </c>
      <c r="I414" s="2">
        <f>I413*(1+((1+VLOOKUP($B414,'IPCA Hist'!$B:$C,2,0))^12 - 1)+$I$2)^(1/252)</f>
        <v>240339506.94710639</v>
      </c>
      <c r="J414" s="2">
        <f>J413*(1+((1+VLOOKUP($B414,'IPCA Hist'!$B:$C,2,0))^12 - 1)+$J$2)^(1/252)</f>
        <v>21080382.330681831</v>
      </c>
      <c r="K414" s="2">
        <f>K413*(1+((1+VLOOKUP($B414,'IPCA Hist'!$B:$C,2,0))^12 - 1)+$K$2)^(1/252)</f>
        <v>81575075.572773799</v>
      </c>
      <c r="L414" s="2">
        <f>L413*(1+((1+VLOOKUP($B414,'IPCA Hist'!$B:$C,2,0))^12 - 1)+$L$2)^(1/252)</f>
        <v>42946603.590918057</v>
      </c>
      <c r="M414" s="2">
        <v>0</v>
      </c>
      <c r="N414" s="2">
        <v>0</v>
      </c>
      <c r="O414" s="2">
        <f t="shared" si="68"/>
        <v>526650863.90829384</v>
      </c>
      <c r="P414" s="2">
        <v>0</v>
      </c>
      <c r="Q414" s="2">
        <v>0</v>
      </c>
      <c r="R414" s="2">
        <f t="shared" si="77"/>
        <v>427324.20854133368</v>
      </c>
      <c r="S414" s="2">
        <f t="shared" si="70"/>
        <v>2983981.6399083734</v>
      </c>
      <c r="T414" s="2">
        <f t="shared" si="71"/>
        <v>6345092.80947797</v>
      </c>
      <c r="U414" s="11">
        <f t="shared" si="74"/>
        <v>1.1591769161519609</v>
      </c>
      <c r="V414" s="12">
        <f t="shared" si="75"/>
        <v>8.1205832940334233E-4</v>
      </c>
      <c r="W414" s="12">
        <f t="shared" si="72"/>
        <v>5.6982439427573084E-3</v>
      </c>
      <c r="X414" s="12">
        <f t="shared" si="73"/>
        <v>1.2242461596931431E-2</v>
      </c>
      <c r="Y414" s="5">
        <f t="shared" si="76"/>
        <v>0.15917691615196095</v>
      </c>
      <c r="Z414" s="19">
        <f t="shared" si="67"/>
        <v>5.1075067703046484E-2</v>
      </c>
      <c r="AA414" s="19">
        <f t="shared" si="66"/>
        <v>9.8677125655146414E-2</v>
      </c>
      <c r="AB414" s="19" t="s">
        <v>53</v>
      </c>
    </row>
    <row r="415" spans="1:28" x14ac:dyDescent="0.25">
      <c r="A415" s="1">
        <v>45700</v>
      </c>
      <c r="B415" s="1" t="str">
        <f t="shared" si="69"/>
        <v>202502</v>
      </c>
      <c r="C415" s="2">
        <v>0</v>
      </c>
      <c r="D415" s="2">
        <v>0</v>
      </c>
      <c r="E415" s="2">
        <v>0</v>
      </c>
      <c r="F415" s="2">
        <f>F414*(1+((1+VLOOKUP($B415,'IPCA Hist'!$B:$C,2,0))^12 - 1)+$F$2)^(1/252)</f>
        <v>46605198.264565952</v>
      </c>
      <c r="G415" s="2">
        <f>G414*(1+((1+VLOOKUP($B415,'IPCA Hist'!$B:$C,2,0))^12 - 1)+$G$2)^(1/252)</f>
        <v>46591092.470772974</v>
      </c>
      <c r="H415" s="2">
        <f>H414*(1+((1+VLOOKUP($B415,'IPCA Hist'!$B:$C,2,0))^12 - 1)+$H$2)^(1/252)</f>
        <v>47624258.036098592</v>
      </c>
      <c r="I415" s="2">
        <f>I414*(1+((1+VLOOKUP($B415,'IPCA Hist'!$B:$C,2,0))^12 - 1)+$I$2)^(1/252)</f>
        <v>240528860.34020305</v>
      </c>
      <c r="J415" s="2">
        <f>J414*(1+((1+VLOOKUP($B415,'IPCA Hist'!$B:$C,2,0))^12 - 1)+$J$2)^(1/252)</f>
        <v>21097912.356199868</v>
      </c>
      <c r="K415" s="2">
        <f>K414*(1+((1+VLOOKUP($B415,'IPCA Hist'!$B:$C,2,0))^12 - 1)+$K$2)^(1/252)</f>
        <v>81646751.478875533</v>
      </c>
      <c r="L415" s="2">
        <f>L414*(1+((1+VLOOKUP($B415,'IPCA Hist'!$B:$C,2,0))^12 - 1)+$L$2)^(1/252)</f>
        <v>42984462.964393236</v>
      </c>
      <c r="M415" s="2">
        <v>0</v>
      </c>
      <c r="N415" s="2">
        <v>0</v>
      </c>
      <c r="O415" s="2">
        <f t="shared" si="68"/>
        <v>527078535.91110921</v>
      </c>
      <c r="P415" s="2">
        <v>0</v>
      </c>
      <c r="Q415" s="2">
        <v>0</v>
      </c>
      <c r="R415" s="2">
        <f t="shared" si="77"/>
        <v>427672.00281536579</v>
      </c>
      <c r="S415" s="2">
        <f t="shared" si="70"/>
        <v>3411653.6427237391</v>
      </c>
      <c r="T415" s="2">
        <f t="shared" si="71"/>
        <v>6772764.8122933358</v>
      </c>
      <c r="U415" s="11">
        <f t="shared" si="74"/>
        <v>1.1601182371433842</v>
      </c>
      <c r="V415" s="12">
        <f t="shared" si="75"/>
        <v>8.1205981443122077E-4</v>
      </c>
      <c r="W415" s="12">
        <f t="shared" si="72"/>
        <v>6.5149310721073217E-3</v>
      </c>
      <c r="X415" s="12">
        <f t="shared" si="73"/>
        <v>1.3064463022455231E-2</v>
      </c>
      <c r="Y415" s="5">
        <f t="shared" si="76"/>
        <v>0.16011823714338425</v>
      </c>
      <c r="Z415" s="19">
        <f t="shared" si="67"/>
        <v>5.1731280751953879E-2</v>
      </c>
      <c r="AA415" s="19">
        <f t="shared" si="66"/>
        <v>9.8943460474417932E-2</v>
      </c>
      <c r="AB415" s="19" t="s">
        <v>53</v>
      </c>
    </row>
    <row r="416" spans="1:28" x14ac:dyDescent="0.25">
      <c r="A416" s="1">
        <v>45701</v>
      </c>
      <c r="B416" s="1" t="str">
        <f t="shared" si="69"/>
        <v>202502</v>
      </c>
      <c r="C416" s="2">
        <v>0</v>
      </c>
      <c r="D416" s="2">
        <v>0</v>
      </c>
      <c r="E416" s="2">
        <v>0</v>
      </c>
      <c r="F416" s="2">
        <f>F415*(1+((1+VLOOKUP($B416,'IPCA Hist'!$B:$C,2,0))^12 - 1)+$F$2)^(1/252)</f>
        <v>46642098.575256623</v>
      </c>
      <c r="G416" s="2">
        <f>G415*(1+((1+VLOOKUP($B416,'IPCA Hist'!$B:$C,2,0))^12 - 1)+$G$2)^(1/252)</f>
        <v>46627996.769901864</v>
      </c>
      <c r="H416" s="2">
        <f>H415*(1+((1+VLOOKUP($B416,'IPCA Hist'!$B:$C,2,0))^12 - 1)+$H$2)^(1/252)</f>
        <v>47661794.694957875</v>
      </c>
      <c r="I416" s="2">
        <f>I415*(1+((1+VLOOKUP($B416,'IPCA Hist'!$B:$C,2,0))^12 - 1)+$I$2)^(1/252)</f>
        <v>240718362.91687727</v>
      </c>
      <c r="J416" s="2">
        <f>J415*(1+((1+VLOOKUP($B416,'IPCA Hist'!$B:$C,2,0))^12 - 1)+$J$2)^(1/252)</f>
        <v>21115456.959337506</v>
      </c>
      <c r="K416" s="2">
        <f>K415*(1+((1+VLOOKUP($B416,'IPCA Hist'!$B:$C,2,0))^12 - 1)+$K$2)^(1/252)</f>
        <v>81718490.362982243</v>
      </c>
      <c r="L416" s="2">
        <f>L415*(1+((1+VLOOKUP($B416,'IPCA Hist'!$B:$C,2,0))^12 - 1)+$L$2)^(1/252)</f>
        <v>43022355.712618455</v>
      </c>
      <c r="M416" s="2">
        <v>0</v>
      </c>
      <c r="N416" s="2">
        <v>0</v>
      </c>
      <c r="O416" s="2">
        <f t="shared" si="68"/>
        <v>527506555.99193192</v>
      </c>
      <c r="P416" s="2">
        <v>0</v>
      </c>
      <c r="Q416" s="2">
        <v>0</v>
      </c>
      <c r="R416" s="2">
        <f t="shared" si="77"/>
        <v>428020.08082270622</v>
      </c>
      <c r="S416" s="2">
        <f t="shared" si="70"/>
        <v>3839673.7235464454</v>
      </c>
      <c r="T416" s="2">
        <f t="shared" si="71"/>
        <v>7200784.893116042</v>
      </c>
      <c r="U416" s="11">
        <f t="shared" si="74"/>
        <v>1.1610603242666393</v>
      </c>
      <c r="V416" s="12">
        <f t="shared" si="75"/>
        <v>8.1206129952304806E-4</v>
      </c>
      <c r="W416" s="12">
        <f t="shared" si="72"/>
        <v>7.332282895023079E-3</v>
      </c>
      <c r="X416" s="12">
        <f t="shared" si="73"/>
        <v>1.3887133466797819E-2</v>
      </c>
      <c r="Y416" s="5">
        <f t="shared" si="76"/>
        <v>0.1610603242666393</v>
      </c>
      <c r="Z416" s="19">
        <f t="shared" si="67"/>
        <v>5.2391766224617387E-2</v>
      </c>
      <c r="AA416" s="19">
        <f t="shared" si="66"/>
        <v>9.9206822492170499E-2</v>
      </c>
      <c r="AB416" s="19" t="s">
        <v>53</v>
      </c>
    </row>
    <row r="417" spans="1:28" x14ac:dyDescent="0.25">
      <c r="A417" s="1">
        <v>45702</v>
      </c>
      <c r="B417" s="1" t="str">
        <f t="shared" si="69"/>
        <v>202502</v>
      </c>
      <c r="C417" s="2">
        <v>0</v>
      </c>
      <c r="D417" s="2">
        <v>0</v>
      </c>
      <c r="E417" s="2">
        <v>0</v>
      </c>
      <c r="F417" s="2">
        <f>F416*(1+((1+VLOOKUP($B417,'IPCA Hist'!$B:$C,2,0))^12 - 1)+$F$2)^(1/252)</f>
        <v>46679028.102278948</v>
      </c>
      <c r="G417" s="2">
        <f>G416*(1+((1+VLOOKUP($B417,'IPCA Hist'!$B:$C,2,0))^12 - 1)+$G$2)^(1/252)</f>
        <v>46664930.300525919</v>
      </c>
      <c r="H417" s="2">
        <f>H416*(1+((1+VLOOKUP($B417,'IPCA Hist'!$B:$C,2,0))^12 - 1)+$H$2)^(1/252)</f>
        <v>47699360.939595841</v>
      </c>
      <c r="I417" s="2">
        <f>I416*(1+((1+VLOOKUP($B417,'IPCA Hist'!$B:$C,2,0))^12 - 1)+$I$2)^(1/252)</f>
        <v>240908014.79466453</v>
      </c>
      <c r="J417" s="2">
        <f>J416*(1+((1+VLOOKUP($B417,'IPCA Hist'!$B:$C,2,0))^12 - 1)+$J$2)^(1/252)</f>
        <v>21133016.152217202</v>
      </c>
      <c r="K417" s="2">
        <f>K416*(1+((1+VLOOKUP($B417,'IPCA Hist'!$B:$C,2,0))^12 - 1)+$K$2)^(1/252)</f>
        <v>81790292.280429527</v>
      </c>
      <c r="L417" s="2">
        <f>L416*(1+((1+VLOOKUP($B417,'IPCA Hist'!$B:$C,2,0))^12 - 1)+$L$2)^(1/252)</f>
        <v>43060281.865015067</v>
      </c>
      <c r="M417" s="2">
        <v>0</v>
      </c>
      <c r="N417" s="2">
        <v>0</v>
      </c>
      <c r="O417" s="2">
        <f t="shared" si="68"/>
        <v>527934924.43472707</v>
      </c>
      <c r="P417" s="2">
        <v>0</v>
      </c>
      <c r="Q417" s="2">
        <v>0</v>
      </c>
      <c r="R417" s="2">
        <f t="shared" si="77"/>
        <v>428368.44279515743</v>
      </c>
      <c r="S417" s="2">
        <f t="shared" si="70"/>
        <v>4268042.1663416028</v>
      </c>
      <c r="T417" s="2">
        <f t="shared" si="71"/>
        <v>7629153.3359111995</v>
      </c>
      <c r="U417" s="11">
        <f t="shared" si="74"/>
        <v>1.1620031781467433</v>
      </c>
      <c r="V417" s="12">
        <f t="shared" si="75"/>
        <v>8.120627846788242E-4</v>
      </c>
      <c r="W417" s="12">
        <f t="shared" si="72"/>
        <v>8.1502999537677034E-3</v>
      </c>
      <c r="X417" s="12">
        <f t="shared" si="73"/>
        <v>1.4710473475750829E-2</v>
      </c>
      <c r="Y417" s="5">
        <f t="shared" si="76"/>
        <v>0.16200317814674325</v>
      </c>
      <c r="Z417" s="19">
        <f t="shared" si="67"/>
        <v>5.3048804509159275E-2</v>
      </c>
      <c r="AA417" s="19">
        <f t="shared" si="66"/>
        <v>9.9470249252578524E-2</v>
      </c>
      <c r="AB417" s="19" t="s">
        <v>53</v>
      </c>
    </row>
    <row r="418" spans="1:28" s="17" customFormat="1" x14ac:dyDescent="0.25">
      <c r="A418" s="13">
        <v>45705</v>
      </c>
      <c r="B418" s="13" t="str">
        <f t="shared" si="69"/>
        <v>202502</v>
      </c>
      <c r="C418" s="14">
        <v>0</v>
      </c>
      <c r="D418" s="14">
        <v>0</v>
      </c>
      <c r="E418" s="14">
        <v>0</v>
      </c>
      <c r="F418" s="14">
        <f>F417*(1+((1+VLOOKUP($B418,'IPCA Hist'!$B:$C,2,0))^12 - 1)+$F$2)^(1/252)</f>
        <v>46715986.868765354</v>
      </c>
      <c r="G418" s="14">
        <f>G417*(1+((1+VLOOKUP($B418,'IPCA Hist'!$B:$C,2,0))^12 - 1)+$G$2)^(1/252)</f>
        <v>46701893.085799083</v>
      </c>
      <c r="H418" s="14">
        <f>H417*(1+((1+VLOOKUP($B418,'IPCA Hist'!$B:$C,2,0))^12 - 1)+$H$2)^(1/252)</f>
        <v>47736956.793331519</v>
      </c>
      <c r="I418" s="14">
        <f>I417*(1+((1+VLOOKUP($B418,'IPCA Hist'!$B:$C,2,0))^12 - 1)+$I$2)^(1/252)</f>
        <v>241097816.0911929</v>
      </c>
      <c r="J418" s="14">
        <f>J417*(1+((1+VLOOKUP($B418,'IPCA Hist'!$B:$C,2,0))^12 - 1)+$J$2)^(1/252)</f>
        <v>21150589.946971495</v>
      </c>
      <c r="K418" s="14">
        <f>K417*(1+((1+VLOOKUP($B418,'IPCA Hist'!$B:$C,2,0))^12 - 1)+$K$2)^(1/252)</f>
        <v>81862157.286601618</v>
      </c>
      <c r="L418" s="14">
        <f>L417*(1+((1+VLOOKUP($B418,'IPCA Hist'!$B:$C,2,0))^12 - 1)+$L$2)^(1/252)</f>
        <v>43098241.451030359</v>
      </c>
      <c r="M418" s="14">
        <v>0</v>
      </c>
      <c r="N418" s="14">
        <v>0</v>
      </c>
      <c r="O418" s="14">
        <f t="shared" si="68"/>
        <v>528363641.52369231</v>
      </c>
      <c r="P418" s="14">
        <v>0</v>
      </c>
      <c r="Q418" s="14">
        <v>0</v>
      </c>
      <c r="R418" s="2">
        <f t="shared" si="77"/>
        <v>428717.08896523714</v>
      </c>
      <c r="S418" s="2">
        <f t="shared" si="70"/>
        <v>4696759.2553068399</v>
      </c>
      <c r="T418" s="2">
        <f t="shared" si="71"/>
        <v>8057870.4248764366</v>
      </c>
      <c r="U418" s="15">
        <f t="shared" si="74"/>
        <v>1.1629467994092253</v>
      </c>
      <c r="V418" s="16">
        <f t="shared" si="75"/>
        <v>8.1206426989899327E-4</v>
      </c>
      <c r="W418" s="16">
        <f t="shared" si="72"/>
        <v>8.9689827910481856E-3</v>
      </c>
      <c r="X418" s="16">
        <f t="shared" si="73"/>
        <v>1.5534483595552873E-2</v>
      </c>
      <c r="Y418" s="20">
        <f t="shared" si="76"/>
        <v>0.1629467994092253</v>
      </c>
      <c r="Z418" s="21">
        <f t="shared" si="67"/>
        <v>5.3706254560951461E-2</v>
      </c>
      <c r="AA418" s="21">
        <f t="shared" si="66"/>
        <v>9.9733740772009583E-2</v>
      </c>
      <c r="AB418" s="21" t="s">
        <v>53</v>
      </c>
    </row>
    <row r="419" spans="1:28" x14ac:dyDescent="0.25">
      <c r="A419" s="1">
        <v>45706</v>
      </c>
      <c r="B419" s="1" t="str">
        <f t="shared" si="69"/>
        <v>202502</v>
      </c>
      <c r="C419" s="2">
        <v>0</v>
      </c>
      <c r="D419" s="2">
        <v>0</v>
      </c>
      <c r="E419" s="2">
        <v>0</v>
      </c>
      <c r="F419" s="2">
        <f>F418*(1+((1+VLOOKUP($B419,'IPCA Hist'!$B:$C,2,0))^12 - 1)+$F$2)^(1/252) - 1272075.94117531</f>
        <v>45480898.956691287</v>
      </c>
      <c r="G419" s="2">
        <f>G418*(1+((1+VLOOKUP($B419,'IPCA Hist'!$B:$C,2,0))^12 - 1)+$G$2)^(1/252) - 1271692.15213437</f>
        <v>45467192.996759281</v>
      </c>
      <c r="H419" s="2">
        <f>H418*(1+((1+VLOOKUP($B419,'IPCA Hist'!$B:$C,2,0))^12 - 1)+$H$2)^(1/252) - 1299877.11772871</f>
        <v>46474705.1617736</v>
      </c>
      <c r="I419" s="2">
        <f>I418*(1+((1+VLOOKUP($B419,'IPCA Hist'!$B:$C,2,0))^12 - 1)+$I$2)^(1/252) - 6565092.52238401</f>
        <v>234722674.40179911</v>
      </c>
      <c r="J419" s="2">
        <f>J418*(1+((1+VLOOKUP($B419,'IPCA Hist'!$B:$C,2,0))^12 - 1)+$J$2)^(1/252) - 575929.539734636</f>
        <v>20592248.816008378</v>
      </c>
      <c r="K419" s="2">
        <f>K418*(1+((1+VLOOKUP($B419,'IPCA Hist'!$B:$C,2,0))^12 - 1)+$K$2)^(1/252) - 2229098.72207892</f>
        <v>79704986.714852452</v>
      </c>
      <c r="L419" s="2">
        <f>L418*(1+((1+VLOOKUP($B419,'IPCA Hist'!$B:$C,2,0))^12 - 1)+$L$2)^(1/252) - 1173560.87316404</f>
        <v>41962673.626973532</v>
      </c>
      <c r="M419" s="2">
        <v>14387326.8684</v>
      </c>
      <c r="N419" s="2">
        <v>0</v>
      </c>
      <c r="O419" s="2">
        <f t="shared" si="68"/>
        <v>528792707.54325759</v>
      </c>
      <c r="P419" s="2">
        <v>0</v>
      </c>
      <c r="Q419" s="2">
        <v>0</v>
      </c>
      <c r="R419" s="2">
        <f t="shared" si="77"/>
        <v>429066.01956528425</v>
      </c>
      <c r="S419" s="2">
        <f t="shared" si="70"/>
        <v>5125825.2748721242</v>
      </c>
      <c r="T419" s="2">
        <f t="shared" si="71"/>
        <v>8486936.4444417208</v>
      </c>
      <c r="U419" s="11">
        <f t="shared" si="74"/>
        <v>1.1638911886801253</v>
      </c>
      <c r="V419" s="12">
        <f t="shared" si="75"/>
        <v>8.1206575518311119E-4</v>
      </c>
      <c r="W419" s="12">
        <f t="shared" si="72"/>
        <v>9.788331950014717E-3</v>
      </c>
      <c r="X419" s="12">
        <f t="shared" si="73"/>
        <v>1.6359164372888424E-2</v>
      </c>
      <c r="Y419" s="5">
        <f t="shared" si="76"/>
        <v>0.16389118868012531</v>
      </c>
      <c r="Z419" s="19">
        <f t="shared" si="67"/>
        <v>5.4364116639086468E-2</v>
      </c>
      <c r="AA419" s="19">
        <f t="shared" si="66"/>
        <v>9.999729706683369E-2</v>
      </c>
      <c r="AB419" s="19" t="s">
        <v>53</v>
      </c>
    </row>
    <row r="420" spans="1:28" x14ac:dyDescent="0.25">
      <c r="A420" s="1">
        <v>45707</v>
      </c>
      <c r="B420" s="1" t="str">
        <f t="shared" si="69"/>
        <v>202502</v>
      </c>
      <c r="C420" s="2">
        <v>0</v>
      </c>
      <c r="D420" s="2">
        <v>0</v>
      </c>
      <c r="E420" s="2">
        <v>0</v>
      </c>
      <c r="F420" s="2">
        <f>F419*(1+((1+VLOOKUP($B420,'IPCA Hist'!$B:$C,2,0))^12 - 1)+$F$2)^(1/252)</f>
        <v>45516909.087845884</v>
      </c>
      <c r="G420" s="2">
        <f>G419*(1+((1+VLOOKUP($B420,'IPCA Hist'!$B:$C,2,0))^12 - 1)+$G$2)^(1/252)</f>
        <v>45503207.067301966</v>
      </c>
      <c r="H420" s="2">
        <f>H419*(1+((1+VLOOKUP($B420,'IPCA Hist'!$B:$C,2,0))^12 - 1)+$H$2)^(1/252)</f>
        <v>46511335.761916928</v>
      </c>
      <c r="I420" s="2">
        <f>I419*(1+((1+VLOOKUP($B420,'IPCA Hist'!$B:$C,2,0))^12 - 1)+$I$2)^(1/252)</f>
        <v>234907602.52867791</v>
      </c>
      <c r="J420" s="2">
        <f>J419*(1+((1+VLOOKUP($B420,'IPCA Hist'!$B:$C,2,0))^12 - 1)+$J$2)^(1/252)</f>
        <v>20609372.919430971</v>
      </c>
      <c r="K420" s="2">
        <f>K419*(1+((1+VLOOKUP($B420,'IPCA Hist'!$B:$C,2,0))^12 - 1)+$K$2)^(1/252)</f>
        <v>79775019.468159765</v>
      </c>
      <c r="L420" s="2">
        <f>L419*(1+((1+VLOOKUP($B420,'IPCA Hist'!$B:$C,2,0))^12 - 1)+$L$2)^(1/252)</f>
        <v>41999665.621683836</v>
      </c>
      <c r="M420" s="2">
        <f>M419*(1+((1+VLOOKUP($B420,'IPCA Hist'!$B:$C,2,0))^12 - 1)+$M$2)^(1/252)</f>
        <v>14399766.423379278</v>
      </c>
      <c r="N420" s="2">
        <v>0</v>
      </c>
      <c r="O420" s="2">
        <f t="shared" si="68"/>
        <v>529222878.87839663</v>
      </c>
      <c r="P420" s="2">
        <v>0</v>
      </c>
      <c r="Q420" s="2">
        <v>0</v>
      </c>
      <c r="R420" s="2">
        <f t="shared" si="77"/>
        <v>430171.33513903618</v>
      </c>
      <c r="S420" s="2">
        <f t="shared" si="70"/>
        <v>5555996.6100111604</v>
      </c>
      <c r="T420" s="2">
        <f t="shared" si="71"/>
        <v>8917107.779580757</v>
      </c>
      <c r="U420" s="11">
        <f t="shared" si="74"/>
        <v>1.1648380107891465</v>
      </c>
      <c r="V420" s="12">
        <f t="shared" si="75"/>
        <v>8.1349710198841407E-4</v>
      </c>
      <c r="W420" s="12">
        <f t="shared" si="72"/>
        <v>1.0609791831677873E-2</v>
      </c>
      <c r="X420" s="12">
        <f t="shared" si="73"/>
        <v>1.7185969607685037E-2</v>
      </c>
      <c r="Y420" s="5">
        <f t="shared" si="76"/>
        <v>0.16483801078914651</v>
      </c>
      <c r="Z420" s="19">
        <f t="shared" si="67"/>
        <v>5.5023898314635167E-2</v>
      </c>
      <c r="AA420" s="19">
        <f t="shared" si="66"/>
        <v>0.10026249009758126</v>
      </c>
      <c r="AB420" s="19" t="s">
        <v>53</v>
      </c>
    </row>
    <row r="421" spans="1:28" x14ac:dyDescent="0.25">
      <c r="A421" s="1">
        <v>45708</v>
      </c>
      <c r="B421" s="1" t="str">
        <f t="shared" si="69"/>
        <v>202502</v>
      </c>
      <c r="C421" s="2">
        <v>0</v>
      </c>
      <c r="D421" s="2">
        <v>0</v>
      </c>
      <c r="E421" s="2">
        <v>0</v>
      </c>
      <c r="F421" s="2">
        <f>F420*(1+((1+VLOOKUP($B421,'IPCA Hist'!$B:$C,2,0))^12 - 1)+$F$2)^(1/252)</f>
        <v>45552947.730520166</v>
      </c>
      <c r="G421" s="2">
        <f>G420*(1+((1+VLOOKUP($B421,'IPCA Hist'!$B:$C,2,0))^12 - 1)+$G$2)^(1/252)</f>
        <v>45539249.664199404</v>
      </c>
      <c r="H421" s="2">
        <f>H420*(1+((1+VLOOKUP($B421,'IPCA Hist'!$B:$C,2,0))^12 - 1)+$H$2)^(1/252)</f>
        <v>46547995.233698331</v>
      </c>
      <c r="I421" s="2">
        <f>I420*(1+((1+VLOOKUP($B421,'IPCA Hist'!$B:$C,2,0))^12 - 1)+$I$2)^(1/252)</f>
        <v>235092676.35265309</v>
      </c>
      <c r="J421" s="2">
        <f>J420*(1+((1+VLOOKUP($B421,'IPCA Hist'!$B:$C,2,0))^12 - 1)+$J$2)^(1/252)</f>
        <v>20626511.262916446</v>
      </c>
      <c r="K421" s="2">
        <f>K420*(1+((1+VLOOKUP($B421,'IPCA Hist'!$B:$C,2,0))^12 - 1)+$K$2)^(1/252)</f>
        <v>79845113.755716547</v>
      </c>
      <c r="L421" s="2">
        <f>L420*(1+((1+VLOOKUP($B421,'IPCA Hist'!$B:$C,2,0))^12 - 1)+$L$2)^(1/252)</f>
        <v>42036690.226510569</v>
      </c>
      <c r="M421" s="2">
        <f>M420*(1+((1+VLOOKUP($B421,'IPCA Hist'!$B:$C,2,0))^12 - 1)+$M$2)^(1/252)</f>
        <v>14412216.733833112</v>
      </c>
      <c r="N421" s="2">
        <v>0</v>
      </c>
      <c r="O421" s="2">
        <f t="shared" si="68"/>
        <v>529653400.96004772</v>
      </c>
      <c r="P421" s="2">
        <v>0</v>
      </c>
      <c r="Q421" s="2">
        <v>0</v>
      </c>
      <c r="R421" s="2">
        <f t="shared" si="77"/>
        <v>430522.08165109158</v>
      </c>
      <c r="S421" s="2">
        <f t="shared" si="70"/>
        <v>5986518.6916622519</v>
      </c>
      <c r="T421" s="2">
        <f t="shared" si="71"/>
        <v>9347629.8612318486</v>
      </c>
      <c r="U421" s="11">
        <f t="shared" si="74"/>
        <v>1.1657856049034714</v>
      </c>
      <c r="V421" s="12">
        <f t="shared" si="75"/>
        <v>8.1349862002100259E-4</v>
      </c>
      <c r="W421" s="12">
        <f t="shared" si="72"/>
        <v>1.143192150271255E-2</v>
      </c>
      <c r="X421" s="12">
        <f t="shared" si="73"/>
        <v>1.801344899026569E-2</v>
      </c>
      <c r="Y421" s="5">
        <f t="shared" si="76"/>
        <v>0.16578560490347138</v>
      </c>
      <c r="Z421" s="19">
        <f t="shared" si="67"/>
        <v>5.5684094453898103E-2</v>
      </c>
      <c r="AA421" s="19">
        <f t="shared" si="66"/>
        <v>0.10052774872804626</v>
      </c>
      <c r="AB421" s="19" t="s">
        <v>53</v>
      </c>
    </row>
    <row r="422" spans="1:28" x14ac:dyDescent="0.25">
      <c r="A422" s="1">
        <v>45709</v>
      </c>
      <c r="B422" s="1" t="str">
        <f t="shared" si="69"/>
        <v>202502</v>
      </c>
      <c r="C422" s="2">
        <v>0</v>
      </c>
      <c r="D422" s="2">
        <v>0</v>
      </c>
      <c r="E422" s="2">
        <v>0</v>
      </c>
      <c r="F422" s="2">
        <f>F421*(1+((1+VLOOKUP($B422,'IPCA Hist'!$B:$C,2,0))^12 - 1)+$F$2)^(1/252)</f>
        <v>45589014.907288522</v>
      </c>
      <c r="G422" s="2">
        <f>G421*(1+((1+VLOOKUP($B422,'IPCA Hist'!$B:$C,2,0))^12 - 1)+$G$2)^(1/252)</f>
        <v>45575320.810047016</v>
      </c>
      <c r="H422" s="2">
        <f>H421*(1+((1+VLOOKUP($B422,'IPCA Hist'!$B:$C,2,0))^12 - 1)+$H$2)^(1/252)</f>
        <v>46584683.599873953</v>
      </c>
      <c r="I422" s="2">
        <f>I421*(1+((1+VLOOKUP($B422,'IPCA Hist'!$B:$C,2,0))^12 - 1)+$I$2)^(1/252)</f>
        <v>235277895.98851323</v>
      </c>
      <c r="J422" s="2">
        <f>J421*(1+((1+VLOOKUP($B422,'IPCA Hist'!$B:$C,2,0))^12 - 1)+$J$2)^(1/252)</f>
        <v>20643663.858306557</v>
      </c>
      <c r="K422" s="2">
        <f>K421*(1+((1+VLOOKUP($B422,'IPCA Hist'!$B:$C,2,0))^12 - 1)+$K$2)^(1/252)</f>
        <v>79915269.63158983</v>
      </c>
      <c r="L422" s="2">
        <f>L421*(1+((1+VLOOKUP($B422,'IPCA Hist'!$B:$C,2,0))^12 - 1)+$L$2)^(1/252)</f>
        <v>42073747.470201023</v>
      </c>
      <c r="M422" s="2">
        <f>M421*(1+((1+VLOOKUP($B422,'IPCA Hist'!$B:$C,2,0))^12 - 1)+$M$2)^(1/252)</f>
        <v>14424677.80906089</v>
      </c>
      <c r="N422" s="2">
        <v>0</v>
      </c>
      <c r="O422" s="2">
        <f t="shared" si="68"/>
        <v>530084274.07488096</v>
      </c>
      <c r="P422" s="2">
        <v>0</v>
      </c>
      <c r="Q422" s="2">
        <v>0</v>
      </c>
      <c r="R422" s="2">
        <f t="shared" si="77"/>
        <v>430873.11483323574</v>
      </c>
      <c r="S422" s="2">
        <f t="shared" si="70"/>
        <v>6417391.8064954877</v>
      </c>
      <c r="T422" s="2">
        <f t="shared" si="71"/>
        <v>9778502.9760650843</v>
      </c>
      <c r="U422" s="11">
        <f t="shared" si="74"/>
        <v>1.1667339716540708</v>
      </c>
      <c r="V422" s="12">
        <f t="shared" si="75"/>
        <v>8.1350013811332111E-4</v>
      </c>
      <c r="W422" s="12">
        <f t="shared" si="72"/>
        <v>1.2254721510547295E-2</v>
      </c>
      <c r="X422" s="12">
        <f t="shared" si="73"/>
        <v>1.8841603071620527E-2</v>
      </c>
      <c r="Y422" s="5">
        <f t="shared" si="76"/>
        <v>0.16673397165407078</v>
      </c>
      <c r="Z422" s="19">
        <f t="shared" si="67"/>
        <v>5.6344705318293054E-2</v>
      </c>
      <c r="AA422" s="19">
        <f t="shared" si="66"/>
        <v>0.10079307297491336</v>
      </c>
      <c r="AB422" s="19" t="s">
        <v>53</v>
      </c>
    </row>
    <row r="423" spans="1:28" x14ac:dyDescent="0.25">
      <c r="A423" s="1">
        <v>45712</v>
      </c>
      <c r="B423" s="1" t="str">
        <f t="shared" si="69"/>
        <v>202502</v>
      </c>
      <c r="C423" s="2">
        <v>0</v>
      </c>
      <c r="D423" s="2">
        <v>0</v>
      </c>
      <c r="E423" s="2">
        <v>0</v>
      </c>
      <c r="F423" s="2">
        <f>F422*(1+((1+VLOOKUP($B423,'IPCA Hist'!$B:$C,2,0))^12 - 1)+$F$2)^(1/252)</f>
        <v>45625110.640743211</v>
      </c>
      <c r="G423" s="2">
        <f>G422*(1+((1+VLOOKUP($B423,'IPCA Hist'!$B:$C,2,0))^12 - 1)+$G$2)^(1/252)</f>
        <v>45611420.527458109</v>
      </c>
      <c r="H423" s="2">
        <f>H422*(1+((1+VLOOKUP($B423,'IPCA Hist'!$B:$C,2,0))^12 - 1)+$H$2)^(1/252)</f>
        <v>46621400.883217886</v>
      </c>
      <c r="I423" s="2">
        <f>I422*(1+((1+VLOOKUP($B423,'IPCA Hist'!$B:$C,2,0))^12 - 1)+$I$2)^(1/252)</f>
        <v>235463261.55113742</v>
      </c>
      <c r="J423" s="2">
        <f>J422*(1+((1+VLOOKUP($B423,'IPCA Hist'!$B:$C,2,0))^12 - 1)+$J$2)^(1/252)</f>
        <v>20660830.717452902</v>
      </c>
      <c r="K423" s="2">
        <f>K422*(1+((1+VLOOKUP($B423,'IPCA Hist'!$B:$C,2,0))^12 - 1)+$K$2)^(1/252)</f>
        <v>79985487.149894163</v>
      </c>
      <c r="L423" s="2">
        <f>L422*(1+((1+VLOOKUP($B423,'IPCA Hist'!$B:$C,2,0))^12 - 1)+$L$2)^(1/252)</f>
        <v>42110837.381527834</v>
      </c>
      <c r="M423" s="2">
        <f>M422*(1+((1+VLOOKUP($B423,'IPCA Hist'!$B:$C,2,0))^12 - 1)+$M$2)^(1/252)</f>
        <v>14437149.65837004</v>
      </c>
      <c r="N423" s="2">
        <v>0</v>
      </c>
      <c r="O423" s="2">
        <f t="shared" si="68"/>
        <v>530515498.50980151</v>
      </c>
      <c r="P423" s="2">
        <v>0</v>
      </c>
      <c r="Q423" s="2">
        <v>0</v>
      </c>
      <c r="R423" s="2">
        <f t="shared" si="77"/>
        <v>431224.43492054939</v>
      </c>
      <c r="S423" s="2">
        <f t="shared" si="70"/>
        <v>6848616.2414160371</v>
      </c>
      <c r="T423" s="2">
        <f t="shared" si="71"/>
        <v>10209727.410985634</v>
      </c>
      <c r="U423" s="11">
        <f t="shared" si="74"/>
        <v>1.1676831116724331</v>
      </c>
      <c r="V423" s="12">
        <f t="shared" si="75"/>
        <v>8.1350165626603577E-4</v>
      </c>
      <c r="W423" s="12">
        <f t="shared" si="72"/>
        <v>1.3078192403059186E-2</v>
      </c>
      <c r="X423" s="12">
        <f t="shared" si="73"/>
        <v>1.9670432403191995E-2</v>
      </c>
      <c r="Y423" s="5">
        <f t="shared" si="76"/>
        <v>0.1676831116724331</v>
      </c>
      <c r="Z423" s="19">
        <f t="shared" si="67"/>
        <v>5.7002998052142928E-2</v>
      </c>
      <c r="AA423" s="19">
        <f t="shared" si="66"/>
        <v>0.10105846285487163</v>
      </c>
      <c r="AB423" s="19" t="s">
        <v>53</v>
      </c>
    </row>
    <row r="424" spans="1:28" x14ac:dyDescent="0.25">
      <c r="A424" s="1">
        <v>45713</v>
      </c>
      <c r="B424" s="1" t="str">
        <f t="shared" si="69"/>
        <v>202502</v>
      </c>
      <c r="C424" s="2">
        <v>0</v>
      </c>
      <c r="D424" s="2">
        <v>0</v>
      </c>
      <c r="E424" s="2">
        <v>0</v>
      </c>
      <c r="F424" s="2">
        <f>F423*(1+((1+VLOOKUP($B424,'IPCA Hist'!$B:$C,2,0))^12 - 1)+$F$2)^(1/252)</f>
        <v>45661234.953494385</v>
      </c>
      <c r="G424" s="2">
        <f>G423*(1+((1+VLOOKUP($B424,'IPCA Hist'!$B:$C,2,0))^12 - 1)+$G$2)^(1/252)</f>
        <v>45647548.839063913</v>
      </c>
      <c r="H424" s="2">
        <f>H423*(1+((1+VLOOKUP($B424,'IPCA Hist'!$B:$C,2,0))^12 - 1)+$H$2)^(1/252)</f>
        <v>46658147.106522165</v>
      </c>
      <c r="I424" s="2">
        <f>I423*(1+((1+VLOOKUP($B424,'IPCA Hist'!$B:$C,2,0))^12 - 1)+$I$2)^(1/252)</f>
        <v>235648773.1554952</v>
      </c>
      <c r="J424" s="2">
        <f>J423*(1+((1+VLOOKUP($B424,'IPCA Hist'!$B:$C,2,0))^12 - 1)+$J$2)^(1/252)</f>
        <v>20678011.852216937</v>
      </c>
      <c r="K424" s="2">
        <f>K423*(1+((1+VLOOKUP($B424,'IPCA Hist'!$B:$C,2,0))^12 - 1)+$K$2)^(1/252)</f>
        <v>80055766.364791647</v>
      </c>
      <c r="L424" s="2">
        <f>L423*(1+((1+VLOOKUP($B424,'IPCA Hist'!$B:$C,2,0))^12 - 1)+$L$2)^(1/252)</f>
        <v>42147959.989288993</v>
      </c>
      <c r="M424" s="2">
        <f>M423*(1+((1+VLOOKUP($B424,'IPCA Hist'!$B:$C,2,0))^12 - 1)+$M$2)^(1/252)</f>
        <v>14449632.291076036</v>
      </c>
      <c r="N424" s="2">
        <v>0</v>
      </c>
      <c r="O424" s="2">
        <f t="shared" si="68"/>
        <v>530947074.55194932</v>
      </c>
      <c r="P424" s="2">
        <v>0</v>
      </c>
      <c r="Q424" s="2">
        <v>0</v>
      </c>
      <c r="R424" s="2">
        <f t="shared" si="77"/>
        <v>431576.04214781523</v>
      </c>
      <c r="S424" s="2">
        <f t="shared" si="70"/>
        <v>7280192.2835638523</v>
      </c>
      <c r="T424" s="2">
        <f t="shared" si="71"/>
        <v>10641303.453133449</v>
      </c>
      <c r="U424" s="11">
        <f t="shared" si="74"/>
        <v>1.1686330255905635</v>
      </c>
      <c r="V424" s="12">
        <f t="shared" si="75"/>
        <v>8.1350317447848042E-4</v>
      </c>
      <c r="W424" s="12">
        <f t="shared" si="72"/>
        <v>1.3902334728574051E-2</v>
      </c>
      <c r="X424" s="12">
        <f t="shared" si="73"/>
        <v>2.0499937536873736E-2</v>
      </c>
      <c r="Y424" s="5">
        <f t="shared" si="76"/>
        <v>0.16863302559056348</v>
      </c>
      <c r="Z424" s="19">
        <f t="shared" si="67"/>
        <v>5.7661702492618927E-2</v>
      </c>
      <c r="AA424" s="19">
        <f t="shared" si="66"/>
        <v>0.1013239183846133</v>
      </c>
      <c r="AB424" s="19" t="s">
        <v>53</v>
      </c>
    </row>
    <row r="425" spans="1:28" x14ac:dyDescent="0.25">
      <c r="A425" s="1">
        <v>45714</v>
      </c>
      <c r="B425" s="1" t="str">
        <f t="shared" si="69"/>
        <v>202502</v>
      </c>
      <c r="C425" s="2">
        <v>0</v>
      </c>
      <c r="D425" s="2">
        <v>0</v>
      </c>
      <c r="E425" s="2">
        <v>0</v>
      </c>
      <c r="F425" s="2">
        <f>F424*(1+((1+VLOOKUP($B425,'IPCA Hist'!$B:$C,2,0))^12 - 1)+$F$2)^(1/252)</f>
        <v>45697387.868170105</v>
      </c>
      <c r="G425" s="2">
        <f>G424*(1+((1+VLOOKUP($B425,'IPCA Hist'!$B:$C,2,0))^12 - 1)+$G$2)^(1/252)</f>
        <v>45683705.767513573</v>
      </c>
      <c r="H425" s="2">
        <f>H424*(1+((1+VLOOKUP($B425,'IPCA Hist'!$B:$C,2,0))^12 - 1)+$H$2)^(1/252)</f>
        <v>46694922.292596795</v>
      </c>
      <c r="I425" s="2">
        <f>I424*(1+((1+VLOOKUP($B425,'IPCA Hist'!$B:$C,2,0))^12 - 1)+$I$2)^(1/252)</f>
        <v>235834430.91664672</v>
      </c>
      <c r="J425" s="2">
        <f>J424*(1+((1+VLOOKUP($B425,'IPCA Hist'!$B:$C,2,0))^12 - 1)+$J$2)^(1/252)</f>
        <v>20695207.274469979</v>
      </c>
      <c r="K425" s="2">
        <f>K424*(1+((1+VLOOKUP($B425,'IPCA Hist'!$B:$C,2,0))^12 - 1)+$K$2)^(1/252)</f>
        <v>80126107.33049196</v>
      </c>
      <c r="L425" s="2">
        <f>L424*(1+((1+VLOOKUP($B425,'IPCA Hist'!$B:$C,2,0))^12 - 1)+$L$2)^(1/252)</f>
        <v>42185115.3223079</v>
      </c>
      <c r="M425" s="2">
        <f>M424*(1+((1+VLOOKUP($B425,'IPCA Hist'!$B:$C,2,0))^12 - 1)+$M$2)^(1/252)</f>
        <v>14462125.716502408</v>
      </c>
      <c r="N425" s="2">
        <v>0</v>
      </c>
      <c r="O425" s="2">
        <f t="shared" si="68"/>
        <v>531379002.48869944</v>
      </c>
      <c r="P425" s="2">
        <v>0</v>
      </c>
      <c r="Q425" s="2">
        <v>0</v>
      </c>
      <c r="R425" s="2">
        <f t="shared" si="77"/>
        <v>431927.93675011396</v>
      </c>
      <c r="S425" s="2">
        <f t="shared" si="70"/>
        <v>7712120.2203139663</v>
      </c>
      <c r="T425" s="2">
        <f t="shared" si="71"/>
        <v>11073231.389883563</v>
      </c>
      <c r="U425" s="11">
        <f t="shared" si="74"/>
        <v>1.1695837140409846</v>
      </c>
      <c r="V425" s="12">
        <f t="shared" si="75"/>
        <v>8.1350469275043302E-4</v>
      </c>
      <c r="W425" s="12">
        <f t="shared" si="72"/>
        <v>1.4727149035866471E-2</v>
      </c>
      <c r="X425" s="12">
        <f t="shared" si="73"/>
        <v>2.1330119025011474E-2</v>
      </c>
      <c r="Y425" s="5">
        <f t="shared" si="76"/>
        <v>0.1695837140409846</v>
      </c>
      <c r="Z425" s="19">
        <f t="shared" si="67"/>
        <v>5.8320818898180304E-2</v>
      </c>
      <c r="AA425" s="19">
        <f t="shared" si="66"/>
        <v>0.10158943958083566</v>
      </c>
      <c r="AB425" s="19" t="s">
        <v>53</v>
      </c>
    </row>
    <row r="426" spans="1:28" x14ac:dyDescent="0.25">
      <c r="A426" s="1">
        <v>45715</v>
      </c>
      <c r="B426" s="1" t="str">
        <f t="shared" si="69"/>
        <v>202502</v>
      </c>
      <c r="C426" s="2">
        <v>0</v>
      </c>
      <c r="D426" s="2">
        <v>0</v>
      </c>
      <c r="E426" s="2">
        <v>0</v>
      </c>
      <c r="F426" s="2">
        <f>F425*(1+((1+VLOOKUP($B426,'IPCA Hist'!$B:$C,2,0))^12 - 1)+$F$2)^(1/252)</f>
        <v>45733569.407416336</v>
      </c>
      <c r="G426" s="2">
        <f>G425*(1+((1+VLOOKUP($B426,'IPCA Hist'!$B:$C,2,0))^12 - 1)+$G$2)^(1/252)</f>
        <v>45719891.335474186</v>
      </c>
      <c r="H426" s="2">
        <f>H425*(1+((1+VLOOKUP($B426,'IPCA Hist'!$B:$C,2,0))^12 - 1)+$H$2)^(1/252)</f>
        <v>46731726.46426975</v>
      </c>
      <c r="I426" s="2">
        <f>I425*(1+((1+VLOOKUP($B426,'IPCA Hist'!$B:$C,2,0))^12 - 1)+$I$2)^(1/252)</f>
        <v>236020234.94974276</v>
      </c>
      <c r="J426" s="2">
        <f>J425*(1+((1+VLOOKUP($B426,'IPCA Hist'!$B:$C,2,0))^12 - 1)+$J$2)^(1/252)</f>
        <v>20712416.996093221</v>
      </c>
      <c r="K426" s="2">
        <f>K425*(1+((1+VLOOKUP($B426,'IPCA Hist'!$B:$C,2,0))^12 - 1)+$K$2)^(1/252)</f>
        <v>80196510.101252437</v>
      </c>
      <c r="L426" s="2">
        <f>L425*(1+((1+VLOOKUP($B426,'IPCA Hist'!$B:$C,2,0))^12 - 1)+$L$2)^(1/252)</f>
        <v>42222303.409433343</v>
      </c>
      <c r="M426" s="2">
        <f>M425*(1+((1+VLOOKUP($B426,'IPCA Hist'!$B:$C,2,0))^12 - 1)+$M$2)^(1/252)</f>
        <v>14474629.943980744</v>
      </c>
      <c r="N426" s="2">
        <v>0</v>
      </c>
      <c r="O426" s="2">
        <f t="shared" si="68"/>
        <v>531811282.6076628</v>
      </c>
      <c r="P426" s="2">
        <v>0</v>
      </c>
      <c r="Q426" s="2">
        <v>0</v>
      </c>
      <c r="R426" s="2">
        <f t="shared" si="77"/>
        <v>432280.11896336079</v>
      </c>
      <c r="S426" s="2">
        <f t="shared" si="70"/>
        <v>8144400.3392773271</v>
      </c>
      <c r="T426" s="2">
        <f t="shared" si="71"/>
        <v>11505511.508846924</v>
      </c>
      <c r="U426" s="11">
        <f t="shared" si="74"/>
        <v>1.1705351776567379</v>
      </c>
      <c r="V426" s="12">
        <f t="shared" si="75"/>
        <v>8.1350621108255972E-4</v>
      </c>
      <c r="W426" s="12">
        <f t="shared" si="72"/>
        <v>1.5552635874161336E-2</v>
      </c>
      <c r="X426" s="12">
        <f t="shared" si="73"/>
        <v>2.2160977420403905E-2</v>
      </c>
      <c r="Y426" s="5">
        <f t="shared" si="76"/>
        <v>0.17053517765673787</v>
      </c>
      <c r="Z426" s="19">
        <f t="shared" si="67"/>
        <v>5.8980347527449073E-2</v>
      </c>
      <c r="AA426" s="19">
        <f t="shared" si="66"/>
        <v>0.10218890106919742</v>
      </c>
      <c r="AB426" s="19" t="s">
        <v>53</v>
      </c>
    </row>
    <row r="427" spans="1:28" x14ac:dyDescent="0.25">
      <c r="A427" s="1">
        <v>45716</v>
      </c>
      <c r="B427" s="1" t="str">
        <f t="shared" si="69"/>
        <v>202502</v>
      </c>
      <c r="C427" s="2">
        <v>0</v>
      </c>
      <c r="D427" s="2">
        <v>0</v>
      </c>
      <c r="E427" s="2">
        <v>0</v>
      </c>
      <c r="F427" s="2">
        <f>F426*(1+((1+VLOOKUP($B427,'IPCA Hist'!$B:$C,2,0))^12 - 1)+$F$2)^(1/252)</f>
        <v>45769779.593896978</v>
      </c>
      <c r="G427" s="2">
        <f>G426*(1+((1+VLOOKUP($B427,'IPCA Hist'!$B:$C,2,0))^12 - 1)+$G$2)^(1/252)</f>
        <v>45756105.565630801</v>
      </c>
      <c r="H427" s="2">
        <f>H426*(1+((1+VLOOKUP($B427,'IPCA Hist'!$B:$C,2,0))^12 - 1)+$H$2)^(1/252)</f>
        <v>46768559.644387014</v>
      </c>
      <c r="I427" s="2">
        <f>I426*(1+((1+VLOOKUP($B427,'IPCA Hist'!$B:$C,2,0))^12 - 1)+$I$2)^(1/252)</f>
        <v>236206185.37002486</v>
      </c>
      <c r="J427" s="2">
        <f>J426*(1+((1+VLOOKUP($B427,'IPCA Hist'!$B:$C,2,0))^12 - 1)+$J$2)^(1/252)</f>
        <v>20729641.028977733</v>
      </c>
      <c r="K427" s="2">
        <f>K426*(1+((1+VLOOKUP($B427,'IPCA Hist'!$B:$C,2,0))^12 - 1)+$K$2)^(1/252)</f>
        <v>80266974.731378049</v>
      </c>
      <c r="L427" s="2">
        <f>L426*(1+((1+VLOOKUP($B427,'IPCA Hist'!$B:$C,2,0))^12 - 1)+$L$2)^(1/252)</f>
        <v>42259524.27953954</v>
      </c>
      <c r="M427" s="2">
        <f>M426*(1+((1+VLOOKUP($B427,'IPCA Hist'!$B:$C,2,0))^12 - 1)+$M$2)^(1/252)</f>
        <v>14487144.982850704</v>
      </c>
      <c r="N427" s="2">
        <v>0</v>
      </c>
      <c r="O427" s="2">
        <f t="shared" si="68"/>
        <v>532243915.19668567</v>
      </c>
      <c r="P427" s="2">
        <v>0</v>
      </c>
      <c r="Q427" s="2">
        <v>0</v>
      </c>
      <c r="R427" s="2">
        <f t="shared" si="77"/>
        <v>432632.58902287483</v>
      </c>
      <c r="S427" s="2">
        <f t="shared" si="70"/>
        <v>8577032.9283002019</v>
      </c>
      <c r="T427" s="2">
        <f t="shared" si="71"/>
        <v>11938144.097869799</v>
      </c>
      <c r="U427" s="11">
        <f t="shared" si="74"/>
        <v>1.1714874170713832</v>
      </c>
      <c r="V427" s="12">
        <f t="shared" si="75"/>
        <v>8.1350772947419436E-4</v>
      </c>
      <c r="W427" s="12">
        <f t="shared" si="72"/>
        <v>1.637879579313295E-2</v>
      </c>
      <c r="X427" s="12">
        <f t="shared" si="73"/>
        <v>2.2992513276302251E-2</v>
      </c>
      <c r="Y427" s="5">
        <f t="shared" si="76"/>
        <v>0.17148741707138315</v>
      </c>
      <c r="Z427" s="19">
        <f t="shared" si="67"/>
        <v>5.9640288639210448E-2</v>
      </c>
      <c r="AA427" s="19">
        <f t="shared" si="66"/>
        <v>0.10278869044054506</v>
      </c>
      <c r="AB427" s="19" t="s">
        <v>53</v>
      </c>
    </row>
    <row r="428" spans="1:28" x14ac:dyDescent="0.25">
      <c r="A428" s="1">
        <v>45721</v>
      </c>
      <c r="B428" s="1" t="str">
        <f t="shared" si="69"/>
        <v>202503</v>
      </c>
      <c r="C428" s="2">
        <v>0</v>
      </c>
      <c r="D428" s="2">
        <v>0</v>
      </c>
      <c r="E428" s="2">
        <v>0</v>
      </c>
      <c r="F428" s="2">
        <f>F427*(1+((1+VLOOKUP($B428,'IPCA Hist'!$B:$C,2,0))^12 - 1)+$F$2)^(1/252)</f>
        <v>45790529.657720283</v>
      </c>
      <c r="G428" s="2">
        <f>G427*(1+((1+VLOOKUP($B428,'IPCA Hist'!$B:$C,2,0))^12 - 1)+$G$2)^(1/252)</f>
        <v>45776865.634183146</v>
      </c>
      <c r="H428" s="2">
        <f>H427*(1+((1+VLOOKUP($B428,'IPCA Hist'!$B:$C,2,0))^12 - 1)+$H$2)^(1/252)</f>
        <v>46789580.227779098</v>
      </c>
      <c r="I428" s="2">
        <f>I427*(1+((1+VLOOKUP($B428,'IPCA Hist'!$B:$C,2,0))^12 - 1)+$I$2)^(1/252)</f>
        <v>236312266.79556254</v>
      </c>
      <c r="J428" s="2">
        <f>J427*(1+((1+VLOOKUP($B428,'IPCA Hist'!$B:$C,2,0))^12 - 1)+$J$2)^(1/252)</f>
        <v>20739937.065041393</v>
      </c>
      <c r="K428" s="2">
        <f>K427*(1+((1+VLOOKUP($B428,'IPCA Hist'!$B:$C,2,0))^12 - 1)+$K$2)^(1/252)</f>
        <v>80310948.971789494</v>
      </c>
      <c r="L428" s="2">
        <f>L427*(1+((1+VLOOKUP($B428,'IPCA Hist'!$B:$C,2,0))^12 - 1)+$L$2)^(1/252)</f>
        <v>42282809.099142969</v>
      </c>
      <c r="M428" s="2">
        <f>M427*(1+((1+VLOOKUP($B428,'IPCA Hist'!$B:$C,2,0))^12 - 1)+$M$2)^(1/252)</f>
        <v>14494860.878648711</v>
      </c>
      <c r="N428" s="2">
        <v>0</v>
      </c>
      <c r="O428" s="2">
        <f t="shared" si="68"/>
        <v>532497798.3298676</v>
      </c>
      <c r="P428" s="2">
        <v>0</v>
      </c>
      <c r="Q428" s="2">
        <v>0</v>
      </c>
      <c r="R428" s="2">
        <f t="shared" si="77"/>
        <v>253883.13318192959</v>
      </c>
      <c r="S428" s="2">
        <f t="shared" si="70"/>
        <v>253883.13318192959</v>
      </c>
      <c r="T428" s="2">
        <f t="shared" si="71"/>
        <v>12192027.231051728</v>
      </c>
      <c r="U428" s="11">
        <f t="shared" si="74"/>
        <v>1.1720462227006019</v>
      </c>
      <c r="V428" s="12">
        <f t="shared" si="75"/>
        <v>4.7700523375282522E-4</v>
      </c>
      <c r="W428" s="12">
        <f t="shared" si="72"/>
        <v>4.7700523375282522E-4</v>
      </c>
      <c r="X428" s="12">
        <f t="shared" si="73"/>
        <v>2.3480486059225036E-2</v>
      </c>
      <c r="Y428" s="5">
        <f t="shared" si="76"/>
        <v>0.17204622270060188</v>
      </c>
      <c r="Z428" s="19">
        <f t="shared" si="67"/>
        <v>5.972354602095753E-2</v>
      </c>
      <c r="AA428" s="19">
        <f t="shared" si="66"/>
        <v>0.10301781491834561</v>
      </c>
      <c r="AB428" s="19" t="s">
        <v>53</v>
      </c>
    </row>
    <row r="429" spans="1:28" x14ac:dyDescent="0.25">
      <c r="A429" s="1">
        <v>45722</v>
      </c>
      <c r="B429" s="1" t="str">
        <f t="shared" si="69"/>
        <v>202503</v>
      </c>
      <c r="C429" s="2">
        <v>0</v>
      </c>
      <c r="D429" s="2">
        <v>0</v>
      </c>
      <c r="E429" s="2">
        <v>0</v>
      </c>
      <c r="F429" s="2">
        <f>F428*(1+((1+VLOOKUP($B429,'IPCA Hist'!$B:$C,2,0))^12 - 1)+$F$2)^(1/252)</f>
        <v>45811289.128736548</v>
      </c>
      <c r="G429" s="2">
        <f>G428*(1+((1+VLOOKUP($B429,'IPCA Hist'!$B:$C,2,0))^12 - 1)+$G$2)^(1/252)</f>
        <v>45797635.121816091</v>
      </c>
      <c r="H429" s="2">
        <f>H428*(1+((1+VLOOKUP($B429,'IPCA Hist'!$B:$C,2,0))^12 - 1)+$H$2)^(1/252)</f>
        <v>46810610.259076558</v>
      </c>
      <c r="I429" s="2">
        <f>I428*(1+((1+VLOOKUP($B429,'IPCA Hist'!$B:$C,2,0))^12 - 1)+$I$2)^(1/252)</f>
        <v>236418395.86281976</v>
      </c>
      <c r="J429" s="2">
        <f>J428*(1+((1+VLOOKUP($B429,'IPCA Hist'!$B:$C,2,0))^12 - 1)+$J$2)^(1/252)</f>
        <v>20750238.2149591</v>
      </c>
      <c r="K429" s="2">
        <f>K428*(1+((1+VLOOKUP($B429,'IPCA Hist'!$B:$C,2,0))^12 - 1)+$K$2)^(1/252)</f>
        <v>80354947.303476661</v>
      </c>
      <c r="L429" s="2">
        <f>L428*(1+((1+VLOOKUP($B429,'IPCA Hist'!$B:$C,2,0))^12 - 1)+$L$2)^(1/252)</f>
        <v>42306106.748583764</v>
      </c>
      <c r="M429" s="2">
        <f>M428*(1+((1+VLOOKUP($B429,'IPCA Hist'!$B:$C,2,0))^12 - 1)+$M$2)^(1/252)</f>
        <v>14502580.883955393</v>
      </c>
      <c r="N429" s="2">
        <v>0</v>
      </c>
      <c r="O429" s="2">
        <f t="shared" si="68"/>
        <v>532751803.52342385</v>
      </c>
      <c r="P429" s="2">
        <v>0</v>
      </c>
      <c r="Q429" s="2">
        <v>0</v>
      </c>
      <c r="R429" s="2">
        <f t="shared" si="77"/>
        <v>254005.19355624914</v>
      </c>
      <c r="S429" s="2">
        <f t="shared" si="70"/>
        <v>507888.32673817873</v>
      </c>
      <c r="T429" s="2">
        <f t="shared" si="71"/>
        <v>12446032.424607977</v>
      </c>
      <c r="U429" s="11">
        <f t="shared" si="74"/>
        <v>1.1726052969889607</v>
      </c>
      <c r="V429" s="12">
        <f t="shared" si="75"/>
        <v>4.770070305508689E-4</v>
      </c>
      <c r="W429" s="12">
        <f t="shared" si="72"/>
        <v>9.5423979915376655E-4</v>
      </c>
      <c r="X429" s="12">
        <f t="shared" si="73"/>
        <v>2.3968693446706935E-2</v>
      </c>
      <c r="Y429" s="5">
        <f t="shared" si="76"/>
        <v>0.17260529698896065</v>
      </c>
      <c r="Z429" s="19">
        <f t="shared" si="67"/>
        <v>5.9806811727981746E-2</v>
      </c>
      <c r="AA429" s="19">
        <f t="shared" si="66"/>
        <v>0.10324698897802298</v>
      </c>
      <c r="AB429" s="19" t="s">
        <v>53</v>
      </c>
    </row>
    <row r="430" spans="1:28" x14ac:dyDescent="0.25">
      <c r="A430" s="1">
        <v>45723</v>
      </c>
      <c r="B430" s="1" t="str">
        <f t="shared" si="69"/>
        <v>202503</v>
      </c>
      <c r="C430" s="2">
        <v>0</v>
      </c>
      <c r="D430" s="2">
        <v>0</v>
      </c>
      <c r="E430" s="2">
        <v>0</v>
      </c>
      <c r="F430" s="2">
        <f>F429*(1+((1+VLOOKUP($B430,'IPCA Hist'!$B:$C,2,0))^12 - 1)+$F$2)^(1/252)</f>
        <v>45832058.011210606</v>
      </c>
      <c r="G430" s="2">
        <f>G429*(1+((1+VLOOKUP($B430,'IPCA Hist'!$B:$C,2,0))^12 - 1)+$G$2)^(1/252)</f>
        <v>45818414.032803178</v>
      </c>
      <c r="H430" s="2">
        <f>H429*(1+((1+VLOOKUP($B430,'IPCA Hist'!$B:$C,2,0))^12 - 1)+$H$2)^(1/252)</f>
        <v>46831649.742525853</v>
      </c>
      <c r="I430" s="2">
        <f>I429*(1+((1+VLOOKUP($B430,'IPCA Hist'!$B:$C,2,0))^12 - 1)+$I$2)^(1/252)</f>
        <v>236524572.5931927</v>
      </c>
      <c r="J430" s="2">
        <f>J429*(1+((1+VLOOKUP($B430,'IPCA Hist'!$B:$C,2,0))^12 - 1)+$J$2)^(1/252)</f>
        <v>20760544.481270809</v>
      </c>
      <c r="K430" s="2">
        <f>K429*(1+((1+VLOOKUP($B430,'IPCA Hist'!$B:$C,2,0))^12 - 1)+$K$2)^(1/252)</f>
        <v>80398969.739637941</v>
      </c>
      <c r="L430" s="2">
        <f>L429*(1+((1+VLOOKUP($B430,'IPCA Hist'!$B:$C,2,0))^12 - 1)+$L$2)^(1/252)</f>
        <v>42329417.234931119</v>
      </c>
      <c r="M430" s="2">
        <f>M429*(1+((1+VLOOKUP($B430,'IPCA Hist'!$B:$C,2,0))^12 - 1)+$M$2)^(1/252)</f>
        <v>14510305.000959484</v>
      </c>
      <c r="N430" s="2">
        <v>0</v>
      </c>
      <c r="O430" s="2">
        <f t="shared" si="68"/>
        <v>533005930.8365317</v>
      </c>
      <c r="P430" s="2">
        <v>0</v>
      </c>
      <c r="Q430" s="2">
        <v>0</v>
      </c>
      <c r="R430" s="2">
        <f t="shared" si="77"/>
        <v>254127.31310784817</v>
      </c>
      <c r="S430" s="2">
        <f t="shared" si="70"/>
        <v>762015.6398460269</v>
      </c>
      <c r="T430" s="2">
        <f t="shared" si="71"/>
        <v>12700159.737715825</v>
      </c>
      <c r="U430" s="11">
        <f t="shared" si="74"/>
        <v>1.1731646400667111</v>
      </c>
      <c r="V430" s="12">
        <f t="shared" si="75"/>
        <v>4.7700882742618411E-4</v>
      </c>
      <c r="W430" s="12">
        <f t="shared" si="72"/>
        <v>1.4317038073876631E-3</v>
      </c>
      <c r="X430" s="12">
        <f t="shared" si="73"/>
        <v>2.4457135552488962E-2</v>
      </c>
      <c r="Y430" s="5">
        <f t="shared" si="76"/>
        <v>0.17316464006671106</v>
      </c>
      <c r="Z430" s="19">
        <f t="shared" si="67"/>
        <v>5.9890085761294953E-2</v>
      </c>
      <c r="AA430" s="19">
        <f t="shared" si="66"/>
        <v>0.1034762126307851</v>
      </c>
      <c r="AB430" s="19" t="s">
        <v>53</v>
      </c>
    </row>
    <row r="431" spans="1:28" x14ac:dyDescent="0.25">
      <c r="A431" s="1">
        <v>45726</v>
      </c>
      <c r="B431" s="1" t="str">
        <f t="shared" si="69"/>
        <v>202503</v>
      </c>
      <c r="C431" s="2">
        <v>0</v>
      </c>
      <c r="D431" s="2">
        <v>0</v>
      </c>
      <c r="E431" s="2">
        <v>0</v>
      </c>
      <c r="F431" s="2">
        <f>F430*(1+((1+VLOOKUP($B431,'IPCA Hist'!$B:$C,2,0))^12 - 1)+$F$2)^(1/252)</f>
        <v>45852836.309409201</v>
      </c>
      <c r="G431" s="2">
        <f>G430*(1+((1+VLOOKUP($B431,'IPCA Hist'!$B:$C,2,0))^12 - 1)+$G$2)^(1/252)</f>
        <v>45839202.371419899</v>
      </c>
      <c r="H431" s="2">
        <f>H430*(1+((1+VLOOKUP($B431,'IPCA Hist'!$B:$C,2,0))^12 - 1)+$H$2)^(1/252)</f>
        <v>46852698.682375334</v>
      </c>
      <c r="I431" s="2">
        <f>I430*(1+((1+VLOOKUP($B431,'IPCA Hist'!$B:$C,2,0))^12 - 1)+$I$2)^(1/252)</f>
        <v>236630797.0080871</v>
      </c>
      <c r="J431" s="2">
        <f>J430*(1+((1+VLOOKUP($B431,'IPCA Hist'!$B:$C,2,0))^12 - 1)+$J$2)^(1/252)</f>
        <v>20770855.866517741</v>
      </c>
      <c r="K431" s="2">
        <f>K430*(1+((1+VLOOKUP($B431,'IPCA Hist'!$B:$C,2,0))^12 - 1)+$K$2)^(1/252)</f>
        <v>80443016.293478981</v>
      </c>
      <c r="L431" s="2">
        <f>L430*(1+((1+VLOOKUP($B431,'IPCA Hist'!$B:$C,2,0))^12 - 1)+$L$2)^(1/252)</f>
        <v>42352740.565258116</v>
      </c>
      <c r="M431" s="2">
        <f>M430*(1+((1+VLOOKUP($B431,'IPCA Hist'!$B:$C,2,0))^12 - 1)+$M$2)^(1/252)</f>
        <v>14518033.231850887</v>
      </c>
      <c r="N431" s="2">
        <v>0</v>
      </c>
      <c r="O431" s="2">
        <f t="shared" si="68"/>
        <v>533260180.32839715</v>
      </c>
      <c r="P431" s="2">
        <v>0</v>
      </c>
      <c r="Q431" s="2">
        <v>0</v>
      </c>
      <c r="R431" s="2">
        <f t="shared" si="77"/>
        <v>254249.4918654561</v>
      </c>
      <c r="S431" s="2">
        <f t="shared" si="70"/>
        <v>1016265.131711483</v>
      </c>
      <c r="T431" s="2">
        <f t="shared" si="71"/>
        <v>12954409.229581282</v>
      </c>
      <c r="U431" s="11">
        <f t="shared" si="74"/>
        <v>1.1737242520641673</v>
      </c>
      <c r="V431" s="12">
        <f t="shared" si="75"/>
        <v>4.7701062437788266E-4</v>
      </c>
      <c r="W431" s="12">
        <f t="shared" si="72"/>
        <v>1.9093973696926447E-3</v>
      </c>
      <c r="X431" s="12">
        <f t="shared" si="73"/>
        <v>2.4945812490367203E-2</v>
      </c>
      <c r="Y431" s="5">
        <f t="shared" si="76"/>
        <v>0.17372425206416731</v>
      </c>
      <c r="Z431" s="19">
        <f t="shared" si="67"/>
        <v>5.9973368121907233E-2</v>
      </c>
      <c r="AA431" s="19">
        <f t="shared" si="66"/>
        <v>0.10370548588784279</v>
      </c>
      <c r="AB431" s="19" t="s">
        <v>53</v>
      </c>
    </row>
    <row r="432" spans="1:28" x14ac:dyDescent="0.25">
      <c r="A432" s="1">
        <v>45727</v>
      </c>
      <c r="B432" s="1" t="str">
        <f t="shared" si="69"/>
        <v>202503</v>
      </c>
      <c r="C432" s="2">
        <v>0</v>
      </c>
      <c r="D432" s="2">
        <v>0</v>
      </c>
      <c r="E432" s="2">
        <v>0</v>
      </c>
      <c r="F432" s="2">
        <f>F431*(1+((1+VLOOKUP($B432,'IPCA Hist'!$B:$C,2,0))^12 - 1)+$F$2)^(1/252)</f>
        <v>45873624.027601019</v>
      </c>
      <c r="G432" s="2">
        <f>G431*(1+((1+VLOOKUP($B432,'IPCA Hist'!$B:$C,2,0))^12 - 1)+$G$2)^(1/252)</f>
        <v>45860000.141943671</v>
      </c>
      <c r="H432" s="2">
        <f>H431*(1+((1+VLOOKUP($B432,'IPCA Hist'!$B:$C,2,0))^12 - 1)+$H$2)^(1/252)</f>
        <v>46873757.082875282</v>
      </c>
      <c r="I432" s="2">
        <f>I431*(1+((1+VLOOKUP($B432,'IPCA Hist'!$B:$C,2,0))^12 - 1)+$I$2)^(1/252)</f>
        <v>236737069.12891835</v>
      </c>
      <c r="J432" s="2">
        <f>J431*(1+((1+VLOOKUP($B432,'IPCA Hist'!$B:$C,2,0))^12 - 1)+$J$2)^(1/252)</f>
        <v>20781172.373242378</v>
      </c>
      <c r="K432" s="2">
        <f>K431*(1+((1+VLOOKUP($B432,'IPCA Hist'!$B:$C,2,0))^12 - 1)+$K$2)^(1/252)</f>
        <v>80487086.97821264</v>
      </c>
      <c r="L432" s="2">
        <f>L431*(1+((1+VLOOKUP($B432,'IPCA Hist'!$B:$C,2,0))^12 - 1)+$L$2)^(1/252)</f>
        <v>42376076.746641733</v>
      </c>
      <c r="M432" s="2">
        <f>M431*(1+((1+VLOOKUP($B432,'IPCA Hist'!$B:$C,2,0))^12 - 1)+$M$2)^(1/252)</f>
        <v>14525765.57882067</v>
      </c>
      <c r="N432" s="2">
        <v>0</v>
      </c>
      <c r="O432" s="2">
        <f t="shared" si="68"/>
        <v>533514552.05825579</v>
      </c>
      <c r="P432" s="2">
        <v>0</v>
      </c>
      <c r="Q432" s="2">
        <v>0</v>
      </c>
      <c r="R432" s="2">
        <f t="shared" si="77"/>
        <v>254371.72985863686</v>
      </c>
      <c r="S432" s="2">
        <f t="shared" si="70"/>
        <v>1270636.8615701199</v>
      </c>
      <c r="T432" s="2">
        <f t="shared" si="71"/>
        <v>13208780.959439918</v>
      </c>
      <c r="U432" s="11">
        <f t="shared" si="74"/>
        <v>1.1742841331117091</v>
      </c>
      <c r="V432" s="12">
        <f t="shared" si="75"/>
        <v>4.7701242140751887E-4</v>
      </c>
      <c r="W432" s="12">
        <f t="shared" si="72"/>
        <v>2.3873205973630185E-3</v>
      </c>
      <c r="X432" s="12">
        <f t="shared" si="73"/>
        <v>2.5434724374194806E-2</v>
      </c>
      <c r="Y432" s="5">
        <f t="shared" si="76"/>
        <v>0.17428413311170909</v>
      </c>
      <c r="Z432" s="19">
        <f t="shared" si="67"/>
        <v>6.0056658810831554E-2</v>
      </c>
      <c r="AA432" s="19">
        <f t="shared" si="66"/>
        <v>0.10393480876041017</v>
      </c>
      <c r="AB432" s="19" t="s">
        <v>53</v>
      </c>
    </row>
    <row r="433" spans="1:28" x14ac:dyDescent="0.25">
      <c r="A433" s="1">
        <v>45728</v>
      </c>
      <c r="B433" s="1" t="str">
        <f t="shared" si="69"/>
        <v>202503</v>
      </c>
      <c r="C433" s="2">
        <v>0</v>
      </c>
      <c r="D433" s="2">
        <v>0</v>
      </c>
      <c r="E433" s="2">
        <v>0</v>
      </c>
      <c r="F433" s="2">
        <f>F432*(1+((1+VLOOKUP($B433,'IPCA Hist'!$B:$C,2,0))^12 - 1)+$F$2)^(1/252)</f>
        <v>45894421.170056686</v>
      </c>
      <c r="G433" s="2">
        <f>G432*(1+((1+VLOOKUP($B433,'IPCA Hist'!$B:$C,2,0))^12 - 1)+$G$2)^(1/252)</f>
        <v>45880807.34865386</v>
      </c>
      <c r="H433" s="2">
        <f>H432*(1+((1+VLOOKUP($B433,'IPCA Hist'!$B:$C,2,0))^12 - 1)+$H$2)^(1/252)</f>
        <v>46894824.948277868</v>
      </c>
      <c r="I433" s="2">
        <f>I432*(1+((1+VLOOKUP($B433,'IPCA Hist'!$B:$C,2,0))^12 - 1)+$I$2)^(1/252)</f>
        <v>236843388.97711143</v>
      </c>
      <c r="J433" s="2">
        <f>J432*(1+((1+VLOOKUP($B433,'IPCA Hist'!$B:$C,2,0))^12 - 1)+$J$2)^(1/252)</f>
        <v>20791494.003988467</v>
      </c>
      <c r="K433" s="2">
        <f>K432*(1+((1+VLOOKUP($B433,'IPCA Hist'!$B:$C,2,0))^12 - 1)+$K$2)^(1/252)</f>
        <v>80531181.80705902</v>
      </c>
      <c r="L433" s="2">
        <f>L432*(1+((1+VLOOKUP($B433,'IPCA Hist'!$B:$C,2,0))^12 - 1)+$L$2)^(1/252)</f>
        <v>42399425.786162846</v>
      </c>
      <c r="M433" s="2">
        <f>M432*(1+((1+VLOOKUP($B433,'IPCA Hist'!$B:$C,2,0))^12 - 1)+$M$2)^(1/252)</f>
        <v>14533502.04406107</v>
      </c>
      <c r="N433" s="2">
        <v>0</v>
      </c>
      <c r="O433" s="2">
        <f t="shared" si="68"/>
        <v>533769046.08537126</v>
      </c>
      <c r="P433" s="2">
        <v>0</v>
      </c>
      <c r="Q433" s="2">
        <v>0</v>
      </c>
      <c r="R433" s="2">
        <f t="shared" si="77"/>
        <v>254494.02711546421</v>
      </c>
      <c r="S433" s="2">
        <f t="shared" si="70"/>
        <v>1525130.8886855841</v>
      </c>
      <c r="T433" s="2">
        <f t="shared" si="71"/>
        <v>13463274.986555383</v>
      </c>
      <c r="U433" s="11">
        <f t="shared" si="74"/>
        <v>1.1748442833397776</v>
      </c>
      <c r="V433" s="12">
        <f t="shared" si="75"/>
        <v>4.7701421851309433E-4</v>
      </c>
      <c r="W433" s="12">
        <f t="shared" si="72"/>
        <v>2.865473601745272E-3</v>
      </c>
      <c r="X433" s="12">
        <f t="shared" si="73"/>
        <v>2.5923871317878433E-2</v>
      </c>
      <c r="Y433" s="5">
        <f t="shared" si="76"/>
        <v>0.17484428333977764</v>
      </c>
      <c r="Z433" s="19">
        <f t="shared" si="67"/>
        <v>6.0139957829077995E-2</v>
      </c>
      <c r="AA433" s="19">
        <f t="shared" si="66"/>
        <v>0.10416418125970139</v>
      </c>
      <c r="AB433" s="19" t="s">
        <v>53</v>
      </c>
    </row>
    <row r="434" spans="1:28" x14ac:dyDescent="0.25">
      <c r="A434" s="1">
        <v>45729</v>
      </c>
      <c r="B434" s="1" t="str">
        <f t="shared" si="69"/>
        <v>202503</v>
      </c>
      <c r="C434" s="2">
        <v>0</v>
      </c>
      <c r="D434" s="2">
        <v>0</v>
      </c>
      <c r="E434" s="2">
        <v>0</v>
      </c>
      <c r="F434" s="2">
        <f>F433*(1+((1+VLOOKUP($B434,'IPCA Hist'!$B:$C,2,0))^12 - 1)+$F$2)^(1/252)</f>
        <v>45915227.741048761</v>
      </c>
      <c r="G434" s="2">
        <f>G433*(1+((1+VLOOKUP($B434,'IPCA Hist'!$B:$C,2,0))^12 - 1)+$G$2)^(1/252)</f>
        <v>45901623.995831773</v>
      </c>
      <c r="H434" s="2">
        <f>H433*(1+((1+VLOOKUP($B434,'IPCA Hist'!$B:$C,2,0))^12 - 1)+$H$2)^(1/252)</f>
        <v>46915902.282837197</v>
      </c>
      <c r="I434" s="2">
        <f>I433*(1+((1+VLOOKUP($B434,'IPCA Hist'!$B:$C,2,0))^12 - 1)+$I$2)^(1/252)</f>
        <v>236949756.57410091</v>
      </c>
      <c r="J434" s="2">
        <f>J433*(1+((1+VLOOKUP($B434,'IPCA Hist'!$B:$C,2,0))^12 - 1)+$J$2)^(1/252)</f>
        <v>20801820.761301015</v>
      </c>
      <c r="K434" s="2">
        <f>K433*(1+((1+VLOOKUP($B434,'IPCA Hist'!$B:$C,2,0))^12 - 1)+$K$2)^(1/252)</f>
        <v>80575300.793245465</v>
      </c>
      <c r="L434" s="2">
        <f>L433*(1+((1+VLOOKUP($B434,'IPCA Hist'!$B:$C,2,0))^12 - 1)+$L$2)^(1/252)</f>
        <v>42422787.690906234</v>
      </c>
      <c r="M434" s="2">
        <f>M433*(1+((1+VLOOKUP($B434,'IPCA Hist'!$B:$C,2,0))^12 - 1)+$M$2)^(1/252)</f>
        <v>14541242.62976549</v>
      </c>
      <c r="N434" s="2">
        <v>0</v>
      </c>
      <c r="O434" s="2">
        <f t="shared" si="68"/>
        <v>534023662.46903688</v>
      </c>
      <c r="P434" s="2">
        <v>0</v>
      </c>
      <c r="Q434" s="2">
        <v>0</v>
      </c>
      <c r="R434" s="2">
        <f t="shared" si="77"/>
        <v>254616.38366562128</v>
      </c>
      <c r="S434" s="2">
        <f t="shared" si="70"/>
        <v>1779747.2723512053</v>
      </c>
      <c r="T434" s="2">
        <f t="shared" si="71"/>
        <v>13717891.370221004</v>
      </c>
      <c r="U434" s="11">
        <f t="shared" si="74"/>
        <v>1.1754047028788799</v>
      </c>
      <c r="V434" s="12">
        <f t="shared" si="75"/>
        <v>4.7701601569616336E-4</v>
      </c>
      <c r="W434" s="12">
        <f t="shared" si="72"/>
        <v>3.3438564942420701E-3</v>
      </c>
      <c r="X434" s="12">
        <f t="shared" si="73"/>
        <v>2.6413253435382034E-2</v>
      </c>
      <c r="Y434" s="5">
        <f t="shared" si="76"/>
        <v>0.17540470287887988</v>
      </c>
      <c r="Z434" s="19">
        <f t="shared" si="67"/>
        <v>6.0223265177658858E-2</v>
      </c>
      <c r="AA434" s="19">
        <f t="shared" si="66"/>
        <v>0.10439360339693615</v>
      </c>
      <c r="AB434" s="19" t="s">
        <v>53</v>
      </c>
    </row>
    <row r="435" spans="1:28" x14ac:dyDescent="0.25">
      <c r="A435" s="1">
        <v>45730</v>
      </c>
      <c r="B435" s="1" t="str">
        <f t="shared" si="69"/>
        <v>202503</v>
      </c>
      <c r="C435" s="2">
        <v>0</v>
      </c>
      <c r="D435" s="2">
        <v>0</v>
      </c>
      <c r="E435" s="2">
        <v>0</v>
      </c>
      <c r="F435" s="2">
        <f>F434*(1+((1+VLOOKUP($B435,'IPCA Hist'!$B:$C,2,0))^12 - 1)+$F$2)^(1/252)</f>
        <v>45936043.744851746</v>
      </c>
      <c r="G435" s="2">
        <f>G434*(1+((1+VLOOKUP($B435,'IPCA Hist'!$B:$C,2,0))^12 - 1)+$G$2)^(1/252)</f>
        <v>45922450.08776065</v>
      </c>
      <c r="H435" s="2">
        <f>H434*(1+((1+VLOOKUP($B435,'IPCA Hist'!$B:$C,2,0))^12 - 1)+$H$2)^(1/252)</f>
        <v>46936989.090809263</v>
      </c>
      <c r="I435" s="2">
        <f>I434*(1+((1+VLOOKUP($B435,'IPCA Hist'!$B:$C,2,0))^12 - 1)+$I$2)^(1/252)</f>
        <v>237056171.94133106</v>
      </c>
      <c r="J435" s="2">
        <f>J434*(1+((1+VLOOKUP($B435,'IPCA Hist'!$B:$C,2,0))^12 - 1)+$J$2)^(1/252)</f>
        <v>20812152.647726294</v>
      </c>
      <c r="K435" s="2">
        <f>K434*(1+((1+VLOOKUP($B435,'IPCA Hist'!$B:$C,2,0))^12 - 1)+$K$2)^(1/252)</f>
        <v>80619443.950006559</v>
      </c>
      <c r="L435" s="2">
        <f>L434*(1+((1+VLOOKUP($B435,'IPCA Hist'!$B:$C,2,0))^12 - 1)+$L$2)^(1/252)</f>
        <v>42446162.467960589</v>
      </c>
      <c r="M435" s="2">
        <f>M434*(1+((1+VLOOKUP($B435,'IPCA Hist'!$B:$C,2,0))^12 - 1)+$M$2)^(1/252)</f>
        <v>14548987.3381285</v>
      </c>
      <c r="N435" s="2">
        <v>0</v>
      </c>
      <c r="O435" s="2">
        <f t="shared" si="68"/>
        <v>534278401.26857466</v>
      </c>
      <c r="P435" s="2">
        <v>0</v>
      </c>
      <c r="Q435" s="2">
        <v>0</v>
      </c>
      <c r="R435" s="2">
        <f t="shared" si="77"/>
        <v>254738.7995377779</v>
      </c>
      <c r="S435" s="2">
        <f t="shared" si="70"/>
        <v>2034486.0718889832</v>
      </c>
      <c r="T435" s="2">
        <f t="shared" si="71"/>
        <v>13972630.169758782</v>
      </c>
      <c r="U435" s="11">
        <f t="shared" si="74"/>
        <v>1.1759653918595854</v>
      </c>
      <c r="V435" s="12">
        <f t="shared" si="75"/>
        <v>4.7701781295605983E-4</v>
      </c>
      <c r="W435" s="12">
        <f t="shared" si="72"/>
        <v>3.8224693863098125E-3</v>
      </c>
      <c r="X435" s="12">
        <f t="shared" si="73"/>
        <v>2.6902870840724846E-2</v>
      </c>
      <c r="Y435" s="5">
        <f t="shared" si="76"/>
        <v>0.17596539185958537</v>
      </c>
      <c r="Z435" s="19">
        <f t="shared" si="67"/>
        <v>6.0306580857585557E-2</v>
      </c>
      <c r="AA435" s="19">
        <f t="shared" si="66"/>
        <v>0.10462307518333569</v>
      </c>
      <c r="AB435" s="19" t="s">
        <v>53</v>
      </c>
    </row>
    <row r="436" spans="1:28" x14ac:dyDescent="0.25">
      <c r="A436" s="1">
        <v>45733</v>
      </c>
      <c r="B436" s="1" t="str">
        <f t="shared" si="69"/>
        <v>202503</v>
      </c>
      <c r="C436" s="2">
        <v>0</v>
      </c>
      <c r="D436" s="2">
        <v>0</v>
      </c>
      <c r="E436" s="2">
        <v>0</v>
      </c>
      <c r="F436" s="2">
        <f>F435*(1+((1+VLOOKUP($B436,'IPCA Hist'!$B:$C,2,0))^12 - 1)+$F$2)^(1/252)</f>
        <v>45956869.185742065</v>
      </c>
      <c r="G436" s="2">
        <f>G435*(1+((1+VLOOKUP($B436,'IPCA Hist'!$B:$C,2,0))^12 - 1)+$G$2)^(1/252)</f>
        <v>45943285.628725693</v>
      </c>
      <c r="H436" s="2">
        <f>H435*(1+((1+VLOOKUP($B436,'IPCA Hist'!$B:$C,2,0))^12 - 1)+$H$2)^(1/252)</f>
        <v>46958085.376451991</v>
      </c>
      <c r="I436" s="2">
        <f>I435*(1+((1+VLOOKUP($B436,'IPCA Hist'!$B:$C,2,0))^12 - 1)+$I$2)^(1/252)</f>
        <v>237162635.10025573</v>
      </c>
      <c r="J436" s="2">
        <f>J435*(1+((1+VLOOKUP($B436,'IPCA Hist'!$B:$C,2,0))^12 - 1)+$J$2)^(1/252)</f>
        <v>20822489.66581184</v>
      </c>
      <c r="K436" s="2">
        <f>K435*(1+((1+VLOOKUP($B436,'IPCA Hist'!$B:$C,2,0))^12 - 1)+$K$2)^(1/252)</f>
        <v>80663611.290584162</v>
      </c>
      <c r="L436" s="2">
        <f>L435*(1+((1+VLOOKUP($B436,'IPCA Hist'!$B:$C,2,0))^12 - 1)+$L$2)^(1/252)</f>
        <v>42469550.12441849</v>
      </c>
      <c r="M436" s="2">
        <f>M435*(1+((1+VLOOKUP($B436,'IPCA Hist'!$B:$C,2,0))^12 - 1)+$M$2)^(1/252)</f>
        <v>14556736.171345839</v>
      </c>
      <c r="N436" s="2">
        <v>0</v>
      </c>
      <c r="O436" s="2">
        <f t="shared" si="68"/>
        <v>534533262.5433358</v>
      </c>
      <c r="P436" s="2">
        <v>0</v>
      </c>
      <c r="Q436" s="2">
        <v>0</v>
      </c>
      <c r="R436" s="2">
        <f t="shared" si="77"/>
        <v>254861.27476114035</v>
      </c>
      <c r="S436" s="2">
        <f t="shared" si="70"/>
        <v>2289347.3466501236</v>
      </c>
      <c r="T436" s="2">
        <f t="shared" si="71"/>
        <v>14227491.444519922</v>
      </c>
      <c r="U436" s="11">
        <f t="shared" si="74"/>
        <v>1.1765263504125283</v>
      </c>
      <c r="V436" s="12">
        <f t="shared" si="75"/>
        <v>4.7701961029300577E-4</v>
      </c>
      <c r="W436" s="12">
        <f t="shared" si="72"/>
        <v>4.3013123894597438E-3</v>
      </c>
      <c r="X436" s="12">
        <f t="shared" si="73"/>
        <v>2.7392723647982065E-2</v>
      </c>
      <c r="Y436" s="5">
        <f t="shared" si="76"/>
        <v>0.17652635041252829</v>
      </c>
      <c r="Z436" s="19">
        <f t="shared" si="67"/>
        <v>6.0389904869870392E-2</v>
      </c>
      <c r="AA436" s="19">
        <f t="shared" si="66"/>
        <v>0.10485259663012347</v>
      </c>
      <c r="AB436" s="19" t="s">
        <v>53</v>
      </c>
    </row>
    <row r="437" spans="1:28" x14ac:dyDescent="0.25">
      <c r="A437" s="1">
        <v>45734</v>
      </c>
      <c r="B437" s="1" t="str">
        <f t="shared" si="69"/>
        <v>202503</v>
      </c>
      <c r="C437" s="2">
        <v>0</v>
      </c>
      <c r="D437" s="2">
        <v>0</v>
      </c>
      <c r="E437" s="2">
        <v>0</v>
      </c>
      <c r="F437" s="2">
        <f>F436*(1+((1+VLOOKUP($B437,'IPCA Hist'!$B:$C,2,0))^12 - 1)+$F$2)^(1/252)</f>
        <v>45977704.067998096</v>
      </c>
      <c r="G437" s="2">
        <f>G436*(1+((1+VLOOKUP($B437,'IPCA Hist'!$B:$C,2,0))^12 - 1)+$G$2)^(1/252)</f>
        <v>45964130.623014033</v>
      </c>
      <c r="H437" s="2">
        <f>H436*(1+((1+VLOOKUP($B437,'IPCA Hist'!$B:$C,2,0))^12 - 1)+$H$2)^(1/252)</f>
        <v>46979191.144025207</v>
      </c>
      <c r="I437" s="2">
        <f>I436*(1+((1+VLOOKUP($B437,'IPCA Hist'!$B:$C,2,0))^12 - 1)+$I$2)^(1/252)</f>
        <v>237269146.0723384</v>
      </c>
      <c r="J437" s="2">
        <f>J436*(1+((1+VLOOKUP($B437,'IPCA Hist'!$B:$C,2,0))^12 - 1)+$J$2)^(1/252)</f>
        <v>20832831.818106458</v>
      </c>
      <c r="K437" s="2">
        <f>K436*(1+((1+VLOOKUP($B437,'IPCA Hist'!$B:$C,2,0))^12 - 1)+$K$2)^(1/252)</f>
        <v>80707802.828227356</v>
      </c>
      <c r="L437" s="2">
        <f>L436*(1+((1+VLOOKUP($B437,'IPCA Hist'!$B:$C,2,0))^12 - 1)+$L$2)^(1/252)</f>
        <v>42492950.667376436</v>
      </c>
      <c r="M437" s="2">
        <f>M436*(1+((1+VLOOKUP($B437,'IPCA Hist'!$B:$C,2,0))^12 - 1)+$M$2)^(1/252)</f>
        <v>14564489.131614419</v>
      </c>
      <c r="N437" s="2">
        <v>0</v>
      </c>
      <c r="O437" s="2">
        <f t="shared" si="68"/>
        <v>534788246.35270047</v>
      </c>
      <c r="P437" s="2">
        <v>0</v>
      </c>
      <c r="Q437" s="2">
        <v>0</v>
      </c>
      <c r="R437" s="2">
        <f t="shared" si="77"/>
        <v>254983.80936467648</v>
      </c>
      <c r="S437" s="2">
        <f t="shared" si="70"/>
        <v>2544331.1560148001</v>
      </c>
      <c r="T437" s="2">
        <f t="shared" si="71"/>
        <v>14482475.253884599</v>
      </c>
      <c r="U437" s="11">
        <f t="shared" si="74"/>
        <v>1.1770875786684065</v>
      </c>
      <c r="V437" s="12">
        <f t="shared" si="75"/>
        <v>4.7702140770700119E-4</v>
      </c>
      <c r="W437" s="12">
        <f t="shared" si="72"/>
        <v>4.7803856152577318E-3</v>
      </c>
      <c r="X437" s="12">
        <f t="shared" si="73"/>
        <v>2.7882811971284616E-2</v>
      </c>
      <c r="Y437" s="5">
        <f t="shared" si="76"/>
        <v>0.17708757866840652</v>
      </c>
      <c r="Z437" s="19">
        <f t="shared" si="67"/>
        <v>6.0473237215525666E-2</v>
      </c>
      <c r="AA437" s="19">
        <f t="shared" si="66"/>
        <v>0.1050821677485263</v>
      </c>
      <c r="AB437" s="19" t="s">
        <v>53</v>
      </c>
    </row>
    <row r="438" spans="1:28" x14ac:dyDescent="0.25">
      <c r="A438" s="1">
        <v>45735</v>
      </c>
      <c r="B438" s="1" t="str">
        <f t="shared" si="69"/>
        <v>202503</v>
      </c>
      <c r="C438" s="2">
        <v>0</v>
      </c>
      <c r="D438" s="2">
        <v>0</v>
      </c>
      <c r="E438" s="2">
        <v>0</v>
      </c>
      <c r="F438" s="2">
        <f>F437*(1+((1+VLOOKUP($B438,'IPCA Hist'!$B:$C,2,0))^12 - 1)+$F$2)^(1/252)</f>
        <v>45998548.395900145</v>
      </c>
      <c r="G438" s="2">
        <f>G437*(1+((1+VLOOKUP($B438,'IPCA Hist'!$B:$C,2,0))^12 - 1)+$G$2)^(1/252)</f>
        <v>45984985.074914753</v>
      </c>
      <c r="H438" s="2">
        <f>H437*(1+((1+VLOOKUP($B438,'IPCA Hist'!$B:$C,2,0))^12 - 1)+$H$2)^(1/252)</f>
        <v>47000306.397790655</v>
      </c>
      <c r="I438" s="2">
        <f>I437*(1+((1+VLOOKUP($B438,'IPCA Hist'!$B:$C,2,0))^12 - 1)+$I$2)^(1/252)</f>
        <v>237375704.87905225</v>
      </c>
      <c r="J438" s="2">
        <f>J437*(1+((1+VLOOKUP($B438,'IPCA Hist'!$B:$C,2,0))^12 - 1)+$J$2)^(1/252)</f>
        <v>20843179.107160214</v>
      </c>
      <c r="K438" s="2">
        <f>K437*(1+((1+VLOOKUP($B438,'IPCA Hist'!$B:$C,2,0))^12 - 1)+$K$2)^(1/252)</f>
        <v>80752018.576192498</v>
      </c>
      <c r="L438" s="2">
        <f>L437*(1+((1+VLOOKUP($B438,'IPCA Hist'!$B:$C,2,0))^12 - 1)+$L$2)^(1/252)</f>
        <v>42516364.103934832</v>
      </c>
      <c r="M438" s="2">
        <f>M437*(1+((1+VLOOKUP($B438,'IPCA Hist'!$B:$C,2,0))^12 - 1)+$M$2)^(1/252)</f>
        <v>14572246.221132318</v>
      </c>
      <c r="N438" s="2">
        <v>0</v>
      </c>
      <c r="O438" s="2">
        <f t="shared" si="68"/>
        <v>535043352.75607765</v>
      </c>
      <c r="P438" s="2">
        <v>0</v>
      </c>
      <c r="Q438" s="2">
        <v>0</v>
      </c>
      <c r="R438" s="2">
        <f t="shared" si="77"/>
        <v>255106.40337717533</v>
      </c>
      <c r="S438" s="2">
        <f t="shared" si="70"/>
        <v>2799437.5593919754</v>
      </c>
      <c r="T438" s="2">
        <f t="shared" si="71"/>
        <v>14737581.657261774</v>
      </c>
      <c r="U438" s="11">
        <f t="shared" si="74"/>
        <v>1.1776490767579813</v>
      </c>
      <c r="V438" s="12">
        <f t="shared" si="75"/>
        <v>4.77023205197602E-4</v>
      </c>
      <c r="W438" s="12">
        <f t="shared" si="72"/>
        <v>5.2596891753236008E-3</v>
      </c>
      <c r="X438" s="12">
        <f t="shared" si="73"/>
        <v>2.8373135924818715E-2</v>
      </c>
      <c r="Y438" s="5">
        <f t="shared" si="76"/>
        <v>0.17764907675798125</v>
      </c>
      <c r="Z438" s="19">
        <f t="shared" si="67"/>
        <v>6.0556577895563013E-2</v>
      </c>
      <c r="AA438" s="19">
        <f t="shared" si="66"/>
        <v>0.10531178854977319</v>
      </c>
      <c r="AB438" s="19" t="s">
        <v>53</v>
      </c>
    </row>
    <row r="439" spans="1:28" x14ac:dyDescent="0.25">
      <c r="A439" s="1">
        <v>45736</v>
      </c>
      <c r="B439" s="1" t="str">
        <f t="shared" si="69"/>
        <v>202503</v>
      </c>
      <c r="C439" s="2">
        <v>0</v>
      </c>
      <c r="D439" s="2">
        <v>0</v>
      </c>
      <c r="E439" s="2">
        <v>0</v>
      </c>
      <c r="F439" s="2">
        <f>F438*(1+((1+VLOOKUP($B439,'IPCA Hist'!$B:$C,2,0))^12 - 1)+$F$2)^(1/252)</f>
        <v>46019402.17373047</v>
      </c>
      <c r="G439" s="2">
        <f>G438*(1+((1+VLOOKUP($B439,'IPCA Hist'!$B:$C,2,0))^12 - 1)+$G$2)^(1/252)</f>
        <v>46005848.988718875</v>
      </c>
      <c r="H439" s="2">
        <f>H438*(1+((1+VLOOKUP($B439,'IPCA Hist'!$B:$C,2,0))^12 - 1)+$H$2)^(1/252)</f>
        <v>47021431.142012</v>
      </c>
      <c r="I439" s="2">
        <f>I438*(1+((1+VLOOKUP($B439,'IPCA Hist'!$B:$C,2,0))^12 - 1)+$I$2)^(1/252)</f>
        <v>237482311.54188004</v>
      </c>
      <c r="J439" s="2">
        <f>J438*(1+((1+VLOOKUP($B439,'IPCA Hist'!$B:$C,2,0))^12 - 1)+$J$2)^(1/252)</f>
        <v>20853531.535524443</v>
      </c>
      <c r="K439" s="2">
        <f>K438*(1+((1+VLOOKUP($B439,'IPCA Hist'!$B:$C,2,0))^12 - 1)+$K$2)^(1/252)</f>
        <v>80796258.547743216</v>
      </c>
      <c r="L439" s="2">
        <f>L438*(1+((1+VLOOKUP($B439,'IPCA Hist'!$B:$C,2,0))^12 - 1)+$L$2)^(1/252)</f>
        <v>42539790.441198006</v>
      </c>
      <c r="M439" s="2">
        <f>M438*(1+((1+VLOOKUP($B439,'IPCA Hist'!$B:$C,2,0))^12 - 1)+$M$2)^(1/252)</f>
        <v>14580007.442098785</v>
      </c>
      <c r="N439" s="2">
        <v>0</v>
      </c>
      <c r="O439" s="2">
        <f t="shared" si="68"/>
        <v>535298581.81290579</v>
      </c>
      <c r="P439" s="2">
        <v>0</v>
      </c>
      <c r="Q439" s="2">
        <v>0</v>
      </c>
      <c r="R439" s="2">
        <f t="shared" si="77"/>
        <v>255229.05682814121</v>
      </c>
      <c r="S439" s="2">
        <f t="shared" si="70"/>
        <v>3054666.6162201166</v>
      </c>
      <c r="T439" s="2">
        <f t="shared" si="71"/>
        <v>14992810.714089915</v>
      </c>
      <c r="U439" s="11">
        <f t="shared" si="74"/>
        <v>1.1782108448120785</v>
      </c>
      <c r="V439" s="12">
        <f t="shared" si="75"/>
        <v>4.7702500276547433E-4</v>
      </c>
      <c r="W439" s="12">
        <f t="shared" si="72"/>
        <v>5.7392231813324646E-3</v>
      </c>
      <c r="X439" s="12">
        <f t="shared" si="73"/>
        <v>2.8863695622827201E-2</v>
      </c>
      <c r="Y439" s="5">
        <f t="shared" si="76"/>
        <v>0.17821084481207849</v>
      </c>
      <c r="Z439" s="19">
        <f t="shared" si="67"/>
        <v>6.0639926910994735E-2</v>
      </c>
      <c r="AA439" s="19">
        <f t="shared" si="66"/>
        <v>0.10554145904509604</v>
      </c>
      <c r="AB439" s="19" t="s">
        <v>53</v>
      </c>
    </row>
    <row r="440" spans="1:28" x14ac:dyDescent="0.25">
      <c r="A440" s="1">
        <v>45737</v>
      </c>
      <c r="B440" s="1" t="str">
        <f t="shared" si="69"/>
        <v>202503</v>
      </c>
      <c r="C440" s="2">
        <v>0</v>
      </c>
      <c r="D440" s="2">
        <v>0</v>
      </c>
      <c r="E440" s="2">
        <v>0</v>
      </c>
      <c r="F440" s="2">
        <f>F439*(1+((1+VLOOKUP($B440,'IPCA Hist'!$B:$C,2,0))^12 - 1)+$F$2)^(1/252)</f>
        <v>46040265.405773267</v>
      </c>
      <c r="G440" s="2">
        <f>G439*(1+((1+VLOOKUP($B440,'IPCA Hist'!$B:$C,2,0))^12 - 1)+$G$2)^(1/252)</f>
        <v>46026722.368719377</v>
      </c>
      <c r="H440" s="2">
        <f>H439*(1+((1+VLOOKUP($B440,'IPCA Hist'!$B:$C,2,0))^12 - 1)+$H$2)^(1/252)</f>
        <v>47042565.380954817</v>
      </c>
      <c r="I440" s="2">
        <f>I439*(1+((1+VLOOKUP($B440,'IPCA Hist'!$B:$C,2,0))^12 - 1)+$I$2)^(1/252)</f>
        <v>237588966.08231419</v>
      </c>
      <c r="J440" s="2">
        <f>J439*(1+((1+VLOOKUP($B440,'IPCA Hist'!$B:$C,2,0))^12 - 1)+$J$2)^(1/252)</f>
        <v>20863889.105751749</v>
      </c>
      <c r="K440" s="2">
        <f>K439*(1+((1+VLOOKUP($B440,'IPCA Hist'!$B:$C,2,0))^12 - 1)+$K$2)^(1/252)</f>
        <v>80840522.756150395</v>
      </c>
      <c r="L440" s="2">
        <f>L439*(1+((1+VLOOKUP($B440,'IPCA Hist'!$B:$C,2,0))^12 - 1)+$L$2)^(1/252)</f>
        <v>42563229.686274186</v>
      </c>
      <c r="M440" s="2">
        <f>M439*(1+((1+VLOOKUP($B440,'IPCA Hist'!$B:$C,2,0))^12 - 1)+$M$2)^(1/252)</f>
        <v>14587772.796714244</v>
      </c>
      <c r="N440" s="2">
        <v>0</v>
      </c>
      <c r="O440" s="2">
        <f t="shared" si="68"/>
        <v>535553933.58265227</v>
      </c>
      <c r="P440" s="2">
        <v>0</v>
      </c>
      <c r="Q440" s="2">
        <v>0</v>
      </c>
      <c r="R440" s="2">
        <f t="shared" si="77"/>
        <v>255351.76974648237</v>
      </c>
      <c r="S440" s="2">
        <f t="shared" si="70"/>
        <v>3310018.385966599</v>
      </c>
      <c r="T440" s="2">
        <f t="shared" si="71"/>
        <v>15248162.483836398</v>
      </c>
      <c r="U440" s="11">
        <f t="shared" si="74"/>
        <v>1.178772882961588</v>
      </c>
      <c r="V440" s="12">
        <f t="shared" si="75"/>
        <v>4.7702680041039613E-4</v>
      </c>
      <c r="W440" s="12">
        <f t="shared" si="72"/>
        <v>6.2189877450138376E-3</v>
      </c>
      <c r="X440" s="12">
        <f t="shared" si="73"/>
        <v>2.9354491179608644E-2</v>
      </c>
      <c r="Y440" s="5">
        <f t="shared" si="76"/>
        <v>0.178772882961588</v>
      </c>
      <c r="Z440" s="19">
        <f t="shared" si="67"/>
        <v>6.0723284262833799E-2</v>
      </c>
      <c r="AA440" s="19">
        <f t="shared" si="66"/>
        <v>0.10577117924572965</v>
      </c>
      <c r="AB440" s="19" t="s">
        <v>53</v>
      </c>
    </row>
    <row r="441" spans="1:28" x14ac:dyDescent="0.25">
      <c r="A441" s="1">
        <v>45740</v>
      </c>
      <c r="B441" s="1" t="str">
        <f t="shared" si="69"/>
        <v>202503</v>
      </c>
      <c r="C441" s="2">
        <v>0</v>
      </c>
      <c r="D441" s="2">
        <v>0</v>
      </c>
      <c r="E441" s="2">
        <v>0</v>
      </c>
      <c r="F441" s="2">
        <f>F440*(1+((1+VLOOKUP($B441,'IPCA Hist'!$B:$C,2,0))^12 - 1)+$F$2)^(1/252)</f>
        <v>46061138.096314669</v>
      </c>
      <c r="G441" s="2">
        <f>G440*(1+((1+VLOOKUP($B441,'IPCA Hist'!$B:$C,2,0))^12 - 1)+$G$2)^(1/252)</f>
        <v>46047605.219211183</v>
      </c>
      <c r="H441" s="2">
        <f>H440*(1+((1+VLOOKUP($B441,'IPCA Hist'!$B:$C,2,0))^12 - 1)+$H$2)^(1/252)</f>
        <v>47063709.118886605</v>
      </c>
      <c r="I441" s="2">
        <f>I440*(1+((1+VLOOKUP($B441,'IPCA Hist'!$B:$C,2,0))^12 - 1)+$I$2)^(1/252)</f>
        <v>237695668.52185678</v>
      </c>
      <c r="J441" s="2">
        <f>J440*(1+((1+VLOOKUP($B441,'IPCA Hist'!$B:$C,2,0))^12 - 1)+$J$2)^(1/252)</f>
        <v>20874251.820395999</v>
      </c>
      <c r="K441" s="2">
        <f>K440*(1+((1+VLOOKUP($B441,'IPCA Hist'!$B:$C,2,0))^12 - 1)+$K$2)^(1/252)</f>
        <v>80884811.214692175</v>
      </c>
      <c r="L441" s="2">
        <f>L440*(1+((1+VLOOKUP($B441,'IPCA Hist'!$B:$C,2,0))^12 - 1)+$L$2)^(1/252)</f>
        <v>42586681.846275523</v>
      </c>
      <c r="M441" s="2">
        <f>M440*(1+((1+VLOOKUP($B441,'IPCA Hist'!$B:$C,2,0))^12 - 1)+$M$2)^(1/252)</f>
        <v>14595542.287180288</v>
      </c>
      <c r="N441" s="2">
        <v>0</v>
      </c>
      <c r="O441" s="2">
        <f t="shared" si="68"/>
        <v>535809408.12481326</v>
      </c>
      <c r="P441" s="2">
        <v>0</v>
      </c>
      <c r="Q441" s="2">
        <v>0</v>
      </c>
      <c r="R441" s="2">
        <f t="shared" si="77"/>
        <v>255474.54216098785</v>
      </c>
      <c r="S441" s="2">
        <f t="shared" si="70"/>
        <v>3565492.9281275868</v>
      </c>
      <c r="T441" s="2">
        <f t="shared" si="71"/>
        <v>15503637.025997385</v>
      </c>
      <c r="U441" s="11">
        <f t="shared" si="74"/>
        <v>1.179335191337463</v>
      </c>
      <c r="V441" s="12">
        <f t="shared" si="75"/>
        <v>4.7702859813192333E-4</v>
      </c>
      <c r="W441" s="12">
        <f t="shared" si="72"/>
        <v>6.6989829781516352E-3</v>
      </c>
      <c r="X441" s="12">
        <f t="shared" si="73"/>
        <v>2.9845522709516903E-2</v>
      </c>
      <c r="Y441" s="5">
        <f t="shared" si="76"/>
        <v>0.17933519133746301</v>
      </c>
      <c r="Z441" s="19">
        <f t="shared" si="67"/>
        <v>6.0806649952092506E-2</v>
      </c>
      <c r="AA441" s="19">
        <f t="shared" si="66"/>
        <v>0.10600094916291036</v>
      </c>
      <c r="AB441" s="19" t="s">
        <v>53</v>
      </c>
    </row>
    <row r="442" spans="1:28" x14ac:dyDescent="0.25">
      <c r="A442" s="1">
        <v>45741</v>
      </c>
      <c r="B442" s="1" t="str">
        <f t="shared" si="69"/>
        <v>202503</v>
      </c>
      <c r="C442" s="2">
        <v>0</v>
      </c>
      <c r="D442" s="2">
        <v>0</v>
      </c>
      <c r="E442" s="2">
        <v>0</v>
      </c>
      <c r="F442" s="2">
        <f>F441*(1+((1+VLOOKUP($B442,'IPCA Hist'!$B:$C,2,0))^12 - 1)+$F$2)^(1/252)</f>
        <v>46082020.249642752</v>
      </c>
      <c r="G442" s="2">
        <f>G441*(1+((1+VLOOKUP($B442,'IPCA Hist'!$B:$C,2,0))^12 - 1)+$G$2)^(1/252)</f>
        <v>46068497.544491157</v>
      </c>
      <c r="H442" s="2">
        <f>H441*(1+((1+VLOOKUP($B442,'IPCA Hist'!$B:$C,2,0))^12 - 1)+$H$2)^(1/252)</f>
        <v>47084862.36007677</v>
      </c>
      <c r="I442" s="2">
        <f>I441*(1+((1+VLOOKUP($B442,'IPCA Hist'!$B:$C,2,0))^12 - 1)+$I$2)^(1/252)</f>
        <v>237802418.88201958</v>
      </c>
      <c r="J442" s="2">
        <f>J441*(1+((1+VLOOKUP($B442,'IPCA Hist'!$B:$C,2,0))^12 - 1)+$J$2)^(1/252)</f>
        <v>20884619.682012334</v>
      </c>
      <c r="K442" s="2">
        <f>K441*(1+((1+VLOOKUP($B442,'IPCA Hist'!$B:$C,2,0))^12 - 1)+$K$2)^(1/252)</f>
        <v>80929123.936654001</v>
      </c>
      <c r="L442" s="2">
        <f>L441*(1+((1+VLOOKUP($B442,'IPCA Hist'!$B:$C,2,0))^12 - 1)+$L$2)^(1/252)</f>
        <v>42610146.928318083</v>
      </c>
      <c r="M442" s="2">
        <f>M441*(1+((1+VLOOKUP($B442,'IPCA Hist'!$B:$C,2,0))^12 - 1)+$M$2)^(1/252)</f>
        <v>14603315.915699683</v>
      </c>
      <c r="N442" s="2">
        <v>0</v>
      </c>
      <c r="O442" s="2">
        <f t="shared" si="68"/>
        <v>536065005.49891436</v>
      </c>
      <c r="P442" s="2">
        <v>0</v>
      </c>
      <c r="Q442" s="2">
        <v>0</v>
      </c>
      <c r="R442" s="2">
        <f t="shared" si="77"/>
        <v>255597.37410110235</v>
      </c>
      <c r="S442" s="2">
        <f t="shared" si="70"/>
        <v>3821090.3022286892</v>
      </c>
      <c r="T442" s="2">
        <f t="shared" si="71"/>
        <v>15759234.400098488</v>
      </c>
      <c r="U442" s="11">
        <f t="shared" si="74"/>
        <v>1.1798977700707214</v>
      </c>
      <c r="V442" s="12">
        <f t="shared" si="75"/>
        <v>4.7703039593050001E-4</v>
      </c>
      <c r="W442" s="12">
        <f t="shared" si="72"/>
        <v>7.1792089925846181E-3</v>
      </c>
      <c r="X442" s="12">
        <f t="shared" si="73"/>
        <v>3.0336790326962237E-2</v>
      </c>
      <c r="Y442" s="5">
        <f t="shared" si="76"/>
        <v>0.17989777007072139</v>
      </c>
      <c r="Z442" s="19">
        <f t="shared" si="67"/>
        <v>6.0890023979783159E-2</v>
      </c>
      <c r="AA442" s="19">
        <f t="shared" si="66"/>
        <v>0.10623076880787852</v>
      </c>
      <c r="AB442" s="19" t="s">
        <v>53</v>
      </c>
    </row>
    <row r="443" spans="1:28" x14ac:dyDescent="0.25">
      <c r="A443" s="1">
        <v>45742</v>
      </c>
      <c r="B443" s="1" t="str">
        <f t="shared" si="69"/>
        <v>202503</v>
      </c>
      <c r="C443" s="2">
        <v>0</v>
      </c>
      <c r="D443" s="2">
        <v>0</v>
      </c>
      <c r="E443" s="2">
        <v>0</v>
      </c>
      <c r="F443" s="2">
        <f>F442*(1+((1+VLOOKUP($B443,'IPCA Hist'!$B:$C,2,0))^12 - 1)+$F$2)^(1/252)</f>
        <v>46102911.870047547</v>
      </c>
      <c r="G443" s="2">
        <f>G442*(1+((1+VLOOKUP($B443,'IPCA Hist'!$B:$C,2,0))^12 - 1)+$G$2)^(1/252)</f>
        <v>46089399.348858126</v>
      </c>
      <c r="H443" s="2">
        <f>H442*(1+((1+VLOOKUP($B443,'IPCA Hist'!$B:$C,2,0))^12 - 1)+$H$2)^(1/252)</f>
        <v>47106025.108796649</v>
      </c>
      <c r="I443" s="2">
        <f>I442*(1+((1+VLOOKUP($B443,'IPCA Hist'!$B:$C,2,0))^12 - 1)+$I$2)^(1/252)</f>
        <v>237909217.18432394</v>
      </c>
      <c r="J443" s="2">
        <f>J442*(1+((1+VLOOKUP($B443,'IPCA Hist'!$B:$C,2,0))^12 - 1)+$J$2)^(1/252)</f>
        <v>20894992.693157163</v>
      </c>
      <c r="K443" s="2">
        <f>K442*(1+((1+VLOOKUP($B443,'IPCA Hist'!$B:$C,2,0))^12 - 1)+$K$2)^(1/252)</f>
        <v>80973460.935328573</v>
      </c>
      <c r="L443" s="2">
        <f>L442*(1+((1+VLOOKUP($B443,'IPCA Hist'!$B:$C,2,0))^12 - 1)+$L$2)^(1/252)</f>
        <v>42633624.939521864</v>
      </c>
      <c r="M443" s="2">
        <f>M442*(1+((1+VLOOKUP($B443,'IPCA Hist'!$B:$C,2,0))^12 - 1)+$M$2)^(1/252)</f>
        <v>14611093.684476368</v>
      </c>
      <c r="N443" s="2">
        <v>118978629.72799999</v>
      </c>
      <c r="O443" s="2">
        <f t="shared" si="68"/>
        <v>655299355.4925102</v>
      </c>
      <c r="P443" s="2">
        <v>118978629.72799999</v>
      </c>
      <c r="Q443" s="2">
        <v>0</v>
      </c>
      <c r="R443" s="2">
        <f t="shared" si="77"/>
        <v>255720.26559585333</v>
      </c>
      <c r="S443" s="2">
        <f t="shared" si="70"/>
        <v>4076810.5678245425</v>
      </c>
      <c r="T443" s="2">
        <f t="shared" si="71"/>
        <v>16014954.665694341</v>
      </c>
      <c r="U443" s="11">
        <f t="shared" si="74"/>
        <v>1.1804606192924452</v>
      </c>
      <c r="V443" s="12">
        <f t="shared" si="75"/>
        <v>4.7703219380612616E-4</v>
      </c>
      <c r="W443" s="12">
        <f t="shared" si="72"/>
        <v>7.6596659002061696E-3</v>
      </c>
      <c r="X443" s="12">
        <f t="shared" si="73"/>
        <v>3.0828294146411084E-2</v>
      </c>
      <c r="Y443" s="5">
        <f t="shared" si="76"/>
        <v>0.18046061929244517</v>
      </c>
      <c r="Z443" s="19">
        <f t="shared" si="67"/>
        <v>6.0973406346919612E-2</v>
      </c>
      <c r="AA443" s="19">
        <f t="shared" si="66"/>
        <v>0.10646063819187646</v>
      </c>
      <c r="AB443" s="19" t="s">
        <v>53</v>
      </c>
    </row>
    <row r="444" spans="1:28" x14ac:dyDescent="0.25">
      <c r="A444" s="1">
        <v>45743</v>
      </c>
      <c r="B444" s="1" t="str">
        <f t="shared" si="69"/>
        <v>202503</v>
      </c>
      <c r="C444" s="2">
        <v>0</v>
      </c>
      <c r="D444" s="2">
        <v>0</v>
      </c>
      <c r="E444" s="2">
        <v>0</v>
      </c>
      <c r="F444" s="2">
        <f>F443*(1+((1+VLOOKUP($B444,'IPCA Hist'!$B:$C,2,0))^12 - 1)+$F$2)^(1/252)</f>
        <v>46123812.96182102</v>
      </c>
      <c r="G444" s="2">
        <f>G443*(1+((1+VLOOKUP($B444,'IPCA Hist'!$B:$C,2,0))^12 - 1)+$G$2)^(1/252)</f>
        <v>46110310.636612855</v>
      </c>
      <c r="H444" s="2">
        <f>H443*(1+((1+VLOOKUP($B444,'IPCA Hist'!$B:$C,2,0))^12 - 1)+$H$2)^(1/252)</f>
        <v>47127197.369319491</v>
      </c>
      <c r="I444" s="2">
        <f>I443*(1+((1+VLOOKUP($B444,'IPCA Hist'!$B:$C,2,0))^12 - 1)+$I$2)^(1/252)</f>
        <v>238016063.45030096</v>
      </c>
      <c r="J444" s="2">
        <f>J443*(1+((1+VLOOKUP($B444,'IPCA Hist'!$B:$C,2,0))^12 - 1)+$J$2)^(1/252)</f>
        <v>20905370.856388159</v>
      </c>
      <c r="K444" s="2">
        <f>K443*(1+((1+VLOOKUP($B444,'IPCA Hist'!$B:$C,2,0))^12 - 1)+$K$2)^(1/252)</f>
        <v>81017822.224015892</v>
      </c>
      <c r="L444" s="2">
        <f>L443*(1+((1+VLOOKUP($B444,'IPCA Hist'!$B:$C,2,0))^12 - 1)+$L$2)^(1/252)</f>
        <v>42657115.887010768</v>
      </c>
      <c r="M444" s="2">
        <f>M443*(1+((1+VLOOKUP($B444,'IPCA Hist'!$B:$C,2,0))^12 - 1)+$M$2)^(1/252)</f>
        <v>14618875.595715456</v>
      </c>
      <c r="N444" s="2">
        <f>N443*(1+((1+VLOOKUP($B444,'IPCA Hist'!$B:$C,2,0))^12 - 1)+$N$2)^(1/252)</f>
        <v>119044433.08928524</v>
      </c>
      <c r="O444" s="2">
        <f t="shared" si="68"/>
        <v>655621002.07046986</v>
      </c>
      <c r="P444" s="2">
        <v>0</v>
      </c>
      <c r="Q444" s="2">
        <v>0</v>
      </c>
      <c r="R444" s="2">
        <f t="shared" si="77"/>
        <v>321646.57795965672</v>
      </c>
      <c r="S444" s="2">
        <f t="shared" si="70"/>
        <v>4398457.1457841992</v>
      </c>
      <c r="T444" s="2">
        <f t="shared" si="71"/>
        <v>16336601.243653998</v>
      </c>
      <c r="U444" s="11">
        <f t="shared" si="74"/>
        <v>1.1810400355781916</v>
      </c>
      <c r="V444" s="12">
        <f t="shared" si="75"/>
        <v>4.9083914895331482E-4</v>
      </c>
      <c r="W444" s="12">
        <f t="shared" si="72"/>
        <v>8.1542647130512513E-3</v>
      </c>
      <c r="X444" s="12">
        <f t="shared" si="73"/>
        <v>3.133426502902692E-2</v>
      </c>
      <c r="Y444" s="5">
        <f t="shared" si="76"/>
        <v>0.18104003557819159</v>
      </c>
      <c r="Z444" s="19">
        <f t="shared" si="67"/>
        <v>6.107143812610083E-2</v>
      </c>
      <c r="AA444" s="19">
        <f t="shared" si="66"/>
        <v>0.10670582807859108</v>
      </c>
      <c r="AB444" s="19" t="s">
        <v>53</v>
      </c>
    </row>
    <row r="445" spans="1:28" x14ac:dyDescent="0.25">
      <c r="A445" s="1">
        <v>45744</v>
      </c>
      <c r="B445" s="1" t="str">
        <f t="shared" si="69"/>
        <v>202503</v>
      </c>
      <c r="C445" s="2">
        <v>0</v>
      </c>
      <c r="D445" s="2">
        <v>0</v>
      </c>
      <c r="E445" s="2">
        <v>0</v>
      </c>
      <c r="F445" s="2">
        <f>F444*(1+((1+VLOOKUP($B445,'IPCA Hist'!$B:$C,2,0))^12 - 1)+$F$2)^(1/252)</f>
        <v>46144723.529257081</v>
      </c>
      <c r="G445" s="2">
        <f>G444*(1+((1+VLOOKUP($B445,'IPCA Hist'!$B:$C,2,0))^12 - 1)+$G$2)^(1/252)</f>
        <v>46131231.412058063</v>
      </c>
      <c r="H445" s="2">
        <f>H444*(1+((1+VLOOKUP($B445,'IPCA Hist'!$B:$C,2,0))^12 - 1)+$H$2)^(1/252)</f>
        <v>47148379.14592047</v>
      </c>
      <c r="I445" s="2">
        <f>I444*(1+((1+VLOOKUP($B445,'IPCA Hist'!$B:$C,2,0))^12 - 1)+$I$2)^(1/252)</f>
        <v>238122957.70149136</v>
      </c>
      <c r="J445" s="2">
        <f>J444*(1+((1+VLOOKUP($B445,'IPCA Hist'!$B:$C,2,0))^12 - 1)+$J$2)^(1/252)</f>
        <v>20915754.174264271</v>
      </c>
      <c r="K445" s="2">
        <f>K444*(1+((1+VLOOKUP($B445,'IPCA Hist'!$B:$C,2,0))^12 - 1)+$K$2)^(1/252)</f>
        <v>81062207.816023231</v>
      </c>
      <c r="L445" s="2">
        <f>L444*(1+((1+VLOOKUP($B445,'IPCA Hist'!$B:$C,2,0))^12 - 1)+$L$2)^(1/252)</f>
        <v>42680619.777912647</v>
      </c>
      <c r="M445" s="2">
        <f>M444*(1+((1+VLOOKUP($B445,'IPCA Hist'!$B:$C,2,0))^12 - 1)+$M$2)^(1/252)</f>
        <v>14626661.651623234</v>
      </c>
      <c r="N445" s="2">
        <f>N444*(1+((1+VLOOKUP($B445,'IPCA Hist'!$B:$C,2,0))^12 - 1)+$N$2)^(1/252)</f>
        <v>119110272.84435286</v>
      </c>
      <c r="O445" s="2">
        <f t="shared" si="68"/>
        <v>655942808.05290318</v>
      </c>
      <c r="P445" s="2">
        <v>0</v>
      </c>
      <c r="Q445" s="2">
        <v>0</v>
      </c>
      <c r="R445" s="2">
        <f t="shared" si="77"/>
        <v>321805.98243331909</v>
      </c>
      <c r="S445" s="2">
        <f t="shared" si="70"/>
        <v>4720263.1282175183</v>
      </c>
      <c r="T445" s="2">
        <f t="shared" si="71"/>
        <v>16658407.226087317</v>
      </c>
      <c r="U445" s="11">
        <f t="shared" si="74"/>
        <v>1.1816197390162178</v>
      </c>
      <c r="V445" s="12">
        <f t="shared" si="75"/>
        <v>4.9084147917333176E-4</v>
      </c>
      <c r="W445" s="12">
        <f t="shared" si="72"/>
        <v>8.6491086435778186E-3</v>
      </c>
      <c r="X445" s="12">
        <f t="shared" si="73"/>
        <v>3.1840486665196011E-2</v>
      </c>
      <c r="Y445" s="5">
        <f t="shared" si="76"/>
        <v>0.18161973901621775</v>
      </c>
      <c r="Z445" s="19">
        <f t="shared" si="67"/>
        <v>6.1169481314812701E-2</v>
      </c>
      <c r="AA445" s="19">
        <f t="shared" si="66"/>
        <v>0.10695107487286526</v>
      </c>
      <c r="AB445" s="19" t="s">
        <v>53</v>
      </c>
    </row>
    <row r="446" spans="1:28" x14ac:dyDescent="0.25">
      <c r="A446" s="1">
        <v>45747</v>
      </c>
      <c r="B446" s="1" t="str">
        <f t="shared" si="69"/>
        <v>202503</v>
      </c>
      <c r="C446" s="2">
        <v>0</v>
      </c>
      <c r="D446" s="2">
        <v>0</v>
      </c>
      <c r="E446" s="2">
        <v>0</v>
      </c>
      <c r="F446" s="2">
        <f>F445*(1+((1+VLOOKUP($B446,'IPCA Hist'!$B:$C,2,0))^12 - 1)+$F$2)^(1/252)</f>
        <v>46165643.576651596</v>
      </c>
      <c r="G446" s="2">
        <f>G445*(1+((1+VLOOKUP($B446,'IPCA Hist'!$B:$C,2,0))^12 - 1)+$G$2)^(1/252)</f>
        <v>46152161.679498427</v>
      </c>
      <c r="H446" s="2">
        <f>H445*(1+((1+VLOOKUP($B446,'IPCA Hist'!$B:$C,2,0))^12 - 1)+$H$2)^(1/252)</f>
        <v>47169570.442876682</v>
      </c>
      <c r="I446" s="2">
        <f>I445*(1+((1+VLOOKUP($B446,'IPCA Hist'!$B:$C,2,0))^12 - 1)+$I$2)^(1/252)</f>
        <v>238229899.95944557</v>
      </c>
      <c r="J446" s="2">
        <f>J445*(1+((1+VLOOKUP($B446,'IPCA Hist'!$B:$C,2,0))^12 - 1)+$J$2)^(1/252)</f>
        <v>20926142.649345718</v>
      </c>
      <c r="K446" s="2">
        <f>K445*(1+((1+VLOOKUP($B446,'IPCA Hist'!$B:$C,2,0))^12 - 1)+$K$2)^(1/252)</f>
        <v>81106617.72466515</v>
      </c>
      <c r="L446" s="2">
        <f>L445*(1+((1+VLOOKUP($B446,'IPCA Hist'!$B:$C,2,0))^12 - 1)+$L$2)^(1/252)</f>
        <v>42704136.619359255</v>
      </c>
      <c r="M446" s="2">
        <f>M445*(1+((1+VLOOKUP($B446,'IPCA Hist'!$B:$C,2,0))^12 - 1)+$M$2)^(1/252)</f>
        <v>14634451.854407167</v>
      </c>
      <c r="N446" s="2">
        <f>N445*(1+((1+VLOOKUP($B446,'IPCA Hist'!$B:$C,2,0))^12 - 1)+$N$2)^(1/252)</f>
        <v>119176149.0133311</v>
      </c>
      <c r="O446" s="2">
        <f t="shared" si="68"/>
        <v>656264773.5195806</v>
      </c>
      <c r="P446" s="2">
        <v>0</v>
      </c>
      <c r="Q446" s="2">
        <v>0</v>
      </c>
      <c r="R446" s="2">
        <f t="shared" si="77"/>
        <v>321965.46667742729</v>
      </c>
      <c r="S446" s="2">
        <f t="shared" si="70"/>
        <v>5042228.5948949456</v>
      </c>
      <c r="T446" s="2">
        <f t="shared" si="71"/>
        <v>16980372.692764744</v>
      </c>
      <c r="U446" s="11">
        <f t="shared" si="74"/>
        <v>1.1821997297502223</v>
      </c>
      <c r="V446" s="12">
        <f t="shared" si="75"/>
        <v>4.9084380943686945E-4</v>
      </c>
      <c r="W446" s="12">
        <f t="shared" si="72"/>
        <v>9.1441978144495284E-3</v>
      </c>
      <c r="X446" s="12">
        <f t="shared" si="73"/>
        <v>3.234695918040198E-2</v>
      </c>
      <c r="Y446" s="5">
        <f t="shared" si="76"/>
        <v>0.18219972975022225</v>
      </c>
      <c r="Z446" s="19">
        <f t="shared" si="67"/>
        <v>6.1267535914584892E-2</v>
      </c>
      <c r="AA446" s="19">
        <f t="shared" si="66"/>
        <v>0.10708612802674899</v>
      </c>
      <c r="AB446" s="19" t="s">
        <v>53</v>
      </c>
    </row>
    <row r="447" spans="1:28" x14ac:dyDescent="0.25">
      <c r="A447" s="1">
        <v>45748</v>
      </c>
      <c r="B447" s="1" t="str">
        <f t="shared" si="69"/>
        <v>202504</v>
      </c>
      <c r="C447" s="2">
        <v>0</v>
      </c>
      <c r="D447" s="2">
        <v>0</v>
      </c>
      <c r="E447" s="2">
        <v>0</v>
      </c>
      <c r="F447" s="2">
        <f>F446*(1+((1+VLOOKUP($B447,'IPCA Hist'!$B:$C,2,0))^12 - 1)+$F$2)^(1/252)</f>
        <v>46183860.266599081</v>
      </c>
      <c r="G447" s="2">
        <f>G446*(1+((1+VLOOKUP($B447,'IPCA Hist'!$B:$C,2,0))^12 - 1)+$G$2)^(1/252)</f>
        <v>46170389.636518866</v>
      </c>
      <c r="H447" s="2">
        <f>H446*(1+((1+VLOOKUP($B447,'IPCA Hist'!$B:$C,2,0))^12 - 1)+$H$2)^(1/252)</f>
        <v>47187996.696827874</v>
      </c>
      <c r="I447" s="2">
        <f>I446*(1+((1+VLOOKUP($B447,'IPCA Hist'!$B:$C,2,0))^12 - 1)+$I$2)^(1/252)</f>
        <v>238322876.03708133</v>
      </c>
      <c r="J447" s="2">
        <f>J446*(1+((1+VLOOKUP($B447,'IPCA Hist'!$B:$C,2,0))^12 - 1)+$J$2)^(1/252)</f>
        <v>20935319.987992968</v>
      </c>
      <c r="K447" s="2">
        <f>K446*(1+((1+VLOOKUP($B447,'IPCA Hist'!$B:$C,2,0))^12 - 1)+$K$2)^(1/252)</f>
        <v>81146398.343190581</v>
      </c>
      <c r="L447" s="2">
        <f>L446*(1+((1+VLOOKUP($B447,'IPCA Hist'!$B:$C,2,0))^12 - 1)+$L$2)^(1/252)</f>
        <v>42725218.148350224</v>
      </c>
      <c r="M447" s="2">
        <f>M446*(1+((1+VLOOKUP($B447,'IPCA Hist'!$B:$C,2,0))^12 - 1)+$M$2)^(1/252)</f>
        <v>14641403.290266473</v>
      </c>
      <c r="N447" s="2">
        <f>N446*(1+((1+VLOOKUP($B447,'IPCA Hist'!$B:$C,2,0))^12 - 1)+$N$2)^(1/252)</f>
        <v>119235232.70847718</v>
      </c>
      <c r="O447" s="2">
        <f t="shared" si="68"/>
        <v>656548695.11530459</v>
      </c>
      <c r="P447" s="2">
        <v>0</v>
      </c>
      <c r="Q447" s="2">
        <v>0</v>
      </c>
      <c r="R447" s="2">
        <f t="shared" si="77"/>
        <v>283921.59572398663</v>
      </c>
      <c r="S447" s="2">
        <f t="shared" si="70"/>
        <v>283921.59572398663</v>
      </c>
      <c r="T447" s="2">
        <f t="shared" si="71"/>
        <v>17264294.288488731</v>
      </c>
      <c r="U447" s="11">
        <f t="shared" si="74"/>
        <v>1.1827111880019505</v>
      </c>
      <c r="V447" s="12">
        <f t="shared" si="75"/>
        <v>4.326326921393342E-4</v>
      </c>
      <c r="W447" s="12">
        <f t="shared" si="72"/>
        <v>4.326326921393342E-4</v>
      </c>
      <c r="X447" s="12">
        <f t="shared" si="73"/>
        <v>3.2793586224574067E-2</v>
      </c>
      <c r="Y447" s="5">
        <f t="shared" si="76"/>
        <v>0.18271118800195052</v>
      </c>
      <c r="Z447" s="19">
        <f t="shared" si="67"/>
        <v>6.1303846488508951E-2</v>
      </c>
      <c r="AA447" s="19">
        <f t="shared" si="66"/>
        <v>0.10715677669127488</v>
      </c>
      <c r="AB447" s="19" t="s">
        <v>53</v>
      </c>
    </row>
    <row r="448" spans="1:28" x14ac:dyDescent="0.25">
      <c r="A448" s="1">
        <v>45749</v>
      </c>
      <c r="B448" s="1" t="str">
        <f t="shared" si="69"/>
        <v>202504</v>
      </c>
      <c r="C448" s="2">
        <v>0</v>
      </c>
      <c r="D448" s="2">
        <v>0</v>
      </c>
      <c r="E448" s="2">
        <v>0</v>
      </c>
      <c r="F448" s="2">
        <f>F447*(1+((1+VLOOKUP($B448,'IPCA Hist'!$B:$C,2,0))^12 - 1)+$F$2)^(1/252)</f>
        <v>46202084.144744694</v>
      </c>
      <c r="G448" s="2">
        <f>G447*(1+((1+VLOOKUP($B448,'IPCA Hist'!$B:$C,2,0))^12 - 1)+$G$2)^(1/252)</f>
        <v>46188624.792734422</v>
      </c>
      <c r="H448" s="2">
        <f>H447*(1+((1+VLOOKUP($B448,'IPCA Hist'!$B:$C,2,0))^12 - 1)+$H$2)^(1/252)</f>
        <v>47206430.148784719</v>
      </c>
      <c r="I448" s="2">
        <f>I447*(1+((1+VLOOKUP($B448,'IPCA Hist'!$B:$C,2,0))^12 - 1)+$I$2)^(1/252)</f>
        <v>238415888.40130839</v>
      </c>
      <c r="J448" s="2">
        <f>J447*(1+((1+VLOOKUP($B448,'IPCA Hist'!$B:$C,2,0))^12 - 1)+$J$2)^(1/252)</f>
        <v>20944501.351440489</v>
      </c>
      <c r="K448" s="2">
        <f>K447*(1+((1+VLOOKUP($B448,'IPCA Hist'!$B:$C,2,0))^12 - 1)+$K$2)^(1/252)</f>
        <v>81186198.4730414</v>
      </c>
      <c r="L448" s="2">
        <f>L447*(1+((1+VLOOKUP($B448,'IPCA Hist'!$B:$C,2,0))^12 - 1)+$L$2)^(1/252)</f>
        <v>42746310.084549956</v>
      </c>
      <c r="M448" s="2">
        <f>M447*(1+((1+VLOOKUP($B448,'IPCA Hist'!$B:$C,2,0))^12 - 1)+$M$2)^(1/252)</f>
        <v>14648358.028091647</v>
      </c>
      <c r="N448" s="2">
        <f>N447*(1+((1+VLOOKUP($B448,'IPCA Hist'!$B:$C,2,0))^12 - 1)+$N$2)^(1/252)</f>
        <v>119294345.69541581</v>
      </c>
      <c r="O448" s="2">
        <f t="shared" si="68"/>
        <v>656832741.12011158</v>
      </c>
      <c r="P448" s="2">
        <v>0</v>
      </c>
      <c r="Q448" s="2">
        <v>0</v>
      </c>
      <c r="R448" s="2">
        <f t="shared" si="77"/>
        <v>284046.00480699539</v>
      </c>
      <c r="S448" s="2">
        <f t="shared" si="70"/>
        <v>567967.60053098202</v>
      </c>
      <c r="T448" s="2">
        <f t="shared" si="71"/>
        <v>17548340.293295726</v>
      </c>
      <c r="U448" s="11">
        <f t="shared" si="74"/>
        <v>1.1832228703650287</v>
      </c>
      <c r="V448" s="12">
        <f t="shared" si="75"/>
        <v>4.3263509153290691E-4</v>
      </c>
      <c r="W448" s="12">
        <f t="shared" si="72"/>
        <v>8.6545495575651721E-4</v>
      </c>
      <c r="X448" s="12">
        <f t="shared" si="73"/>
        <v>3.3240408972284863E-2</v>
      </c>
      <c r="Y448" s="5">
        <f t="shared" si="76"/>
        <v>0.18322287036502871</v>
      </c>
      <c r="Z448" s="19">
        <f t="shared" si="67"/>
        <v>6.1340160730261273E-2</v>
      </c>
      <c r="AA448" s="19">
        <f t="shared" ref="AA448:AA511" si="78">U448/U196 - 1</f>
        <v>0.10722743251568079</v>
      </c>
      <c r="AB448" s="19" t="s">
        <v>53</v>
      </c>
    </row>
    <row r="449" spans="1:28" x14ac:dyDescent="0.25">
      <c r="A449" s="1">
        <v>45750</v>
      </c>
      <c r="B449" s="1" t="str">
        <f t="shared" si="69"/>
        <v>202504</v>
      </c>
      <c r="C449" s="2">
        <v>0</v>
      </c>
      <c r="D449" s="2">
        <v>0</v>
      </c>
      <c r="E449" s="2">
        <v>0</v>
      </c>
      <c r="F449" s="2">
        <f>F448*(1+((1+VLOOKUP($B449,'IPCA Hist'!$B:$C,2,0))^12 - 1)+$F$2)^(1/252)</f>
        <v>46220315.213924848</v>
      </c>
      <c r="G449" s="2">
        <f>G448*(1+((1+VLOOKUP($B449,'IPCA Hist'!$B:$C,2,0))^12 - 1)+$G$2)^(1/252)</f>
        <v>46206867.150988445</v>
      </c>
      <c r="H449" s="2">
        <f>H448*(1+((1+VLOOKUP($B449,'IPCA Hist'!$B:$C,2,0))^12 - 1)+$H$2)^(1/252)</f>
        <v>47224870.801559038</v>
      </c>
      <c r="I449" s="2">
        <f>I448*(1+((1+VLOOKUP($B449,'IPCA Hist'!$B:$C,2,0))^12 - 1)+$I$2)^(1/252)</f>
        <v>238508937.06628862</v>
      </c>
      <c r="J449" s="2">
        <f>J448*(1+((1+VLOOKUP($B449,'IPCA Hist'!$B:$C,2,0))^12 - 1)+$J$2)^(1/252)</f>
        <v>20953686.741453394</v>
      </c>
      <c r="K449" s="2">
        <f>K448*(1+((1+VLOOKUP($B449,'IPCA Hist'!$B:$C,2,0))^12 - 1)+$K$2)^(1/252)</f>
        <v>81226018.123787403</v>
      </c>
      <c r="L449" s="2">
        <f>L448*(1+((1+VLOOKUP($B449,'IPCA Hist'!$B:$C,2,0))^12 - 1)+$L$2)^(1/252)</f>
        <v>42767412.433096118</v>
      </c>
      <c r="M449" s="2">
        <f>M448*(1+((1+VLOOKUP($B449,'IPCA Hist'!$B:$C,2,0))^12 - 1)+$M$2)^(1/252)</f>
        <v>14655316.069451137</v>
      </c>
      <c r="N449" s="2">
        <f>N448*(1+((1+VLOOKUP($B449,'IPCA Hist'!$B:$C,2,0))^12 - 1)+$N$2)^(1/252)</f>
        <v>119353487.98866889</v>
      </c>
      <c r="O449" s="2">
        <f t="shared" si="68"/>
        <v>657116911.5892179</v>
      </c>
      <c r="P449" s="2">
        <v>0</v>
      </c>
      <c r="Q449" s="2">
        <v>0</v>
      </c>
      <c r="R449" s="2">
        <f t="shared" si="77"/>
        <v>284170.46910631657</v>
      </c>
      <c r="S449" s="2">
        <f t="shared" si="70"/>
        <v>852138.06963729858</v>
      </c>
      <c r="T449" s="2">
        <f t="shared" si="71"/>
        <v>17832510.762402043</v>
      </c>
      <c r="U449" s="11">
        <f t="shared" si="74"/>
        <v>1.1837347769389239</v>
      </c>
      <c r="V449" s="12">
        <f t="shared" si="75"/>
        <v>4.3263749097177673E-4</v>
      </c>
      <c r="W449" s="12">
        <f t="shared" si="72"/>
        <v>1.2984668749889128E-3</v>
      </c>
      <c r="X449" s="12">
        <f t="shared" si="73"/>
        <v>3.3687427510393331E-2</v>
      </c>
      <c r="Y449" s="5">
        <f t="shared" si="76"/>
        <v>0.18373477693892393</v>
      </c>
      <c r="Z449" s="19">
        <f t="shared" si="67"/>
        <v>6.1318923221733268E-2</v>
      </c>
      <c r="AA449" s="19">
        <f t="shared" si="78"/>
        <v>0.10729809550081226</v>
      </c>
      <c r="AB449" s="19" t="s">
        <v>53</v>
      </c>
    </row>
    <row r="450" spans="1:28" x14ac:dyDescent="0.25">
      <c r="A450" s="1">
        <v>45751</v>
      </c>
      <c r="B450" s="1" t="str">
        <f t="shared" si="69"/>
        <v>202504</v>
      </c>
      <c r="C450" s="2">
        <v>0</v>
      </c>
      <c r="D450" s="2">
        <v>0</v>
      </c>
      <c r="E450" s="2">
        <v>0</v>
      </c>
      <c r="F450" s="2">
        <f>F449*(1+((1+VLOOKUP($B450,'IPCA Hist'!$B:$C,2,0))^12 - 1)+$F$2)^(1/252)</f>
        <v>46238553.476977088</v>
      </c>
      <c r="G450" s="2">
        <f>G449*(1+((1+VLOOKUP($B450,'IPCA Hist'!$B:$C,2,0))^12 - 1)+$G$2)^(1/252)</f>
        <v>46225116.714125402</v>
      </c>
      <c r="H450" s="2">
        <f>H449*(1+((1+VLOOKUP($B450,'IPCA Hist'!$B:$C,2,0))^12 - 1)+$H$2)^(1/252)</f>
        <v>47243318.657963745</v>
      </c>
      <c r="I450" s="2">
        <f>I449*(1+((1+VLOOKUP($B450,'IPCA Hist'!$B:$C,2,0))^12 - 1)+$I$2)^(1/252)</f>
        <v>238602022.04618946</v>
      </c>
      <c r="J450" s="2">
        <f>J449*(1+((1+VLOOKUP($B450,'IPCA Hist'!$B:$C,2,0))^12 - 1)+$J$2)^(1/252)</f>
        <v>20962876.159797568</v>
      </c>
      <c r="K450" s="2">
        <f>K449*(1+((1+VLOOKUP($B450,'IPCA Hist'!$B:$C,2,0))^12 - 1)+$K$2)^(1/252)</f>
        <v>81265857.305003062</v>
      </c>
      <c r="L450" s="2">
        <f>L449*(1+((1+VLOOKUP($B450,'IPCA Hist'!$B:$C,2,0))^12 - 1)+$L$2)^(1/252)</f>
        <v>42788525.199128918</v>
      </c>
      <c r="M450" s="2">
        <f>M449*(1+((1+VLOOKUP($B450,'IPCA Hist'!$B:$C,2,0))^12 - 1)+$M$2)^(1/252)</f>
        <v>14662277.415914139</v>
      </c>
      <c r="N450" s="2">
        <f>N449*(1+((1+VLOOKUP($B450,'IPCA Hist'!$B:$C,2,0))^12 - 1)+$N$2)^(1/252)</f>
        <v>119412659.60276556</v>
      </c>
      <c r="O450" s="2">
        <f t="shared" si="68"/>
        <v>657401206.57786489</v>
      </c>
      <c r="P450" s="2">
        <v>0</v>
      </c>
      <c r="Q450" s="2">
        <v>0</v>
      </c>
      <c r="R450" s="2">
        <f t="shared" si="77"/>
        <v>284294.9886469841</v>
      </c>
      <c r="S450" s="2">
        <f t="shared" si="70"/>
        <v>1136433.0582842827</v>
      </c>
      <c r="T450" s="2">
        <f t="shared" si="71"/>
        <v>18116805.751049027</v>
      </c>
      <c r="U450" s="11">
        <f t="shared" si="74"/>
        <v>1.1842469078231481</v>
      </c>
      <c r="V450" s="12">
        <f t="shared" si="75"/>
        <v>4.3263989045638773E-4</v>
      </c>
      <c r="W450" s="12">
        <f t="shared" si="72"/>
        <v>1.7316685340118543E-3</v>
      </c>
      <c r="X450" s="12">
        <f t="shared" si="73"/>
        <v>3.4134641925797515E-2</v>
      </c>
      <c r="Y450" s="5">
        <f t="shared" si="76"/>
        <v>0.18424690782314812</v>
      </c>
      <c r="Z450" s="19">
        <f t="shared" ref="Z450:Z513" si="79">U450/U324 - 1</f>
        <v>6.129768856686435E-2</v>
      </c>
      <c r="AA450" s="19">
        <f t="shared" si="78"/>
        <v>0.10736876564751596</v>
      </c>
      <c r="AB450" s="19" t="s">
        <v>53</v>
      </c>
    </row>
    <row r="451" spans="1:28" x14ac:dyDescent="0.25">
      <c r="A451" s="1">
        <v>45754</v>
      </c>
      <c r="B451" s="1" t="str">
        <f t="shared" si="69"/>
        <v>202504</v>
      </c>
      <c r="C451" s="2">
        <v>0</v>
      </c>
      <c r="D451" s="2">
        <v>0</v>
      </c>
      <c r="E451" s="2">
        <v>0</v>
      </c>
      <c r="F451" s="2">
        <f>F450*(1+((1+VLOOKUP($B451,'IPCA Hist'!$B:$C,2,0))^12 - 1)+$F$2)^(1/252)</f>
        <v>46256798.936740078</v>
      </c>
      <c r="G451" s="2">
        <f>G450*(1+((1+VLOOKUP($B451,'IPCA Hist'!$B:$C,2,0))^12 - 1)+$G$2)^(1/252)</f>
        <v>46243373.484990895</v>
      </c>
      <c r="H451" s="2">
        <f>H450*(1+((1+VLOOKUP($B451,'IPCA Hist'!$B:$C,2,0))^12 - 1)+$H$2)^(1/252)</f>
        <v>47261773.720812857</v>
      </c>
      <c r="I451" s="2">
        <f>I450*(1+((1+VLOOKUP($B451,'IPCA Hist'!$B:$C,2,0))^12 - 1)+$I$2)^(1/252)</f>
        <v>238695143.35518381</v>
      </c>
      <c r="J451" s="2">
        <f>J450*(1+((1+VLOOKUP($B451,'IPCA Hist'!$B:$C,2,0))^12 - 1)+$J$2)^(1/252)</f>
        <v>20972069.608239669</v>
      </c>
      <c r="K451" s="2">
        <f>K450*(1+((1+VLOOKUP($B451,'IPCA Hist'!$B:$C,2,0))^12 - 1)+$K$2)^(1/252)</f>
        <v>81305716.026267543</v>
      </c>
      <c r="L451" s="2">
        <f>L450*(1+((1+VLOOKUP($B451,'IPCA Hist'!$B:$C,2,0))^12 - 1)+$L$2)^(1/252)</f>
        <v>42809648.387791105</v>
      </c>
      <c r="M451" s="2">
        <f>M450*(1+((1+VLOOKUP($B451,'IPCA Hist'!$B:$C,2,0))^12 - 1)+$M$2)^(1/252)</f>
        <v>14669242.069050593</v>
      </c>
      <c r="N451" s="2">
        <f>N450*(1+((1+VLOOKUP($B451,'IPCA Hist'!$B:$C,2,0))^12 - 1)+$N$2)^(1/252)</f>
        <v>119471860.55224214</v>
      </c>
      <c r="O451" s="2">
        <f t="shared" ref="O451:O514" si="80">SUM(C451:N451)</f>
        <v>657685626.14131868</v>
      </c>
      <c r="P451" s="2">
        <v>0</v>
      </c>
      <c r="Q451" s="2">
        <v>0</v>
      </c>
      <c r="R451" s="2">
        <f t="shared" si="77"/>
        <v>284419.56345379353</v>
      </c>
      <c r="S451" s="2">
        <f t="shared" si="70"/>
        <v>1420852.6217380762</v>
      </c>
      <c r="T451" s="2">
        <f t="shared" si="71"/>
        <v>18401225.31450282</v>
      </c>
      <c r="U451" s="11">
        <f t="shared" si="74"/>
        <v>1.1847592631172581</v>
      </c>
      <c r="V451" s="12">
        <f t="shared" si="75"/>
        <v>4.3264228998651788E-4</v>
      </c>
      <c r="W451" s="12">
        <f t="shared" si="72"/>
        <v>2.1650600170384227E-3</v>
      </c>
      <c r="X451" s="12">
        <f t="shared" si="73"/>
        <v>3.4582052305434763E-2</v>
      </c>
      <c r="Y451" s="5">
        <f t="shared" si="76"/>
        <v>0.1847592631172581</v>
      </c>
      <c r="Z451" s="19">
        <f t="shared" si="79"/>
        <v>6.1276456765543719E-2</v>
      </c>
      <c r="AA451" s="19">
        <f t="shared" si="78"/>
        <v>0.10743944295663654</v>
      </c>
      <c r="AB451" s="19" t="s">
        <v>53</v>
      </c>
    </row>
    <row r="452" spans="1:28" x14ac:dyDescent="0.25">
      <c r="A452" s="1">
        <v>45755</v>
      </c>
      <c r="B452" s="1" t="str">
        <f t="shared" ref="B452:B453" si="81">_xlfn.CONCAT(TEXT(YEAR(A452),"0000"),TEXT(MONTH(A452),"00"))</f>
        <v>202504</v>
      </c>
      <c r="C452" s="2">
        <v>0</v>
      </c>
      <c r="D452" s="2">
        <v>0</v>
      </c>
      <c r="E452" s="2">
        <v>0</v>
      </c>
      <c r="F452" s="2">
        <f>F451*(1+((1+VLOOKUP($B452,'IPCA Hist'!$B:$C,2,0))^12 - 1)+$F$2)^(1/252)</f>
        <v>46275051.596053593</v>
      </c>
      <c r="G452" s="2">
        <f>G451*(1+((1+VLOOKUP($B452,'IPCA Hist'!$B:$C,2,0))^12 - 1)+$G$2)^(1/252)</f>
        <v>46261637.466431633</v>
      </c>
      <c r="H452" s="2">
        <f>H451*(1+((1+VLOOKUP($B452,'IPCA Hist'!$B:$C,2,0))^12 - 1)+$H$2)^(1/252)</f>
        <v>47280235.992921486</v>
      </c>
      <c r="I452" s="2">
        <f>I451*(1+((1+VLOOKUP($B452,'IPCA Hist'!$B:$C,2,0))^12 - 1)+$I$2)^(1/252)</f>
        <v>238788301.00745016</v>
      </c>
      <c r="J452" s="2">
        <f>J451*(1+((1+VLOOKUP($B452,'IPCA Hist'!$B:$C,2,0))^12 - 1)+$J$2)^(1/252)</f>
        <v>20981267.088547133</v>
      </c>
      <c r="K452" s="2">
        <f>K451*(1+((1+VLOOKUP($B452,'IPCA Hist'!$B:$C,2,0))^12 - 1)+$K$2)^(1/252)</f>
        <v>81345594.297164723</v>
      </c>
      <c r="L452" s="2">
        <f>L451*(1+((1+VLOOKUP($B452,'IPCA Hist'!$B:$C,2,0))^12 - 1)+$L$2)^(1/252)</f>
        <v>42830782.004227959</v>
      </c>
      <c r="M452" s="2">
        <f>M451*(1+((1+VLOOKUP($B452,'IPCA Hist'!$B:$C,2,0))^12 - 1)+$M$2)^(1/252)</f>
        <v>14676210.030431185</v>
      </c>
      <c r="N452" s="2">
        <f>N451*(1+((1+VLOOKUP($B452,'IPCA Hist'!$B:$C,2,0))^12 - 1)+$N$2)^(1/252)</f>
        <v>119531090.85164219</v>
      </c>
      <c r="O452" s="2">
        <f t="shared" si="80"/>
        <v>657970170.3348701</v>
      </c>
      <c r="P452" s="2">
        <v>0</v>
      </c>
      <c r="Q452" s="2">
        <v>0</v>
      </c>
      <c r="R452" s="2">
        <f t="shared" si="77"/>
        <v>284544.19355142117</v>
      </c>
      <c r="S452" s="2">
        <f t="shared" ref="S452:S515" si="82">IF(MONTH(A452)=MONTH(A451),R452+S451,R452)</f>
        <v>1705396.8152894974</v>
      </c>
      <c r="T452" s="2">
        <f t="shared" ref="T452:T515" si="83">IF(YEAR(A452)=YEAR(A451),R452+T451,R452)</f>
        <v>18685769.508054242</v>
      </c>
      <c r="U452" s="11">
        <f t="shared" si="74"/>
        <v>1.1852718429208553</v>
      </c>
      <c r="V452" s="12">
        <f t="shared" si="75"/>
        <v>4.3264468956216717E-4</v>
      </c>
      <c r="W452" s="12">
        <f t="shared" ref="W452:W515" si="84">IF(MONTH(A452)=MONTH(A451),(1+V452)*(1+W451) - 1,V452)</f>
        <v>2.5986414083194465E-3</v>
      </c>
      <c r="X452" s="12">
        <f t="shared" ref="X452:X515" si="85">IF(YEAR(A452)=YEAR(A451),(1+V452)*(1+X451) - 1,V452)</f>
        <v>3.5029658736281055E-2</v>
      </c>
      <c r="Y452" s="5">
        <f t="shared" si="76"/>
        <v>0.1852718429208553</v>
      </c>
      <c r="Z452" s="19">
        <f t="shared" si="79"/>
        <v>6.1255227817660796E-2</v>
      </c>
      <c r="AA452" s="19">
        <f t="shared" si="78"/>
        <v>0.10751012742902133</v>
      </c>
      <c r="AB452" s="19" t="s">
        <v>53</v>
      </c>
    </row>
    <row r="453" spans="1:28" x14ac:dyDescent="0.25">
      <c r="A453" s="1">
        <v>45756</v>
      </c>
      <c r="B453" s="1" t="str">
        <f t="shared" si="81"/>
        <v>202504</v>
      </c>
      <c r="C453" s="2">
        <v>0</v>
      </c>
      <c r="D453" s="2">
        <v>0</v>
      </c>
      <c r="E453" s="2">
        <v>0</v>
      </c>
      <c r="F453" s="2">
        <f>F452*(1+((1+VLOOKUP($B453,'IPCA Hist'!$B:$C,2,0))^12 - 1)+$F$2)^(1/252)</f>
        <v>46293311.457758531</v>
      </c>
      <c r="G453" s="2">
        <f>G452*(1+((1+VLOOKUP($B453,'IPCA Hist'!$B:$C,2,0))^12 - 1)+$G$2)^(1/252)</f>
        <v>46279908.661295466</v>
      </c>
      <c r="H453" s="2">
        <f>H452*(1+((1+VLOOKUP($B453,'IPCA Hist'!$B:$C,2,0))^12 - 1)+$H$2)^(1/252)</f>
        <v>47298705.477105848</v>
      </c>
      <c r="I453" s="2">
        <f>I452*(1+((1+VLOOKUP($B453,'IPCA Hist'!$B:$C,2,0))^12 - 1)+$I$2)^(1/252)</f>
        <v>238881495.01717255</v>
      </c>
      <c r="J453" s="2">
        <f>J452*(1+((1+VLOOKUP($B453,'IPCA Hist'!$B:$C,2,0))^12 - 1)+$J$2)^(1/252)</f>
        <v>20990468.602488164</v>
      </c>
      <c r="K453" s="2">
        <f>K452*(1+((1+VLOOKUP($B453,'IPCA Hist'!$B:$C,2,0))^12 - 1)+$K$2)^(1/252)</f>
        <v>81385492.127283156</v>
      </c>
      <c r="L453" s="2">
        <f>L452*(1+((1+VLOOKUP($B453,'IPCA Hist'!$B:$C,2,0))^12 - 1)+$L$2)^(1/252)</f>
        <v>42851926.05358731</v>
      </c>
      <c r="M453" s="2">
        <f>M452*(1+((1+VLOOKUP($B453,'IPCA Hist'!$B:$C,2,0))^12 - 1)+$M$2)^(1/252)</f>
        <v>14683181.301627347</v>
      </c>
      <c r="N453" s="2">
        <f>N452*(1+((1+VLOOKUP($B453,'IPCA Hist'!$B:$C,2,0))^12 - 1)+$N$2)^(1/252)</f>
        <v>119590350.51551645</v>
      </c>
      <c r="O453" s="2">
        <f t="shared" si="80"/>
        <v>658254839.21383476</v>
      </c>
      <c r="P453" s="2">
        <v>0</v>
      </c>
      <c r="Q453" s="2">
        <v>0</v>
      </c>
      <c r="R453" s="2">
        <f t="shared" si="77"/>
        <v>284668.87896466255</v>
      </c>
      <c r="S453" s="2">
        <f t="shared" si="82"/>
        <v>1990065.6942541599</v>
      </c>
      <c r="T453" s="2">
        <f t="shared" si="83"/>
        <v>18970438.387018904</v>
      </c>
      <c r="U453" s="11">
        <f t="shared" ref="U453:U516" si="86">(1+(O453-O452-P453+Q453)/O452)*U452</f>
        <v>1.1857846473335858</v>
      </c>
      <c r="V453" s="12">
        <f t="shared" ref="V453:V516" si="87">U453/U452 - 1</f>
        <v>4.3264708918311356E-4</v>
      </c>
      <c r="W453" s="12">
        <f t="shared" si="84"/>
        <v>3.0324127921437238E-3</v>
      </c>
      <c r="X453" s="12">
        <f t="shared" si="85"/>
        <v>3.5477461305351454E-2</v>
      </c>
      <c r="Y453" s="5">
        <f t="shared" ref="Y453:Y516" si="88">(1+V453)*(1+Y452) - 1</f>
        <v>0.1857846473335858</v>
      </c>
      <c r="Z453" s="19">
        <f t="shared" si="79"/>
        <v>6.1234001723105225E-2</v>
      </c>
      <c r="AA453" s="19">
        <f t="shared" si="78"/>
        <v>0.10758081906551564</v>
      </c>
      <c r="AB453" s="19" t="s">
        <v>53</v>
      </c>
    </row>
    <row r="454" spans="1:28" x14ac:dyDescent="0.25">
      <c r="A454" s="1">
        <v>45757</v>
      </c>
      <c r="B454" s="1" t="str">
        <f>_xlfn.CONCAT(TEXT(YEAR(A454),"0000"),TEXT(MONTH(A454),"00"))</f>
        <v>202504</v>
      </c>
      <c r="C454" s="2">
        <v>0</v>
      </c>
      <c r="D454" s="2">
        <v>0</v>
      </c>
      <c r="E454" s="2">
        <v>0</v>
      </c>
      <c r="F454" s="2">
        <f>F453*(1+((1+VLOOKUP($B454,'IPCA Hist'!$B:$C,2,0))^12 - 1)+$F$2)^(1/252)</f>
        <v>46311578.524696916</v>
      </c>
      <c r="G454" s="2">
        <f>G453*(1+((1+VLOOKUP($B454,'IPCA Hist'!$B:$C,2,0))^12 - 1)+$G$2)^(1/252)</f>
        <v>46298187.072431356</v>
      </c>
      <c r="H454" s="2">
        <f>H453*(1+((1+VLOOKUP($B454,'IPCA Hist'!$B:$C,2,0))^12 - 1)+$H$2)^(1/252)</f>
        <v>47317182.176183261</v>
      </c>
      <c r="I454" s="2">
        <f>I453*(1+((1+VLOOKUP($B454,'IPCA Hist'!$B:$C,2,0))^12 - 1)+$I$2)^(1/252)</f>
        <v>238974725.3985405</v>
      </c>
      <c r="J454" s="2">
        <f>J453*(1+((1+VLOOKUP($B454,'IPCA Hist'!$B:$C,2,0))^12 - 1)+$J$2)^(1/252)</f>
        <v>20999674.15183175</v>
      </c>
      <c r="K454" s="2">
        <f>K453*(1+((1+VLOOKUP($B454,'IPCA Hist'!$B:$C,2,0))^12 - 1)+$K$2)^(1/252)</f>
        <v>81425409.526216134</v>
      </c>
      <c r="L454" s="2">
        <f>L453*(1+((1+VLOOKUP($B454,'IPCA Hist'!$B:$C,2,0))^12 - 1)+$L$2)^(1/252)</f>
        <v>42873080.541019522</v>
      </c>
      <c r="M454" s="2">
        <f>M453*(1+((1+VLOOKUP($B454,'IPCA Hist'!$B:$C,2,0))^12 - 1)+$M$2)^(1/252)</f>
        <v>14690155.884211257</v>
      </c>
      <c r="N454" s="2">
        <f>N453*(1+((1+VLOOKUP($B454,'IPCA Hist'!$B:$C,2,0))^12 - 1)+$N$2)^(1/252)</f>
        <v>119649639.55842285</v>
      </c>
      <c r="O454" s="2">
        <f t="shared" si="80"/>
        <v>658539632.83355343</v>
      </c>
      <c r="P454" s="2">
        <v>0</v>
      </c>
      <c r="Q454" s="2">
        <v>0</v>
      </c>
      <c r="R454" s="2">
        <f t="shared" si="77"/>
        <v>284793.61971867085</v>
      </c>
      <c r="S454" s="2">
        <f t="shared" si="82"/>
        <v>2274859.3139728308</v>
      </c>
      <c r="T454" s="2">
        <f t="shared" si="83"/>
        <v>19255232.006737575</v>
      </c>
      <c r="U454" s="11">
        <f t="shared" si="86"/>
        <v>1.1862976764551403</v>
      </c>
      <c r="V454" s="12">
        <f t="shared" si="87"/>
        <v>4.326494888495791E-4</v>
      </c>
      <c r="W454" s="12">
        <f t="shared" si="84"/>
        <v>3.4663742528378005E-3</v>
      </c>
      <c r="X454" s="12">
        <f t="shared" si="85"/>
        <v>3.5925460099700546E-2</v>
      </c>
      <c r="Y454" s="5">
        <f t="shared" si="88"/>
        <v>0.18629767645514028</v>
      </c>
      <c r="Z454" s="19">
        <f t="shared" si="79"/>
        <v>6.121277848176554E-2</v>
      </c>
      <c r="AA454" s="19">
        <f t="shared" si="78"/>
        <v>0.10765151786696592</v>
      </c>
      <c r="AB454" s="19" t="s">
        <v>53</v>
      </c>
    </row>
    <row r="455" spans="1:28" x14ac:dyDescent="0.25">
      <c r="A455" s="1">
        <v>45758</v>
      </c>
      <c r="B455" s="1" t="str">
        <f>_xlfn.CONCAT(TEXT(YEAR(A455),"0000"),TEXT(MONTH(A455),"00"))</f>
        <v>202504</v>
      </c>
      <c r="C455" s="2">
        <v>0</v>
      </c>
      <c r="D455" s="2">
        <v>0</v>
      </c>
      <c r="E455" s="2">
        <v>0</v>
      </c>
      <c r="F455" s="2">
        <f>F454*(1+((1+VLOOKUP($B455,'IPCA Hist'!$B:$C,2,0))^12 - 1)+$F$2)^(1/252)</f>
        <v>46329852.799711891</v>
      </c>
      <c r="G455" s="2">
        <f>G454*(1+((1+VLOOKUP($B455,'IPCA Hist'!$B:$C,2,0))^12 - 1)+$G$2)^(1/252)</f>
        <v>46316472.702689394</v>
      </c>
      <c r="H455" s="2">
        <f>H454*(1+((1+VLOOKUP($B455,'IPCA Hist'!$B:$C,2,0))^12 - 1)+$H$2)^(1/252)</f>
        <v>47335666.092972137</v>
      </c>
      <c r="I455" s="2">
        <f>I454*(1+((1+VLOOKUP($B455,'IPCA Hist'!$B:$C,2,0))^12 - 1)+$I$2)^(1/252)</f>
        <v>239067992.16574907</v>
      </c>
      <c r="J455" s="2">
        <f>J454*(1+((1+VLOOKUP($B455,'IPCA Hist'!$B:$C,2,0))^12 - 1)+$J$2)^(1/252)</f>
        <v>21008883.738347653</v>
      </c>
      <c r="K455" s="2">
        <f>K454*(1+((1+VLOOKUP($B455,'IPCA Hist'!$B:$C,2,0))^12 - 1)+$K$2)^(1/252)</f>
        <v>81465346.503561616</v>
      </c>
      <c r="L455" s="2">
        <f>L454*(1+((1+VLOOKUP($B455,'IPCA Hist'!$B:$C,2,0))^12 - 1)+$L$2)^(1/252)</f>
        <v>42894245.471677504</v>
      </c>
      <c r="M455" s="2">
        <f>M454*(1+((1+VLOOKUP($B455,'IPCA Hist'!$B:$C,2,0))^12 - 1)+$M$2)^(1/252)</f>
        <v>14697133.779755842</v>
      </c>
      <c r="N455" s="2">
        <f>N454*(1+((1+VLOOKUP($B455,'IPCA Hist'!$B:$C,2,0))^12 - 1)+$N$2)^(1/252)</f>
        <v>119708957.9949266</v>
      </c>
      <c r="O455" s="2">
        <f t="shared" si="80"/>
        <v>658824551.24939167</v>
      </c>
      <c r="P455" s="2">
        <v>0</v>
      </c>
      <c r="Q455" s="2">
        <v>0</v>
      </c>
      <c r="R455" s="2">
        <f t="shared" si="77"/>
        <v>284918.41583824158</v>
      </c>
      <c r="S455" s="2">
        <f t="shared" si="82"/>
        <v>2559777.7298110723</v>
      </c>
      <c r="T455" s="2">
        <f t="shared" si="83"/>
        <v>19540150.422575817</v>
      </c>
      <c r="U455" s="11">
        <f t="shared" si="86"/>
        <v>1.186810930385255</v>
      </c>
      <c r="V455" s="12">
        <f t="shared" si="87"/>
        <v>4.3265188856178582E-4</v>
      </c>
      <c r="W455" s="12">
        <f t="shared" si="84"/>
        <v>3.900525874766636E-3</v>
      </c>
      <c r="X455" s="12">
        <f t="shared" si="85"/>
        <v>3.6373655206421995E-2</v>
      </c>
      <c r="Y455" s="5">
        <f t="shared" si="88"/>
        <v>0.18681093038525498</v>
      </c>
      <c r="Z455" s="19">
        <f t="shared" si="79"/>
        <v>6.1191558093531606E-2</v>
      </c>
      <c r="AA455" s="19">
        <f t="shared" si="78"/>
        <v>0.10772222383421859</v>
      </c>
      <c r="AB455" s="19" t="s">
        <v>53</v>
      </c>
    </row>
    <row r="456" spans="1:28" x14ac:dyDescent="0.25">
      <c r="A456" s="1">
        <v>45761</v>
      </c>
      <c r="B456" s="1" t="str">
        <f t="shared" ref="B456:B519" si="89">_xlfn.CONCAT(TEXT(YEAR(A456),"0000"),TEXT(MONTH(A456),"00"))</f>
        <v>202504</v>
      </c>
      <c r="C456" s="2">
        <v>0</v>
      </c>
      <c r="D456" s="2">
        <v>0</v>
      </c>
      <c r="E456" s="2">
        <v>0</v>
      </c>
      <c r="F456" s="2">
        <f>F455*(1+((1+VLOOKUP($B456,'IPCA Hist'!$B:$C,2,0))^12 - 1)+$F$2)^(1/252)</f>
        <v>46348134.28564772</v>
      </c>
      <c r="G456" s="2">
        <f>G455*(1+((1+VLOOKUP($B456,'IPCA Hist'!$B:$C,2,0))^12 - 1)+$G$2)^(1/252)</f>
        <v>46334765.5549208</v>
      </c>
      <c r="H456" s="2">
        <f>H455*(1+((1+VLOOKUP($B456,'IPCA Hist'!$B:$C,2,0))^12 - 1)+$H$2)^(1/252)</f>
        <v>47354157.230291992</v>
      </c>
      <c r="I456" s="2">
        <f>I455*(1+((1+VLOOKUP($B456,'IPCA Hist'!$B:$C,2,0))^12 - 1)+$I$2)^(1/252)</f>
        <v>239161295.33299893</v>
      </c>
      <c r="J456" s="2">
        <f>J455*(1+((1+VLOOKUP($B456,'IPCA Hist'!$B:$C,2,0))^12 - 1)+$J$2)^(1/252)</f>
        <v>21018097.363806408</v>
      </c>
      <c r="K456" s="2">
        <f>K455*(1+((1+VLOOKUP($B456,'IPCA Hist'!$B:$C,2,0))^12 - 1)+$K$2)^(1/252)</f>
        <v>81505303.068922311</v>
      </c>
      <c r="L456" s="2">
        <f>L455*(1+((1+VLOOKUP($B456,'IPCA Hist'!$B:$C,2,0))^12 - 1)+$L$2)^(1/252)</f>
        <v>42915420.85071671</v>
      </c>
      <c r="M456" s="2">
        <f>M455*(1+((1+VLOOKUP($B456,'IPCA Hist'!$B:$C,2,0))^12 - 1)+$M$2)^(1/252)</f>
        <v>14704114.989834772</v>
      </c>
      <c r="N456" s="2">
        <f>N455*(1+((1+VLOOKUP($B456,'IPCA Hist'!$B:$C,2,0))^12 - 1)+$N$2)^(1/252)</f>
        <v>119768305.83960009</v>
      </c>
      <c r="O456" s="2">
        <f t="shared" si="80"/>
        <v>659109594.51673973</v>
      </c>
      <c r="P456" s="2">
        <v>0</v>
      </c>
      <c r="Q456" s="2">
        <v>0</v>
      </c>
      <c r="R456" s="2">
        <f t="shared" si="77"/>
        <v>285043.26734805107</v>
      </c>
      <c r="S456" s="2">
        <f t="shared" si="82"/>
        <v>2844820.9971591234</v>
      </c>
      <c r="T456" s="2">
        <f t="shared" si="83"/>
        <v>19825193.689923868</v>
      </c>
      <c r="U456" s="11">
        <f t="shared" si="86"/>
        <v>1.1873244092237103</v>
      </c>
      <c r="V456" s="12">
        <f t="shared" si="87"/>
        <v>4.3265428831928965E-4</v>
      </c>
      <c r="W456" s="12">
        <f t="shared" si="84"/>
        <v>4.3348677423322712E-3</v>
      </c>
      <c r="X456" s="12">
        <f t="shared" si="85"/>
        <v>3.6822046712648104E-2</v>
      </c>
      <c r="Y456" s="5">
        <f t="shared" si="88"/>
        <v>0.1873244092237103</v>
      </c>
      <c r="Z456" s="19">
        <f t="shared" si="79"/>
        <v>6.1170340558292624E-2</v>
      </c>
      <c r="AA456" s="19">
        <f t="shared" si="78"/>
        <v>0.10779293696811987</v>
      </c>
      <c r="AB456" s="19" t="s">
        <v>53</v>
      </c>
    </row>
    <row r="457" spans="1:28" x14ac:dyDescent="0.25">
      <c r="A457" s="1">
        <v>45762</v>
      </c>
      <c r="B457" s="1" t="str">
        <f t="shared" si="89"/>
        <v>202504</v>
      </c>
      <c r="C457" s="2">
        <v>0</v>
      </c>
      <c r="D457" s="2">
        <v>0</v>
      </c>
      <c r="E457" s="2">
        <v>0</v>
      </c>
      <c r="F457" s="2">
        <f>F456*(1+((1+VLOOKUP($B457,'IPCA Hist'!$B:$C,2,0))^12 - 1)+$F$2)^(1/252)</f>
        <v>46366422.985349789</v>
      </c>
      <c r="G457" s="2">
        <f>G456*(1+((1+VLOOKUP($B457,'IPCA Hist'!$B:$C,2,0))^12 - 1)+$G$2)^(1/252)</f>
        <v>46353065.631977908</v>
      </c>
      <c r="H457" s="2">
        <f>H456*(1+((1+VLOOKUP($B457,'IPCA Hist'!$B:$C,2,0))^12 - 1)+$H$2)^(1/252)</f>
        <v>47372655.590963453</v>
      </c>
      <c r="I457" s="2">
        <f>I456*(1+((1+VLOOKUP($B457,'IPCA Hist'!$B:$C,2,0))^12 - 1)+$I$2)^(1/252)</f>
        <v>239254634.91449621</v>
      </c>
      <c r="J457" s="2">
        <f>J456*(1+((1+VLOOKUP($B457,'IPCA Hist'!$B:$C,2,0))^12 - 1)+$J$2)^(1/252)</f>
        <v>21027315.029979326</v>
      </c>
      <c r="K457" s="2">
        <f>K456*(1+((1+VLOOKUP($B457,'IPCA Hist'!$B:$C,2,0))^12 - 1)+$K$2)^(1/252)</f>
        <v>81545279.231905594</v>
      </c>
      <c r="L457" s="2">
        <f>L456*(1+((1+VLOOKUP($B457,'IPCA Hist'!$B:$C,2,0))^12 - 1)+$L$2)^(1/252)</f>
        <v>42936606.683295138</v>
      </c>
      <c r="M457" s="2">
        <f>M456*(1+((1+VLOOKUP($B457,'IPCA Hist'!$B:$C,2,0))^12 - 1)+$M$2)^(1/252)</f>
        <v>14711099.51602247</v>
      </c>
      <c r="N457" s="2">
        <f>N456*(1+((1+VLOOKUP($B457,'IPCA Hist'!$B:$C,2,0))^12 - 1)+$N$2)^(1/252)</f>
        <v>119827683.10702294</v>
      </c>
      <c r="O457" s="2">
        <f t="shared" si="80"/>
        <v>659394762.69101286</v>
      </c>
      <c r="P457" s="2">
        <v>0</v>
      </c>
      <c r="Q457" s="2">
        <v>0</v>
      </c>
      <c r="R457" s="2">
        <f t="shared" ref="R457:R520" si="90">O457-O456-P457+Q457</f>
        <v>285168.17427313328</v>
      </c>
      <c r="S457" s="2">
        <f t="shared" si="82"/>
        <v>3129989.1714322567</v>
      </c>
      <c r="T457" s="2">
        <f t="shared" si="83"/>
        <v>20110361.864197001</v>
      </c>
      <c r="U457" s="11">
        <f t="shared" si="86"/>
        <v>1.1878381130703315</v>
      </c>
      <c r="V457" s="12">
        <f t="shared" si="87"/>
        <v>4.3265668812209057E-4</v>
      </c>
      <c r="W457" s="12">
        <f t="shared" si="84"/>
        <v>4.7693999399751608E-3</v>
      </c>
      <c r="X457" s="12">
        <f t="shared" si="85"/>
        <v>3.7270634705550698E-2</v>
      </c>
      <c r="Y457" s="5">
        <f t="shared" si="88"/>
        <v>0.18783811307033149</v>
      </c>
      <c r="Z457" s="19">
        <f t="shared" si="79"/>
        <v>6.1149125875938015E-2</v>
      </c>
      <c r="AA457" s="19">
        <f t="shared" si="78"/>
        <v>0.10786365726951619</v>
      </c>
      <c r="AB457" s="19" t="s">
        <v>53</v>
      </c>
    </row>
    <row r="458" spans="1:28" x14ac:dyDescent="0.25">
      <c r="A458" s="1">
        <v>45763</v>
      </c>
      <c r="B458" s="1" t="str">
        <f t="shared" si="89"/>
        <v>202504</v>
      </c>
      <c r="C458" s="2">
        <v>0</v>
      </c>
      <c r="D458" s="2">
        <v>0</v>
      </c>
      <c r="E458" s="2">
        <v>0</v>
      </c>
      <c r="F458" s="2">
        <f>F457*(1+((1+VLOOKUP($B458,'IPCA Hist'!$B:$C,2,0))^12 - 1)+$F$2)^(1/252)</f>
        <v>46384718.901664607</v>
      </c>
      <c r="G458" s="2">
        <f>G457*(1+((1+VLOOKUP($B458,'IPCA Hist'!$B:$C,2,0))^12 - 1)+$G$2)^(1/252)</f>
        <v>46371372.936714202</v>
      </c>
      <c r="H458" s="2">
        <f>H457*(1+((1+VLOOKUP($B458,'IPCA Hist'!$B:$C,2,0))^12 - 1)+$H$2)^(1/252)</f>
        <v>47391161.177808233</v>
      </c>
      <c r="I458" s="2">
        <f>I457*(1+((1+VLOOKUP($B458,'IPCA Hist'!$B:$C,2,0))^12 - 1)+$I$2)^(1/252)</f>
        <v>239348010.92445263</v>
      </c>
      <c r="J458" s="2">
        <f>J457*(1+((1+VLOOKUP($B458,'IPCA Hist'!$B:$C,2,0))^12 - 1)+$J$2)^(1/252)</f>
        <v>21036536.738638498</v>
      </c>
      <c r="K458" s="2">
        <f>K457*(1+((1+VLOOKUP($B458,'IPCA Hist'!$B:$C,2,0))^12 - 1)+$K$2)^(1/252)</f>
        <v>81585275.002123579</v>
      </c>
      <c r="L458" s="2">
        <f>L457*(1+((1+VLOOKUP($B458,'IPCA Hist'!$B:$C,2,0))^12 - 1)+$L$2)^(1/252)</f>
        <v>42957802.974573337</v>
      </c>
      <c r="M458" s="2">
        <f>M457*(1+((1+VLOOKUP($B458,'IPCA Hist'!$B:$C,2,0))^12 - 1)+$M$2)^(1/252)</f>
        <v>14718087.359894101</v>
      </c>
      <c r="N458" s="2">
        <f>N457*(1+((1+VLOOKUP($B458,'IPCA Hist'!$B:$C,2,0))^12 - 1)+$N$2)^(1/252)</f>
        <v>119887089.811782</v>
      </c>
      <c r="O458" s="2">
        <f t="shared" si="80"/>
        <v>659680055.82765126</v>
      </c>
      <c r="P458" s="2">
        <v>0</v>
      </c>
      <c r="Q458" s="2">
        <v>0</v>
      </c>
      <c r="R458" s="2">
        <f t="shared" si="90"/>
        <v>285293.13663840294</v>
      </c>
      <c r="S458" s="2">
        <f t="shared" si="82"/>
        <v>3415282.3080706596</v>
      </c>
      <c r="T458" s="2">
        <f t="shared" si="83"/>
        <v>20395655.000835404</v>
      </c>
      <c r="U458" s="11">
        <f t="shared" si="86"/>
        <v>1.1883520420249889</v>
      </c>
      <c r="V458" s="12">
        <f t="shared" si="87"/>
        <v>4.3265908797041064E-4</v>
      </c>
      <c r="W458" s="12">
        <f t="shared" si="84"/>
        <v>5.2041225521737289E-3</v>
      </c>
      <c r="X458" s="12">
        <f t="shared" si="85"/>
        <v>3.7719419272340904E-2</v>
      </c>
      <c r="Y458" s="5">
        <f t="shared" si="88"/>
        <v>0.1883520420249889</v>
      </c>
      <c r="Z458" s="19">
        <f t="shared" si="79"/>
        <v>6.1127914046356979E-2</v>
      </c>
      <c r="AA458" s="19">
        <f t="shared" si="78"/>
        <v>0.10793438473925443</v>
      </c>
      <c r="AB458" s="19" t="s">
        <v>53</v>
      </c>
    </row>
    <row r="459" spans="1:28" x14ac:dyDescent="0.25">
      <c r="A459" s="1">
        <v>45764</v>
      </c>
      <c r="B459" s="1" t="str">
        <f t="shared" si="89"/>
        <v>202504</v>
      </c>
      <c r="C459" s="2">
        <v>0</v>
      </c>
      <c r="D459" s="2">
        <v>0</v>
      </c>
      <c r="E459" s="2">
        <v>0</v>
      </c>
      <c r="F459" s="2">
        <f>F458*(1+((1+VLOOKUP($B459,'IPCA Hist'!$B:$C,2,0))^12 - 1)+$F$2)^(1/252)</f>
        <v>46403022.037439808</v>
      </c>
      <c r="G459" s="2">
        <f>G458*(1+((1+VLOOKUP($B459,'IPCA Hist'!$B:$C,2,0))^12 - 1)+$G$2)^(1/252)</f>
        <v>46389687.471984267</v>
      </c>
      <c r="H459" s="2">
        <f>H458*(1+((1+VLOOKUP($B459,'IPCA Hist'!$B:$C,2,0))^12 - 1)+$H$2)^(1/252)</f>
        <v>47409673.993649147</v>
      </c>
      <c r="I459" s="2">
        <f>I458*(1+((1+VLOOKUP($B459,'IPCA Hist'!$B:$C,2,0))^12 - 1)+$I$2)^(1/252)</f>
        <v>239441423.37708545</v>
      </c>
      <c r="J459" s="2">
        <f>J458*(1+((1+VLOOKUP($B459,'IPCA Hist'!$B:$C,2,0))^12 - 1)+$J$2)^(1/252)</f>
        <v>21045762.49155679</v>
      </c>
      <c r="K459" s="2">
        <f>K458*(1+((1+VLOOKUP($B459,'IPCA Hist'!$B:$C,2,0))^12 - 1)+$K$2)^(1/252)</f>
        <v>81625290.389193088</v>
      </c>
      <c r="L459" s="2">
        <f>L458*(1+((1+VLOOKUP($B459,'IPCA Hist'!$B:$C,2,0))^12 - 1)+$L$2)^(1/252)</f>
        <v>42979009.729714394</v>
      </c>
      <c r="M459" s="2">
        <f>M458*(1+((1+VLOOKUP($B459,'IPCA Hist'!$B:$C,2,0))^12 - 1)+$M$2)^(1/252)</f>
        <v>14725078.523025582</v>
      </c>
      <c r="N459" s="2">
        <f>N458*(1+((1+VLOOKUP($B459,'IPCA Hist'!$B:$C,2,0))^12 - 1)+$N$2)^(1/252)</f>
        <v>119946525.96847136</v>
      </c>
      <c r="O459" s="2">
        <f t="shared" si="80"/>
        <v>659965473.98211992</v>
      </c>
      <c r="P459" s="2">
        <v>0</v>
      </c>
      <c r="Q459" s="2">
        <v>0</v>
      </c>
      <c r="R459" s="2">
        <f t="shared" si="90"/>
        <v>285418.15446865559</v>
      </c>
      <c r="S459" s="2">
        <f t="shared" si="82"/>
        <v>3700700.4625393152</v>
      </c>
      <c r="T459" s="2">
        <f t="shared" si="83"/>
        <v>20681073.155304059</v>
      </c>
      <c r="U459" s="11">
        <f t="shared" si="86"/>
        <v>1.1888661961875977</v>
      </c>
      <c r="V459" s="12">
        <f t="shared" si="87"/>
        <v>4.3266148786402781E-4</v>
      </c>
      <c r="W459" s="12">
        <f t="shared" si="84"/>
        <v>5.6390356634441474E-3</v>
      </c>
      <c r="X459" s="12">
        <f t="shared" si="85"/>
        <v>3.8168400500268707E-2</v>
      </c>
      <c r="Y459" s="5">
        <f t="shared" si="88"/>
        <v>0.1888661961875977</v>
      </c>
      <c r="Z459" s="19">
        <f t="shared" si="79"/>
        <v>6.110670506943916E-2</v>
      </c>
      <c r="AA459" s="19">
        <f t="shared" si="78"/>
        <v>0.10800511937818125</v>
      </c>
      <c r="AB459" s="19" t="s">
        <v>53</v>
      </c>
    </row>
    <row r="460" spans="1:28" x14ac:dyDescent="0.25">
      <c r="A460" s="1">
        <v>45769</v>
      </c>
      <c r="B460" s="1" t="str">
        <f t="shared" si="89"/>
        <v>202504</v>
      </c>
      <c r="C460" s="2">
        <v>0</v>
      </c>
      <c r="D460" s="2">
        <v>0</v>
      </c>
      <c r="E460" s="2">
        <v>0</v>
      </c>
      <c r="F460" s="2">
        <f>F459*(1+((1+VLOOKUP($B460,'IPCA Hist'!$B:$C,2,0))^12 - 1)+$F$2)^(1/252)</f>
        <v>46421332.395524144</v>
      </c>
      <c r="G460" s="2">
        <f>G459*(1+((1+VLOOKUP($B460,'IPCA Hist'!$B:$C,2,0))^12 - 1)+$G$2)^(1/252)</f>
        <v>46408009.240643837</v>
      </c>
      <c r="H460" s="2">
        <f>H459*(1+((1+VLOOKUP($B460,'IPCA Hist'!$B:$C,2,0))^12 - 1)+$H$2)^(1/252)</f>
        <v>47428194.041310132</v>
      </c>
      <c r="I460" s="2">
        <f>I459*(1+((1+VLOOKUP($B460,'IPCA Hist'!$B:$C,2,0))^12 - 1)+$I$2)^(1/252)</f>
        <v>239534872.28661746</v>
      </c>
      <c r="J460" s="2">
        <f>J459*(1+((1+VLOOKUP($B460,'IPCA Hist'!$B:$C,2,0))^12 - 1)+$J$2)^(1/252)</f>
        <v>21054992.290507846</v>
      </c>
      <c r="K460" s="2">
        <f>K459*(1+((1+VLOOKUP($B460,'IPCA Hist'!$B:$C,2,0))^12 - 1)+$K$2)^(1/252)</f>
        <v>81665325.402735665</v>
      </c>
      <c r="L460" s="2">
        <f>L459*(1+((1+VLOOKUP($B460,'IPCA Hist'!$B:$C,2,0))^12 - 1)+$L$2)^(1/252)</f>
        <v>43000226.953883946</v>
      </c>
      <c r="M460" s="2">
        <f>M459*(1+((1+VLOOKUP($B460,'IPCA Hist'!$B:$C,2,0))^12 - 1)+$M$2)^(1/252)</f>
        <v>14732073.006993577</v>
      </c>
      <c r="N460" s="2">
        <f>N459*(1+((1+VLOOKUP($B460,'IPCA Hist'!$B:$C,2,0))^12 - 1)+$N$2)^(1/252)</f>
        <v>120005991.59169233</v>
      </c>
      <c r="O460" s="2">
        <f t="shared" si="80"/>
        <v>660251017.20990896</v>
      </c>
      <c r="P460" s="2">
        <v>0</v>
      </c>
      <c r="Q460" s="2">
        <v>0</v>
      </c>
      <c r="R460" s="2">
        <f t="shared" si="90"/>
        <v>285543.22778904438</v>
      </c>
      <c r="S460" s="2">
        <f t="shared" si="82"/>
        <v>3986243.6903283596</v>
      </c>
      <c r="T460" s="2">
        <f t="shared" si="83"/>
        <v>20966616.383093104</v>
      </c>
      <c r="U460" s="11">
        <f t="shared" si="86"/>
        <v>1.1893805756581182</v>
      </c>
      <c r="V460" s="12">
        <f t="shared" si="87"/>
        <v>4.3266388780338616E-4</v>
      </c>
      <c r="W460" s="12">
        <f t="shared" si="84"/>
        <v>6.074139358341224E-3</v>
      </c>
      <c r="X460" s="12">
        <f t="shared" si="85"/>
        <v>3.8617578476623837E-2</v>
      </c>
      <c r="Y460" s="5">
        <f t="shared" si="88"/>
        <v>0.18938057565811817</v>
      </c>
      <c r="Z460" s="19">
        <f t="shared" si="79"/>
        <v>6.1085498945073535E-2</v>
      </c>
      <c r="AA460" s="19">
        <f t="shared" si="78"/>
        <v>0.10807586118714374</v>
      </c>
      <c r="AB460" s="19" t="s">
        <v>53</v>
      </c>
    </row>
    <row r="461" spans="1:28" x14ac:dyDescent="0.25">
      <c r="A461" s="1">
        <v>45770</v>
      </c>
      <c r="B461" s="1" t="str">
        <f t="shared" si="89"/>
        <v>202504</v>
      </c>
      <c r="C461" s="2">
        <v>0</v>
      </c>
      <c r="D461" s="2">
        <v>0</v>
      </c>
      <c r="E461" s="2">
        <v>0</v>
      </c>
      <c r="F461" s="2">
        <f>F460*(1+((1+VLOOKUP($B461,'IPCA Hist'!$B:$C,2,0))^12 - 1)+$F$2)^(1/252)</f>
        <v>46439649.978767499</v>
      </c>
      <c r="G461" s="2">
        <f>G460*(1+((1+VLOOKUP($B461,'IPCA Hist'!$B:$C,2,0))^12 - 1)+$G$2)^(1/252)</f>
        <v>46426338.245549761</v>
      </c>
      <c r="H461" s="2">
        <f>H460*(1+((1+VLOOKUP($B461,'IPCA Hist'!$B:$C,2,0))^12 - 1)+$H$2)^(1/252)</f>
        <v>47446721.323616207</v>
      </c>
      <c r="I461" s="2">
        <f>I460*(1+((1+VLOOKUP($B461,'IPCA Hist'!$B:$C,2,0))^12 - 1)+$I$2)^(1/252)</f>
        <v>239628357.66727701</v>
      </c>
      <c r="J461" s="2">
        <f>J460*(1+((1+VLOOKUP($B461,'IPCA Hist'!$B:$C,2,0))^12 - 1)+$J$2)^(1/252)</f>
        <v>21064226.137266088</v>
      </c>
      <c r="K461" s="2">
        <f>K460*(1+((1+VLOOKUP($B461,'IPCA Hist'!$B:$C,2,0))^12 - 1)+$K$2)^(1/252)</f>
        <v>81705380.052377567</v>
      </c>
      <c r="L461" s="2">
        <f>L460*(1+((1+VLOOKUP($B461,'IPCA Hist'!$B:$C,2,0))^12 - 1)+$L$2)^(1/252)</f>
        <v>43021454.652250193</v>
      </c>
      <c r="M461" s="2">
        <f>M460*(1+((1+VLOOKUP($B461,'IPCA Hist'!$B:$C,2,0))^12 - 1)+$M$2)^(1/252)</f>
        <v>14739070.813375501</v>
      </c>
      <c r="N461" s="2">
        <f>N460*(1+((1+VLOOKUP($B461,'IPCA Hist'!$B:$C,2,0))^12 - 1)+$N$2)^(1/252)</f>
        <v>120065486.69605348</v>
      </c>
      <c r="O461" s="2">
        <f t="shared" si="80"/>
        <v>660536685.56653333</v>
      </c>
      <c r="P461" s="2">
        <v>0</v>
      </c>
      <c r="Q461" s="2">
        <v>0</v>
      </c>
      <c r="R461" s="2">
        <f t="shared" si="90"/>
        <v>285668.35662436485</v>
      </c>
      <c r="S461" s="2">
        <f t="shared" si="82"/>
        <v>4271912.0469527245</v>
      </c>
      <c r="T461" s="2">
        <f t="shared" si="83"/>
        <v>21252284.739717469</v>
      </c>
      <c r="U461" s="11">
        <f t="shared" si="86"/>
        <v>1.1898951805365552</v>
      </c>
      <c r="V461" s="12">
        <f t="shared" si="87"/>
        <v>4.3266628778781957E-4</v>
      </c>
      <c r="W461" s="12">
        <f t="shared" si="84"/>
        <v>6.5094337214566256E-3</v>
      </c>
      <c r="X461" s="12">
        <f t="shared" si="85"/>
        <v>3.9066953288734441E-2</v>
      </c>
      <c r="Y461" s="5">
        <f t="shared" si="88"/>
        <v>0.18989518053655519</v>
      </c>
      <c r="Z461" s="19">
        <f t="shared" si="79"/>
        <v>6.1064295673149971E-2</v>
      </c>
      <c r="AA461" s="19">
        <f t="shared" si="78"/>
        <v>0.10814661016698857</v>
      </c>
      <c r="AB461" s="19" t="s">
        <v>53</v>
      </c>
    </row>
    <row r="462" spans="1:28" x14ac:dyDescent="0.25">
      <c r="A462" s="1">
        <v>45771</v>
      </c>
      <c r="B462" s="1" t="str">
        <f t="shared" si="89"/>
        <v>202504</v>
      </c>
      <c r="C462" s="2">
        <v>0</v>
      </c>
      <c r="D462" s="2">
        <v>0</v>
      </c>
      <c r="E462" s="2">
        <v>0</v>
      </c>
      <c r="F462" s="2">
        <f>F461*(1+((1+VLOOKUP($B462,'IPCA Hist'!$B:$C,2,0))^12 - 1)+$F$2)^(1/252)</f>
        <v>46457974.790020876</v>
      </c>
      <c r="G462" s="2">
        <f>G461*(1+((1+VLOOKUP($B462,'IPCA Hist'!$B:$C,2,0))^12 - 1)+$G$2)^(1/252)</f>
        <v>46444674.489560015</v>
      </c>
      <c r="H462" s="2">
        <f>H461*(1+((1+VLOOKUP($B462,'IPCA Hist'!$B:$C,2,0))^12 - 1)+$H$2)^(1/252)</f>
        <v>47465255.843393512</v>
      </c>
      <c r="I462" s="2">
        <f>I461*(1+((1+VLOOKUP($B462,'IPCA Hist'!$B:$C,2,0))^12 - 1)+$I$2)^(1/252)</f>
        <v>239721879.53329802</v>
      </c>
      <c r="J462" s="2">
        <f>J461*(1+((1+VLOOKUP($B462,'IPCA Hist'!$B:$C,2,0))^12 - 1)+$J$2)^(1/252)</f>
        <v>21073464.033606719</v>
      </c>
      <c r="K462" s="2">
        <f>K461*(1+((1+VLOOKUP($B462,'IPCA Hist'!$B:$C,2,0))^12 - 1)+$K$2)^(1/252)</f>
        <v>81745454.34774977</v>
      </c>
      <c r="L462" s="2">
        <f>L461*(1+((1+VLOOKUP($B462,'IPCA Hist'!$B:$C,2,0))^12 - 1)+$L$2)^(1/252)</f>
        <v>43042692.829983868</v>
      </c>
      <c r="M462" s="2">
        <f>M461*(1+((1+VLOOKUP($B462,'IPCA Hist'!$B:$C,2,0))^12 - 1)+$M$2)^(1/252)</f>
        <v>14746071.943749515</v>
      </c>
      <c r="N462" s="2">
        <f>N461*(1+((1+VLOOKUP($B462,'IPCA Hist'!$B:$C,2,0))^12 - 1)+$N$2)^(1/252)</f>
        <v>120125011.29617059</v>
      </c>
      <c r="O462" s="2">
        <f t="shared" si="80"/>
        <v>660822479.10753286</v>
      </c>
      <c r="P462" s="2">
        <v>0</v>
      </c>
      <c r="Q462" s="2">
        <v>0</v>
      </c>
      <c r="R462" s="2">
        <f t="shared" si="90"/>
        <v>285793.54099953175</v>
      </c>
      <c r="S462" s="2">
        <f t="shared" si="82"/>
        <v>4557705.5879522562</v>
      </c>
      <c r="T462" s="2">
        <f t="shared" si="83"/>
        <v>21538078.280717</v>
      </c>
      <c r="U462" s="11">
        <f t="shared" si="86"/>
        <v>1.1904100109229587</v>
      </c>
      <c r="V462" s="12">
        <f t="shared" si="87"/>
        <v>4.3266868781777212E-4</v>
      </c>
      <c r="W462" s="12">
        <f t="shared" si="84"/>
        <v>6.9449188374210991E-3</v>
      </c>
      <c r="X462" s="12">
        <f t="shared" si="85"/>
        <v>3.9516525023968629E-2</v>
      </c>
      <c r="Y462" s="5">
        <f t="shared" si="88"/>
        <v>0.19041001092295873</v>
      </c>
      <c r="Z462" s="19">
        <f t="shared" si="79"/>
        <v>6.1043095253557444E-2</v>
      </c>
      <c r="AA462" s="19">
        <f t="shared" si="78"/>
        <v>0.10821736631856282</v>
      </c>
      <c r="AB462" s="19" t="s">
        <v>53</v>
      </c>
    </row>
    <row r="463" spans="1:28" x14ac:dyDescent="0.25">
      <c r="A463" s="1">
        <v>45772</v>
      </c>
      <c r="B463" s="1" t="str">
        <f t="shared" si="89"/>
        <v>202504</v>
      </c>
      <c r="C463" s="2">
        <v>0</v>
      </c>
      <c r="D463" s="2">
        <v>0</v>
      </c>
      <c r="E463" s="2">
        <v>0</v>
      </c>
      <c r="F463" s="2">
        <f>F462*(1+((1+VLOOKUP($B463,'IPCA Hist'!$B:$C,2,0))^12 - 1)+$F$2)^(1/252)</f>
        <v>46476306.832136407</v>
      </c>
      <c r="G463" s="2">
        <f>G462*(1+((1+VLOOKUP($B463,'IPCA Hist'!$B:$C,2,0))^12 - 1)+$G$2)^(1/252)</f>
        <v>46463017.975533716</v>
      </c>
      <c r="H463" s="2">
        <f>H462*(1+((1+VLOOKUP($B463,'IPCA Hist'!$B:$C,2,0))^12 - 1)+$H$2)^(1/252)</f>
        <v>47483797.603469275</v>
      </c>
      <c r="I463" s="2">
        <f>I462*(1+((1+VLOOKUP($B463,'IPCA Hist'!$B:$C,2,0))^12 - 1)+$I$2)^(1/252)</f>
        <v>239815437.89891994</v>
      </c>
      <c r="J463" s="2">
        <f>J462*(1+((1+VLOOKUP($B463,'IPCA Hist'!$B:$C,2,0))^12 - 1)+$J$2)^(1/252)</f>
        <v>21082705.981305718</v>
      </c>
      <c r="K463" s="2">
        <f>K462*(1+((1+VLOOKUP($B463,'IPCA Hist'!$B:$C,2,0))^12 - 1)+$K$2)^(1/252)</f>
        <v>81785548.298487976</v>
      </c>
      <c r="L463" s="2">
        <f>L462*(1+((1+VLOOKUP($B463,'IPCA Hist'!$B:$C,2,0))^12 - 1)+$L$2)^(1/252)</f>
        <v>43063941.492258273</v>
      </c>
      <c r="M463" s="2">
        <f>M462*(1+((1+VLOOKUP($B463,'IPCA Hist'!$B:$C,2,0))^12 - 1)+$M$2)^(1/252)</f>
        <v>14753076.399694534</v>
      </c>
      <c r="N463" s="2">
        <f>N462*(1+((1+VLOOKUP($B463,'IPCA Hist'!$B:$C,2,0))^12 - 1)+$N$2)^(1/252)</f>
        <v>120184565.40666673</v>
      </c>
      <c r="O463" s="2">
        <f t="shared" si="80"/>
        <v>661108397.88847256</v>
      </c>
      <c r="P463" s="2">
        <v>0</v>
      </c>
      <c r="Q463" s="2">
        <v>0</v>
      </c>
      <c r="R463" s="2">
        <f t="shared" si="90"/>
        <v>285918.78093969822</v>
      </c>
      <c r="S463" s="2">
        <f t="shared" si="82"/>
        <v>4843624.3688919544</v>
      </c>
      <c r="T463" s="2">
        <f t="shared" si="83"/>
        <v>21823997.061656699</v>
      </c>
      <c r="U463" s="11">
        <f t="shared" si="86"/>
        <v>1.1909250669174238</v>
      </c>
      <c r="V463" s="12">
        <f t="shared" si="87"/>
        <v>4.3267108789324382E-4</v>
      </c>
      <c r="W463" s="12">
        <f t="shared" si="84"/>
        <v>7.3805947909031389E-3</v>
      </c>
      <c r="X463" s="12">
        <f t="shared" si="85"/>
        <v>3.9966293769733818E-2</v>
      </c>
      <c r="Y463" s="5">
        <f t="shared" si="88"/>
        <v>0.19092506691742384</v>
      </c>
      <c r="Z463" s="19">
        <f t="shared" si="79"/>
        <v>6.1021897686185156E-2</v>
      </c>
      <c r="AA463" s="19">
        <f t="shared" si="78"/>
        <v>0.10828812964271384</v>
      </c>
      <c r="AB463" s="19" t="s">
        <v>53</v>
      </c>
    </row>
    <row r="464" spans="1:28" x14ac:dyDescent="0.25">
      <c r="A464" s="1">
        <v>45775</v>
      </c>
      <c r="B464" s="1" t="str">
        <f t="shared" si="89"/>
        <v>202504</v>
      </c>
      <c r="C464" s="2">
        <v>0</v>
      </c>
      <c r="D464" s="2">
        <v>0</v>
      </c>
      <c r="E464" s="2">
        <v>0</v>
      </c>
      <c r="F464" s="2">
        <f>F463*(1+((1+VLOOKUP($B464,'IPCA Hist'!$B:$C,2,0))^12 - 1)+$F$2)^(1/252)</f>
        <v>46494646.107967347</v>
      </c>
      <c r="G464" s="2">
        <f>G463*(1+((1+VLOOKUP($B464,'IPCA Hist'!$B:$C,2,0))^12 - 1)+$G$2)^(1/252)</f>
        <v>46481368.706331097</v>
      </c>
      <c r="H464" s="2">
        <f>H463*(1+((1+VLOOKUP($B464,'IPCA Hist'!$B:$C,2,0))^12 - 1)+$H$2)^(1/252)</f>
        <v>47502346.60667184</v>
      </c>
      <c r="I464" s="2">
        <f>I463*(1+((1+VLOOKUP($B464,'IPCA Hist'!$B:$C,2,0))^12 - 1)+$I$2)^(1/252)</f>
        <v>239909032.77838781</v>
      </c>
      <c r="J464" s="2">
        <f>J463*(1+((1+VLOOKUP($B464,'IPCA Hist'!$B:$C,2,0))^12 - 1)+$J$2)^(1/252)</f>
        <v>21091951.982139841</v>
      </c>
      <c r="K464" s="2">
        <f>K463*(1+((1+VLOOKUP($B464,'IPCA Hist'!$B:$C,2,0))^12 - 1)+$K$2)^(1/252)</f>
        <v>81825661.914232627</v>
      </c>
      <c r="L464" s="2">
        <f>L463*(1+((1+VLOOKUP($B464,'IPCA Hist'!$B:$C,2,0))^12 - 1)+$L$2)^(1/252)</f>
        <v>43085200.644249253</v>
      </c>
      <c r="M464" s="2">
        <f>M463*(1+((1+VLOOKUP($B464,'IPCA Hist'!$B:$C,2,0))^12 - 1)+$M$2)^(1/252)</f>
        <v>14760084.182790218</v>
      </c>
      <c r="N464" s="2">
        <f>N463*(1+((1+VLOOKUP($B464,'IPCA Hist'!$B:$C,2,0))^12 - 1)+$N$2)^(1/252)</f>
        <v>120244149.04217216</v>
      </c>
      <c r="O464" s="2">
        <f t="shared" si="80"/>
        <v>661394441.96494222</v>
      </c>
      <c r="P464" s="2">
        <v>0</v>
      </c>
      <c r="Q464" s="2">
        <v>0</v>
      </c>
      <c r="R464" s="2">
        <f t="shared" si="90"/>
        <v>286044.07646965981</v>
      </c>
      <c r="S464" s="2">
        <f t="shared" si="82"/>
        <v>5129668.4453616142</v>
      </c>
      <c r="T464" s="2">
        <f t="shared" si="83"/>
        <v>22110041.138126358</v>
      </c>
      <c r="U464" s="11">
        <f t="shared" si="86"/>
        <v>1.19144034862009</v>
      </c>
      <c r="V464" s="12">
        <f t="shared" si="87"/>
        <v>4.3267348801379057E-4</v>
      </c>
      <c r="W464" s="12">
        <f t="shared" si="84"/>
        <v>7.816461666608765E-3</v>
      </c>
      <c r="X464" s="12">
        <f t="shared" si="85"/>
        <v>4.0416259613475836E-2</v>
      </c>
      <c r="Y464" s="5">
        <f t="shared" si="88"/>
        <v>0.19144034862008996</v>
      </c>
      <c r="Z464" s="19">
        <f t="shared" si="79"/>
        <v>6.1000702970923193E-2</v>
      </c>
      <c r="AA464" s="19">
        <f t="shared" si="78"/>
        <v>0.10835890014028848</v>
      </c>
      <c r="AB464" s="19" t="s">
        <v>53</v>
      </c>
    </row>
    <row r="465" spans="1:28" x14ac:dyDescent="0.25">
      <c r="A465" s="1">
        <v>45776</v>
      </c>
      <c r="B465" s="1" t="str">
        <f t="shared" si="89"/>
        <v>202504</v>
      </c>
      <c r="C465" s="2">
        <v>0</v>
      </c>
      <c r="D465" s="2">
        <v>0</v>
      </c>
      <c r="E465" s="2">
        <v>0</v>
      </c>
      <c r="F465" s="2">
        <f>F464*(1+((1+VLOOKUP($B465,'IPCA Hist'!$B:$C,2,0))^12 - 1)+$F$2)^(1/252)</f>
        <v>46512992.620368078</v>
      </c>
      <c r="G465" s="2">
        <f>G464*(1+((1+VLOOKUP($B465,'IPCA Hist'!$B:$C,2,0))^12 - 1)+$G$2)^(1/252)</f>
        <v>46499726.684813529</v>
      </c>
      <c r="H465" s="2">
        <f>H464*(1+((1+VLOOKUP($B465,'IPCA Hist'!$B:$C,2,0))^12 - 1)+$H$2)^(1/252)</f>
        <v>47520902.855830655</v>
      </c>
      <c r="I465" s="2">
        <f>I464*(1+((1+VLOOKUP($B465,'IPCA Hist'!$B:$C,2,0))^12 - 1)+$I$2)^(1/252)</f>
        <v>240002664.18595222</v>
      </c>
      <c r="J465" s="2">
        <f>J464*(1+((1+VLOOKUP($B465,'IPCA Hist'!$B:$C,2,0))^12 - 1)+$J$2)^(1/252)</f>
        <v>21101202.037886627</v>
      </c>
      <c r="K465" s="2">
        <f>K464*(1+((1+VLOOKUP($B465,'IPCA Hist'!$B:$C,2,0))^12 - 1)+$K$2)^(1/252)</f>
        <v>81865795.20462887</v>
      </c>
      <c r="L465" s="2">
        <f>L464*(1+((1+VLOOKUP($B465,'IPCA Hist'!$B:$C,2,0))^12 - 1)+$L$2)^(1/252)</f>
        <v>43106470.291135214</v>
      </c>
      <c r="M465" s="2">
        <f>M464*(1+((1+VLOOKUP($B465,'IPCA Hist'!$B:$C,2,0))^12 - 1)+$M$2)^(1/252)</f>
        <v>14767095.29461698</v>
      </c>
      <c r="N465" s="2">
        <f>N464*(1+((1+VLOOKUP($B465,'IPCA Hist'!$B:$C,2,0))^12 - 1)+$N$2)^(1/252)</f>
        <v>120303762.21732447</v>
      </c>
      <c r="O465" s="2">
        <f t="shared" si="80"/>
        <v>661680611.39255667</v>
      </c>
      <c r="P465" s="2">
        <v>0</v>
      </c>
      <c r="Q465" s="2">
        <v>0</v>
      </c>
      <c r="R465" s="2">
        <f t="shared" si="90"/>
        <v>286169.42761445045</v>
      </c>
      <c r="S465" s="2">
        <f t="shared" si="82"/>
        <v>5415837.8729760647</v>
      </c>
      <c r="T465" s="2">
        <f t="shared" si="83"/>
        <v>22396210.565740809</v>
      </c>
      <c r="U465" s="11">
        <f t="shared" si="86"/>
        <v>1.1919558561311425</v>
      </c>
      <c r="V465" s="12">
        <f t="shared" si="87"/>
        <v>4.3267588817985647E-4</v>
      </c>
      <c r="W465" s="12">
        <f t="shared" si="84"/>
        <v>8.2525195492826331E-3</v>
      </c>
      <c r="X465" s="12">
        <f t="shared" si="85"/>
        <v>4.0866422642680922E-2</v>
      </c>
      <c r="Y465" s="5">
        <f t="shared" si="88"/>
        <v>0.19195585613114252</v>
      </c>
      <c r="Z465" s="19">
        <f t="shared" si="79"/>
        <v>6.0979511107660755E-2</v>
      </c>
      <c r="AA465" s="19">
        <f t="shared" si="78"/>
        <v>0.10842967781213431</v>
      </c>
      <c r="AB465" s="19" t="s">
        <v>53</v>
      </c>
    </row>
    <row r="466" spans="1:28" x14ac:dyDescent="0.25">
      <c r="A466" s="1">
        <v>45777</v>
      </c>
      <c r="B466" s="1" t="str">
        <f t="shared" si="89"/>
        <v>202504</v>
      </c>
      <c r="C466" s="2">
        <v>0</v>
      </c>
      <c r="D466" s="2">
        <v>0</v>
      </c>
      <c r="E466" s="2">
        <v>0</v>
      </c>
      <c r="F466" s="2">
        <f>F465*(1+((1+VLOOKUP($B466,'IPCA Hist'!$B:$C,2,0))^12 - 1)+$F$2)^(1/252)</f>
        <v>46531346.372194111</v>
      </c>
      <c r="G466" s="2">
        <f>G465*(1+((1+VLOOKUP($B466,'IPCA Hist'!$B:$C,2,0))^12 - 1)+$G$2)^(1/252)</f>
        <v>46518091.913843513</v>
      </c>
      <c r="H466" s="2">
        <f>H465*(1+((1+VLOOKUP($B466,'IPCA Hist'!$B:$C,2,0))^12 - 1)+$H$2)^(1/252)</f>
        <v>47539466.353776261</v>
      </c>
      <c r="I466" s="2">
        <f>I465*(1+((1+VLOOKUP($B466,'IPCA Hist'!$B:$C,2,0))^12 - 1)+$I$2)^(1/252)</f>
        <v>240096332.13586926</v>
      </c>
      <c r="J466" s="2">
        <f>J465*(1+((1+VLOOKUP($B466,'IPCA Hist'!$B:$C,2,0))^12 - 1)+$J$2)^(1/252)</f>
        <v>21110456.150324389</v>
      </c>
      <c r="K466" s="2">
        <f>K465*(1+((1+VLOOKUP($B466,'IPCA Hist'!$B:$C,2,0))^12 - 1)+$K$2)^(1/252)</f>
        <v>81905948.179326594</v>
      </c>
      <c r="L466" s="2">
        <f>L465*(1+((1+VLOOKUP($B466,'IPCA Hist'!$B:$C,2,0))^12 - 1)+$L$2)^(1/252)</f>
        <v>43127750.438097112</v>
      </c>
      <c r="M466" s="2">
        <f>M465*(1+((1+VLOOKUP($B466,'IPCA Hist'!$B:$C,2,0))^12 - 1)+$M$2)^(1/252)</f>
        <v>14774109.736755986</v>
      </c>
      <c r="N466" s="2">
        <f>N465*(1+((1+VLOOKUP($B466,'IPCA Hist'!$B:$C,2,0))^12 - 1)+$N$2)^(1/252)</f>
        <v>120363404.94676843</v>
      </c>
      <c r="O466" s="2">
        <f t="shared" si="80"/>
        <v>661966906.22695565</v>
      </c>
      <c r="P466" s="2">
        <v>0</v>
      </c>
      <c r="Q466" s="2">
        <v>0</v>
      </c>
      <c r="R466" s="2">
        <f t="shared" si="90"/>
        <v>286294.83439898491</v>
      </c>
      <c r="S466" s="2">
        <f t="shared" si="82"/>
        <v>5702132.7073750496</v>
      </c>
      <c r="T466" s="2">
        <f t="shared" si="83"/>
        <v>22682505.400139794</v>
      </c>
      <c r="U466" s="11">
        <f t="shared" si="86"/>
        <v>1.1924715895508113</v>
      </c>
      <c r="V466" s="12">
        <f t="shared" si="87"/>
        <v>4.3267828839121947E-4</v>
      </c>
      <c r="W466" s="12">
        <f t="shared" si="84"/>
        <v>8.6887685237073686E-3</v>
      </c>
      <c r="X466" s="12">
        <f t="shared" si="85"/>
        <v>4.1316782944873953E-2</v>
      </c>
      <c r="Y466" s="5">
        <f t="shared" si="88"/>
        <v>0.19247158955081134</v>
      </c>
      <c r="Z466" s="19">
        <f t="shared" si="79"/>
        <v>6.0958322096286599E-2</v>
      </c>
      <c r="AA466" s="19">
        <f t="shared" si="78"/>
        <v>0.10850046265909907</v>
      </c>
      <c r="AB466" s="19" t="s">
        <v>53</v>
      </c>
    </row>
    <row r="467" spans="1:28" x14ac:dyDescent="0.25">
      <c r="A467" s="1">
        <v>45779</v>
      </c>
      <c r="B467" s="1" t="str">
        <f t="shared" si="89"/>
        <v>202505</v>
      </c>
      <c r="C467" s="2">
        <v>0</v>
      </c>
      <c r="D467" s="2">
        <v>0</v>
      </c>
      <c r="E467" s="2">
        <v>0</v>
      </c>
      <c r="F467" s="2">
        <f>F466*(1+((1+VLOOKUP($B467,'IPCA Hist'!$B:$C,2,0))^12 - 1)+$F$2)^(1/252)</f>
        <v>46546129.606654637</v>
      </c>
      <c r="G467" s="2">
        <f>G466*(1+((1+VLOOKUP($B467,'IPCA Hist'!$B:$C,2,0))^12 - 1)+$G$2)^(1/252)</f>
        <v>46532887.981416814</v>
      </c>
      <c r="H467" s="2">
        <f>H466*(1+((1+VLOOKUP($B467,'IPCA Hist'!$B:$C,2,0))^12 - 1)+$H$2)^(1/252)</f>
        <v>47554378.16525498</v>
      </c>
      <c r="I467" s="2">
        <f>I466*(1+((1+VLOOKUP($B467,'IPCA Hist'!$B:$C,2,0))^12 - 1)+$I$2)^(1/252)</f>
        <v>240171555.62522444</v>
      </c>
      <c r="J467" s="2">
        <f>J466*(1+((1+VLOOKUP($B467,'IPCA Hist'!$B:$C,2,0))^12 - 1)+$J$2)^(1/252)</f>
        <v>21118109.131957028</v>
      </c>
      <c r="K467" s="2">
        <f>K466*(1+((1+VLOOKUP($B467,'IPCA Hist'!$B:$C,2,0))^12 - 1)+$K$2)^(1/252)</f>
        <v>81939974.269367009</v>
      </c>
      <c r="L467" s="2">
        <f>L466*(1+((1+VLOOKUP($B467,'IPCA Hist'!$B:$C,2,0))^12 - 1)+$L$2)^(1/252)</f>
        <v>43145807.211405426</v>
      </c>
      <c r="M467" s="2">
        <f>M466*(1+((1+VLOOKUP($B467,'IPCA Hist'!$B:$C,2,0))^12 - 1)+$M$2)^(1/252)</f>
        <v>14780014.44526319</v>
      </c>
      <c r="N467" s="2">
        <f>N466*(1+((1+VLOOKUP($B467,'IPCA Hist'!$B:$C,2,0))^12 - 1)+$N$2)^(1/252)</f>
        <v>120414056.75559629</v>
      </c>
      <c r="O467" s="2">
        <f t="shared" si="80"/>
        <v>662202913.19213974</v>
      </c>
      <c r="P467" s="2">
        <v>0</v>
      </c>
      <c r="Q467" s="2">
        <v>0</v>
      </c>
      <c r="R467" s="2">
        <f t="shared" si="90"/>
        <v>236006.96518409252</v>
      </c>
      <c r="S467" s="2">
        <f t="shared" si="82"/>
        <v>236006.96518409252</v>
      </c>
      <c r="T467" s="2">
        <f t="shared" si="83"/>
        <v>22918512.365323886</v>
      </c>
      <c r="U467" s="11">
        <f t="shared" si="86"/>
        <v>1.192896734068265</v>
      </c>
      <c r="V467" s="12">
        <f t="shared" si="87"/>
        <v>3.5652381254114296E-4</v>
      </c>
      <c r="W467" s="12">
        <f t="shared" si="84"/>
        <v>3.5652381254114296E-4</v>
      </c>
      <c r="X467" s="12">
        <f t="shared" si="85"/>
        <v>4.1688037174392623E-2</v>
      </c>
      <c r="Y467" s="5">
        <f t="shared" si="88"/>
        <v>0.19289673406826502</v>
      </c>
      <c r="Z467" s="19">
        <f t="shared" si="79"/>
        <v>6.0856373223138416E-2</v>
      </c>
      <c r="AA467" s="19">
        <f t="shared" si="78"/>
        <v>0.10848686587173995</v>
      </c>
      <c r="AB467" s="19" t="s">
        <v>53</v>
      </c>
    </row>
    <row r="468" spans="1:28" x14ac:dyDescent="0.25">
      <c r="A468" s="1">
        <v>45782</v>
      </c>
      <c r="B468" s="1" t="str">
        <f t="shared" si="89"/>
        <v>202505</v>
      </c>
      <c r="C468" s="2">
        <v>0</v>
      </c>
      <c r="D468" s="2">
        <v>0</v>
      </c>
      <c r="E468" s="2">
        <v>0</v>
      </c>
      <c r="F468" s="2">
        <f>F467*(1+((1+VLOOKUP($B468,'IPCA Hist'!$B:$C,2,0))^12 - 1)+$F$2)^(1/252)</f>
        <v>46560917.537820466</v>
      </c>
      <c r="G468" s="2">
        <f>G467*(1+((1+VLOOKUP($B468,'IPCA Hist'!$B:$C,2,0))^12 - 1)+$G$2)^(1/252)</f>
        <v>46547688.7551938</v>
      </c>
      <c r="H468" s="2">
        <f>H467*(1+((1+VLOOKUP($B468,'IPCA Hist'!$B:$C,2,0))^12 - 1)+$H$2)^(1/252)</f>
        <v>47569294.654155187</v>
      </c>
      <c r="I468" s="2">
        <f>I467*(1+((1+VLOOKUP($B468,'IPCA Hist'!$B:$C,2,0))^12 - 1)+$I$2)^(1/252)</f>
        <v>240246802.6825088</v>
      </c>
      <c r="J468" s="2">
        <f>J467*(1+((1+VLOOKUP($B468,'IPCA Hist'!$B:$C,2,0))^12 - 1)+$J$2)^(1/252)</f>
        <v>21125764.887955483</v>
      </c>
      <c r="K468" s="2">
        <f>K467*(1+((1+VLOOKUP($B468,'IPCA Hist'!$B:$C,2,0))^12 - 1)+$K$2)^(1/252)</f>
        <v>81974014.494825304</v>
      </c>
      <c r="L468" s="2">
        <f>L467*(1+((1+VLOOKUP($B468,'IPCA Hist'!$B:$C,2,0))^12 - 1)+$L$2)^(1/252)</f>
        <v>43163871.544743165</v>
      </c>
      <c r="M468" s="2">
        <f>M467*(1+((1+VLOOKUP($B468,'IPCA Hist'!$B:$C,2,0))^12 - 1)+$M$2)^(1/252)</f>
        <v>14785921.513681291</v>
      </c>
      <c r="N468" s="2">
        <f>N467*(1+((1+VLOOKUP($B468,'IPCA Hist'!$B:$C,2,0))^12 - 1)+$N$2)^(1/252)</f>
        <v>120464729.87992066</v>
      </c>
      <c r="O468" s="2">
        <f t="shared" si="80"/>
        <v>662439005.95080423</v>
      </c>
      <c r="P468" s="2">
        <v>0</v>
      </c>
      <c r="Q468" s="2">
        <v>0</v>
      </c>
      <c r="R468" s="2">
        <f t="shared" si="90"/>
        <v>236092.75866448879</v>
      </c>
      <c r="S468" s="2">
        <f t="shared" si="82"/>
        <v>472099.72384858131</v>
      </c>
      <c r="T468" s="2">
        <f t="shared" si="83"/>
        <v>23154605.123988375</v>
      </c>
      <c r="U468" s="11">
        <f t="shared" si="86"/>
        <v>1.1933220331346652</v>
      </c>
      <c r="V468" s="12">
        <f t="shared" si="87"/>
        <v>3.5652630630456095E-4</v>
      </c>
      <c r="W468" s="12">
        <f t="shared" si="84"/>
        <v>7.1317722896369062E-4</v>
      </c>
      <c r="X468" s="12">
        <f t="shared" si="85"/>
        <v>4.2059426362607955E-2</v>
      </c>
      <c r="Y468" s="5">
        <f t="shared" si="88"/>
        <v>0.19332203313466523</v>
      </c>
      <c r="Z468" s="19">
        <f t="shared" si="79"/>
        <v>6.0754436673922774E-2</v>
      </c>
      <c r="AA468" s="19">
        <f t="shared" si="78"/>
        <v>0.10843315987169189</v>
      </c>
      <c r="AB468" s="19" t="s">
        <v>53</v>
      </c>
    </row>
    <row r="469" spans="1:28" x14ac:dyDescent="0.25">
      <c r="A469" s="1">
        <v>45783</v>
      </c>
      <c r="B469" s="1" t="str">
        <f t="shared" si="89"/>
        <v>202505</v>
      </c>
      <c r="C469" s="2">
        <v>0</v>
      </c>
      <c r="D469" s="2">
        <v>0</v>
      </c>
      <c r="E469" s="2">
        <v>0</v>
      </c>
      <c r="F469" s="2">
        <f>F468*(1+((1+VLOOKUP($B469,'IPCA Hist'!$B:$C,2,0))^12 - 1)+$F$2)^(1/252)</f>
        <v>46575710.167183757</v>
      </c>
      <c r="G469" s="2">
        <f>G468*(1+((1+VLOOKUP($B469,'IPCA Hist'!$B:$C,2,0))^12 - 1)+$G$2)^(1/252)</f>
        <v>46562494.236671381</v>
      </c>
      <c r="H469" s="2">
        <f>H468*(1+((1+VLOOKUP($B469,'IPCA Hist'!$B:$C,2,0))^12 - 1)+$H$2)^(1/252)</f>
        <v>47584215.821944065</v>
      </c>
      <c r="I469" s="2">
        <f>I468*(1+((1+VLOOKUP($B469,'IPCA Hist'!$B:$C,2,0))^12 - 1)+$I$2)^(1/252)</f>
        <v>240322073.31510627</v>
      </c>
      <c r="J469" s="2">
        <f>J468*(1+((1+VLOOKUP($B469,'IPCA Hist'!$B:$C,2,0))^12 - 1)+$J$2)^(1/252)</f>
        <v>21133423.419325516</v>
      </c>
      <c r="K469" s="2">
        <f>K468*(1+((1+VLOOKUP($B469,'IPCA Hist'!$B:$C,2,0))^12 - 1)+$K$2)^(1/252)</f>
        <v>82008068.861573726</v>
      </c>
      <c r="L469" s="2">
        <f>L468*(1+((1+VLOOKUP($B469,'IPCA Hist'!$B:$C,2,0))^12 - 1)+$L$2)^(1/252)</f>
        <v>43181943.441275567</v>
      </c>
      <c r="M469" s="2">
        <f>M468*(1+((1+VLOOKUP($B469,'IPCA Hist'!$B:$C,2,0))^12 - 1)+$M$2)^(1/252)</f>
        <v>14791830.942953464</v>
      </c>
      <c r="N469" s="2">
        <f>N468*(1+((1+VLOOKUP($B469,'IPCA Hist'!$B:$C,2,0))^12 - 1)+$N$2)^(1/252)</f>
        <v>120515424.32871161</v>
      </c>
      <c r="O469" s="2">
        <f t="shared" si="80"/>
        <v>662675184.53474545</v>
      </c>
      <c r="P469" s="2">
        <v>0</v>
      </c>
      <c r="Q469" s="2">
        <v>0</v>
      </c>
      <c r="R469" s="2">
        <f t="shared" si="90"/>
        <v>236178.58394122124</v>
      </c>
      <c r="S469" s="2">
        <f t="shared" si="82"/>
        <v>708278.30778980255</v>
      </c>
      <c r="T469" s="2">
        <f t="shared" si="83"/>
        <v>23390783.707929596</v>
      </c>
      <c r="U469" s="11">
        <f t="shared" si="86"/>
        <v>1.1937474868072899</v>
      </c>
      <c r="V469" s="12">
        <f t="shared" si="87"/>
        <v>3.5652880011527444E-4</v>
      </c>
      <c r="W469" s="12">
        <f t="shared" si="84"/>
        <v>1.069960297300776E-3</v>
      </c>
      <c r="X469" s="12">
        <f t="shared" si="85"/>
        <v>4.2430950559537717E-2</v>
      </c>
      <c r="Y469" s="5">
        <f t="shared" si="88"/>
        <v>0.19374748680728993</v>
      </c>
      <c r="Z469" s="19">
        <f t="shared" si="79"/>
        <v>6.0652512447014972E-2</v>
      </c>
      <c r="AA469" s="19">
        <f t="shared" si="78"/>
        <v>0.10837945923277603</v>
      </c>
      <c r="AB469" s="19" t="s">
        <v>53</v>
      </c>
    </row>
    <row r="470" spans="1:28" x14ac:dyDescent="0.25">
      <c r="A470" s="1">
        <v>45784</v>
      </c>
      <c r="B470" s="1" t="str">
        <f t="shared" si="89"/>
        <v>202505</v>
      </c>
      <c r="C470" s="2">
        <v>0</v>
      </c>
      <c r="D470" s="2">
        <v>0</v>
      </c>
      <c r="E470" s="2">
        <v>0</v>
      </c>
      <c r="F470" s="2">
        <f>F469*(1+((1+VLOOKUP($B470,'IPCA Hist'!$B:$C,2,0))^12 - 1)+$F$2)^(1/252)</f>
        <v>46590507.496237159</v>
      </c>
      <c r="G470" s="2">
        <f>G469*(1+((1+VLOOKUP($B470,'IPCA Hist'!$B:$C,2,0))^12 - 1)+$G$2)^(1/252)</f>
        <v>46577304.427346937</v>
      </c>
      <c r="H470" s="2">
        <f>H469*(1+((1+VLOOKUP($B470,'IPCA Hist'!$B:$C,2,0))^12 - 1)+$H$2)^(1/252)</f>
        <v>47599141.670089245</v>
      </c>
      <c r="I470" s="2">
        <f>I469*(1+((1+VLOOKUP($B470,'IPCA Hist'!$B:$C,2,0))^12 - 1)+$I$2)^(1/252)</f>
        <v>240397367.53040317</v>
      </c>
      <c r="J470" s="2">
        <f>J469*(1+((1+VLOOKUP($B470,'IPCA Hist'!$B:$C,2,0))^12 - 1)+$J$2)^(1/252)</f>
        <v>21141084.72707326</v>
      </c>
      <c r="K470" s="2">
        <f>K469*(1+((1+VLOOKUP($B470,'IPCA Hist'!$B:$C,2,0))^12 - 1)+$K$2)^(1/252)</f>
        <v>82042137.37548697</v>
      </c>
      <c r="L470" s="2">
        <f>L469*(1+((1+VLOOKUP($B470,'IPCA Hist'!$B:$C,2,0))^12 - 1)+$L$2)^(1/252)</f>
        <v>43200022.904169202</v>
      </c>
      <c r="M470" s="2">
        <f>M469*(1+((1+VLOOKUP($B470,'IPCA Hist'!$B:$C,2,0))^12 - 1)+$M$2)^(1/252)</f>
        <v>14797742.734023262</v>
      </c>
      <c r="N470" s="2">
        <f>N469*(1+((1+VLOOKUP($B470,'IPCA Hist'!$B:$C,2,0))^12 - 1)+$N$2)^(1/252)</f>
        <v>120566140.11094299</v>
      </c>
      <c r="O470" s="2">
        <f t="shared" si="80"/>
        <v>662911448.97577214</v>
      </c>
      <c r="P470" s="2">
        <v>0</v>
      </c>
      <c r="Q470" s="2">
        <v>0</v>
      </c>
      <c r="R470" s="2">
        <f t="shared" si="90"/>
        <v>236264.44102668762</v>
      </c>
      <c r="S470" s="2">
        <f t="shared" si="82"/>
        <v>944542.74881649017</v>
      </c>
      <c r="T470" s="2">
        <f t="shared" si="83"/>
        <v>23627048.148956284</v>
      </c>
      <c r="U470" s="11">
        <f t="shared" si="86"/>
        <v>1.1941730951434397</v>
      </c>
      <c r="V470" s="12">
        <f t="shared" si="87"/>
        <v>3.565312939741716E-4</v>
      </c>
      <c r="W470" s="12">
        <f t="shared" si="84"/>
        <v>1.4268730656041839E-3</v>
      </c>
      <c r="X470" s="12">
        <f t="shared" si="85"/>
        <v>4.2802609815219439E-2</v>
      </c>
      <c r="Y470" s="5">
        <f t="shared" si="88"/>
        <v>0.19417309514343972</v>
      </c>
      <c r="Z470" s="19">
        <f t="shared" si="79"/>
        <v>6.0550600540791644E-2</v>
      </c>
      <c r="AA470" s="19">
        <f t="shared" si="78"/>
        <v>0.1083257639545181</v>
      </c>
      <c r="AB470" s="19" t="s">
        <v>53</v>
      </c>
    </row>
    <row r="471" spans="1:28" x14ac:dyDescent="0.25">
      <c r="A471" s="1">
        <v>45785</v>
      </c>
      <c r="B471" s="1" t="str">
        <f t="shared" si="89"/>
        <v>202505</v>
      </c>
      <c r="C471" s="2">
        <v>0</v>
      </c>
      <c r="D471" s="2">
        <v>0</v>
      </c>
      <c r="E471" s="2">
        <v>0</v>
      </c>
      <c r="F471" s="2">
        <f>F470*(1+((1+VLOOKUP($B471,'IPCA Hist'!$B:$C,2,0))^12 - 1)+$F$2)^(1/252)</f>
        <v>46605309.526473776</v>
      </c>
      <c r="G471" s="2">
        <f>G470*(1+((1+VLOOKUP($B471,'IPCA Hist'!$B:$C,2,0))^12 - 1)+$G$2)^(1/252)</f>
        <v>46592119.328718334</v>
      </c>
      <c r="H471" s="2">
        <f>H470*(1+((1+VLOOKUP($B471,'IPCA Hist'!$B:$C,2,0))^12 - 1)+$H$2)^(1/252)</f>
        <v>47614072.200058825</v>
      </c>
      <c r="I471" s="2">
        <f>I470*(1+((1+VLOOKUP($B471,'IPCA Hist'!$B:$C,2,0))^12 - 1)+$I$2)^(1/252)</f>
        <v>240472685.33578807</v>
      </c>
      <c r="J471" s="2">
        <f>J470*(1+((1+VLOOKUP($B471,'IPCA Hist'!$B:$C,2,0))^12 - 1)+$J$2)^(1/252)</f>
        <v>21148748.81220521</v>
      </c>
      <c r="K471" s="2">
        <f>K470*(1+((1+VLOOKUP($B471,'IPCA Hist'!$B:$C,2,0))^12 - 1)+$K$2)^(1/252)</f>
        <v>82076220.042442188</v>
      </c>
      <c r="L471" s="2">
        <f>L470*(1+((1+VLOOKUP($B471,'IPCA Hist'!$B:$C,2,0))^12 - 1)+$L$2)^(1/252)</f>
        <v>43218109.93659196</v>
      </c>
      <c r="M471" s="2">
        <f>M470*(1+((1+VLOOKUP($B471,'IPCA Hist'!$B:$C,2,0))^12 - 1)+$M$2)^(1/252)</f>
        <v>14803656.887834616</v>
      </c>
      <c r="N471" s="2">
        <f>N470*(1+((1+VLOOKUP($B471,'IPCA Hist'!$B:$C,2,0))^12 - 1)+$N$2)^(1/252)</f>
        <v>120616877.23559241</v>
      </c>
      <c r="O471" s="2">
        <f t="shared" si="80"/>
        <v>663147799.30570543</v>
      </c>
      <c r="P471" s="2">
        <v>0</v>
      </c>
      <c r="Q471" s="2">
        <v>0</v>
      </c>
      <c r="R471" s="2">
        <f t="shared" si="90"/>
        <v>236350.32993328571</v>
      </c>
      <c r="S471" s="2">
        <f t="shared" si="82"/>
        <v>1180893.0787497759</v>
      </c>
      <c r="T471" s="2">
        <f t="shared" si="83"/>
        <v>23863398.47888957</v>
      </c>
      <c r="U471" s="11">
        <f t="shared" si="86"/>
        <v>1.1945988582004374</v>
      </c>
      <c r="V471" s="12">
        <f t="shared" si="87"/>
        <v>3.565337878814745E-4</v>
      </c>
      <c r="W471" s="12">
        <f t="shared" si="84"/>
        <v>1.7839155819445729E-3</v>
      </c>
      <c r="X471" s="12">
        <f t="shared" si="85"/>
        <v>4.3174404179709525E-2</v>
      </c>
      <c r="Y471" s="5">
        <f t="shared" si="88"/>
        <v>0.19459885820043743</v>
      </c>
      <c r="Z471" s="19">
        <f t="shared" si="79"/>
        <v>6.0448700953629864E-2</v>
      </c>
      <c r="AA471" s="19">
        <f t="shared" si="78"/>
        <v>0.10827207403644556</v>
      </c>
      <c r="AB471" s="19" t="s">
        <v>53</v>
      </c>
    </row>
    <row r="472" spans="1:28" x14ac:dyDescent="0.25">
      <c r="A472" s="1">
        <v>45786</v>
      </c>
      <c r="B472" s="1" t="str">
        <f t="shared" si="89"/>
        <v>202505</v>
      </c>
      <c r="C472" s="2">
        <v>0</v>
      </c>
      <c r="D472" s="2">
        <v>0</v>
      </c>
      <c r="E472" s="2">
        <v>0</v>
      </c>
      <c r="F472" s="2">
        <f>F471*(1+((1+VLOOKUP($B472,'IPCA Hist'!$B:$C,2,0))^12 - 1)+$F$2)^(1/252)</f>
        <v>46620116.259387203</v>
      </c>
      <c r="G472" s="2">
        <f>G471*(1+((1+VLOOKUP($B472,'IPCA Hist'!$B:$C,2,0))^12 - 1)+$G$2)^(1/252)</f>
        <v>46606938.942283906</v>
      </c>
      <c r="H472" s="2">
        <f>H471*(1+((1+VLOOKUP($B472,'IPCA Hist'!$B:$C,2,0))^12 - 1)+$H$2)^(1/252)</f>
        <v>47629007.413321368</v>
      </c>
      <c r="I472" s="2">
        <f>I471*(1+((1+VLOOKUP($B472,'IPCA Hist'!$B:$C,2,0))^12 - 1)+$I$2)^(1/252)</f>
        <v>240548026.73865187</v>
      </c>
      <c r="J472" s="2">
        <f>J471*(1+((1+VLOOKUP($B472,'IPCA Hist'!$B:$C,2,0))^12 - 1)+$J$2)^(1/252)</f>
        <v>21156415.675728224</v>
      </c>
      <c r="K472" s="2">
        <f>K471*(1+((1+VLOOKUP($B472,'IPCA Hist'!$B:$C,2,0))^12 - 1)+$K$2)^(1/252)</f>
        <v>82110316.868318945</v>
      </c>
      <c r="L472" s="2">
        <f>L471*(1+((1+VLOOKUP($B472,'IPCA Hist'!$B:$C,2,0))^12 - 1)+$L$2)^(1/252)</f>
        <v>43236204.541713066</v>
      </c>
      <c r="M472" s="2">
        <f>M471*(1+((1+VLOOKUP($B472,'IPCA Hist'!$B:$C,2,0))^12 - 1)+$M$2)^(1/252)</f>
        <v>14809573.405331833</v>
      </c>
      <c r="N472" s="2">
        <f>N471*(1+((1+VLOOKUP($B472,'IPCA Hist'!$B:$C,2,0))^12 - 1)+$N$2)^(1/252)</f>
        <v>120667635.71164128</v>
      </c>
      <c r="O472" s="2">
        <f t="shared" si="80"/>
        <v>663384235.55637765</v>
      </c>
      <c r="P472" s="2">
        <v>0</v>
      </c>
      <c r="Q472" s="2">
        <v>0</v>
      </c>
      <c r="R472" s="2">
        <f t="shared" si="90"/>
        <v>236436.25067222118</v>
      </c>
      <c r="S472" s="2">
        <f t="shared" si="82"/>
        <v>1417329.3294219971</v>
      </c>
      <c r="T472" s="2">
        <f t="shared" si="83"/>
        <v>24099834.729561791</v>
      </c>
      <c r="U472" s="11">
        <f t="shared" si="86"/>
        <v>1.1950247760356258</v>
      </c>
      <c r="V472" s="12">
        <f t="shared" si="87"/>
        <v>3.5653628183607289E-4</v>
      </c>
      <c r="W472" s="12">
        <f t="shared" si="84"/>
        <v>2.1410878944092548E-3</v>
      </c>
      <c r="X472" s="12">
        <f t="shared" si="85"/>
        <v>4.3546333703082363E-2</v>
      </c>
      <c r="Y472" s="5">
        <f t="shared" si="88"/>
        <v>0.19502477603562585</v>
      </c>
      <c r="Z472" s="19">
        <f t="shared" si="79"/>
        <v>6.0428285687845529E-2</v>
      </c>
      <c r="AA472" s="19">
        <f t="shared" si="78"/>
        <v>0.10821838947808304</v>
      </c>
      <c r="AB472" s="19" t="s">
        <v>53</v>
      </c>
    </row>
    <row r="473" spans="1:28" x14ac:dyDescent="0.25">
      <c r="A473" s="1">
        <v>45789</v>
      </c>
      <c r="B473" s="1" t="str">
        <f t="shared" si="89"/>
        <v>202505</v>
      </c>
      <c r="C473" s="2">
        <v>0</v>
      </c>
      <c r="D473" s="2">
        <v>0</v>
      </c>
      <c r="E473" s="2">
        <v>0</v>
      </c>
      <c r="F473" s="2">
        <f>F472*(1+((1+VLOOKUP($B473,'IPCA Hist'!$B:$C,2,0))^12 - 1)+$F$2)^(1/252)</f>
        <v>46634927.696471505</v>
      </c>
      <c r="G473" s="2">
        <f>G472*(1+((1+VLOOKUP($B473,'IPCA Hist'!$B:$C,2,0))^12 - 1)+$G$2)^(1/252)</f>
        <v>46621763.269542471</v>
      </c>
      <c r="H473" s="2">
        <f>H472*(1+((1+VLOOKUP($B473,'IPCA Hist'!$B:$C,2,0))^12 - 1)+$H$2)^(1/252)</f>
        <v>47643947.311345898</v>
      </c>
      <c r="I473" s="2">
        <f>I472*(1+((1+VLOOKUP($B473,'IPCA Hist'!$B:$C,2,0))^12 - 1)+$I$2)^(1/252)</f>
        <v>240623391.74638778</v>
      </c>
      <c r="J473" s="2">
        <f>J472*(1+((1+VLOOKUP($B473,'IPCA Hist'!$B:$C,2,0))^12 - 1)+$J$2)^(1/252)</f>
        <v>21164085.318649527</v>
      </c>
      <c r="K473" s="2">
        <f>K472*(1+((1+VLOOKUP($B473,'IPCA Hist'!$B:$C,2,0))^12 - 1)+$K$2)^(1/252)</f>
        <v>82144427.858999282</v>
      </c>
      <c r="L473" s="2">
        <f>L472*(1+((1+VLOOKUP($B473,'IPCA Hist'!$B:$C,2,0))^12 - 1)+$L$2)^(1/252)</f>
        <v>43254306.722703055</v>
      </c>
      <c r="M473" s="2">
        <f>M472*(1+((1+VLOOKUP($B473,'IPCA Hist'!$B:$C,2,0))^12 - 1)+$M$2)^(1/252)</f>
        <v>14815492.287459599</v>
      </c>
      <c r="N473" s="2">
        <f>N472*(1+((1+VLOOKUP($B473,'IPCA Hist'!$B:$C,2,0))^12 - 1)+$N$2)^(1/252)</f>
        <v>120718415.54807478</v>
      </c>
      <c r="O473" s="2">
        <f t="shared" si="80"/>
        <v>663620757.75963378</v>
      </c>
      <c r="P473" s="2">
        <v>0</v>
      </c>
      <c r="Q473" s="2">
        <v>0</v>
      </c>
      <c r="R473" s="2">
        <f t="shared" si="90"/>
        <v>236522.20325613022</v>
      </c>
      <c r="S473" s="2">
        <f t="shared" si="82"/>
        <v>1653851.5326781273</v>
      </c>
      <c r="T473" s="2">
        <f t="shared" si="83"/>
        <v>24336356.932817921</v>
      </c>
      <c r="U473" s="11">
        <f t="shared" si="86"/>
        <v>1.1954508487063706</v>
      </c>
      <c r="V473" s="12">
        <f t="shared" si="87"/>
        <v>3.5653877583885496E-4</v>
      </c>
      <c r="W473" s="12">
        <f t="shared" si="84"/>
        <v>2.4983900511048596E-3</v>
      </c>
      <c r="X473" s="12">
        <f t="shared" si="85"/>
        <v>4.3918398435431882E-2</v>
      </c>
      <c r="Y473" s="5">
        <f t="shared" si="88"/>
        <v>0.19545084870637064</v>
      </c>
      <c r="Z473" s="19">
        <f t="shared" si="79"/>
        <v>6.0407873337435358E-2</v>
      </c>
      <c r="AA473" s="19">
        <f t="shared" si="78"/>
        <v>0.10816471027895735</v>
      </c>
      <c r="AB473" s="19" t="s">
        <v>53</v>
      </c>
    </row>
    <row r="474" spans="1:28" x14ac:dyDescent="0.25">
      <c r="A474" s="1">
        <v>45790</v>
      </c>
      <c r="B474" s="1" t="str">
        <f t="shared" si="89"/>
        <v>202505</v>
      </c>
      <c r="C474" s="2">
        <v>0</v>
      </c>
      <c r="D474" s="2">
        <v>0</v>
      </c>
      <c r="E474" s="2">
        <v>0</v>
      </c>
      <c r="F474" s="2">
        <f>F473*(1+((1+VLOOKUP($B474,'IPCA Hist'!$B:$C,2,0))^12 - 1)+$F$2)^(1/252)</f>
        <v>46649743.839221217</v>
      </c>
      <c r="G474" s="2">
        <f>G473*(1+((1+VLOOKUP($B474,'IPCA Hist'!$B:$C,2,0))^12 - 1)+$G$2)^(1/252)</f>
        <v>46636592.311993308</v>
      </c>
      <c r="H474" s="2">
        <f>H473*(1+((1+VLOOKUP($B474,'IPCA Hist'!$B:$C,2,0))^12 - 1)+$H$2)^(1/252)</f>
        <v>47658891.895601884</v>
      </c>
      <c r="I474" s="2">
        <f>I473*(1+((1+VLOOKUP($B474,'IPCA Hist'!$B:$C,2,0))^12 - 1)+$I$2)^(1/252)</f>
        <v>240698780.36639136</v>
      </c>
      <c r="J474" s="2">
        <f>J473*(1+((1+VLOOKUP($B474,'IPCA Hist'!$B:$C,2,0))^12 - 1)+$J$2)^(1/252)</f>
        <v>21171757.741976712</v>
      </c>
      <c r="K474" s="2">
        <f>K473*(1+((1+VLOOKUP($B474,'IPCA Hist'!$B:$C,2,0))^12 - 1)+$K$2)^(1/252)</f>
        <v>82178553.020367652</v>
      </c>
      <c r="L474" s="2">
        <f>L473*(1+((1+VLOOKUP($B474,'IPCA Hist'!$B:$C,2,0))^12 - 1)+$L$2)^(1/252)</f>
        <v>43272416.482733808</v>
      </c>
      <c r="M474" s="2">
        <f>M473*(1+((1+VLOOKUP($B474,'IPCA Hist'!$B:$C,2,0))^12 - 1)+$M$2)^(1/252)</f>
        <v>14821413.535162974</v>
      </c>
      <c r="N474" s="2">
        <f>N473*(1+((1+VLOOKUP($B474,'IPCA Hist'!$B:$C,2,0))^12 - 1)+$N$2)^(1/252)</f>
        <v>120769216.75388189</v>
      </c>
      <c r="O474" s="2">
        <f t="shared" si="80"/>
        <v>663857365.94733083</v>
      </c>
      <c r="P474" s="2">
        <v>0</v>
      </c>
      <c r="Q474" s="2">
        <v>0</v>
      </c>
      <c r="R474" s="2">
        <f t="shared" si="90"/>
        <v>236608.18769705296</v>
      </c>
      <c r="S474" s="2">
        <f t="shared" si="82"/>
        <v>1890459.7203751802</v>
      </c>
      <c r="T474" s="2">
        <f t="shared" si="83"/>
        <v>24572965.120514974</v>
      </c>
      <c r="U474" s="11">
        <f t="shared" si="86"/>
        <v>1.1958770762700595</v>
      </c>
      <c r="V474" s="12">
        <f t="shared" si="87"/>
        <v>3.5654126989004276E-4</v>
      </c>
      <c r="W474" s="12">
        <f t="shared" si="84"/>
        <v>2.8558221001564466E-3</v>
      </c>
      <c r="X474" s="12">
        <f t="shared" si="85"/>
        <v>4.4290598426871552E-2</v>
      </c>
      <c r="Y474" s="5">
        <f t="shared" si="88"/>
        <v>0.19587707627005946</v>
      </c>
      <c r="Z474" s="19">
        <f t="shared" si="79"/>
        <v>6.0387463902292549E-2</v>
      </c>
      <c r="AA474" s="19">
        <f t="shared" si="78"/>
        <v>0.1081110364385951</v>
      </c>
      <c r="AB474" s="19" t="s">
        <v>53</v>
      </c>
    </row>
    <row r="475" spans="1:28" x14ac:dyDescent="0.25">
      <c r="A475" s="1">
        <v>45791</v>
      </c>
      <c r="B475" s="1" t="str">
        <f t="shared" si="89"/>
        <v>202505</v>
      </c>
      <c r="C475" s="2">
        <v>0</v>
      </c>
      <c r="D475" s="2">
        <v>0</v>
      </c>
      <c r="E475" s="2">
        <v>0</v>
      </c>
      <c r="F475" s="2">
        <f>F474*(1+((1+VLOOKUP($B475,'IPCA Hist'!$B:$C,2,0))^12 - 1)+$F$2)^(1/252)</f>
        <v>46664564.689131349</v>
      </c>
      <c r="G475" s="2">
        <f>G474*(1+((1+VLOOKUP($B475,'IPCA Hist'!$B:$C,2,0))^12 - 1)+$G$2)^(1/252)</f>
        <v>46651426.071136199</v>
      </c>
      <c r="H475" s="2">
        <f>H474*(1+((1+VLOOKUP($B475,'IPCA Hist'!$B:$C,2,0))^12 - 1)+$H$2)^(1/252)</f>
        <v>47673841.167559274</v>
      </c>
      <c r="I475" s="2">
        <f>I474*(1+((1+VLOOKUP($B475,'IPCA Hist'!$B:$C,2,0))^12 - 1)+$I$2)^(1/252)</f>
        <v>240774192.60606045</v>
      </c>
      <c r="J475" s="2">
        <f>J474*(1+((1+VLOOKUP($B475,'IPCA Hist'!$B:$C,2,0))^12 - 1)+$J$2)^(1/252)</f>
        <v>21179432.946717732</v>
      </c>
      <c r="K475" s="2">
        <f>K474*(1+((1+VLOOKUP($B475,'IPCA Hist'!$B:$C,2,0))^12 - 1)+$K$2)^(1/252)</f>
        <v>82212692.358310983</v>
      </c>
      <c r="L475" s="2">
        <f>L474*(1+((1+VLOOKUP($B475,'IPCA Hist'!$B:$C,2,0))^12 - 1)+$L$2)^(1/252)</f>
        <v>43290533.824978523</v>
      </c>
      <c r="M475" s="2">
        <f>M474*(1+((1+VLOOKUP($B475,'IPCA Hist'!$B:$C,2,0))^12 - 1)+$M$2)^(1/252)</f>
        <v>14827337.149387399</v>
      </c>
      <c r="N475" s="2">
        <f>N474*(1+((1+VLOOKUP($B475,'IPCA Hist'!$B:$C,2,0))^12 - 1)+$N$2)^(1/252)</f>
        <v>120820039.33805533</v>
      </c>
      <c r="O475" s="2">
        <f t="shared" si="80"/>
        <v>664094060.15133727</v>
      </c>
      <c r="P475" s="2">
        <v>0</v>
      </c>
      <c r="Q475" s="2">
        <v>0</v>
      </c>
      <c r="R475" s="2">
        <f t="shared" si="90"/>
        <v>236694.20400643349</v>
      </c>
      <c r="S475" s="2">
        <f t="shared" si="82"/>
        <v>2127153.9243816137</v>
      </c>
      <c r="T475" s="2">
        <f t="shared" si="83"/>
        <v>24809659.324521407</v>
      </c>
      <c r="U475" s="11">
        <f t="shared" si="86"/>
        <v>1.1963034587841004</v>
      </c>
      <c r="V475" s="12">
        <f t="shared" si="87"/>
        <v>3.5654376398852605E-4</v>
      </c>
      <c r="W475" s="12">
        <f t="shared" si="84"/>
        <v>3.2133840897059507E-3</v>
      </c>
      <c r="X475" s="12">
        <f t="shared" si="85"/>
        <v>4.4662933727532605E-2</v>
      </c>
      <c r="Y475" s="5">
        <f t="shared" si="88"/>
        <v>0.19630345878410038</v>
      </c>
      <c r="Z475" s="19">
        <f t="shared" si="79"/>
        <v>6.036705738230963E-2</v>
      </c>
      <c r="AA475" s="19">
        <f t="shared" si="78"/>
        <v>0.10805736795652221</v>
      </c>
      <c r="AB475" s="19" t="s">
        <v>53</v>
      </c>
    </row>
    <row r="476" spans="1:28" x14ac:dyDescent="0.25">
      <c r="A476" s="1">
        <v>45792</v>
      </c>
      <c r="B476" s="1" t="str">
        <f t="shared" si="89"/>
        <v>202505</v>
      </c>
      <c r="C476" s="2">
        <v>0</v>
      </c>
      <c r="D476" s="2">
        <v>0</v>
      </c>
      <c r="E476" s="2">
        <v>0</v>
      </c>
      <c r="F476" s="2">
        <f>F475*(1+((1+VLOOKUP($B476,'IPCA Hist'!$B:$C,2,0))^12 - 1)+$F$2)^(1/252)</f>
        <v>46679390.247697391</v>
      </c>
      <c r="G476" s="2">
        <f>G475*(1+((1+VLOOKUP($B476,'IPCA Hist'!$B:$C,2,0))^12 - 1)+$G$2)^(1/252)</f>
        <v>46666264.548471376</v>
      </c>
      <c r="H476" s="2">
        <f>H475*(1+((1+VLOOKUP($B476,'IPCA Hist'!$B:$C,2,0))^12 - 1)+$H$2)^(1/252)</f>
        <v>47688795.128688462</v>
      </c>
      <c r="I476" s="2">
        <f>I475*(1+((1+VLOOKUP($B476,'IPCA Hist'!$B:$C,2,0))^12 - 1)+$I$2)^(1/252)</f>
        <v>240849628.47279519</v>
      </c>
      <c r="J476" s="2">
        <f>J475*(1+((1+VLOOKUP($B476,'IPCA Hist'!$B:$C,2,0))^12 - 1)+$J$2)^(1/252)</f>
        <v>21187110.933880907</v>
      </c>
      <c r="K476" s="2">
        <f>K475*(1+((1+VLOOKUP($B476,'IPCA Hist'!$B:$C,2,0))^12 - 1)+$K$2)^(1/252)</f>
        <v>82246845.878718615</v>
      </c>
      <c r="L476" s="2">
        <f>L475*(1+((1+VLOOKUP($B476,'IPCA Hist'!$B:$C,2,0))^12 - 1)+$L$2)^(1/252)</f>
        <v>43308658.752611734</v>
      </c>
      <c r="M476" s="2">
        <f>M475*(1+((1+VLOOKUP($B476,'IPCA Hist'!$B:$C,2,0))^12 - 1)+$M$2)^(1/252)</f>
        <v>14833263.131078692</v>
      </c>
      <c r="N476" s="2">
        <f>N475*(1+((1+VLOOKUP($B476,'IPCA Hist'!$B:$C,2,0))^12 - 1)+$N$2)^(1/252)</f>
        <v>120870883.30959164</v>
      </c>
      <c r="O476" s="2">
        <f t="shared" si="80"/>
        <v>664330840.40353405</v>
      </c>
      <c r="P476" s="2">
        <v>0</v>
      </c>
      <c r="Q476" s="2">
        <v>0</v>
      </c>
      <c r="R476" s="2">
        <f t="shared" si="90"/>
        <v>236780.25219678879</v>
      </c>
      <c r="S476" s="2">
        <f t="shared" si="82"/>
        <v>2363934.1765784025</v>
      </c>
      <c r="T476" s="2">
        <f t="shared" si="83"/>
        <v>25046439.576718196</v>
      </c>
      <c r="U476" s="11">
        <f t="shared" si="86"/>
        <v>1.1967299963059241</v>
      </c>
      <c r="V476" s="12">
        <f t="shared" si="87"/>
        <v>3.5654625813519303E-4</v>
      </c>
      <c r="W476" s="12">
        <f t="shared" si="84"/>
        <v>3.5710760679141806E-3</v>
      </c>
      <c r="X476" s="12">
        <f t="shared" si="85"/>
        <v>4.5035404387565592E-2</v>
      </c>
      <c r="Y476" s="5">
        <f t="shared" si="88"/>
        <v>0.19672999630592414</v>
      </c>
      <c r="Z476" s="19">
        <f t="shared" si="79"/>
        <v>6.0346653777379133E-2</v>
      </c>
      <c r="AA476" s="19">
        <f t="shared" si="78"/>
        <v>0.10800370483226462</v>
      </c>
      <c r="AB476" s="19" t="s">
        <v>53</v>
      </c>
    </row>
    <row r="477" spans="1:28" x14ac:dyDescent="0.25">
      <c r="A477" s="1">
        <v>45793</v>
      </c>
      <c r="B477" s="1" t="str">
        <f t="shared" si="89"/>
        <v>202505</v>
      </c>
      <c r="C477" s="2">
        <v>0</v>
      </c>
      <c r="D477" s="2">
        <v>0</v>
      </c>
      <c r="E477" s="2">
        <v>0</v>
      </c>
      <c r="F477" s="2">
        <f>F476*(1+((1+VLOOKUP($B477,'IPCA Hist'!$B:$C,2,0))^12 - 1)+$F$2)^(1/252)</f>
        <v>46694220.516415305</v>
      </c>
      <c r="G477" s="2">
        <f>G476*(1+((1+VLOOKUP($B477,'IPCA Hist'!$B:$C,2,0))^12 - 1)+$G$2)^(1/252)</f>
        <v>46681107.745499566</v>
      </c>
      <c r="H477" s="2">
        <f>H476*(1+((1+VLOOKUP($B477,'IPCA Hist'!$B:$C,2,0))^12 - 1)+$H$2)^(1/252)</f>
        <v>47703753.78046032</v>
      </c>
      <c r="I477" s="2">
        <f>I476*(1+((1+VLOOKUP($B477,'IPCA Hist'!$B:$C,2,0))^12 - 1)+$I$2)^(1/252)</f>
        <v>240925087.9739981</v>
      </c>
      <c r="J477" s="2">
        <f>J476*(1+((1+VLOOKUP($B477,'IPCA Hist'!$B:$C,2,0))^12 - 1)+$J$2)^(1/252)</f>
        <v>21194791.704474922</v>
      </c>
      <c r="K477" s="2">
        <f>K476*(1+((1+VLOOKUP($B477,'IPCA Hist'!$B:$C,2,0))^12 - 1)+$K$2)^(1/252)</f>
        <v>82281013.587482363</v>
      </c>
      <c r="L477" s="2">
        <f>L476*(1+((1+VLOOKUP($B477,'IPCA Hist'!$B:$C,2,0))^12 - 1)+$L$2)^(1/252)</f>
        <v>43326791.268809289</v>
      </c>
      <c r="M477" s="2">
        <f>M476*(1+((1+VLOOKUP($B477,'IPCA Hist'!$B:$C,2,0))^12 - 1)+$M$2)^(1/252)</f>
        <v>14839191.481183048</v>
      </c>
      <c r="N477" s="2">
        <f>N476*(1+((1+VLOOKUP($B477,'IPCA Hist'!$B:$C,2,0))^12 - 1)+$N$2)^(1/252)</f>
        <v>120921748.67749113</v>
      </c>
      <c r="O477" s="2">
        <f t="shared" si="80"/>
        <v>664567706.73581409</v>
      </c>
      <c r="P477" s="2">
        <v>0</v>
      </c>
      <c r="Q477" s="2">
        <v>0</v>
      </c>
      <c r="R477" s="2">
        <f t="shared" si="90"/>
        <v>236866.33228003979</v>
      </c>
      <c r="S477" s="2">
        <f t="shared" si="82"/>
        <v>2600800.5088584423</v>
      </c>
      <c r="T477" s="2">
        <f t="shared" si="83"/>
        <v>25283305.908998236</v>
      </c>
      <c r="U477" s="11">
        <f t="shared" si="86"/>
        <v>1.1971566888929828</v>
      </c>
      <c r="V477" s="12">
        <f t="shared" si="87"/>
        <v>3.5654875232982164E-4</v>
      </c>
      <c r="W477" s="12">
        <f t="shared" si="84"/>
        <v>3.9288980829605968E-3</v>
      </c>
      <c r="X477" s="12">
        <f t="shared" si="85"/>
        <v>4.540801045714038E-2</v>
      </c>
      <c r="Y477" s="5">
        <f t="shared" si="88"/>
        <v>0.19715668889298277</v>
      </c>
      <c r="Z477" s="19">
        <f t="shared" si="79"/>
        <v>6.0326253087393811E-2</v>
      </c>
      <c r="AA477" s="19">
        <f t="shared" si="78"/>
        <v>0.10795004706534983</v>
      </c>
      <c r="AB477" s="19" t="s">
        <v>53</v>
      </c>
    </row>
    <row r="478" spans="1:28" x14ac:dyDescent="0.25">
      <c r="A478" s="1">
        <v>45796</v>
      </c>
      <c r="B478" s="1" t="str">
        <f t="shared" si="89"/>
        <v>202505</v>
      </c>
      <c r="C478" s="2">
        <v>0</v>
      </c>
      <c r="D478" s="2">
        <v>0</v>
      </c>
      <c r="E478" s="2">
        <v>0</v>
      </c>
      <c r="F478" s="2">
        <f>F477*(1+((1+VLOOKUP($B478,'IPCA Hist'!$B:$C,2,0))^12 - 1)+$F$2)^(1/252)</f>
        <v>46709055.496781535</v>
      </c>
      <c r="G478" s="2">
        <f>G477*(1+((1+VLOOKUP($B478,'IPCA Hist'!$B:$C,2,0))^12 - 1)+$G$2)^(1/252)</f>
        <v>46695955.663721964</v>
      </c>
      <c r="H478" s="2">
        <f>H477*(1+((1+VLOOKUP($B478,'IPCA Hist'!$B:$C,2,0))^12 - 1)+$H$2)^(1/252)</f>
        <v>47718717.124346167</v>
      </c>
      <c r="I478" s="2">
        <f>I477*(1+((1+VLOOKUP($B478,'IPCA Hist'!$B:$C,2,0))^12 - 1)+$I$2)^(1/252)</f>
        <v>241000571.11707398</v>
      </c>
      <c r="J478" s="2">
        <f>J477*(1+((1+VLOOKUP($B478,'IPCA Hist'!$B:$C,2,0))^12 - 1)+$J$2)^(1/252)</f>
        <v>21202475.259508833</v>
      </c>
      <c r="K478" s="2">
        <f>K477*(1+((1+VLOOKUP($B478,'IPCA Hist'!$B:$C,2,0))^12 - 1)+$K$2)^(1/252)</f>
        <v>82315195.490496472</v>
      </c>
      <c r="L478" s="2">
        <f>L477*(1+((1+VLOOKUP($B478,'IPCA Hist'!$B:$C,2,0))^12 - 1)+$L$2)^(1/252)</f>
        <v>43344931.376748383</v>
      </c>
      <c r="M478" s="2">
        <f>M477*(1+((1+VLOOKUP($B478,'IPCA Hist'!$B:$C,2,0))^12 - 1)+$M$2)^(1/252)</f>
        <v>14845122.200647043</v>
      </c>
      <c r="N478" s="2">
        <f>N477*(1+((1+VLOOKUP($B478,'IPCA Hist'!$B:$C,2,0))^12 - 1)+$N$2)^(1/252)</f>
        <v>120972635.45075791</v>
      </c>
      <c r="O478" s="2">
        <f t="shared" si="80"/>
        <v>664804659.1800822</v>
      </c>
      <c r="P478" s="2">
        <v>0</v>
      </c>
      <c r="Q478" s="2">
        <v>0</v>
      </c>
      <c r="R478" s="2">
        <f t="shared" si="90"/>
        <v>236952.44426810741</v>
      </c>
      <c r="S478" s="2">
        <f t="shared" si="82"/>
        <v>2837752.9531265497</v>
      </c>
      <c r="T478" s="2">
        <f t="shared" si="83"/>
        <v>25520258.353266343</v>
      </c>
      <c r="U478" s="11">
        <f t="shared" si="86"/>
        <v>1.1975835366027496</v>
      </c>
      <c r="V478" s="12">
        <f t="shared" si="87"/>
        <v>3.5655124657196779E-4</v>
      </c>
      <c r="W478" s="12">
        <f t="shared" si="84"/>
        <v>4.2868501830417571E-3</v>
      </c>
      <c r="X478" s="12">
        <f t="shared" si="85"/>
        <v>4.5780751986445267E-2</v>
      </c>
      <c r="Y478" s="5">
        <f t="shared" si="88"/>
        <v>0.19758353660274963</v>
      </c>
      <c r="Z478" s="19">
        <f t="shared" si="79"/>
        <v>6.0305855312245749E-2</v>
      </c>
      <c r="AA478" s="19">
        <f t="shared" si="78"/>
        <v>0.10789639465530287</v>
      </c>
      <c r="AB478" s="19" t="s">
        <v>53</v>
      </c>
    </row>
    <row r="479" spans="1:28" x14ac:dyDescent="0.25">
      <c r="A479" s="1">
        <v>45797</v>
      </c>
      <c r="B479" s="1" t="str">
        <f t="shared" si="89"/>
        <v>202505</v>
      </c>
      <c r="C479" s="2">
        <v>0</v>
      </c>
      <c r="D479" s="2">
        <v>0</v>
      </c>
      <c r="E479" s="2">
        <v>0</v>
      </c>
      <c r="F479" s="2">
        <f>F478*(1+((1+VLOOKUP($B479,'IPCA Hist'!$B:$C,2,0))^12 - 1)+$F$2)^(1/252)</f>
        <v>46723895.190292992</v>
      </c>
      <c r="G479" s="2">
        <f>G478*(1+((1+VLOOKUP($B479,'IPCA Hist'!$B:$C,2,0))^12 - 1)+$G$2)^(1/252)</f>
        <v>46710808.304640248</v>
      </c>
      <c r="H479" s="2">
        <f>H478*(1+((1+VLOOKUP($B479,'IPCA Hist'!$B:$C,2,0))^12 - 1)+$H$2)^(1/252)</f>
        <v>47733685.161817797</v>
      </c>
      <c r="I479" s="2">
        <f>I478*(1+((1+VLOOKUP($B479,'IPCA Hist'!$B:$C,2,0))^12 - 1)+$I$2)^(1/252)</f>
        <v>241076077.90942997</v>
      </c>
      <c r="J479" s="2">
        <f>J478*(1+((1+VLOOKUP($B479,'IPCA Hist'!$B:$C,2,0))^12 - 1)+$J$2)^(1/252)</f>
        <v>21210161.599992055</v>
      </c>
      <c r="K479" s="2">
        <f>K478*(1+((1+VLOOKUP($B479,'IPCA Hist'!$B:$C,2,0))^12 - 1)+$K$2)^(1/252)</f>
        <v>82349391.593657658</v>
      </c>
      <c r="L479" s="2">
        <f>L478*(1+((1+VLOOKUP($B479,'IPCA Hist'!$B:$C,2,0))^12 - 1)+$L$2)^(1/252)</f>
        <v>43363079.079607539</v>
      </c>
      <c r="M479" s="2">
        <f>M478*(1+((1+VLOOKUP($B479,'IPCA Hist'!$B:$C,2,0))^12 - 1)+$M$2)^(1/252)</f>
        <v>14851055.290417628</v>
      </c>
      <c r="N479" s="2">
        <f>N478*(1+((1+VLOOKUP($B479,'IPCA Hist'!$B:$C,2,0))^12 - 1)+$N$2)^(1/252)</f>
        <v>121023543.63839987</v>
      </c>
      <c r="O479" s="2">
        <f t="shared" si="80"/>
        <v>665041697.76825571</v>
      </c>
      <c r="P479" s="2">
        <v>0</v>
      </c>
      <c r="Q479" s="2">
        <v>0</v>
      </c>
      <c r="R479" s="2">
        <f t="shared" si="90"/>
        <v>237038.58817350864</v>
      </c>
      <c r="S479" s="2">
        <f t="shared" si="82"/>
        <v>3074791.5413000584</v>
      </c>
      <c r="T479" s="2">
        <f t="shared" si="83"/>
        <v>25757296.941439852</v>
      </c>
      <c r="U479" s="11">
        <f t="shared" si="86"/>
        <v>1.1980105394927207</v>
      </c>
      <c r="V479" s="12">
        <f t="shared" si="87"/>
        <v>3.5655374086251967E-4</v>
      </c>
      <c r="W479" s="12">
        <f t="shared" si="84"/>
        <v>4.6449324163735373E-3</v>
      </c>
      <c r="X479" s="12">
        <f t="shared" si="85"/>
        <v>4.6153629025688092E-2</v>
      </c>
      <c r="Y479" s="5">
        <f t="shared" si="88"/>
        <v>0.19801053949272074</v>
      </c>
      <c r="Z479" s="19">
        <f t="shared" si="79"/>
        <v>6.0285460451828143E-2</v>
      </c>
      <c r="AA479" s="19">
        <f t="shared" si="78"/>
        <v>0.10784274760165147</v>
      </c>
      <c r="AB479" s="19" t="s">
        <v>53</v>
      </c>
    </row>
    <row r="480" spans="1:28" x14ac:dyDescent="0.25">
      <c r="A480" s="1">
        <v>45798</v>
      </c>
      <c r="B480" s="1" t="str">
        <f t="shared" si="89"/>
        <v>202505</v>
      </c>
      <c r="C480" s="2">
        <v>0</v>
      </c>
      <c r="D480" s="2">
        <v>0</v>
      </c>
      <c r="E480" s="2">
        <v>0</v>
      </c>
      <c r="F480" s="2">
        <f>F479*(1+((1+VLOOKUP($B480,'IPCA Hist'!$B:$C,2,0))^12 - 1)+$F$2)^(1/252)</f>
        <v>46738739.598447062</v>
      </c>
      <c r="G480" s="2">
        <f>G479*(1+((1+VLOOKUP($B480,'IPCA Hist'!$B:$C,2,0))^12 - 1)+$G$2)^(1/252)</f>
        <v>46725665.669756576</v>
      </c>
      <c r="H480" s="2">
        <f>H479*(1+((1+VLOOKUP($B480,'IPCA Hist'!$B:$C,2,0))^12 - 1)+$H$2)^(1/252)</f>
        <v>47748657.894347444</v>
      </c>
      <c r="I480" s="2">
        <f>I479*(1+((1+VLOOKUP($B480,'IPCA Hist'!$B:$C,2,0))^12 - 1)+$I$2)^(1/252)</f>
        <v>241151608.35847551</v>
      </c>
      <c r="J480" s="2">
        <f>J479*(1+((1+VLOOKUP($B480,'IPCA Hist'!$B:$C,2,0))^12 - 1)+$J$2)^(1/252)</f>
        <v>21217850.726934373</v>
      </c>
      <c r="K480" s="2">
        <f>K479*(1+((1+VLOOKUP($B480,'IPCA Hist'!$B:$C,2,0))^12 - 1)+$K$2)^(1/252)</f>
        <v>82383601.902865052</v>
      </c>
      <c r="L480" s="2">
        <f>L479*(1+((1+VLOOKUP($B480,'IPCA Hist'!$B:$C,2,0))^12 - 1)+$L$2)^(1/252)</f>
        <v>43381234.380566604</v>
      </c>
      <c r="M480" s="2">
        <f>M479*(1+((1+VLOOKUP($B480,'IPCA Hist'!$B:$C,2,0))^12 - 1)+$M$2)^(1/252)</f>
        <v>14856990.751442134</v>
      </c>
      <c r="N480" s="2">
        <f>N479*(1+((1+VLOOKUP($B480,'IPCA Hist'!$B:$C,2,0))^12 - 1)+$N$2)^(1/252)</f>
        <v>121074473.24942869</v>
      </c>
      <c r="O480" s="2">
        <f t="shared" si="80"/>
        <v>665278822.53226352</v>
      </c>
      <c r="P480" s="2">
        <v>0</v>
      </c>
      <c r="Q480" s="2">
        <v>0</v>
      </c>
      <c r="R480" s="2">
        <f t="shared" si="90"/>
        <v>237124.76400780678</v>
      </c>
      <c r="S480" s="2">
        <f t="shared" si="82"/>
        <v>3311916.3053078651</v>
      </c>
      <c r="T480" s="2">
        <f t="shared" si="83"/>
        <v>25994421.705447659</v>
      </c>
      <c r="U480" s="11">
        <f t="shared" si="86"/>
        <v>1.1984376976204132</v>
      </c>
      <c r="V480" s="12">
        <f t="shared" si="87"/>
        <v>3.5655623520081114E-4</v>
      </c>
      <c r="W480" s="12">
        <f t="shared" si="84"/>
        <v>5.0031448311895765E-3</v>
      </c>
      <c r="X480" s="12">
        <f t="shared" si="85"/>
        <v>4.6526641625095122E-2</v>
      </c>
      <c r="Y480" s="5">
        <f t="shared" si="88"/>
        <v>0.19843769762041319</v>
      </c>
      <c r="Z480" s="19">
        <f t="shared" si="79"/>
        <v>6.0265068506033526E-2</v>
      </c>
      <c r="AA480" s="19">
        <f t="shared" si="78"/>
        <v>0.1077891059039211</v>
      </c>
      <c r="AB480" s="19" t="s">
        <v>53</v>
      </c>
    </row>
    <row r="481" spans="1:28" x14ac:dyDescent="0.25">
      <c r="A481" s="1">
        <v>45799</v>
      </c>
      <c r="B481" s="1" t="str">
        <f t="shared" si="89"/>
        <v>202505</v>
      </c>
      <c r="C481" s="2">
        <v>0</v>
      </c>
      <c r="D481" s="2">
        <v>0</v>
      </c>
      <c r="E481" s="2">
        <v>0</v>
      </c>
      <c r="F481" s="2">
        <f>F480*(1+((1+VLOOKUP($B481,'IPCA Hist'!$B:$C,2,0))^12 - 1)+$F$2)^(1/252)</f>
        <v>46753588.722741611</v>
      </c>
      <c r="G481" s="2">
        <f>G480*(1+((1+VLOOKUP($B481,'IPCA Hist'!$B:$C,2,0))^12 - 1)+$G$2)^(1/252)</f>
        <v>46740527.760573573</v>
      </c>
      <c r="H481" s="2">
        <f>H480*(1+((1+VLOOKUP($B481,'IPCA Hist'!$B:$C,2,0))^12 - 1)+$H$2)^(1/252)</f>
        <v>47763635.323407829</v>
      </c>
      <c r="I481" s="2">
        <f>I480*(1+((1+VLOOKUP($B481,'IPCA Hist'!$B:$C,2,0))^12 - 1)+$I$2)^(1/252)</f>
        <v>241227162.47162235</v>
      </c>
      <c r="J481" s="2">
        <f>J480*(1+((1+VLOOKUP($B481,'IPCA Hist'!$B:$C,2,0))^12 - 1)+$J$2)^(1/252)</f>
        <v>21225542.641345933</v>
      </c>
      <c r="K481" s="2">
        <f>K480*(1+((1+VLOOKUP($B481,'IPCA Hist'!$B:$C,2,0))^12 - 1)+$K$2)^(1/252)</f>
        <v>82417826.424020261</v>
      </c>
      <c r="L481" s="2">
        <f>L480*(1+((1+VLOOKUP($B481,'IPCA Hist'!$B:$C,2,0))^12 - 1)+$L$2)^(1/252)</f>
        <v>43399397.282806754</v>
      </c>
      <c r="M481" s="2">
        <f>M480*(1+((1+VLOOKUP($B481,'IPCA Hist'!$B:$C,2,0))^12 - 1)+$M$2)^(1/252)</f>
        <v>14862928.584668271</v>
      </c>
      <c r="N481" s="2">
        <f>N480*(1+((1+VLOOKUP($B481,'IPCA Hist'!$B:$C,2,0))^12 - 1)+$N$2)^(1/252)</f>
        <v>121125424.29285985</v>
      </c>
      <c r="O481" s="2">
        <f t="shared" si="80"/>
        <v>665516033.50404644</v>
      </c>
      <c r="P481" s="2">
        <v>0</v>
      </c>
      <c r="Q481" s="2">
        <v>0</v>
      </c>
      <c r="R481" s="2">
        <f t="shared" si="90"/>
        <v>237210.97178292274</v>
      </c>
      <c r="S481" s="2">
        <f t="shared" si="82"/>
        <v>3549127.2770907879</v>
      </c>
      <c r="T481" s="2">
        <f t="shared" si="83"/>
        <v>26231632.677230582</v>
      </c>
      <c r="U481" s="11">
        <f t="shared" si="86"/>
        <v>1.1988650110433654</v>
      </c>
      <c r="V481" s="12">
        <f t="shared" si="87"/>
        <v>3.5655872958662016E-4</v>
      </c>
      <c r="W481" s="12">
        <f t="shared" si="84"/>
        <v>5.3614874757410558E-3</v>
      </c>
      <c r="X481" s="12">
        <f t="shared" si="85"/>
        <v>4.6899789834911498E-2</v>
      </c>
      <c r="Y481" s="5">
        <f t="shared" si="88"/>
        <v>0.1988650110433654</v>
      </c>
      <c r="Z481" s="19">
        <f t="shared" si="79"/>
        <v>6.0244679474754426E-2</v>
      </c>
      <c r="AA481" s="19">
        <f t="shared" si="78"/>
        <v>0.10773546956163838</v>
      </c>
      <c r="AB481" s="19" t="s">
        <v>53</v>
      </c>
    </row>
    <row r="482" spans="1:28" x14ac:dyDescent="0.25">
      <c r="A482" s="1">
        <v>45800</v>
      </c>
      <c r="B482" s="1" t="str">
        <f t="shared" si="89"/>
        <v>202505</v>
      </c>
      <c r="C482" s="2">
        <v>0</v>
      </c>
      <c r="D482" s="2">
        <v>0</v>
      </c>
      <c r="E482" s="2">
        <v>0</v>
      </c>
      <c r="F482" s="2">
        <f>F481*(1+((1+VLOOKUP($B482,'IPCA Hist'!$B:$C,2,0))^12 - 1)+$F$2)^(1/252)</f>
        <v>46768442.564674981</v>
      </c>
      <c r="G482" s="2">
        <f>G481*(1+((1+VLOOKUP($B482,'IPCA Hist'!$B:$C,2,0))^12 - 1)+$G$2)^(1/252)</f>
        <v>46755394.578594357</v>
      </c>
      <c r="H482" s="2">
        <f>H481*(1+((1+VLOOKUP($B482,'IPCA Hist'!$B:$C,2,0))^12 - 1)+$H$2)^(1/252)</f>
        <v>47778617.450472116</v>
      </c>
      <c r="I482" s="2">
        <f>I481*(1+((1+VLOOKUP($B482,'IPCA Hist'!$B:$C,2,0))^12 - 1)+$I$2)^(1/252)</f>
        <v>241302740.25628462</v>
      </c>
      <c r="J482" s="2">
        <f>J481*(1+((1+VLOOKUP($B482,'IPCA Hist'!$B:$C,2,0))^12 - 1)+$J$2)^(1/252)</f>
        <v>21233237.344237257</v>
      </c>
      <c r="K482" s="2">
        <f>K481*(1+((1+VLOOKUP($B482,'IPCA Hist'!$B:$C,2,0))^12 - 1)+$K$2)^(1/252)</f>
        <v>82452065.163027346</v>
      </c>
      <c r="L482" s="2">
        <f>L481*(1+((1+VLOOKUP($B482,'IPCA Hist'!$B:$C,2,0))^12 - 1)+$L$2)^(1/252)</f>
        <v>43417567.789510503</v>
      </c>
      <c r="M482" s="2">
        <f>M481*(1+((1+VLOOKUP($B482,'IPCA Hist'!$B:$C,2,0))^12 - 1)+$M$2)^(1/252)</f>
        <v>14868868.791044125</v>
      </c>
      <c r="N482" s="2">
        <f>N481*(1+((1+VLOOKUP($B482,'IPCA Hist'!$B:$C,2,0))^12 - 1)+$N$2)^(1/252)</f>
        <v>121176396.77771261</v>
      </c>
      <c r="O482" s="2">
        <f t="shared" si="80"/>
        <v>665753330.71555793</v>
      </c>
      <c r="P482" s="2">
        <v>0</v>
      </c>
      <c r="Q482" s="2">
        <v>0</v>
      </c>
      <c r="R482" s="2">
        <f t="shared" si="90"/>
        <v>237297.21151149273</v>
      </c>
      <c r="S482" s="2">
        <f t="shared" si="82"/>
        <v>3786424.4886022806</v>
      </c>
      <c r="T482" s="2">
        <f t="shared" si="83"/>
        <v>26468929.888742074</v>
      </c>
      <c r="U482" s="11">
        <f t="shared" si="86"/>
        <v>1.1992924798191384</v>
      </c>
      <c r="V482" s="12">
        <f t="shared" si="87"/>
        <v>3.5656122402061285E-4</v>
      </c>
      <c r="W482" s="12">
        <f t="shared" si="84"/>
        <v>5.7199603982986957E-3</v>
      </c>
      <c r="X482" s="12">
        <f t="shared" si="85"/>
        <v>4.7273073705401902E-2</v>
      </c>
      <c r="Y482" s="5">
        <f t="shared" si="88"/>
        <v>0.19929247981913845</v>
      </c>
      <c r="Z482" s="19">
        <f t="shared" si="79"/>
        <v>6.0224293357883818E-2</v>
      </c>
      <c r="AA482" s="19">
        <f t="shared" si="78"/>
        <v>0.10768183857433034</v>
      </c>
      <c r="AB482" s="19" t="s">
        <v>53</v>
      </c>
    </row>
    <row r="483" spans="1:28" x14ac:dyDescent="0.25">
      <c r="A483" s="1">
        <v>45803</v>
      </c>
      <c r="B483" s="1" t="str">
        <f t="shared" si="89"/>
        <v>202505</v>
      </c>
      <c r="C483" s="2">
        <v>0</v>
      </c>
      <c r="D483" s="2">
        <v>0</v>
      </c>
      <c r="E483" s="2">
        <v>0</v>
      </c>
      <c r="F483" s="2">
        <f>F482*(1+((1+VLOOKUP($B483,'IPCA Hist'!$B:$C,2,0))^12 - 1)+$F$2)^(1/252)</f>
        <v>46783301.125745982</v>
      </c>
      <c r="G483" s="2">
        <f>G482*(1+((1+VLOOKUP($B483,'IPCA Hist'!$B:$C,2,0))^12 - 1)+$G$2)^(1/252)</f>
        <v>46770266.125322506</v>
      </c>
      <c r="H483" s="2">
        <f>H482*(1+((1+VLOOKUP($B483,'IPCA Hist'!$B:$C,2,0))^12 - 1)+$H$2)^(1/252)</f>
        <v>47793604.277013943</v>
      </c>
      <c r="I483" s="2">
        <f>I482*(1+((1+VLOOKUP($B483,'IPCA Hist'!$B:$C,2,0))^12 - 1)+$I$2)^(1/252)</f>
        <v>241378341.7198787</v>
      </c>
      <c r="J483" s="2">
        <f>J482*(1+((1+VLOOKUP($B483,'IPCA Hist'!$B:$C,2,0))^12 - 1)+$J$2)^(1/252)</f>
        <v>21240934.836619221</v>
      </c>
      <c r="K483" s="2">
        <f>K482*(1+((1+VLOOKUP($B483,'IPCA Hist'!$B:$C,2,0))^12 - 1)+$K$2)^(1/252)</f>
        <v>82486318.125792801</v>
      </c>
      <c r="L483" s="2">
        <f>L482*(1+((1+VLOOKUP($B483,'IPCA Hist'!$B:$C,2,0))^12 - 1)+$L$2)^(1/252)</f>
        <v>43435745.903861701</v>
      </c>
      <c r="M483" s="2">
        <f>M482*(1+((1+VLOOKUP($B483,'IPCA Hist'!$B:$C,2,0))^12 - 1)+$M$2)^(1/252)</f>
        <v>14874811.371518167</v>
      </c>
      <c r="N483" s="2">
        <f>N482*(1+((1+VLOOKUP($B483,'IPCA Hist'!$B:$C,2,0))^12 - 1)+$N$2)^(1/252)</f>
        <v>121227390.71301004</v>
      </c>
      <c r="O483" s="2">
        <f t="shared" si="80"/>
        <v>665990714.19876313</v>
      </c>
      <c r="P483" s="2">
        <v>0</v>
      </c>
      <c r="Q483" s="2">
        <v>0</v>
      </c>
      <c r="R483" s="2">
        <f t="shared" si="90"/>
        <v>237383.48320519924</v>
      </c>
      <c r="S483" s="2">
        <f t="shared" si="82"/>
        <v>4023807.9718074799</v>
      </c>
      <c r="T483" s="2">
        <f t="shared" si="83"/>
        <v>26706313.371947274</v>
      </c>
      <c r="U483" s="11">
        <f t="shared" si="86"/>
        <v>1.1997201040053147</v>
      </c>
      <c r="V483" s="12">
        <f t="shared" si="87"/>
        <v>3.5656371850234514E-4</v>
      </c>
      <c r="W483" s="12">
        <f t="shared" si="84"/>
        <v>6.0785636471503146E-3</v>
      </c>
      <c r="X483" s="12">
        <f t="shared" si="85"/>
        <v>4.7646493286849667E-2</v>
      </c>
      <c r="Y483" s="5">
        <f t="shared" si="88"/>
        <v>0.1997201040053147</v>
      </c>
      <c r="Z483" s="19">
        <f t="shared" si="79"/>
        <v>6.0203910155314011E-2</v>
      </c>
      <c r="AA483" s="19">
        <f t="shared" si="78"/>
        <v>0.10762821294152358</v>
      </c>
      <c r="AB483" s="19" t="s">
        <v>53</v>
      </c>
    </row>
    <row r="484" spans="1:28" x14ac:dyDescent="0.25">
      <c r="A484" s="1">
        <v>45804</v>
      </c>
      <c r="B484" s="1" t="str">
        <f t="shared" si="89"/>
        <v>202505</v>
      </c>
      <c r="C484" s="2">
        <v>0</v>
      </c>
      <c r="D484" s="2">
        <v>0</v>
      </c>
      <c r="E484" s="2">
        <v>0</v>
      </c>
      <c r="F484" s="2">
        <f>F483*(1+((1+VLOOKUP($B484,'IPCA Hist'!$B:$C,2,0))^12 - 1)+$F$2)^(1/252)</f>
        <v>46798164.407453917</v>
      </c>
      <c r="G484" s="2">
        <f>G483*(1+((1+VLOOKUP($B484,'IPCA Hist'!$B:$C,2,0))^12 - 1)+$G$2)^(1/252)</f>
        <v>46785142.402262092</v>
      </c>
      <c r="H484" s="2">
        <f>H483*(1+((1+VLOOKUP($B484,'IPCA Hist'!$B:$C,2,0))^12 - 1)+$H$2)^(1/252)</f>
        <v>47808595.804507405</v>
      </c>
      <c r="I484" s="2">
        <f>I483*(1+((1+VLOOKUP($B484,'IPCA Hist'!$B:$C,2,0))^12 - 1)+$I$2)^(1/252)</f>
        <v>241453966.86982337</v>
      </c>
      <c r="J484" s="2">
        <f>J483*(1+((1+VLOOKUP($B484,'IPCA Hist'!$B:$C,2,0))^12 - 1)+$J$2)^(1/252)</f>
        <v>21248635.119503077</v>
      </c>
      <c r="K484" s="2">
        <f>K483*(1+((1+VLOOKUP($B484,'IPCA Hist'!$B:$C,2,0))^12 - 1)+$K$2)^(1/252)</f>
        <v>82520585.318225592</v>
      </c>
      <c r="L484" s="2">
        <f>L483*(1+((1+VLOOKUP($B484,'IPCA Hist'!$B:$C,2,0))^12 - 1)+$L$2)^(1/252)</f>
        <v>43453931.629045524</v>
      </c>
      <c r="M484" s="2">
        <f>M483*(1+((1+VLOOKUP($B484,'IPCA Hist'!$B:$C,2,0))^12 - 1)+$M$2)^(1/252)</f>
        <v>14880756.32703924</v>
      </c>
      <c r="N484" s="2">
        <f>N483*(1+((1+VLOOKUP($B484,'IPCA Hist'!$B:$C,2,0))^12 - 1)+$N$2)^(1/252)</f>
        <v>121278406.10777901</v>
      </c>
      <c r="O484" s="2">
        <f t="shared" si="80"/>
        <v>666228183.98563921</v>
      </c>
      <c r="P484" s="2">
        <v>0</v>
      </c>
      <c r="Q484" s="2">
        <v>0</v>
      </c>
      <c r="R484" s="2">
        <f t="shared" si="90"/>
        <v>237469.78687608242</v>
      </c>
      <c r="S484" s="2">
        <f t="shared" si="82"/>
        <v>4261277.7586835623</v>
      </c>
      <c r="T484" s="2">
        <f t="shared" si="83"/>
        <v>26943783.158823356</v>
      </c>
      <c r="U484" s="11">
        <f t="shared" si="86"/>
        <v>1.2001478836594976</v>
      </c>
      <c r="V484" s="12">
        <f t="shared" si="87"/>
        <v>3.5656621303159497E-4</v>
      </c>
      <c r="W484" s="12">
        <f t="shared" si="84"/>
        <v>6.4372972706021603E-3</v>
      </c>
      <c r="X484" s="12">
        <f t="shared" si="85"/>
        <v>4.8020048629556777E-2</v>
      </c>
      <c r="Y484" s="5">
        <f t="shared" si="88"/>
        <v>0.20014788365949765</v>
      </c>
      <c r="Z484" s="19">
        <f t="shared" si="79"/>
        <v>6.0183529866937535E-2</v>
      </c>
      <c r="AA484" s="19">
        <f t="shared" si="78"/>
        <v>0.10757459266274405</v>
      </c>
      <c r="AB484" s="19" t="s">
        <v>53</v>
      </c>
    </row>
    <row r="485" spans="1:28" x14ac:dyDescent="0.25">
      <c r="A485" s="1">
        <v>45805</v>
      </c>
      <c r="B485" s="1" t="str">
        <f t="shared" si="89"/>
        <v>202505</v>
      </c>
      <c r="C485" s="2">
        <v>0</v>
      </c>
      <c r="D485" s="2">
        <v>0</v>
      </c>
      <c r="E485" s="2">
        <v>0</v>
      </c>
      <c r="F485" s="2">
        <f>F484*(1+((1+VLOOKUP($B485,'IPCA Hist'!$B:$C,2,0))^12 - 1)+$F$2)^(1/252)</f>
        <v>46813032.411298551</v>
      </c>
      <c r="G485" s="2">
        <f>G484*(1+((1+VLOOKUP($B485,'IPCA Hist'!$B:$C,2,0))^12 - 1)+$G$2)^(1/252)</f>
        <v>46800023.410917655</v>
      </c>
      <c r="H485" s="2">
        <f>H484*(1+((1+VLOOKUP($B485,'IPCA Hist'!$B:$C,2,0))^12 - 1)+$H$2)^(1/252)</f>
        <v>47823592.034427062</v>
      </c>
      <c r="I485" s="2">
        <f>I484*(1+((1+VLOOKUP($B485,'IPCA Hist'!$B:$C,2,0))^12 - 1)+$I$2)^(1/252)</f>
        <v>241529615.71353966</v>
      </c>
      <c r="J485" s="2">
        <f>J484*(1+((1+VLOOKUP($B485,'IPCA Hist'!$B:$C,2,0))^12 - 1)+$J$2)^(1/252)</f>
        <v>21256338.19390044</v>
      </c>
      <c r="K485" s="2">
        <f>K484*(1+((1+VLOOKUP($B485,'IPCA Hist'!$B:$C,2,0))^12 - 1)+$K$2)^(1/252)</f>
        <v>82554866.746237129</v>
      </c>
      <c r="L485" s="2">
        <f>L484*(1+((1+VLOOKUP($B485,'IPCA Hist'!$B:$C,2,0))^12 - 1)+$L$2)^(1/252)</f>
        <v>43472124.968248479</v>
      </c>
      <c r="M485" s="2">
        <f>M484*(1+((1+VLOOKUP($B485,'IPCA Hist'!$B:$C,2,0))^12 - 1)+$M$2)^(1/252)</f>
        <v>14886703.658556569</v>
      </c>
      <c r="N485" s="2">
        <f>N484*(1+((1+VLOOKUP($B485,'IPCA Hist'!$B:$C,2,0))^12 - 1)+$N$2)^(1/252)</f>
        <v>121329442.97105017</v>
      </c>
      <c r="O485" s="2">
        <f t="shared" si="80"/>
        <v>666465740.10817575</v>
      </c>
      <c r="P485" s="2">
        <v>0</v>
      </c>
      <c r="Q485" s="2">
        <v>0</v>
      </c>
      <c r="R485" s="2">
        <f t="shared" si="90"/>
        <v>237556.12253654003</v>
      </c>
      <c r="S485" s="2">
        <f t="shared" si="82"/>
        <v>4498833.8812201023</v>
      </c>
      <c r="T485" s="2">
        <f t="shared" si="83"/>
        <v>27181339.281359896</v>
      </c>
      <c r="U485" s="11">
        <f t="shared" si="86"/>
        <v>1.2005758188393139</v>
      </c>
      <c r="V485" s="12">
        <f t="shared" si="87"/>
        <v>3.5656870760902848E-4</v>
      </c>
      <c r="W485" s="12">
        <f t="shared" si="84"/>
        <v>6.7961613169793544E-3</v>
      </c>
      <c r="X485" s="12">
        <f t="shared" si="85"/>
        <v>4.839373978384498E-2</v>
      </c>
      <c r="Y485" s="5">
        <f t="shared" si="88"/>
        <v>0.20057581883931386</v>
      </c>
      <c r="Z485" s="19">
        <f t="shared" si="79"/>
        <v>6.0163152492647587E-2</v>
      </c>
      <c r="AA485" s="19">
        <f t="shared" si="78"/>
        <v>0.10752097773751923</v>
      </c>
      <c r="AB485" s="19" t="s">
        <v>53</v>
      </c>
    </row>
    <row r="486" spans="1:28" x14ac:dyDescent="0.25">
      <c r="A486" s="1">
        <v>45806</v>
      </c>
      <c r="B486" s="1" t="str">
        <f t="shared" si="89"/>
        <v>202505</v>
      </c>
      <c r="C486" s="2">
        <v>0</v>
      </c>
      <c r="D486" s="2">
        <v>0</v>
      </c>
      <c r="E486" s="2">
        <v>0</v>
      </c>
      <c r="F486" s="2">
        <f>F485*(1+((1+VLOOKUP($B486,'IPCA Hist'!$B:$C,2,0))^12 - 1)+$F$2)^(1/252)</f>
        <v>46827905.138780124</v>
      </c>
      <c r="G486" s="2">
        <f>G485*(1+((1+VLOOKUP($B486,'IPCA Hist'!$B:$C,2,0))^12 - 1)+$G$2)^(1/252)</f>
        <v>46814909.15279422</v>
      </c>
      <c r="H486" s="2">
        <f>H485*(1+((1+VLOOKUP($B486,'IPCA Hist'!$B:$C,2,0))^12 - 1)+$H$2)^(1/252)</f>
        <v>47838592.968247928</v>
      </c>
      <c r="I486" s="2">
        <f>I485*(1+((1+VLOOKUP($B486,'IPCA Hist'!$B:$C,2,0))^12 - 1)+$I$2)^(1/252)</f>
        <v>241605288.25845096</v>
      </c>
      <c r="J486" s="2">
        <f>J485*(1+((1+VLOOKUP($B486,'IPCA Hist'!$B:$C,2,0))^12 - 1)+$J$2)^(1/252)</f>
        <v>21264044.060823292</v>
      </c>
      <c r="K486" s="2">
        <f>K485*(1+((1+VLOOKUP($B486,'IPCA Hist'!$B:$C,2,0))^12 - 1)+$K$2)^(1/252)</f>
        <v>82589162.41574128</v>
      </c>
      <c r="L486" s="2">
        <f>L485*(1+((1+VLOOKUP($B486,'IPCA Hist'!$B:$C,2,0))^12 - 1)+$L$2)^(1/252)</f>
        <v>43490325.924658418</v>
      </c>
      <c r="M486" s="2">
        <f>M485*(1+((1+VLOOKUP($B486,'IPCA Hist'!$B:$C,2,0))^12 - 1)+$M$2)^(1/252)</f>
        <v>14892653.367019761</v>
      </c>
      <c r="N486" s="2">
        <f>N485*(1+((1+VLOOKUP($B486,'IPCA Hist'!$B:$C,2,0))^12 - 1)+$N$2)^(1/252)</f>
        <v>121380501.31185798</v>
      </c>
      <c r="O486" s="2">
        <f t="shared" si="80"/>
        <v>666703382.59837389</v>
      </c>
      <c r="P486" s="2">
        <v>0</v>
      </c>
      <c r="Q486" s="2">
        <v>0</v>
      </c>
      <c r="R486" s="2">
        <f t="shared" si="90"/>
        <v>237642.49019813538</v>
      </c>
      <c r="S486" s="2">
        <f t="shared" si="82"/>
        <v>4736476.3714182377</v>
      </c>
      <c r="T486" s="2">
        <f t="shared" si="83"/>
        <v>27418981.771558031</v>
      </c>
      <c r="U486" s="11">
        <f t="shared" si="86"/>
        <v>1.2010039096024105</v>
      </c>
      <c r="V486" s="12">
        <f t="shared" si="87"/>
        <v>3.5657120223397953E-4</v>
      </c>
      <c r="W486" s="12">
        <f t="shared" si="84"/>
        <v>7.1551558346247823E-3</v>
      </c>
      <c r="X486" s="12">
        <f t="shared" si="85"/>
        <v>4.876756680005423E-2</v>
      </c>
      <c r="Y486" s="5">
        <f t="shared" si="88"/>
        <v>0.20100390960241055</v>
      </c>
      <c r="Z486" s="19">
        <f t="shared" si="79"/>
        <v>6.0142778032336253E-2</v>
      </c>
      <c r="AA486" s="19">
        <f t="shared" si="78"/>
        <v>0.10746736816537572</v>
      </c>
      <c r="AB486" s="19" t="s">
        <v>53</v>
      </c>
    </row>
    <row r="487" spans="1:28" x14ac:dyDescent="0.25">
      <c r="A487" s="1">
        <v>45807</v>
      </c>
      <c r="B487" s="1" t="str">
        <f t="shared" si="89"/>
        <v>202505</v>
      </c>
      <c r="C487" s="2">
        <v>0</v>
      </c>
      <c r="D487" s="2">
        <v>0</v>
      </c>
      <c r="E487" s="2">
        <v>0</v>
      </c>
      <c r="F487" s="2">
        <f>F486*(1+((1+VLOOKUP($B487,'IPCA Hist'!$B:$C,2,0))^12 - 1)+$F$2)^(1/252)</f>
        <v>46842782.591399364</v>
      </c>
      <c r="G487" s="2">
        <f>G486*(1+((1+VLOOKUP($B487,'IPCA Hist'!$B:$C,2,0))^12 - 1)+$G$2)^(1/252)</f>
        <v>46829799.629397288</v>
      </c>
      <c r="H487" s="2">
        <f>H486*(1+((1+VLOOKUP($B487,'IPCA Hist'!$B:$C,2,0))^12 - 1)+$H$2)^(1/252)</f>
        <v>47853598.607445493</v>
      </c>
      <c r="I487" s="2">
        <f>I486*(1+((1+VLOOKUP($B487,'IPCA Hist'!$B:$C,2,0))^12 - 1)+$I$2)^(1/252)</f>
        <v>241680984.51198298</v>
      </c>
      <c r="J487" s="2">
        <f>J486*(1+((1+VLOOKUP($B487,'IPCA Hist'!$B:$C,2,0))^12 - 1)+$J$2)^(1/252)</f>
        <v>21271752.72128398</v>
      </c>
      <c r="K487" s="2">
        <f>K486*(1+((1+VLOOKUP($B487,'IPCA Hist'!$B:$C,2,0))^12 - 1)+$K$2)^(1/252)</f>
        <v>82623472.332654372</v>
      </c>
      <c r="L487" s="2">
        <f>L486*(1+((1+VLOOKUP($B487,'IPCA Hist'!$B:$C,2,0))^12 - 1)+$L$2)^(1/252)</f>
        <v>43508534.501464516</v>
      </c>
      <c r="M487" s="2">
        <f>M486*(1+((1+VLOOKUP($B487,'IPCA Hist'!$B:$C,2,0))^12 - 1)+$M$2)^(1/252)</f>
        <v>14898605.4533788</v>
      </c>
      <c r="N487" s="2">
        <f>N486*(1+((1+VLOOKUP($B487,'IPCA Hist'!$B:$C,2,0))^12 - 1)+$N$2)^(1/252)</f>
        <v>121431581.13924071</v>
      </c>
      <c r="O487" s="2">
        <f t="shared" si="80"/>
        <v>666941111.48824751</v>
      </c>
      <c r="P487" s="2">
        <v>0</v>
      </c>
      <c r="Q487" s="2">
        <v>0</v>
      </c>
      <c r="R487" s="2">
        <f t="shared" si="90"/>
        <v>237728.88987362385</v>
      </c>
      <c r="S487" s="2">
        <f t="shared" si="82"/>
        <v>4974205.2612918615</v>
      </c>
      <c r="T487" s="2">
        <f t="shared" si="83"/>
        <v>27656710.661431655</v>
      </c>
      <c r="U487" s="11">
        <f t="shared" si="86"/>
        <v>1.2014321560064574</v>
      </c>
      <c r="V487" s="12">
        <f t="shared" si="87"/>
        <v>3.5657369690711427E-4</v>
      </c>
      <c r="W487" s="12">
        <f t="shared" si="84"/>
        <v>7.5142808718997589E-3</v>
      </c>
      <c r="X487" s="12">
        <f t="shared" si="85"/>
        <v>4.9141529728544464E-2</v>
      </c>
      <c r="Y487" s="5">
        <f t="shared" si="88"/>
        <v>0.20143215600645736</v>
      </c>
      <c r="Z487" s="19">
        <f t="shared" si="79"/>
        <v>6.0122406485896951E-2</v>
      </c>
      <c r="AA487" s="19">
        <f t="shared" si="78"/>
        <v>0.10741376394584035</v>
      </c>
      <c r="AB487" s="19" t="s">
        <v>53</v>
      </c>
    </row>
    <row r="488" spans="1:28" x14ac:dyDescent="0.25">
      <c r="A488" s="1">
        <v>45810</v>
      </c>
      <c r="B488" s="1" t="str">
        <f t="shared" si="89"/>
        <v>202506</v>
      </c>
      <c r="C488" s="2">
        <v>0</v>
      </c>
      <c r="D488" s="2">
        <v>0</v>
      </c>
      <c r="E488" s="2">
        <v>0</v>
      </c>
      <c r="F488" s="2">
        <f>F487*(1+((1+VLOOKUP($B488,'IPCA Hist'!$B:$C,2,0))^12 - 1)+$F$2)^(1/252)</f>
        <v>46857240.885919809</v>
      </c>
      <c r="G488" s="2">
        <f>G487*(1+((1+VLOOKUP($B488,'IPCA Hist'!$B:$C,2,0))^12 - 1)+$G$2)^(1/252)</f>
        <v>46844271.113981575</v>
      </c>
      <c r="H488" s="2">
        <f>H487*(1+((1+VLOOKUP($B488,'IPCA Hist'!$B:$C,2,0))^12 - 1)+$H$2)^(1/252)</f>
        <v>47868175.482897967</v>
      </c>
      <c r="I488" s="2">
        <f>I487*(1+((1+VLOOKUP($B488,'IPCA Hist'!$B:$C,2,0))^12 - 1)+$I$2)^(1/252)</f>
        <v>241754515.06932679</v>
      </c>
      <c r="J488" s="2">
        <f>J487*(1+((1+VLOOKUP($B488,'IPCA Hist'!$B:$C,2,0))^12 - 1)+$J$2)^(1/252)</f>
        <v>21279273.841062594</v>
      </c>
      <c r="K488" s="2">
        <f>K487*(1+((1+VLOOKUP($B488,'IPCA Hist'!$B:$C,2,0))^12 - 1)+$K$2)^(1/252)</f>
        <v>82657066.965164915</v>
      </c>
      <c r="L488" s="2">
        <f>L487*(1+((1+VLOOKUP($B488,'IPCA Hist'!$B:$C,2,0))^12 - 1)+$L$2)^(1/252)</f>
        <v>43526366.849687904</v>
      </c>
      <c r="M488" s="2">
        <f>M487*(1+((1+VLOOKUP($B488,'IPCA Hist'!$B:$C,2,0))^12 - 1)+$M$2)^(1/252)</f>
        <v>14904427.846988043</v>
      </c>
      <c r="N488" s="2">
        <f>N487*(1+((1+VLOOKUP($B488,'IPCA Hist'!$B:$C,2,0))^12 - 1)+$N$2)^(1/252)</f>
        <v>121481611.71382979</v>
      </c>
      <c r="O488" s="2">
        <f t="shared" si="80"/>
        <v>667172949.76885939</v>
      </c>
      <c r="P488" s="2">
        <v>0</v>
      </c>
      <c r="Q488" s="2">
        <v>0</v>
      </c>
      <c r="R488" s="2">
        <f t="shared" si="90"/>
        <v>231838.28061187267</v>
      </c>
      <c r="S488" s="2">
        <f t="shared" si="82"/>
        <v>231838.28061187267</v>
      </c>
      <c r="T488" s="2">
        <f t="shared" si="83"/>
        <v>27888548.942043528</v>
      </c>
      <c r="U488" s="11">
        <f t="shared" si="86"/>
        <v>1.2018497910277846</v>
      </c>
      <c r="V488" s="12">
        <f t="shared" si="87"/>
        <v>3.476143194929282E-4</v>
      </c>
      <c r="W488" s="12">
        <f t="shared" si="84"/>
        <v>3.476143194929282E-4</v>
      </c>
      <c r="X488" s="12">
        <f t="shared" si="85"/>
        <v>4.9506226347452831E-2</v>
      </c>
      <c r="Y488" s="5">
        <f t="shared" si="88"/>
        <v>0.20184979102778455</v>
      </c>
      <c r="Z488" s="19">
        <f t="shared" si="79"/>
        <v>6.009254074075332E-2</v>
      </c>
      <c r="AA488" s="19">
        <f t="shared" si="78"/>
        <v>0.10735024459564091</v>
      </c>
      <c r="AB488" s="19" t="s">
        <v>53</v>
      </c>
    </row>
    <row r="489" spans="1:28" x14ac:dyDescent="0.25">
      <c r="A489" s="1">
        <v>45811</v>
      </c>
      <c r="B489" s="1" t="str">
        <f t="shared" si="89"/>
        <v>202506</v>
      </c>
      <c r="C489" s="2">
        <v>0</v>
      </c>
      <c r="D489" s="2">
        <v>0</v>
      </c>
      <c r="E489" s="2">
        <v>0</v>
      </c>
      <c r="F489" s="2">
        <f>F488*(1+((1+VLOOKUP($B489,'IPCA Hist'!$B:$C,2,0))^12 - 1)+$F$2)^(1/252)</f>
        <v>46871703.643076092</v>
      </c>
      <c r="G489" s="2">
        <f>G488*(1+((1+VLOOKUP($B489,'IPCA Hist'!$B:$C,2,0))^12 - 1)+$G$2)^(1/252)</f>
        <v>46858747.070587263</v>
      </c>
      <c r="H489" s="2">
        <f>H488*(1+((1+VLOOKUP($B489,'IPCA Hist'!$B:$C,2,0))^12 - 1)+$H$2)^(1/252)</f>
        <v>47882756.79867059</v>
      </c>
      <c r="I489" s="2">
        <f>I488*(1+((1+VLOOKUP($B489,'IPCA Hist'!$B:$C,2,0))^12 - 1)+$I$2)^(1/252)</f>
        <v>241828067.99807426</v>
      </c>
      <c r="J489" s="2">
        <f>J488*(1+((1+VLOOKUP($B489,'IPCA Hist'!$B:$C,2,0))^12 - 1)+$J$2)^(1/252)</f>
        <v>21286797.620106924</v>
      </c>
      <c r="K489" s="2">
        <f>K488*(1+((1+VLOOKUP($B489,'IPCA Hist'!$B:$C,2,0))^12 - 1)+$K$2)^(1/252)</f>
        <v>82690675.257224038</v>
      </c>
      <c r="L489" s="2">
        <f>L488*(1+((1+VLOOKUP($B489,'IPCA Hist'!$B:$C,2,0))^12 - 1)+$L$2)^(1/252)</f>
        <v>43544206.506653056</v>
      </c>
      <c r="M489" s="2">
        <f>M488*(1+((1+VLOOKUP($B489,'IPCA Hist'!$B:$C,2,0))^12 - 1)+$M$2)^(1/252)</f>
        <v>14910252.515995976</v>
      </c>
      <c r="N489" s="2">
        <f>N488*(1+((1+VLOOKUP($B489,'IPCA Hist'!$B:$C,2,0))^12 - 1)+$N$2)^(1/252)</f>
        <v>121531662.90133001</v>
      </c>
      <c r="O489" s="2">
        <f t="shared" si="80"/>
        <v>667404870.31171811</v>
      </c>
      <c r="P489" s="2">
        <v>0</v>
      </c>
      <c r="Q489" s="2">
        <v>0</v>
      </c>
      <c r="R489" s="2">
        <f t="shared" si="90"/>
        <v>231920.54285871983</v>
      </c>
      <c r="S489" s="2">
        <f t="shared" si="82"/>
        <v>463758.8234705925</v>
      </c>
      <c r="T489" s="2">
        <f t="shared" si="83"/>
        <v>28120469.484902248</v>
      </c>
      <c r="U489" s="11">
        <f t="shared" si="86"/>
        <v>1.2022675742368707</v>
      </c>
      <c r="V489" s="12">
        <f t="shared" si="87"/>
        <v>3.4761682550099593E-4</v>
      </c>
      <c r="W489" s="12">
        <f t="shared" si="84"/>
        <v>6.9535198158021672E-4</v>
      </c>
      <c r="X489" s="12">
        <f t="shared" si="85"/>
        <v>4.9871052370199287E-2</v>
      </c>
      <c r="Y489" s="5">
        <f t="shared" si="88"/>
        <v>0.2022675742368707</v>
      </c>
      <c r="Z489" s="19">
        <f t="shared" si="79"/>
        <v>6.0062678371181066E-2</v>
      </c>
      <c r="AA489" s="19">
        <f t="shared" si="78"/>
        <v>0.1074120042100577</v>
      </c>
      <c r="AB489" s="19" t="s">
        <v>53</v>
      </c>
    </row>
    <row r="490" spans="1:28" x14ac:dyDescent="0.25">
      <c r="A490" s="1">
        <v>45812</v>
      </c>
      <c r="B490" s="1" t="str">
        <f t="shared" si="89"/>
        <v>202506</v>
      </c>
      <c r="C490" s="2">
        <v>0</v>
      </c>
      <c r="D490" s="2">
        <v>0</v>
      </c>
      <c r="E490" s="2">
        <v>0</v>
      </c>
      <c r="F490" s="2">
        <f>F489*(1+((1+VLOOKUP($B490,'IPCA Hist'!$B:$C,2,0))^12 - 1)+$F$2)^(1/252)</f>
        <v>46886170.864245631</v>
      </c>
      <c r="G490" s="2">
        <f>G489*(1+((1+VLOOKUP($B490,'IPCA Hist'!$B:$C,2,0))^12 - 1)+$G$2)^(1/252)</f>
        <v>46873227.500596307</v>
      </c>
      <c r="H490" s="2">
        <f>H489*(1+((1+VLOOKUP($B490,'IPCA Hist'!$B:$C,2,0))^12 - 1)+$H$2)^(1/252)</f>
        <v>47897342.55611594</v>
      </c>
      <c r="I490" s="2">
        <f>I489*(1+((1+VLOOKUP($B490,'IPCA Hist'!$B:$C,2,0))^12 - 1)+$I$2)^(1/252)</f>
        <v>241901643.30503181</v>
      </c>
      <c r="J490" s="2">
        <f>J489*(1+((1+VLOOKUP($B490,'IPCA Hist'!$B:$C,2,0))^12 - 1)+$J$2)^(1/252)</f>
        <v>21294324.059357215</v>
      </c>
      <c r="K490" s="2">
        <f>K489*(1+((1+VLOOKUP($B490,'IPCA Hist'!$B:$C,2,0))^12 - 1)+$K$2)^(1/252)</f>
        <v>82724297.214385688</v>
      </c>
      <c r="L490" s="2">
        <f>L489*(1+((1+VLOOKUP($B490,'IPCA Hist'!$B:$C,2,0))^12 - 1)+$L$2)^(1/252)</f>
        <v>43562053.475355521</v>
      </c>
      <c r="M490" s="2">
        <f>M489*(1+((1+VLOOKUP($B490,'IPCA Hist'!$B:$C,2,0))^12 - 1)+$M$2)^(1/252)</f>
        <v>14916079.461291827</v>
      </c>
      <c r="N490" s="2">
        <f>N489*(1+((1+VLOOKUP($B490,'IPCA Hist'!$B:$C,2,0))^12 - 1)+$N$2)^(1/252)</f>
        <v>121581734.71023405</v>
      </c>
      <c r="O490" s="2">
        <f t="shared" si="80"/>
        <v>667636873.14661396</v>
      </c>
      <c r="P490" s="2">
        <v>0</v>
      </c>
      <c r="Q490" s="2">
        <v>0</v>
      </c>
      <c r="R490" s="2">
        <f t="shared" si="90"/>
        <v>232002.83489584923</v>
      </c>
      <c r="S490" s="2">
        <f t="shared" si="82"/>
        <v>695761.65836644173</v>
      </c>
      <c r="T490" s="2">
        <f t="shared" si="83"/>
        <v>28352472.319798097</v>
      </c>
      <c r="U490" s="11">
        <f t="shared" si="86"/>
        <v>1.20268550568738</v>
      </c>
      <c r="V490" s="12">
        <f t="shared" si="87"/>
        <v>3.4761933155724734E-4</v>
      </c>
      <c r="W490" s="12">
        <f t="shared" si="84"/>
        <v>1.0432130309285803E-3</v>
      </c>
      <c r="X490" s="12">
        <f t="shared" si="85"/>
        <v>5.0236007843645458E-2</v>
      </c>
      <c r="Y490" s="5">
        <f t="shared" si="88"/>
        <v>0.20268550568737997</v>
      </c>
      <c r="Z490" s="19">
        <f t="shared" si="79"/>
        <v>6.0032819376988344E-2</v>
      </c>
      <c r="AA490" s="19">
        <f t="shared" si="78"/>
        <v>0.10747377003913505</v>
      </c>
      <c r="AB490" s="19" t="s">
        <v>53</v>
      </c>
    </row>
    <row r="491" spans="1:28" x14ac:dyDescent="0.25">
      <c r="A491" s="1">
        <v>45813</v>
      </c>
      <c r="B491" s="1" t="str">
        <f t="shared" si="89"/>
        <v>202506</v>
      </c>
      <c r="C491" s="2">
        <v>0</v>
      </c>
      <c r="D491" s="2">
        <v>0</v>
      </c>
      <c r="E491" s="2">
        <v>0</v>
      </c>
      <c r="F491" s="2">
        <f>F490*(1+((1+VLOOKUP($B491,'IPCA Hist'!$B:$C,2,0))^12 - 1)+$F$2)^(1/252)</f>
        <v>46900642.550806277</v>
      </c>
      <c r="G491" s="2">
        <f>G490*(1+((1+VLOOKUP($B491,'IPCA Hist'!$B:$C,2,0))^12 - 1)+$G$2)^(1/252)</f>
        <v>46887712.40539109</v>
      </c>
      <c r="H491" s="2">
        <f>H490*(1+((1+VLOOKUP($B491,'IPCA Hist'!$B:$C,2,0))^12 - 1)+$H$2)^(1/252)</f>
        <v>47911932.756587014</v>
      </c>
      <c r="I491" s="2">
        <f>I490*(1+((1+VLOOKUP($B491,'IPCA Hist'!$B:$C,2,0))^12 - 1)+$I$2)^(1/252)</f>
        <v>241975240.99700794</v>
      </c>
      <c r="J491" s="2">
        <f>J490*(1+((1+VLOOKUP($B491,'IPCA Hist'!$B:$C,2,0))^12 - 1)+$J$2)^(1/252)</f>
        <v>21301853.159754045</v>
      </c>
      <c r="K491" s="2">
        <f>K490*(1+((1+VLOOKUP($B491,'IPCA Hist'!$B:$C,2,0))^12 - 1)+$K$2)^(1/252)</f>
        <v>82757932.842206091</v>
      </c>
      <c r="L491" s="2">
        <f>L490*(1+((1+VLOOKUP($B491,'IPCA Hist'!$B:$C,2,0))^12 - 1)+$L$2)^(1/252)</f>
        <v>43579907.75879208</v>
      </c>
      <c r="M491" s="2">
        <f>M490*(1+((1+VLOOKUP($B491,'IPCA Hist'!$B:$C,2,0))^12 - 1)+$M$2)^(1/252)</f>
        <v>14921908.683765175</v>
      </c>
      <c r="N491" s="2">
        <f>N490*(1+((1+VLOOKUP($B491,'IPCA Hist'!$B:$C,2,0))^12 - 1)+$N$2)^(1/252)</f>
        <v>121631827.14903803</v>
      </c>
      <c r="O491" s="2">
        <f t="shared" si="80"/>
        <v>667868958.30334783</v>
      </c>
      <c r="P491" s="2">
        <v>0</v>
      </c>
      <c r="Q491" s="2">
        <v>0</v>
      </c>
      <c r="R491" s="2">
        <f t="shared" si="90"/>
        <v>232085.15673387051</v>
      </c>
      <c r="S491" s="2">
        <f t="shared" si="82"/>
        <v>927846.81510031223</v>
      </c>
      <c r="T491" s="2">
        <f t="shared" si="83"/>
        <v>28584557.476531968</v>
      </c>
      <c r="U491" s="11">
        <f t="shared" si="86"/>
        <v>1.2031035854329961</v>
      </c>
      <c r="V491" s="12">
        <f t="shared" si="87"/>
        <v>3.4762183766168242E-4</v>
      </c>
      <c r="W491" s="12">
        <f t="shared" si="84"/>
        <v>1.3911975122211651E-3</v>
      </c>
      <c r="X491" s="12">
        <f t="shared" si="85"/>
        <v>5.0601092814670512E-2</v>
      </c>
      <c r="Y491" s="5">
        <f t="shared" si="88"/>
        <v>0.20310358543299611</v>
      </c>
      <c r="Z491" s="19">
        <f t="shared" si="79"/>
        <v>5.9940680588990602E-2</v>
      </c>
      <c r="AA491" s="19">
        <f t="shared" si="78"/>
        <v>0.10753554208358196</v>
      </c>
      <c r="AB491" s="19" t="s">
        <v>53</v>
      </c>
    </row>
    <row r="492" spans="1:28" x14ac:dyDescent="0.25">
      <c r="A492" s="1">
        <v>45814</v>
      </c>
      <c r="B492" s="1" t="str">
        <f t="shared" si="89"/>
        <v>202506</v>
      </c>
      <c r="C492" s="2">
        <v>0</v>
      </c>
      <c r="D492" s="2">
        <v>0</v>
      </c>
      <c r="E492" s="2">
        <v>0</v>
      </c>
      <c r="F492" s="2">
        <f>F491*(1+((1+VLOOKUP($B492,'IPCA Hist'!$B:$C,2,0))^12 - 1)+$F$2)^(1/252)</f>
        <v>46915118.70413629</v>
      </c>
      <c r="G492" s="2">
        <f>G491*(1+((1+VLOOKUP($B492,'IPCA Hist'!$B:$C,2,0))^12 - 1)+$G$2)^(1/252)</f>
        <v>46902201.78635443</v>
      </c>
      <c r="H492" s="2">
        <f>H491*(1+((1+VLOOKUP($B492,'IPCA Hist'!$B:$C,2,0))^12 - 1)+$H$2)^(1/252)</f>
        <v>47926527.401437223</v>
      </c>
      <c r="I492" s="2">
        <f>I491*(1+((1+VLOOKUP($B492,'IPCA Hist'!$B:$C,2,0))^12 - 1)+$I$2)^(1/252)</f>
        <v>242048861.0808132</v>
      </c>
      <c r="J492" s="2">
        <f>J491*(1+((1+VLOOKUP($B492,'IPCA Hist'!$B:$C,2,0))^12 - 1)+$J$2)^(1/252)</f>
        <v>21309384.922238324</v>
      </c>
      <c r="K492" s="2">
        <f>K491*(1+((1+VLOOKUP($B492,'IPCA Hist'!$B:$C,2,0))^12 - 1)+$K$2)^(1/252)</f>
        <v>82791582.146243721</v>
      </c>
      <c r="L492" s="2">
        <f>L491*(1+((1+VLOOKUP($B492,'IPCA Hist'!$B:$C,2,0))^12 - 1)+$L$2)^(1/252)</f>
        <v>43597769.359960735</v>
      </c>
      <c r="M492" s="2">
        <f>M491*(1+((1+VLOOKUP($B492,'IPCA Hist'!$B:$C,2,0))^12 - 1)+$M$2)^(1/252)</f>
        <v>14927740.184305942</v>
      </c>
      <c r="N492" s="2">
        <f>N491*(1+((1+VLOOKUP($B492,'IPCA Hist'!$B:$C,2,0))^12 - 1)+$N$2)^(1/252)</f>
        <v>121681940.22624162</v>
      </c>
      <c r="O492" s="2">
        <f t="shared" si="80"/>
        <v>668101125.81173146</v>
      </c>
      <c r="P492" s="2">
        <v>0</v>
      </c>
      <c r="Q492" s="2">
        <v>0</v>
      </c>
      <c r="R492" s="2">
        <f t="shared" si="90"/>
        <v>232167.50838363171</v>
      </c>
      <c r="S492" s="2">
        <f t="shared" si="82"/>
        <v>1160014.3234839439</v>
      </c>
      <c r="T492" s="2">
        <f t="shared" si="83"/>
        <v>28816724.984915599</v>
      </c>
      <c r="U492" s="11">
        <f t="shared" si="86"/>
        <v>1.2035218135274222</v>
      </c>
      <c r="V492" s="12">
        <f t="shared" si="87"/>
        <v>3.4762434381363505E-4</v>
      </c>
      <c r="W492" s="12">
        <f t="shared" si="84"/>
        <v>1.7393054701571042E-3</v>
      </c>
      <c r="X492" s="12">
        <f t="shared" si="85"/>
        <v>5.0966307330170046E-2</v>
      </c>
      <c r="Y492" s="5">
        <f t="shared" si="88"/>
        <v>0.20352181352742216</v>
      </c>
      <c r="Z492" s="19">
        <f t="shared" si="79"/>
        <v>5.9848552347104844E-2</v>
      </c>
      <c r="AA492" s="19">
        <f t="shared" si="78"/>
        <v>0.10759732034410652</v>
      </c>
      <c r="AB492" s="19" t="s">
        <v>53</v>
      </c>
    </row>
    <row r="493" spans="1:28" x14ac:dyDescent="0.25">
      <c r="A493" s="1">
        <v>45817</v>
      </c>
      <c r="B493" s="1" t="str">
        <f t="shared" si="89"/>
        <v>202506</v>
      </c>
      <c r="C493" s="2">
        <v>0</v>
      </c>
      <c r="D493" s="2">
        <v>0</v>
      </c>
      <c r="E493" s="2">
        <v>0</v>
      </c>
      <c r="F493" s="2">
        <f>F492*(1+((1+VLOOKUP($B493,'IPCA Hist'!$B:$C,2,0))^12 - 1)+$F$2)^(1/252)</f>
        <v>46929599.32561437</v>
      </c>
      <c r="G493" s="2">
        <f>G492*(1+((1+VLOOKUP($B493,'IPCA Hist'!$B:$C,2,0))^12 - 1)+$G$2)^(1/252)</f>
        <v>46916695.644869559</v>
      </c>
      <c r="H493" s="2">
        <f>H492*(1+((1+VLOOKUP($B493,'IPCA Hist'!$B:$C,2,0))^12 - 1)+$H$2)^(1/252)</f>
        <v>47941126.492020383</v>
      </c>
      <c r="I493" s="2">
        <f>I492*(1+((1+VLOOKUP($B493,'IPCA Hist'!$B:$C,2,0))^12 - 1)+$I$2)^(1/252)</f>
        <v>242122503.56326023</v>
      </c>
      <c r="J493" s="2">
        <f>J492*(1+((1+VLOOKUP($B493,'IPCA Hist'!$B:$C,2,0))^12 - 1)+$J$2)^(1/252)</f>
        <v>21316919.347751293</v>
      </c>
      <c r="K493" s="2">
        <f>K492*(1+((1+VLOOKUP($B493,'IPCA Hist'!$B:$C,2,0))^12 - 1)+$K$2)^(1/252)</f>
        <v>82825245.132059321</v>
      </c>
      <c r="L493" s="2">
        <f>L492*(1+((1+VLOOKUP($B493,'IPCA Hist'!$B:$C,2,0))^12 - 1)+$L$2)^(1/252)</f>
        <v>43615638.281860732</v>
      </c>
      <c r="M493" s="2">
        <f>M492*(1+((1+VLOOKUP($B493,'IPCA Hist'!$B:$C,2,0))^12 - 1)+$M$2)^(1/252)</f>
        <v>14933573.9638044</v>
      </c>
      <c r="N493" s="2">
        <f>N492*(1+((1+VLOOKUP($B493,'IPCA Hist'!$B:$C,2,0))^12 - 1)+$N$2)^(1/252)</f>
        <v>121732073.95034796</v>
      </c>
      <c r="O493" s="2">
        <f t="shared" si="80"/>
        <v>668333375.70158839</v>
      </c>
      <c r="P493" s="2">
        <v>0</v>
      </c>
      <c r="Q493" s="2">
        <v>0</v>
      </c>
      <c r="R493" s="2">
        <f t="shared" si="90"/>
        <v>232249.88985693455</v>
      </c>
      <c r="S493" s="2">
        <f t="shared" si="82"/>
        <v>1392264.2133408785</v>
      </c>
      <c r="T493" s="2">
        <f t="shared" si="83"/>
        <v>29048974.874772534</v>
      </c>
      <c r="U493" s="11">
        <f t="shared" si="86"/>
        <v>1.203940190024382</v>
      </c>
      <c r="V493" s="12">
        <f t="shared" si="87"/>
        <v>3.4762685001421545E-4</v>
      </c>
      <c r="W493" s="12">
        <f t="shared" si="84"/>
        <v>2.0875369494530727E-3</v>
      </c>
      <c r="X493" s="12">
        <f t="shared" si="85"/>
        <v>5.1331651437058312E-2</v>
      </c>
      <c r="Y493" s="5">
        <f t="shared" si="88"/>
        <v>0.20394019002438202</v>
      </c>
      <c r="Z493" s="19">
        <f t="shared" si="79"/>
        <v>5.9756434650019452E-2</v>
      </c>
      <c r="AA493" s="19">
        <f t="shared" si="78"/>
        <v>0.10765910482141861</v>
      </c>
      <c r="AB493" s="19" t="s">
        <v>53</v>
      </c>
    </row>
    <row r="494" spans="1:28" x14ac:dyDescent="0.25">
      <c r="A494" s="1">
        <v>45818</v>
      </c>
      <c r="B494" s="1" t="str">
        <f t="shared" si="89"/>
        <v>202506</v>
      </c>
      <c r="C494" s="2">
        <v>0</v>
      </c>
      <c r="D494" s="2">
        <v>0</v>
      </c>
      <c r="E494" s="2">
        <v>0</v>
      </c>
      <c r="F494" s="2">
        <f>F493*(1+((1+VLOOKUP($B494,'IPCA Hist'!$B:$C,2,0))^12 - 1)+$F$2)^(1/252)</f>
        <v>46944084.416619636</v>
      </c>
      <c r="G494" s="2">
        <f>G493*(1+((1+VLOOKUP($B494,'IPCA Hist'!$B:$C,2,0))^12 - 1)+$G$2)^(1/252)</f>
        <v>46931193.982320145</v>
      </c>
      <c r="H494" s="2">
        <f>H493*(1+((1+VLOOKUP($B494,'IPCA Hist'!$B:$C,2,0))^12 - 1)+$H$2)^(1/252)</f>
        <v>47955730.029690735</v>
      </c>
      <c r="I494" s="2">
        <f>I493*(1+((1+VLOOKUP($B494,'IPCA Hist'!$B:$C,2,0))^12 - 1)+$I$2)^(1/252)</f>
        <v>242196168.45116374</v>
      </c>
      <c r="J494" s="2">
        <f>J493*(1+((1+VLOOKUP($B494,'IPCA Hist'!$B:$C,2,0))^12 - 1)+$J$2)^(1/252)</f>
        <v>21324456.437234528</v>
      </c>
      <c r="K494" s="2">
        <f>K493*(1+((1+VLOOKUP($B494,'IPCA Hist'!$B:$C,2,0))^12 - 1)+$K$2)^(1/252)</f>
        <v>82858921.80521588</v>
      </c>
      <c r="L494" s="2">
        <f>L493*(1+((1+VLOOKUP($B494,'IPCA Hist'!$B:$C,2,0))^12 - 1)+$L$2)^(1/252)</f>
        <v>43633514.527492523</v>
      </c>
      <c r="M494" s="2">
        <f>M493*(1+((1+VLOOKUP($B494,'IPCA Hist'!$B:$C,2,0))^12 - 1)+$M$2)^(1/252)</f>
        <v>14939410.023151169</v>
      </c>
      <c r="N494" s="2">
        <f>N493*(1+((1+VLOOKUP($B494,'IPCA Hist'!$B:$C,2,0))^12 - 1)+$N$2)^(1/252)</f>
        <v>121782228.32986371</v>
      </c>
      <c r="O494" s="2">
        <f t="shared" si="80"/>
        <v>668565708.00275207</v>
      </c>
      <c r="P494" s="2">
        <v>0</v>
      </c>
      <c r="Q494" s="2">
        <v>0</v>
      </c>
      <c r="R494" s="2">
        <f t="shared" si="90"/>
        <v>232332.3011636734</v>
      </c>
      <c r="S494" s="2">
        <f t="shared" si="82"/>
        <v>1624596.5145045519</v>
      </c>
      <c r="T494" s="2">
        <f t="shared" si="83"/>
        <v>29281307.175936207</v>
      </c>
      <c r="U494" s="11">
        <f t="shared" si="86"/>
        <v>1.2043587149776183</v>
      </c>
      <c r="V494" s="12">
        <f t="shared" si="87"/>
        <v>3.4762935626209135E-4</v>
      </c>
      <c r="W494" s="12">
        <f t="shared" si="84"/>
        <v>2.4358919948410662E-3</v>
      </c>
      <c r="X494" s="12">
        <f t="shared" si="85"/>
        <v>5.1697125182265324E-2</v>
      </c>
      <c r="Y494" s="5">
        <f t="shared" si="88"/>
        <v>0.20435871497761826</v>
      </c>
      <c r="Z494" s="19">
        <f t="shared" si="79"/>
        <v>5.9664327496423253E-2</v>
      </c>
      <c r="AA494" s="19">
        <f t="shared" si="78"/>
        <v>0.1077208955162261</v>
      </c>
      <c r="AB494" s="19" t="s">
        <v>53</v>
      </c>
    </row>
    <row r="495" spans="1:28" x14ac:dyDescent="0.25">
      <c r="A495" s="1">
        <v>45819</v>
      </c>
      <c r="B495" s="1" t="str">
        <f t="shared" si="89"/>
        <v>202506</v>
      </c>
      <c r="C495" s="2">
        <v>0</v>
      </c>
      <c r="D495" s="2">
        <v>0</v>
      </c>
      <c r="E495" s="2">
        <v>0</v>
      </c>
      <c r="F495" s="2">
        <f>F494*(1+((1+VLOOKUP($B495,'IPCA Hist'!$B:$C,2,0))^12 - 1)+$F$2)^(1/252)</f>
        <v>46958573.978531629</v>
      </c>
      <c r="G495" s="2">
        <f>G494*(1+((1+VLOOKUP($B495,'IPCA Hist'!$B:$C,2,0))^12 - 1)+$G$2)^(1/252)</f>
        <v>46945696.800090283</v>
      </c>
      <c r="H495" s="2">
        <f>H494*(1+((1+VLOOKUP($B495,'IPCA Hist'!$B:$C,2,0))^12 - 1)+$H$2)^(1/252)</f>
        <v>47970338.015802912</v>
      </c>
      <c r="I495" s="2">
        <f>I494*(1+((1+VLOOKUP($B495,'IPCA Hist'!$B:$C,2,0))^12 - 1)+$I$2)^(1/252)</f>
        <v>242269855.75134048</v>
      </c>
      <c r="J495" s="2">
        <f>J494*(1+((1+VLOOKUP($B495,'IPCA Hist'!$B:$C,2,0))^12 - 1)+$J$2)^(1/252)</f>
        <v>21331996.191629935</v>
      </c>
      <c r="K495" s="2">
        <f>K494*(1+((1+VLOOKUP($B495,'IPCA Hist'!$B:$C,2,0))^12 - 1)+$K$2)^(1/252)</f>
        <v>82892612.17127867</v>
      </c>
      <c r="L495" s="2">
        <f>L494*(1+((1+VLOOKUP($B495,'IPCA Hist'!$B:$C,2,0))^12 - 1)+$L$2)^(1/252)</f>
        <v>43651398.099857815</v>
      </c>
      <c r="M495" s="2">
        <f>M494*(1+((1+VLOOKUP($B495,'IPCA Hist'!$B:$C,2,0))^12 - 1)+$M$2)^(1/252)</f>
        <v>14945248.363237215</v>
      </c>
      <c r="N495" s="2">
        <f>N494*(1+((1+VLOOKUP($B495,'IPCA Hist'!$B:$C,2,0))^12 - 1)+$N$2)^(1/252)</f>
        <v>121832403.37329903</v>
      </c>
      <c r="O495" s="2">
        <f t="shared" si="80"/>
        <v>668798122.74506795</v>
      </c>
      <c r="P495" s="2">
        <v>0</v>
      </c>
      <c r="Q495" s="2">
        <v>0</v>
      </c>
      <c r="R495" s="2">
        <f t="shared" si="90"/>
        <v>232414.7423158884</v>
      </c>
      <c r="S495" s="2">
        <f t="shared" si="82"/>
        <v>1857011.2568204403</v>
      </c>
      <c r="T495" s="2">
        <f t="shared" si="83"/>
        <v>29513721.918252096</v>
      </c>
      <c r="U495" s="11">
        <f t="shared" si="86"/>
        <v>1.2047773884408948</v>
      </c>
      <c r="V495" s="12">
        <f t="shared" si="87"/>
        <v>3.4763186255881706E-4</v>
      </c>
      <c r="W495" s="12">
        <f t="shared" si="84"/>
        <v>2.7843706510710664E-3</v>
      </c>
      <c r="X495" s="12">
        <f t="shared" si="85"/>
        <v>5.2062728612740194E-2</v>
      </c>
      <c r="Y495" s="5">
        <f t="shared" si="88"/>
        <v>0.20477738844089477</v>
      </c>
      <c r="Z495" s="19">
        <f t="shared" si="79"/>
        <v>5.9572230885005073E-2</v>
      </c>
      <c r="AA495" s="19">
        <f t="shared" si="78"/>
        <v>0.10778269242923932</v>
      </c>
      <c r="AB495" s="19" t="s">
        <v>53</v>
      </c>
    </row>
    <row r="496" spans="1:28" x14ac:dyDescent="0.25">
      <c r="A496" s="1">
        <v>45820</v>
      </c>
      <c r="B496" s="1" t="str">
        <f t="shared" si="89"/>
        <v>202506</v>
      </c>
      <c r="C496" s="2">
        <v>0</v>
      </c>
      <c r="D496" s="2">
        <v>0</v>
      </c>
      <c r="E496" s="2">
        <v>0</v>
      </c>
      <c r="F496" s="2">
        <f>F495*(1+((1+VLOOKUP($B496,'IPCA Hist'!$B:$C,2,0))^12 - 1)+$F$2)^(1/252)</f>
        <v>46973068.012730323</v>
      </c>
      <c r="G496" s="2">
        <f>G495*(1+((1+VLOOKUP($B496,'IPCA Hist'!$B:$C,2,0))^12 - 1)+$G$2)^(1/252)</f>
        <v>46960204.0995645</v>
      </c>
      <c r="H496" s="2">
        <f>H495*(1+((1+VLOOKUP($B496,'IPCA Hist'!$B:$C,2,0))^12 - 1)+$H$2)^(1/252)</f>
        <v>47984950.451711982</v>
      </c>
      <c r="I496" s="2">
        <f>I495*(1+((1+VLOOKUP($B496,'IPCA Hist'!$B:$C,2,0))^12 - 1)+$I$2)^(1/252)</f>
        <v>242343565.47060934</v>
      </c>
      <c r="J496" s="2">
        <f>J495*(1+((1+VLOOKUP($B496,'IPCA Hist'!$B:$C,2,0))^12 - 1)+$J$2)^(1/252)</f>
        <v>21339538.611879759</v>
      </c>
      <c r="K496" s="2">
        <f>K495*(1+((1+VLOOKUP($B496,'IPCA Hist'!$B:$C,2,0))^12 - 1)+$K$2)^(1/252)</f>
        <v>82926316.235815212</v>
      </c>
      <c r="L496" s="2">
        <f>L495*(1+((1+VLOOKUP($B496,'IPCA Hist'!$B:$C,2,0))^12 - 1)+$L$2)^(1/252)</f>
        <v>43669289.001959525</v>
      </c>
      <c r="M496" s="2">
        <f>M495*(1+((1+VLOOKUP($B496,'IPCA Hist'!$B:$C,2,0))^12 - 1)+$M$2)^(1/252)</f>
        <v>14951088.984953856</v>
      </c>
      <c r="N496" s="2">
        <f>N495*(1+((1+VLOOKUP($B496,'IPCA Hist'!$B:$C,2,0))^12 - 1)+$N$2)^(1/252)</f>
        <v>121882599.08916758</v>
      </c>
      <c r="O496" s="2">
        <f t="shared" si="80"/>
        <v>669030619.95839202</v>
      </c>
      <c r="P496" s="2">
        <v>0</v>
      </c>
      <c r="Q496" s="2">
        <v>0</v>
      </c>
      <c r="R496" s="2">
        <f t="shared" si="90"/>
        <v>232497.21332406998</v>
      </c>
      <c r="S496" s="2">
        <f t="shared" si="82"/>
        <v>2089508.4701445103</v>
      </c>
      <c r="T496" s="2">
        <f t="shared" si="83"/>
        <v>29746219.131576166</v>
      </c>
      <c r="U496" s="11">
        <f t="shared" si="86"/>
        <v>1.2051962104679941</v>
      </c>
      <c r="V496" s="12">
        <f t="shared" si="87"/>
        <v>3.4763436890306032E-4</v>
      </c>
      <c r="W496" s="12">
        <f t="shared" si="84"/>
        <v>3.1329729629081537E-3</v>
      </c>
      <c r="X496" s="12">
        <f t="shared" si="85"/>
        <v>5.2428461775448021E-2</v>
      </c>
      <c r="Y496" s="5">
        <f t="shared" si="88"/>
        <v>0.20519621046799408</v>
      </c>
      <c r="Z496" s="19">
        <f t="shared" si="79"/>
        <v>5.9480144814453295E-2</v>
      </c>
      <c r="AA496" s="19">
        <f t="shared" si="78"/>
        <v>0.10784449556116749</v>
      </c>
      <c r="AB496" s="19" t="s">
        <v>53</v>
      </c>
    </row>
    <row r="497" spans="1:28" x14ac:dyDescent="0.25">
      <c r="A497" s="1">
        <v>45821</v>
      </c>
      <c r="B497" s="1" t="str">
        <f t="shared" si="89"/>
        <v>202506</v>
      </c>
      <c r="C497" s="2">
        <v>0</v>
      </c>
      <c r="D497" s="2">
        <v>0</v>
      </c>
      <c r="E497" s="2">
        <v>0</v>
      </c>
      <c r="F497" s="2">
        <f>F496*(1+((1+VLOOKUP($B497,'IPCA Hist'!$B:$C,2,0))^12 - 1)+$F$2)^(1/252)</f>
        <v>46987566.520596109</v>
      </c>
      <c r="G497" s="2">
        <f>G496*(1+((1+VLOOKUP($B497,'IPCA Hist'!$B:$C,2,0))^12 - 1)+$G$2)^(1/252)</f>
        <v>46974715.882127739</v>
      </c>
      <c r="H497" s="2">
        <f>H496*(1+((1+VLOOKUP($B497,'IPCA Hist'!$B:$C,2,0))^12 - 1)+$H$2)^(1/252)</f>
        <v>47999567.338773407</v>
      </c>
      <c r="I497" s="2">
        <f>I496*(1+((1+VLOOKUP($B497,'IPCA Hist'!$B:$C,2,0))^12 - 1)+$I$2)^(1/252)</f>
        <v>242417297.61579123</v>
      </c>
      <c r="J497" s="2">
        <f>J496*(1+((1+VLOOKUP($B497,'IPCA Hist'!$B:$C,2,0))^12 - 1)+$J$2)^(1/252)</f>
        <v>21347083.698926572</v>
      </c>
      <c r="K497" s="2">
        <f>K496*(1+((1+VLOOKUP($B497,'IPCA Hist'!$B:$C,2,0))^12 - 1)+$K$2)^(1/252)</f>
        <v>82960034.004395291</v>
      </c>
      <c r="L497" s="2">
        <f>L496*(1+((1+VLOOKUP($B497,'IPCA Hist'!$B:$C,2,0))^12 - 1)+$L$2)^(1/252)</f>
        <v>43687187.236801811</v>
      </c>
      <c r="M497" s="2">
        <f>M496*(1+((1+VLOOKUP($B497,'IPCA Hist'!$B:$C,2,0))^12 - 1)+$M$2)^(1/252)</f>
        <v>14956931.889192754</v>
      </c>
      <c r="N497" s="2">
        <f>N496*(1+((1+VLOOKUP($B497,'IPCA Hist'!$B:$C,2,0))^12 - 1)+$N$2)^(1/252)</f>
        <v>121932815.48598653</v>
      </c>
      <c r="O497" s="2">
        <f t="shared" si="80"/>
        <v>669263199.67259145</v>
      </c>
      <c r="P497" s="2">
        <v>0</v>
      </c>
      <c r="Q497" s="2">
        <v>0</v>
      </c>
      <c r="R497" s="2">
        <f t="shared" si="90"/>
        <v>232579.71419942379</v>
      </c>
      <c r="S497" s="2">
        <f t="shared" si="82"/>
        <v>2322088.1843439341</v>
      </c>
      <c r="T497" s="2">
        <f t="shared" si="83"/>
        <v>29978798.845775589</v>
      </c>
      <c r="U497" s="11">
        <f t="shared" si="86"/>
        <v>1.2056151811127194</v>
      </c>
      <c r="V497" s="12">
        <f t="shared" si="87"/>
        <v>3.476368752957093E-4</v>
      </c>
      <c r="W497" s="12">
        <f t="shared" si="84"/>
        <v>3.4816989751351723E-3</v>
      </c>
      <c r="X497" s="12">
        <f t="shared" si="85"/>
        <v>5.2794324717371888E-2</v>
      </c>
      <c r="Y497" s="5">
        <f t="shared" si="88"/>
        <v>0.20561518111271937</v>
      </c>
      <c r="Z497" s="19">
        <f t="shared" si="79"/>
        <v>5.9388069283457634E-2</v>
      </c>
      <c r="AA497" s="19">
        <f t="shared" si="78"/>
        <v>0.10790630491271958</v>
      </c>
      <c r="AB497" s="19" t="s">
        <v>53</v>
      </c>
    </row>
    <row r="498" spans="1:28" x14ac:dyDescent="0.25">
      <c r="A498" s="1">
        <v>45824</v>
      </c>
      <c r="B498" s="1" t="str">
        <f t="shared" si="89"/>
        <v>202506</v>
      </c>
      <c r="C498" s="2">
        <v>0</v>
      </c>
      <c r="D498" s="2">
        <v>0</v>
      </c>
      <c r="E498" s="2">
        <v>0</v>
      </c>
      <c r="F498" s="2">
        <f>F497*(1+((1+VLOOKUP($B498,'IPCA Hist'!$B:$C,2,0))^12 - 1)+$F$2)^(1/252)</f>
        <v>47002069.50350982</v>
      </c>
      <c r="G498" s="2">
        <f>G497*(1+((1+VLOOKUP($B498,'IPCA Hist'!$B:$C,2,0))^12 - 1)+$G$2)^(1/252)</f>
        <v>46989232.149165377</v>
      </c>
      <c r="H498" s="2">
        <f>H497*(1+((1+VLOOKUP($B498,'IPCA Hist'!$B:$C,2,0))^12 - 1)+$H$2)^(1/252)</f>
        <v>48014188.678343073</v>
      </c>
      <c r="I498" s="2">
        <f>I497*(1+((1+VLOOKUP($B498,'IPCA Hist'!$B:$C,2,0))^12 - 1)+$I$2)^(1/252)</f>
        <v>242491052.19370914</v>
      </c>
      <c r="J498" s="2">
        <f>J497*(1+((1+VLOOKUP($B498,'IPCA Hist'!$B:$C,2,0))^12 - 1)+$J$2)^(1/252)</f>
        <v>21354631.453713279</v>
      </c>
      <c r="K498" s="2">
        <f>K497*(1+((1+VLOOKUP($B498,'IPCA Hist'!$B:$C,2,0))^12 - 1)+$K$2)^(1/252)</f>
        <v>82993765.482590973</v>
      </c>
      <c r="L498" s="2">
        <f>L497*(1+((1+VLOOKUP($B498,'IPCA Hist'!$B:$C,2,0))^12 - 1)+$L$2)^(1/252)</f>
        <v>43705092.807390057</v>
      </c>
      <c r="M498" s="2">
        <f>M497*(1+((1+VLOOKUP($B498,'IPCA Hist'!$B:$C,2,0))^12 - 1)+$M$2)^(1/252)</f>
        <v>14962777.076845922</v>
      </c>
      <c r="N498" s="2">
        <f>N497*(1+((1+VLOOKUP($B498,'IPCA Hist'!$B:$C,2,0))^12 - 1)+$N$2)^(1/252)</f>
        <v>121983052.57227656</v>
      </c>
      <c r="O498" s="2">
        <f t="shared" si="80"/>
        <v>669495861.91754425</v>
      </c>
      <c r="P498" s="2">
        <v>0</v>
      </c>
      <c r="Q498" s="2">
        <v>0</v>
      </c>
      <c r="R498" s="2">
        <f t="shared" si="90"/>
        <v>232662.24495279789</v>
      </c>
      <c r="S498" s="2">
        <f t="shared" si="82"/>
        <v>2554750.4292967319</v>
      </c>
      <c r="T498" s="2">
        <f t="shared" si="83"/>
        <v>30211461.090728387</v>
      </c>
      <c r="U498" s="11">
        <f t="shared" si="86"/>
        <v>1.2060343004288927</v>
      </c>
      <c r="V498" s="12">
        <f t="shared" si="87"/>
        <v>3.4763938173587583E-4</v>
      </c>
      <c r="W498" s="12">
        <f t="shared" si="84"/>
        <v>3.8305487325500653E-3</v>
      </c>
      <c r="X498" s="12">
        <f t="shared" si="85"/>
        <v>5.3160317485511754E-2</v>
      </c>
      <c r="Y498" s="5">
        <f t="shared" si="88"/>
        <v>0.2060343004288927</v>
      </c>
      <c r="Z498" s="19">
        <f t="shared" si="79"/>
        <v>5.9296004290706472E-2</v>
      </c>
      <c r="AA498" s="19">
        <f t="shared" si="78"/>
        <v>0.1079681204846048</v>
      </c>
      <c r="AB498" s="19" t="s">
        <v>53</v>
      </c>
    </row>
    <row r="499" spans="1:28" x14ac:dyDescent="0.25">
      <c r="A499" s="1">
        <v>45825</v>
      </c>
      <c r="B499" s="1" t="str">
        <f t="shared" si="89"/>
        <v>202506</v>
      </c>
      <c r="C499" s="2">
        <v>0</v>
      </c>
      <c r="D499" s="2">
        <v>0</v>
      </c>
      <c r="E499" s="2">
        <v>0</v>
      </c>
      <c r="F499" s="2">
        <f>F498*(1+((1+VLOOKUP($B499,'IPCA Hist'!$B:$C,2,0))^12 - 1)+$F$2)^(1/252)</f>
        <v>47016576.962852702</v>
      </c>
      <c r="G499" s="2">
        <f>G498*(1+((1+VLOOKUP($B499,'IPCA Hist'!$B:$C,2,0))^12 - 1)+$G$2)^(1/252)</f>
        <v>47003752.902063221</v>
      </c>
      <c r="H499" s="2">
        <f>H498*(1+((1+VLOOKUP($B499,'IPCA Hist'!$B:$C,2,0))^12 - 1)+$H$2)^(1/252)</f>
        <v>48028814.471777275</v>
      </c>
      <c r="I499" s="2">
        <f>I498*(1+((1+VLOOKUP($B499,'IPCA Hist'!$B:$C,2,0))^12 - 1)+$I$2)^(1/252)</f>
        <v>242564829.21118817</v>
      </c>
      <c r="J499" s="2">
        <f>J498*(1+((1+VLOOKUP($B499,'IPCA Hist'!$B:$C,2,0))^12 - 1)+$J$2)^(1/252)</f>
        <v>21362181.877183128</v>
      </c>
      <c r="K499" s="2">
        <f>K498*(1+((1+VLOOKUP($B499,'IPCA Hist'!$B:$C,2,0))^12 - 1)+$K$2)^(1/252)</f>
        <v>83027510.67597656</v>
      </c>
      <c r="L499" s="2">
        <f>L498*(1+((1+VLOOKUP($B499,'IPCA Hist'!$B:$C,2,0))^12 - 1)+$L$2)^(1/252)</f>
        <v>43723005.716730885</v>
      </c>
      <c r="M499" s="2">
        <f>M498*(1+((1+VLOOKUP($B499,'IPCA Hist'!$B:$C,2,0))^12 - 1)+$M$2)^(1/252)</f>
        <v>14968624.548805721</v>
      </c>
      <c r="N499" s="2">
        <f>N498*(1+((1+VLOOKUP($B499,'IPCA Hist'!$B:$C,2,0))^12 - 1)+$N$2)^(1/252)</f>
        <v>122033310.35656187</v>
      </c>
      <c r="O499" s="2">
        <f t="shared" si="80"/>
        <v>669728606.72313964</v>
      </c>
      <c r="P499" s="2">
        <v>0</v>
      </c>
      <c r="Q499" s="2">
        <v>0</v>
      </c>
      <c r="R499" s="2">
        <f t="shared" si="90"/>
        <v>232744.80559539795</v>
      </c>
      <c r="S499" s="2">
        <f t="shared" si="82"/>
        <v>2787495.2348921299</v>
      </c>
      <c r="T499" s="2">
        <f t="shared" si="83"/>
        <v>30444205.896323785</v>
      </c>
      <c r="U499" s="11">
        <f t="shared" si="86"/>
        <v>1.2064535684703572</v>
      </c>
      <c r="V499" s="12">
        <f t="shared" si="87"/>
        <v>3.4764188822444808E-4</v>
      </c>
      <c r="W499" s="12">
        <f t="shared" si="84"/>
        <v>4.1795222799687615E-3</v>
      </c>
      <c r="X499" s="12">
        <f t="shared" si="85"/>
        <v>5.3526440126885566E-2</v>
      </c>
      <c r="Y499" s="5">
        <f t="shared" si="88"/>
        <v>0.20645356847035723</v>
      </c>
      <c r="Z499" s="19">
        <f t="shared" si="79"/>
        <v>5.920394983489019E-2</v>
      </c>
      <c r="AA499" s="19">
        <f t="shared" si="78"/>
        <v>0.10802994227753304</v>
      </c>
      <c r="AB499" s="19" t="s">
        <v>53</v>
      </c>
    </row>
    <row r="500" spans="1:28" x14ac:dyDescent="0.25">
      <c r="A500" s="1">
        <v>45826</v>
      </c>
      <c r="B500" s="1" t="str">
        <f t="shared" si="89"/>
        <v>202506</v>
      </c>
      <c r="C500" s="2">
        <v>0</v>
      </c>
      <c r="D500" s="2">
        <v>0</v>
      </c>
      <c r="E500" s="2">
        <v>0</v>
      </c>
      <c r="F500" s="2">
        <f>F499*(1+((1+VLOOKUP($B500,'IPCA Hist'!$B:$C,2,0))^12 - 1)+$F$2)^(1/252)</f>
        <v>47031088.900006428</v>
      </c>
      <c r="G500" s="2">
        <f>G499*(1+((1+VLOOKUP($B500,'IPCA Hist'!$B:$C,2,0))^12 - 1)+$G$2)^(1/252)</f>
        <v>47018278.142207511</v>
      </c>
      <c r="H500" s="2">
        <f>H499*(1+((1+VLOOKUP($B500,'IPCA Hist'!$B:$C,2,0))^12 - 1)+$H$2)^(1/252)</f>
        <v>48043444.720432729</v>
      </c>
      <c r="I500" s="2">
        <f>I499*(1+((1+VLOOKUP($B500,'IPCA Hist'!$B:$C,2,0))^12 - 1)+$I$2)^(1/252)</f>
        <v>242638628.67505544</v>
      </c>
      <c r="J500" s="2">
        <f>J499*(1+((1+VLOOKUP($B500,'IPCA Hist'!$B:$C,2,0))^12 - 1)+$J$2)^(1/252)</f>
        <v>21369734.97027969</v>
      </c>
      <c r="K500" s="2">
        <f>K499*(1+((1+VLOOKUP($B500,'IPCA Hist'!$B:$C,2,0))^12 - 1)+$K$2)^(1/252)</f>
        <v>83061269.590128645</v>
      </c>
      <c r="L500" s="2">
        <f>L499*(1+((1+VLOOKUP($B500,'IPCA Hist'!$B:$C,2,0))^12 - 1)+$L$2)^(1/252)</f>
        <v>43740925.967832141</v>
      </c>
      <c r="M500" s="2">
        <f>M499*(1+((1+VLOOKUP($B500,'IPCA Hist'!$B:$C,2,0))^12 - 1)+$M$2)^(1/252)</f>
        <v>14974474.305964863</v>
      </c>
      <c r="N500" s="2">
        <f>N499*(1+((1+VLOOKUP($B500,'IPCA Hist'!$B:$C,2,0))^12 - 1)+$N$2)^(1/252)</f>
        <v>122083588.84737016</v>
      </c>
      <c r="O500" s="2">
        <f t="shared" si="80"/>
        <v>669961434.1192776</v>
      </c>
      <c r="P500" s="2">
        <v>0</v>
      </c>
      <c r="Q500" s="2">
        <v>0</v>
      </c>
      <c r="R500" s="2">
        <f t="shared" si="90"/>
        <v>232827.3961379528</v>
      </c>
      <c r="S500" s="2">
        <f t="shared" si="82"/>
        <v>3020322.6310300827</v>
      </c>
      <c r="T500" s="2">
        <f t="shared" si="83"/>
        <v>30677033.292461738</v>
      </c>
      <c r="U500" s="11">
        <f t="shared" si="86"/>
        <v>1.2068729852909745</v>
      </c>
      <c r="V500" s="12">
        <f t="shared" si="87"/>
        <v>3.4764439476031583E-4</v>
      </c>
      <c r="W500" s="12">
        <f t="shared" si="84"/>
        <v>4.5286196622225106E-3</v>
      </c>
      <c r="X500" s="12">
        <f t="shared" si="85"/>
        <v>5.3892692688527477E-2</v>
      </c>
      <c r="Y500" s="5">
        <f t="shared" si="88"/>
        <v>0.20687298529097453</v>
      </c>
      <c r="Z500" s="19">
        <f t="shared" si="79"/>
        <v>5.9111905914697394E-2</v>
      </c>
      <c r="AA500" s="19">
        <f t="shared" si="78"/>
        <v>0.10809177029221351</v>
      </c>
      <c r="AB500" s="19" t="s">
        <v>53</v>
      </c>
    </row>
    <row r="501" spans="1:28" x14ac:dyDescent="0.25">
      <c r="A501" s="1">
        <v>45828</v>
      </c>
      <c r="B501" s="1" t="str">
        <f t="shared" si="89"/>
        <v>202506</v>
      </c>
      <c r="C501" s="2">
        <v>0</v>
      </c>
      <c r="D501" s="2">
        <v>0</v>
      </c>
      <c r="E501" s="2">
        <v>0</v>
      </c>
      <c r="F501" s="2">
        <f>F500*(1+((1+VLOOKUP($B501,'IPCA Hist'!$B:$C,2,0))^12 - 1)+$F$2)^(1/252)</f>
        <v>47045605.316353105</v>
      </c>
      <c r="G501" s="2">
        <f>G500*(1+((1+VLOOKUP($B501,'IPCA Hist'!$B:$C,2,0))^12 - 1)+$G$2)^(1/252)</f>
        <v>47032807.870984904</v>
      </c>
      <c r="H501" s="2">
        <f>H500*(1+((1+VLOOKUP($B501,'IPCA Hist'!$B:$C,2,0))^12 - 1)+$H$2)^(1/252)</f>
        <v>48058079.425666548</v>
      </c>
      <c r="I501" s="2">
        <f>I500*(1+((1+VLOOKUP($B501,'IPCA Hist'!$B:$C,2,0))^12 - 1)+$I$2)^(1/252)</f>
        <v>242712450.59214023</v>
      </c>
      <c r="J501" s="2">
        <f>J500*(1+((1+VLOOKUP($B501,'IPCA Hist'!$B:$C,2,0))^12 - 1)+$J$2)^(1/252)</f>
        <v>21377290.733946871</v>
      </c>
      <c r="K501" s="2">
        <f>K500*(1+((1+VLOOKUP($B501,'IPCA Hist'!$B:$C,2,0))^12 - 1)+$K$2)^(1/252)</f>
        <v>83095042.230626076</v>
      </c>
      <c r="L501" s="2">
        <f>L500*(1+((1+VLOOKUP($B501,'IPCA Hist'!$B:$C,2,0))^12 - 1)+$L$2)^(1/252)</f>
        <v>43758853.563702911</v>
      </c>
      <c r="M501" s="2">
        <f>M500*(1+((1+VLOOKUP($B501,'IPCA Hist'!$B:$C,2,0))^12 - 1)+$M$2)^(1/252)</f>
        <v>14980326.349216403</v>
      </c>
      <c r="N501" s="2">
        <f>N500*(1+((1+VLOOKUP($B501,'IPCA Hist'!$B:$C,2,0))^12 - 1)+$N$2)^(1/252)</f>
        <v>122133888.05323265</v>
      </c>
      <c r="O501" s="2">
        <f t="shared" si="80"/>
        <v>670194344.13586974</v>
      </c>
      <c r="P501" s="2">
        <v>0</v>
      </c>
      <c r="Q501" s="2">
        <v>0</v>
      </c>
      <c r="R501" s="2">
        <f t="shared" si="90"/>
        <v>232910.01659214497</v>
      </c>
      <c r="S501" s="2">
        <f t="shared" si="82"/>
        <v>3253232.6476222277</v>
      </c>
      <c r="T501" s="2">
        <f t="shared" si="83"/>
        <v>30909943.309053883</v>
      </c>
      <c r="U501" s="11">
        <f t="shared" si="86"/>
        <v>1.2072925509446277</v>
      </c>
      <c r="V501" s="12">
        <f t="shared" si="87"/>
        <v>3.4764690134481135E-4</v>
      </c>
      <c r="W501" s="12">
        <f t="shared" si="84"/>
        <v>4.877840924160326E-3</v>
      </c>
      <c r="X501" s="12">
        <f t="shared" si="85"/>
        <v>5.4259075217490516E-2</v>
      </c>
      <c r="Y501" s="5">
        <f t="shared" si="88"/>
        <v>0.20729255094462773</v>
      </c>
      <c r="Z501" s="19">
        <f t="shared" si="79"/>
        <v>5.901987252881824E-2</v>
      </c>
      <c r="AA501" s="19">
        <f t="shared" si="78"/>
        <v>0.1081536045293563</v>
      </c>
      <c r="AB501" s="19" t="s">
        <v>53</v>
      </c>
    </row>
    <row r="502" spans="1:28" x14ac:dyDescent="0.25">
      <c r="A502" s="1">
        <v>45831</v>
      </c>
      <c r="B502" s="1" t="str">
        <f t="shared" si="89"/>
        <v>202506</v>
      </c>
      <c r="C502" s="2">
        <v>0</v>
      </c>
      <c r="D502" s="2">
        <v>0</v>
      </c>
      <c r="E502" s="2">
        <v>0</v>
      </c>
      <c r="F502" s="2">
        <f>F501*(1+((1+VLOOKUP($B502,'IPCA Hist'!$B:$C,2,0))^12 - 1)+$F$2)^(1/252)</f>
        <v>47060126.213275254</v>
      </c>
      <c r="G502" s="2">
        <f>G501*(1+((1+VLOOKUP($B502,'IPCA Hist'!$B:$C,2,0))^12 - 1)+$G$2)^(1/252)</f>
        <v>47047342.089782491</v>
      </c>
      <c r="H502" s="2">
        <f>H501*(1+((1+VLOOKUP($B502,'IPCA Hist'!$B:$C,2,0))^12 - 1)+$H$2)^(1/252)</f>
        <v>48072718.588836275</v>
      </c>
      <c r="I502" s="2">
        <f>I501*(1+((1+VLOOKUP($B502,'IPCA Hist'!$B:$C,2,0))^12 - 1)+$I$2)^(1/252)</f>
        <v>242786294.96927381</v>
      </c>
      <c r="J502" s="2">
        <f>J501*(1+((1+VLOOKUP($B502,'IPCA Hist'!$B:$C,2,0))^12 - 1)+$J$2)^(1/252)</f>
        <v>21384849.169128917</v>
      </c>
      <c r="K502" s="2">
        <f>K501*(1+((1+VLOOKUP($B502,'IPCA Hist'!$B:$C,2,0))^12 - 1)+$K$2)^(1/252)</f>
        <v>83128828.603049964</v>
      </c>
      <c r="L502" s="2">
        <f>L501*(1+((1+VLOOKUP($B502,'IPCA Hist'!$B:$C,2,0))^12 - 1)+$L$2)^(1/252)</f>
        <v>43776788.507353514</v>
      </c>
      <c r="M502" s="2">
        <f>M501*(1+((1+VLOOKUP($B502,'IPCA Hist'!$B:$C,2,0))^12 - 1)+$M$2)^(1/252)</f>
        <v>14986180.679453753</v>
      </c>
      <c r="N502" s="2">
        <f>N501*(1+((1+VLOOKUP($B502,'IPCA Hist'!$B:$C,2,0))^12 - 1)+$N$2)^(1/252)</f>
        <v>122184207.98268408</v>
      </c>
      <c r="O502" s="2">
        <f t="shared" si="80"/>
        <v>670427336.80283809</v>
      </c>
      <c r="P502" s="2">
        <v>0</v>
      </c>
      <c r="Q502" s="2">
        <v>0</v>
      </c>
      <c r="R502" s="2">
        <f t="shared" si="90"/>
        <v>232992.66696834564</v>
      </c>
      <c r="S502" s="2">
        <f t="shared" si="82"/>
        <v>3486225.3145905733</v>
      </c>
      <c r="T502" s="2">
        <f t="shared" si="83"/>
        <v>31142935.976022229</v>
      </c>
      <c r="U502" s="11">
        <f t="shared" si="86"/>
        <v>1.2077122654852188</v>
      </c>
      <c r="V502" s="12">
        <f t="shared" si="87"/>
        <v>3.4764940797704647E-4</v>
      </c>
      <c r="W502" s="12">
        <f t="shared" si="84"/>
        <v>5.2271861106467643E-3</v>
      </c>
      <c r="X502" s="12">
        <f t="shared" si="85"/>
        <v>5.4625587760844363E-2</v>
      </c>
      <c r="Y502" s="5">
        <f t="shared" si="88"/>
        <v>0.20771226548521882</v>
      </c>
      <c r="Z502" s="19">
        <f t="shared" si="79"/>
        <v>5.891083527094354E-2</v>
      </c>
      <c r="AA502" s="19">
        <f t="shared" si="78"/>
        <v>0.10821544498967062</v>
      </c>
      <c r="AB502" s="19" t="s">
        <v>53</v>
      </c>
    </row>
    <row r="503" spans="1:28" x14ac:dyDescent="0.25">
      <c r="A503" s="1">
        <v>45832</v>
      </c>
      <c r="B503" s="1" t="str">
        <f t="shared" si="89"/>
        <v>202506</v>
      </c>
      <c r="C503" s="2">
        <v>0</v>
      </c>
      <c r="D503" s="2">
        <v>0</v>
      </c>
      <c r="E503" s="2">
        <v>0</v>
      </c>
      <c r="F503" s="2">
        <f>F502*(1+((1+VLOOKUP($B503,'IPCA Hist'!$B:$C,2,0))^12 - 1)+$F$2)^(1/252)</f>
        <v>47074651.592155837</v>
      </c>
      <c r="G503" s="2">
        <f>G502*(1+((1+VLOOKUP($B503,'IPCA Hist'!$B:$C,2,0))^12 - 1)+$G$2)^(1/252)</f>
        <v>47061880.799987786</v>
      </c>
      <c r="H503" s="2">
        <f>H502*(1+((1+VLOOKUP($B503,'IPCA Hist'!$B:$C,2,0))^12 - 1)+$H$2)^(1/252)</f>
        <v>48087362.211299859</v>
      </c>
      <c r="I503" s="2">
        <f>I502*(1+((1+VLOOKUP($B503,'IPCA Hist'!$B:$C,2,0))^12 - 1)+$I$2)^(1/252)</f>
        <v>242860161.81328958</v>
      </c>
      <c r="J503" s="2">
        <f>J502*(1+((1+VLOOKUP($B503,'IPCA Hist'!$B:$C,2,0))^12 - 1)+$J$2)^(1/252)</f>
        <v>21392410.276770402</v>
      </c>
      <c r="K503" s="2">
        <f>K502*(1+((1+VLOOKUP($B503,'IPCA Hist'!$B:$C,2,0))^12 - 1)+$K$2)^(1/252)</f>
        <v>83162628.712983713</v>
      </c>
      <c r="L503" s="2">
        <f>L502*(1+((1+VLOOKUP($B503,'IPCA Hist'!$B:$C,2,0))^12 - 1)+$L$2)^(1/252)</f>
        <v>43794730.801795505</v>
      </c>
      <c r="M503" s="2">
        <f>M502*(1+((1+VLOOKUP($B503,'IPCA Hist'!$B:$C,2,0))^12 - 1)+$M$2)^(1/252)</f>
        <v>14992037.297570666</v>
      </c>
      <c r="N503" s="2">
        <f>N502*(1+((1+VLOOKUP($B503,'IPCA Hist'!$B:$C,2,0))^12 - 1)+$N$2)^(1/252)</f>
        <v>122234548.64426267</v>
      </c>
      <c r="O503" s="2">
        <f t="shared" si="80"/>
        <v>670660412.15011597</v>
      </c>
      <c r="P503" s="2">
        <v>0</v>
      </c>
      <c r="Q503" s="2">
        <v>0</v>
      </c>
      <c r="R503" s="2">
        <f t="shared" si="90"/>
        <v>233075.34727787971</v>
      </c>
      <c r="S503" s="2">
        <f t="shared" si="82"/>
        <v>3719300.661868453</v>
      </c>
      <c r="T503" s="2">
        <f t="shared" si="83"/>
        <v>31376011.323300108</v>
      </c>
      <c r="U503" s="11">
        <f t="shared" si="86"/>
        <v>1.2081321289666695</v>
      </c>
      <c r="V503" s="12">
        <f t="shared" si="87"/>
        <v>3.4765191465702117E-4</v>
      </c>
      <c r="W503" s="12">
        <f t="shared" si="84"/>
        <v>5.5766552665634794E-3</v>
      </c>
      <c r="X503" s="12">
        <f t="shared" si="85"/>
        <v>5.4992230365675798E-2</v>
      </c>
      <c r="Y503" s="5">
        <f t="shared" si="88"/>
        <v>0.20813212896666955</v>
      </c>
      <c r="Z503" s="19">
        <f t="shared" si="79"/>
        <v>5.8801810442202118E-2</v>
      </c>
      <c r="AA503" s="19">
        <f t="shared" si="78"/>
        <v>0.10827729167386635</v>
      </c>
      <c r="AB503" s="19" t="s">
        <v>53</v>
      </c>
    </row>
    <row r="504" spans="1:28" x14ac:dyDescent="0.25">
      <c r="A504" s="1">
        <v>45833</v>
      </c>
      <c r="B504" s="1" t="str">
        <f t="shared" si="89"/>
        <v>202506</v>
      </c>
      <c r="C504" s="2">
        <v>0</v>
      </c>
      <c r="D504" s="2">
        <v>0</v>
      </c>
      <c r="E504" s="2">
        <v>0</v>
      </c>
      <c r="F504" s="2">
        <f>F503*(1+((1+VLOOKUP($B504,'IPCA Hist'!$B:$C,2,0))^12 - 1)+$F$2)^(1/252)</f>
        <v>47089181.454378232</v>
      </c>
      <c r="G504" s="2">
        <f>G503*(1+((1+VLOOKUP($B504,'IPCA Hist'!$B:$C,2,0))^12 - 1)+$G$2)^(1/252)</f>
        <v>47076424.002988748</v>
      </c>
      <c r="H504" s="2">
        <f>H503*(1+((1+VLOOKUP($B504,'IPCA Hist'!$B:$C,2,0))^12 - 1)+$H$2)^(1/252)</f>
        <v>48102010.29441566</v>
      </c>
      <c r="I504" s="2">
        <f>I503*(1+((1+VLOOKUP($B504,'IPCA Hist'!$B:$C,2,0))^12 - 1)+$I$2)^(1/252)</f>
        <v>242934051.13102302</v>
      </c>
      <c r="J504" s="2">
        <f>J503*(1+((1+VLOOKUP($B504,'IPCA Hist'!$B:$C,2,0))^12 - 1)+$J$2)^(1/252)</f>
        <v>21399974.057816233</v>
      </c>
      <c r="K504" s="2">
        <f>K503*(1+((1+VLOOKUP($B504,'IPCA Hist'!$B:$C,2,0))^12 - 1)+$K$2)^(1/252)</f>
        <v>83196442.566012979</v>
      </c>
      <c r="L504" s="2">
        <f>L503*(1+((1+VLOOKUP($B504,'IPCA Hist'!$B:$C,2,0))^12 - 1)+$L$2)^(1/252)</f>
        <v>43812680.450041667</v>
      </c>
      <c r="M504" s="2">
        <f>M503*(1+((1+VLOOKUP($B504,'IPCA Hist'!$B:$C,2,0))^12 - 1)+$M$2)^(1/252)</f>
        <v>14997896.20446125</v>
      </c>
      <c r="N504" s="2">
        <f>N503*(1+((1+VLOOKUP($B504,'IPCA Hist'!$B:$C,2,0))^12 - 1)+$N$2)^(1/252)</f>
        <v>122284910.04651022</v>
      </c>
      <c r="O504" s="2">
        <f t="shared" si="80"/>
        <v>670893570.20764792</v>
      </c>
      <c r="P504" s="2">
        <v>0</v>
      </c>
      <c r="Q504" s="2">
        <v>0</v>
      </c>
      <c r="R504" s="2">
        <f t="shared" si="90"/>
        <v>233158.05753195286</v>
      </c>
      <c r="S504" s="2">
        <f t="shared" si="82"/>
        <v>3952458.7194004059</v>
      </c>
      <c r="T504" s="2">
        <f t="shared" si="83"/>
        <v>31609169.380832061</v>
      </c>
      <c r="U504" s="11">
        <f t="shared" si="86"/>
        <v>1.2085521414429223</v>
      </c>
      <c r="V504" s="12">
        <f t="shared" si="87"/>
        <v>3.4765442138517955E-4</v>
      </c>
      <c r="W504" s="12">
        <f t="shared" si="84"/>
        <v>5.9262484368085566E-3</v>
      </c>
      <c r="X504" s="12">
        <f t="shared" si="85"/>
        <v>5.5359003079089364E-2</v>
      </c>
      <c r="Y504" s="5">
        <f t="shared" si="88"/>
        <v>0.20855214144292233</v>
      </c>
      <c r="Z504" s="19">
        <f t="shared" si="79"/>
        <v>5.8692798041032335E-2</v>
      </c>
      <c r="AA504" s="19">
        <f t="shared" si="78"/>
        <v>0.10833914458265381</v>
      </c>
      <c r="AB504" s="19" t="s">
        <v>53</v>
      </c>
    </row>
    <row r="505" spans="1:28" x14ac:dyDescent="0.25">
      <c r="A505" s="1">
        <v>45834</v>
      </c>
      <c r="B505" s="1" t="str">
        <f t="shared" si="89"/>
        <v>202506</v>
      </c>
      <c r="C505" s="2">
        <v>0</v>
      </c>
      <c r="D505" s="2">
        <v>0</v>
      </c>
      <c r="E505" s="2">
        <v>0</v>
      </c>
      <c r="F505" s="2">
        <f>F504*(1+((1+VLOOKUP($B505,'IPCA Hist'!$B:$C,2,0))^12 - 1)+$F$2)^(1/252)</f>
        <v>47103715.801326253</v>
      </c>
      <c r="G505" s="2">
        <f>G504*(1+((1+VLOOKUP($B505,'IPCA Hist'!$B:$C,2,0))^12 - 1)+$G$2)^(1/252)</f>
        <v>47090971.700173743</v>
      </c>
      <c r="H505" s="2">
        <f>H504*(1+((1+VLOOKUP($B505,'IPCA Hist'!$B:$C,2,0))^12 - 1)+$H$2)^(1/252)</f>
        <v>48116662.839542463</v>
      </c>
      <c r="I505" s="2">
        <f>I504*(1+((1+VLOOKUP($B505,'IPCA Hist'!$B:$C,2,0))^12 - 1)+$I$2)^(1/252)</f>
        <v>243007962.92931166</v>
      </c>
      <c r="J505" s="2">
        <f>J504*(1+((1+VLOOKUP($B505,'IPCA Hist'!$B:$C,2,0))^12 - 1)+$J$2)^(1/252)</f>
        <v>21407540.51321166</v>
      </c>
      <c r="K505" s="2">
        <f>K504*(1+((1+VLOOKUP($B505,'IPCA Hist'!$B:$C,2,0))^12 - 1)+$K$2)^(1/252)</f>
        <v>83230270.167725682</v>
      </c>
      <c r="L505" s="2">
        <f>L504*(1+((1+VLOOKUP($B505,'IPCA Hist'!$B:$C,2,0))^12 - 1)+$L$2)^(1/252)</f>
        <v>43830637.455106013</v>
      </c>
      <c r="M505" s="2">
        <f>M504*(1+((1+VLOOKUP($B505,'IPCA Hist'!$B:$C,2,0))^12 - 1)+$M$2)^(1/252)</f>
        <v>15003757.401019963</v>
      </c>
      <c r="N505" s="2">
        <f>N504*(1+((1+VLOOKUP($B505,'IPCA Hist'!$B:$C,2,0))^12 - 1)+$N$2)^(1/252)</f>
        <v>122335292.197972</v>
      </c>
      <c r="O505" s="2">
        <f t="shared" si="80"/>
        <v>671126811.00538945</v>
      </c>
      <c r="P505" s="2">
        <v>0</v>
      </c>
      <c r="Q505" s="2">
        <v>0</v>
      </c>
      <c r="R505" s="2">
        <f t="shared" si="90"/>
        <v>233240.79774153233</v>
      </c>
      <c r="S505" s="2">
        <f t="shared" si="82"/>
        <v>4185699.5171419382</v>
      </c>
      <c r="T505" s="2">
        <f t="shared" si="83"/>
        <v>31842410.178573593</v>
      </c>
      <c r="U505" s="11">
        <f t="shared" si="86"/>
        <v>1.2089723029679391</v>
      </c>
      <c r="V505" s="12">
        <f t="shared" si="87"/>
        <v>3.4765692816129956E-4</v>
      </c>
      <c r="W505" s="12">
        <f t="shared" si="84"/>
        <v>6.2759656662969565E-3</v>
      </c>
      <c r="X505" s="12">
        <f t="shared" si="85"/>
        <v>5.5725905948207144E-2</v>
      </c>
      <c r="Y505" s="5">
        <f t="shared" si="88"/>
        <v>0.20897230296793912</v>
      </c>
      <c r="Z505" s="19">
        <f t="shared" si="79"/>
        <v>5.8583798065872772E-2</v>
      </c>
      <c r="AA505" s="19">
        <f t="shared" si="78"/>
        <v>0.10840100371674266</v>
      </c>
      <c r="AB505" s="19" t="s">
        <v>53</v>
      </c>
    </row>
    <row r="506" spans="1:28" x14ac:dyDescent="0.25">
      <c r="A506" s="1">
        <v>45835</v>
      </c>
      <c r="B506" s="1" t="str">
        <f t="shared" si="89"/>
        <v>202506</v>
      </c>
      <c r="C506" s="2">
        <v>0</v>
      </c>
      <c r="D506" s="2">
        <v>0</v>
      </c>
      <c r="E506" s="2">
        <v>0</v>
      </c>
      <c r="F506" s="2">
        <f>F505*(1+((1+VLOOKUP($B506,'IPCA Hist'!$B:$C,2,0))^12 - 1)+$F$2)^(1/252)</f>
        <v>47118254.634384133</v>
      </c>
      <c r="G506" s="2">
        <f>G505*(1+((1+VLOOKUP($B506,'IPCA Hist'!$B:$C,2,0))^12 - 1)+$G$2)^(1/252)</f>
        <v>47105523.892931588</v>
      </c>
      <c r="H506" s="2">
        <f>H505*(1+((1+VLOOKUP($B506,'IPCA Hist'!$B:$C,2,0))^12 - 1)+$H$2)^(1/252)</f>
        <v>48131319.848039448</v>
      </c>
      <c r="I506" s="2">
        <f>I505*(1+((1+VLOOKUP($B506,'IPCA Hist'!$B:$C,2,0))^12 - 1)+$I$2)^(1/252)</f>
        <v>243081897.21499515</v>
      </c>
      <c r="J506" s="2">
        <f>J505*(1+((1+VLOOKUP($B506,'IPCA Hist'!$B:$C,2,0))^12 - 1)+$J$2)^(1/252)</f>
        <v>21415109.643902257</v>
      </c>
      <c r="K506" s="2">
        <f>K505*(1+((1+VLOOKUP($B506,'IPCA Hist'!$B:$C,2,0))^12 - 1)+$K$2)^(1/252)</f>
        <v>83264111.523712039</v>
      </c>
      <c r="L506" s="2">
        <f>L505*(1+((1+VLOOKUP($B506,'IPCA Hist'!$B:$C,2,0))^12 - 1)+$L$2)^(1/252)</f>
        <v>43848601.820003808</v>
      </c>
      <c r="M506" s="2">
        <f>M505*(1+((1+VLOOKUP($B506,'IPCA Hist'!$B:$C,2,0))^12 - 1)+$M$2)^(1/252)</f>
        <v>15009620.888141606</v>
      </c>
      <c r="N506" s="2">
        <f>N505*(1+((1+VLOOKUP($B506,'IPCA Hist'!$B:$C,2,0))^12 - 1)+$N$2)^(1/252)</f>
        <v>122385695.10719681</v>
      </c>
      <c r="O506" s="2">
        <f t="shared" si="80"/>
        <v>671360134.5733068</v>
      </c>
      <c r="P506" s="2">
        <v>0</v>
      </c>
      <c r="Q506" s="2">
        <v>0</v>
      </c>
      <c r="R506" s="2">
        <f t="shared" si="90"/>
        <v>233323.56791734695</v>
      </c>
      <c r="S506" s="2">
        <f t="shared" si="82"/>
        <v>4419023.0850592852</v>
      </c>
      <c r="T506" s="2">
        <f t="shared" si="83"/>
        <v>32075733.74649094</v>
      </c>
      <c r="U506" s="11">
        <f t="shared" si="86"/>
        <v>1.2093926135957014</v>
      </c>
      <c r="V506" s="12">
        <f t="shared" si="87"/>
        <v>3.4765943498493712E-4</v>
      </c>
      <c r="W506" s="12">
        <f t="shared" si="84"/>
        <v>6.6258069999594049E-3</v>
      </c>
      <c r="X506" s="12">
        <f t="shared" si="85"/>
        <v>5.6092939020168098E-2</v>
      </c>
      <c r="Y506" s="5">
        <f t="shared" si="88"/>
        <v>0.20939261359570138</v>
      </c>
      <c r="Z506" s="19">
        <f t="shared" si="79"/>
        <v>5.8474810515162234E-2</v>
      </c>
      <c r="AA506" s="19">
        <f t="shared" si="78"/>
        <v>0.10846286907684322</v>
      </c>
      <c r="AB506" s="19" t="s">
        <v>53</v>
      </c>
    </row>
    <row r="507" spans="1:28" s="23" customFormat="1" x14ac:dyDescent="0.25">
      <c r="A507" s="37">
        <v>45838</v>
      </c>
      <c r="B507" s="23" t="str">
        <f t="shared" si="89"/>
        <v>202506</v>
      </c>
      <c r="C507" s="22">
        <v>0</v>
      </c>
      <c r="D507" s="22">
        <v>0</v>
      </c>
      <c r="E507" s="22">
        <v>0</v>
      </c>
      <c r="F507" s="22">
        <f>F506*(1+((1+VLOOKUP($B507,'IPCA Hist'!$B:$C,2,0))^12 - 1)+$F$2)^(1/252)</f>
        <v>47132797.954936534</v>
      </c>
      <c r="G507" s="22">
        <f>G506*(1+((1+VLOOKUP($B507,'IPCA Hist'!$B:$C,2,0))^12 - 1)+$G$2)^(1/252)</f>
        <v>47120080.582651511</v>
      </c>
      <c r="H507" s="22">
        <f>H506*(1+((1+VLOOKUP($B507,'IPCA Hist'!$B:$C,2,0))^12 - 1)+$H$2)^(1/252)</f>
        <v>48145981.321266226</v>
      </c>
      <c r="I507" s="22">
        <f>I506*(1+((1+VLOOKUP($B507,'IPCA Hist'!$B:$C,2,0))^12 - 1)+$I$2)^(1/252)</f>
        <v>243155853.99491516</v>
      </c>
      <c r="J507" s="22">
        <f>J506*(1+((1+VLOOKUP($B507,'IPCA Hist'!$B:$C,2,0))^12 - 1)+$J$2)^(1/252)</f>
        <v>21422681.450833935</v>
      </c>
      <c r="K507" s="22">
        <f>K506*(1+((1+VLOOKUP($B507,'IPCA Hist'!$B:$C,2,0))^12 - 1)+$K$2)^(1/252)</f>
        <v>83297966.639564514</v>
      </c>
      <c r="L507" s="22">
        <f>L506*(1+((1+VLOOKUP($B507,'IPCA Hist'!$B:$C,2,0))^12 - 1)+$L$2)^(1/252)</f>
        <v>43866573.547751538</v>
      </c>
      <c r="M507" s="22">
        <f>M506*(1+((1+VLOOKUP($B507,'IPCA Hist'!$B:$C,2,0))^12 - 1)+$M$2)^(1/252)</f>
        <v>15015486.666721335</v>
      </c>
      <c r="N507" s="22">
        <f>N506*(1+((1+VLOOKUP($B507,'IPCA Hist'!$B:$C,2,0))^12 - 1)+$N$2)^(1/252)</f>
        <v>122436118.78273699</v>
      </c>
      <c r="O507" s="22">
        <f t="shared" si="80"/>
        <v>671593540.94137776</v>
      </c>
      <c r="P507" s="22">
        <v>0</v>
      </c>
      <c r="Q507" s="22">
        <v>0</v>
      </c>
      <c r="R507" s="22">
        <f t="shared" si="90"/>
        <v>233406.36807096004</v>
      </c>
      <c r="S507" s="22">
        <f t="shared" si="82"/>
        <v>4652429.4531302452</v>
      </c>
      <c r="T507" s="22">
        <f t="shared" si="83"/>
        <v>32309140.1145619</v>
      </c>
      <c r="U507" s="38">
        <f t="shared" si="86"/>
        <v>1.2098130733802113</v>
      </c>
      <c r="V507" s="39">
        <f t="shared" si="87"/>
        <v>3.4766194185675836E-4</v>
      </c>
      <c r="W507" s="39">
        <f t="shared" si="84"/>
        <v>6.9757724827441692E-3</v>
      </c>
      <c r="X507" s="39">
        <f t="shared" si="85"/>
        <v>5.646010234212917E-2</v>
      </c>
      <c r="Y507" s="40">
        <f t="shared" si="88"/>
        <v>0.20981307338021127</v>
      </c>
      <c r="Z507" s="41">
        <f t="shared" si="79"/>
        <v>5.8365835387339748E-2</v>
      </c>
      <c r="AA507" s="41">
        <f t="shared" si="78"/>
        <v>0.10852474066366513</v>
      </c>
      <c r="AB507" s="41">
        <f>U507/U3 - 1</f>
        <v>0.20981307338021127</v>
      </c>
    </row>
    <row r="508" spans="1:28" x14ac:dyDescent="0.25">
      <c r="A508" s="1">
        <v>45839</v>
      </c>
      <c r="B508" s="1" t="str">
        <f t="shared" si="89"/>
        <v>202507</v>
      </c>
      <c r="C508" s="24">
        <v>0</v>
      </c>
      <c r="D508" s="24">
        <v>0</v>
      </c>
      <c r="E508" s="24">
        <v>0</v>
      </c>
      <c r="F508" s="24">
        <f>F507*(1+((1+VLOOKUP($B508,'IPCA Hist'!$B:$C,2,0))^12 - 1)+$F$2)^(1/252)</f>
        <v>47147772.273482472</v>
      </c>
      <c r="G508" s="24">
        <f>G507*(1+((1+VLOOKUP($B508,'IPCA Hist'!$B:$C,2,0))^12 - 1)+$G$2)^(1/252)</f>
        <v>47135068.125512287</v>
      </c>
      <c r="H508" s="24">
        <f>H507*(1+((1+VLOOKUP($B508,'IPCA Hist'!$B:$C,2,0))^12 - 1)+$H$2)^(1/252)</f>
        <v>48161083.379660778</v>
      </c>
      <c r="I508" s="24">
        <f>I507*(1+((1+VLOOKUP($B508,'IPCA Hist'!$B:$C,2,0))^12 - 1)+$I$2)^(1/252)</f>
        <v>243232036.04914281</v>
      </c>
      <c r="J508" s="24">
        <f>J507*(1+((1+VLOOKUP($B508,'IPCA Hist'!$B:$C,2,0))^12 - 1)+$J$2)^(1/252)</f>
        <v>21430447.620664548</v>
      </c>
      <c r="K508" s="24">
        <f>K507*(1+((1+VLOOKUP($B508,'IPCA Hist'!$B:$C,2,0))^12 - 1)+$K$2)^(1/252)</f>
        <v>83332571.014168128</v>
      </c>
      <c r="L508" s="24">
        <f>L507*(1+((1+VLOOKUP($B508,'IPCA Hist'!$B:$C,2,0))^12 - 1)+$L$2)^(1/252)</f>
        <v>43884939.652320363</v>
      </c>
      <c r="M508" s="24">
        <f>M507*(1+((1+VLOOKUP($B508,'IPCA Hist'!$B:$C,2,0))^12 - 1)+$M$2)^(1/252)</f>
        <v>15021487.84536699</v>
      </c>
      <c r="N508" s="24">
        <f>N507*(1+((1+VLOOKUP($B508,'IPCA Hist'!$B:$C,2,0))^12 - 1)+$N$2)^(1/252)</f>
        <v>122487642.83928019</v>
      </c>
      <c r="O508" s="24">
        <f t="shared" si="80"/>
        <v>671833048.79959869</v>
      </c>
      <c r="P508" s="24">
        <v>0</v>
      </c>
      <c r="Q508" s="24">
        <v>0</v>
      </c>
      <c r="R508" s="24">
        <f t="shared" si="90"/>
        <v>239507.85822093487</v>
      </c>
      <c r="S508" s="24">
        <f t="shared" si="82"/>
        <v>239507.85822093487</v>
      </c>
      <c r="T508" s="24">
        <f t="shared" si="83"/>
        <v>32548647.972782835</v>
      </c>
      <c r="U508" s="46">
        <f t="shared" si="86"/>
        <v>1.210244524429676</v>
      </c>
      <c r="V508" s="47">
        <f t="shared" si="87"/>
        <v>3.5662620859211458E-4</v>
      </c>
      <c r="W508" s="47">
        <f t="shared" si="84"/>
        <v>3.5662620859211458E-4</v>
      </c>
      <c r="X508" s="47">
        <f t="shared" si="85"/>
        <v>5.6836863702956375E-2</v>
      </c>
      <c r="Y508" s="48">
        <f t="shared" si="88"/>
        <v>0.21024452442967601</v>
      </c>
      <c r="Z508" s="49">
        <f t="shared" si="79"/>
        <v>5.8266353228711099E-2</v>
      </c>
      <c r="AA508" s="49">
        <f t="shared" si="78"/>
        <v>0.1085965499121222</v>
      </c>
      <c r="AB508" s="49">
        <f t="shared" ref="AB508:AB530" si="91">U508/U4 - 1</f>
        <v>0.21003920870504511</v>
      </c>
    </row>
    <row r="509" spans="1:28" x14ac:dyDescent="0.25">
      <c r="A509" s="1">
        <v>45840</v>
      </c>
      <c r="B509" s="1" t="str">
        <f t="shared" si="89"/>
        <v>202507</v>
      </c>
      <c r="C509" s="24">
        <v>0</v>
      </c>
      <c r="D509" s="24">
        <v>0</v>
      </c>
      <c r="E509" s="24">
        <v>0</v>
      </c>
      <c r="F509" s="24">
        <f>F508*(1+((1+VLOOKUP($B509,'IPCA Hist'!$B:$C,2,0))^12 - 1)+$F$2)^(1/252)</f>
        <v>47162751.34944205</v>
      </c>
      <c r="G509" s="24">
        <f>G508*(1+((1+VLOOKUP($B509,'IPCA Hist'!$B:$C,2,0))^12 - 1)+$G$2)^(1/252)</f>
        <v>47150060.435479529</v>
      </c>
      <c r="H509" s="24">
        <f>H508*(1+((1+VLOOKUP($B509,'IPCA Hist'!$B:$C,2,0))^12 - 1)+$H$2)^(1/252)</f>
        <v>48176190.175151996</v>
      </c>
      <c r="I509" s="24">
        <f>I508*(1+((1+VLOOKUP($B509,'IPCA Hist'!$B:$C,2,0))^12 - 1)+$I$2)^(1/252)</f>
        <v>243308241.97162324</v>
      </c>
      <c r="J509" s="24">
        <f>J508*(1+((1+VLOOKUP($B509,'IPCA Hist'!$B:$C,2,0))^12 - 1)+$J$2)^(1/252)</f>
        <v>21438216.605894063</v>
      </c>
      <c r="K509" s="24">
        <f>K508*(1+((1+VLOOKUP($B509,'IPCA Hist'!$B:$C,2,0))^12 - 1)+$K$2)^(1/252)</f>
        <v>83367189.76442568</v>
      </c>
      <c r="L509" s="24">
        <f>L508*(1+((1+VLOOKUP($B509,'IPCA Hist'!$B:$C,2,0))^12 - 1)+$L$2)^(1/252)</f>
        <v>43903313.446429759</v>
      </c>
      <c r="M509" s="24">
        <f>M508*(1+((1+VLOOKUP($B509,'IPCA Hist'!$B:$C,2,0))^12 - 1)+$M$2)^(1/252)</f>
        <v>15027491.422479372</v>
      </c>
      <c r="N509" s="24">
        <f>N508*(1+((1+VLOOKUP($B509,'IPCA Hist'!$B:$C,2,0))^12 - 1)+$N$2)^(1/252)</f>
        <v>122539188.57838266</v>
      </c>
      <c r="O509" s="24">
        <f t="shared" si="80"/>
        <v>672072643.74930835</v>
      </c>
      <c r="P509" s="24">
        <v>0</v>
      </c>
      <c r="Q509" s="24">
        <v>0</v>
      </c>
      <c r="R509" s="24">
        <f t="shared" si="90"/>
        <v>239594.94970965385</v>
      </c>
      <c r="S509" s="24">
        <f t="shared" si="82"/>
        <v>479102.80793058872</v>
      </c>
      <c r="T509" s="24">
        <f t="shared" si="83"/>
        <v>32788242.922492489</v>
      </c>
      <c r="U509" s="46">
        <f t="shared" si="86"/>
        <v>1.210676132366328</v>
      </c>
      <c r="V509" s="47">
        <f t="shared" si="87"/>
        <v>3.5662870431529825E-4</v>
      </c>
      <c r="W509" s="47">
        <f t="shared" si="84"/>
        <v>7.1338209605009695E-4</v>
      </c>
      <c r="X509" s="47">
        <f t="shared" si="85"/>
        <v>5.7213762064331375E-2</v>
      </c>
      <c r="Y509" s="48">
        <f t="shared" si="88"/>
        <v>0.21067613236632798</v>
      </c>
      <c r="Z509" s="49">
        <f t="shared" si="79"/>
        <v>5.8166881610761445E-2</v>
      </c>
      <c r="AA509" s="49">
        <f t="shared" si="78"/>
        <v>0.10858306801323181</v>
      </c>
      <c r="AB509" s="49">
        <f t="shared" si="91"/>
        <v>0.21026538931791161</v>
      </c>
    </row>
    <row r="510" spans="1:28" x14ac:dyDescent="0.25">
      <c r="A510" s="1">
        <v>45841</v>
      </c>
      <c r="B510" s="1" t="str">
        <f t="shared" si="89"/>
        <v>202507</v>
      </c>
      <c r="C510" s="24">
        <v>0</v>
      </c>
      <c r="D510" s="24">
        <v>0</v>
      </c>
      <c r="E510" s="24">
        <v>0</v>
      </c>
      <c r="F510" s="24">
        <f>F509*(1+((1+VLOOKUP($B510,'IPCA Hist'!$B:$C,2,0))^12 - 1)+$F$2)^(1/252)</f>
        <v>47177735.184326723</v>
      </c>
      <c r="G510" s="24">
        <f>G509*(1+((1+VLOOKUP($B510,'IPCA Hist'!$B:$C,2,0))^12 - 1)+$G$2)^(1/252)</f>
        <v>47165057.51406952</v>
      </c>
      <c r="H510" s="24">
        <f>H509*(1+((1+VLOOKUP($B510,'IPCA Hist'!$B:$C,2,0))^12 - 1)+$H$2)^(1/252)</f>
        <v>48191301.709225781</v>
      </c>
      <c r="I510" s="24">
        <f>I509*(1+((1+VLOOKUP($B510,'IPCA Hist'!$B:$C,2,0))^12 - 1)+$I$2)^(1/252)</f>
        <v>243384471.76983449</v>
      </c>
      <c r="J510" s="24">
        <f>J509*(1+((1+VLOOKUP($B510,'IPCA Hist'!$B:$C,2,0))^12 - 1)+$J$2)^(1/252)</f>
        <v>21445988.407543119</v>
      </c>
      <c r="K510" s="24">
        <f>K509*(1+((1+VLOOKUP($B510,'IPCA Hist'!$B:$C,2,0))^12 - 1)+$K$2)^(1/252)</f>
        <v>83401822.896309227</v>
      </c>
      <c r="L510" s="24">
        <f>L509*(1+((1+VLOOKUP($B510,'IPCA Hist'!$B:$C,2,0))^12 - 1)+$L$2)^(1/252)</f>
        <v>43921694.933299191</v>
      </c>
      <c r="M510" s="24">
        <f>M509*(1+((1+VLOOKUP($B510,'IPCA Hist'!$B:$C,2,0))^12 - 1)+$M$2)^(1/252)</f>
        <v>15033497.399017064</v>
      </c>
      <c r="N510" s="24">
        <f>N509*(1+((1+VLOOKUP($B510,'IPCA Hist'!$B:$C,2,0))^12 - 1)+$N$2)^(1/252)</f>
        <v>122590756.00916894</v>
      </c>
      <c r="O510" s="24">
        <f t="shared" si="80"/>
        <v>672312325.82279408</v>
      </c>
      <c r="P510" s="24">
        <v>0</v>
      </c>
      <c r="Q510" s="24">
        <v>0</v>
      </c>
      <c r="R510" s="24">
        <f t="shared" si="90"/>
        <v>239682.07348573208</v>
      </c>
      <c r="S510" s="24">
        <f t="shared" si="82"/>
        <v>718784.8814163208</v>
      </c>
      <c r="T510" s="24">
        <f t="shared" si="83"/>
        <v>33027924.995978221</v>
      </c>
      <c r="U510" s="46">
        <f t="shared" si="86"/>
        <v>1.21110789724833</v>
      </c>
      <c r="V510" s="47">
        <f t="shared" si="87"/>
        <v>3.566312000866656E-4</v>
      </c>
      <c r="W510" s="47">
        <f t="shared" si="84"/>
        <v>1.0702677104497127E-3</v>
      </c>
      <c r="X510" s="47">
        <f t="shared" si="85"/>
        <v>5.7590797477044431E-2</v>
      </c>
      <c r="Y510" s="48">
        <f t="shared" si="88"/>
        <v>0.21110789724833001</v>
      </c>
      <c r="Z510" s="49">
        <f t="shared" si="79"/>
        <v>5.8067420532241565E-2</v>
      </c>
      <c r="AA510" s="49">
        <f t="shared" si="78"/>
        <v>0.10856958903995473</v>
      </c>
      <c r="AB510" s="49">
        <f t="shared" si="91"/>
        <v>0.21049161522846394</v>
      </c>
    </row>
    <row r="511" spans="1:28" x14ac:dyDescent="0.25">
      <c r="A511" s="1">
        <v>45842</v>
      </c>
      <c r="B511" s="1" t="str">
        <f t="shared" si="89"/>
        <v>202507</v>
      </c>
      <c r="C511" s="24">
        <v>0</v>
      </c>
      <c r="D511" s="24">
        <v>0</v>
      </c>
      <c r="E511" s="24">
        <v>0</v>
      </c>
      <c r="F511" s="24">
        <f>F510*(1+((1+VLOOKUP($B511,'IPCA Hist'!$B:$C,2,0))^12 - 1)+$F$2)^(1/252)</f>
        <v>47192723.779648423</v>
      </c>
      <c r="G511" s="24">
        <f>G510*(1+((1+VLOOKUP($B511,'IPCA Hist'!$B:$C,2,0))^12 - 1)+$G$2)^(1/252)</f>
        <v>47180059.362799026</v>
      </c>
      <c r="H511" s="24">
        <f>H510*(1+((1+VLOOKUP($B511,'IPCA Hist'!$B:$C,2,0))^12 - 1)+$H$2)^(1/252)</f>
        <v>48206417.983368494</v>
      </c>
      <c r="I511" s="24">
        <f>I510*(1+((1+VLOOKUP($B511,'IPCA Hist'!$B:$C,2,0))^12 - 1)+$I$2)^(1/252)</f>
        <v>243460725.45125696</v>
      </c>
      <c r="J511" s="24">
        <f>J510*(1+((1+VLOOKUP($B511,'IPCA Hist'!$B:$C,2,0))^12 - 1)+$J$2)^(1/252)</f>
        <v>21453763.02663273</v>
      </c>
      <c r="K511" s="24">
        <f>K510*(1+((1+VLOOKUP($B511,'IPCA Hist'!$B:$C,2,0))^12 - 1)+$K$2)^(1/252)</f>
        <v>83436470.4157933</v>
      </c>
      <c r="L511" s="24">
        <f>L510*(1+((1+VLOOKUP($B511,'IPCA Hist'!$B:$C,2,0))^12 - 1)+$L$2)^(1/252)</f>
        <v>43940084.11614947</v>
      </c>
      <c r="M511" s="24">
        <f>M510*(1+((1+VLOOKUP($B511,'IPCA Hist'!$B:$C,2,0))^12 - 1)+$M$2)^(1/252)</f>
        <v>15039505.775939036</v>
      </c>
      <c r="N511" s="24">
        <f>N510*(1+((1+VLOOKUP($B511,'IPCA Hist'!$B:$C,2,0))^12 - 1)+$N$2)^(1/252)</f>
        <v>122642345.14076741</v>
      </c>
      <c r="O511" s="24">
        <f t="shared" si="80"/>
        <v>672552095.05235481</v>
      </c>
      <c r="P511" s="24">
        <v>0</v>
      </c>
      <c r="Q511" s="24">
        <v>0</v>
      </c>
      <c r="R511" s="24">
        <f t="shared" si="90"/>
        <v>239769.22956073284</v>
      </c>
      <c r="S511" s="24">
        <f t="shared" si="82"/>
        <v>958554.11097705364</v>
      </c>
      <c r="T511" s="24">
        <f t="shared" si="83"/>
        <v>33267694.225538954</v>
      </c>
      <c r="U511" s="46">
        <f t="shared" si="86"/>
        <v>1.2115398191338655</v>
      </c>
      <c r="V511" s="47">
        <f t="shared" si="87"/>
        <v>3.5663369590510641E-4</v>
      </c>
      <c r="W511" s="47">
        <f t="shared" si="84"/>
        <v>1.4272830998840469E-3</v>
      </c>
      <c r="X511" s="47">
        <f t="shared" si="85"/>
        <v>5.7967969991903789E-2</v>
      </c>
      <c r="Y511" s="48">
        <f t="shared" si="88"/>
        <v>0.21153981913386555</v>
      </c>
      <c r="Z511" s="49">
        <f t="shared" si="79"/>
        <v>5.7967969991902679E-2</v>
      </c>
      <c r="AA511" s="49">
        <f t="shared" si="78"/>
        <v>0.10855611299224055</v>
      </c>
      <c r="AB511" s="49">
        <f t="shared" si="91"/>
        <v>0.21071788644635481</v>
      </c>
    </row>
    <row r="512" spans="1:28" x14ac:dyDescent="0.25">
      <c r="A512" s="1">
        <v>45845</v>
      </c>
      <c r="B512" s="1" t="str">
        <f t="shared" si="89"/>
        <v>202507</v>
      </c>
      <c r="C512" s="24">
        <v>0</v>
      </c>
      <c r="D512" s="24">
        <v>0</v>
      </c>
      <c r="E512" s="24">
        <v>0</v>
      </c>
      <c r="F512" s="24">
        <f>F511*(1+((1+VLOOKUP($B512,'IPCA Hist'!$B:$C,2,0))^12 - 1)+$F$2)^(1/252)</f>
        <v>47207717.136919565</v>
      </c>
      <c r="G512" s="24">
        <f>G511*(1+((1+VLOOKUP($B512,'IPCA Hist'!$B:$C,2,0))^12 - 1)+$G$2)^(1/252)</f>
        <v>47195065.983185284</v>
      </c>
      <c r="H512" s="24">
        <f>H511*(1+((1+VLOOKUP($B512,'IPCA Hist'!$B:$C,2,0))^12 - 1)+$H$2)^(1/252)</f>
        <v>48221538.999066964</v>
      </c>
      <c r="I512" s="24">
        <f>I511*(1+((1+VLOOKUP($B512,'IPCA Hist'!$B:$C,2,0))^12 - 1)+$I$2)^(1/252)</f>
        <v>243537003.0233734</v>
      </c>
      <c r="J512" s="24">
        <f>J511*(1+((1+VLOOKUP($B512,'IPCA Hist'!$B:$C,2,0))^12 - 1)+$J$2)^(1/252)</f>
        <v>21461540.464184277</v>
      </c>
      <c r="K512" s="24">
        <f>K511*(1+((1+VLOOKUP($B512,'IPCA Hist'!$B:$C,2,0))^12 - 1)+$K$2)^(1/252)</f>
        <v>83471132.328854933</v>
      </c>
      <c r="L512" s="24">
        <f>L511*(1+((1+VLOOKUP($B512,'IPCA Hist'!$B:$C,2,0))^12 - 1)+$L$2)^(1/252)</f>
        <v>43958480.998202763</v>
      </c>
      <c r="M512" s="24">
        <f>M511*(1+((1+VLOOKUP($B512,'IPCA Hist'!$B:$C,2,0))^12 - 1)+$M$2)^(1/252)</f>
        <v>15045516.554204639</v>
      </c>
      <c r="N512" s="24">
        <f>N511*(1+((1+VLOOKUP($B512,'IPCA Hist'!$B:$C,2,0))^12 - 1)+$N$2)^(1/252)</f>
        <v>122693955.98231031</v>
      </c>
      <c r="O512" s="24">
        <f t="shared" si="80"/>
        <v>672791951.4703021</v>
      </c>
      <c r="P512" s="24">
        <v>0</v>
      </c>
      <c r="Q512" s="24">
        <v>0</v>
      </c>
      <c r="R512" s="24">
        <f t="shared" si="90"/>
        <v>239856.41794729233</v>
      </c>
      <c r="S512" s="24">
        <f t="shared" si="82"/>
        <v>1198410.528924346</v>
      </c>
      <c r="T512" s="24">
        <f t="shared" si="83"/>
        <v>33507550.643486246</v>
      </c>
      <c r="U512" s="46">
        <f t="shared" si="86"/>
        <v>1.2119718980811407</v>
      </c>
      <c r="V512" s="47">
        <f t="shared" si="87"/>
        <v>3.566361917712868E-4</v>
      </c>
      <c r="W512" s="47">
        <f t="shared" si="84"/>
        <v>1.7844283124646143E-3</v>
      </c>
      <c r="X512" s="47">
        <f t="shared" si="85"/>
        <v>5.8345279659737681E-2</v>
      </c>
      <c r="Y512" s="48">
        <f t="shared" si="88"/>
        <v>0.2119718980811407</v>
      </c>
      <c r="Z512" s="49">
        <f t="shared" si="79"/>
        <v>5.8040060362188894E-2</v>
      </c>
      <c r="AA512" s="49">
        <f t="shared" ref="AA512:AA530" si="92">U512/U260 - 1</f>
        <v>0.10854263987003954</v>
      </c>
      <c r="AB512" s="49">
        <f t="shared" si="91"/>
        <v>0.21083471834659218</v>
      </c>
    </row>
    <row r="513" spans="1:28" x14ac:dyDescent="0.25">
      <c r="A513" s="1">
        <v>45846</v>
      </c>
      <c r="B513" s="1" t="str">
        <f t="shared" si="89"/>
        <v>202507</v>
      </c>
      <c r="C513" s="24">
        <v>0</v>
      </c>
      <c r="D513" s="24">
        <v>0</v>
      </c>
      <c r="E513" s="24">
        <v>0</v>
      </c>
      <c r="F513" s="24">
        <f>F512*(1+((1+VLOOKUP($B513,'IPCA Hist'!$B:$C,2,0))^12 - 1)+$F$2)^(1/252)</f>
        <v>47222715.257653043</v>
      </c>
      <c r="G513" s="24">
        <f>G512*(1+((1+VLOOKUP($B513,'IPCA Hist'!$B:$C,2,0))^12 - 1)+$G$2)^(1/252)</f>
        <v>47210077.376746029</v>
      </c>
      <c r="H513" s="24">
        <f>H512*(1+((1+VLOOKUP($B513,'IPCA Hist'!$B:$C,2,0))^12 - 1)+$H$2)^(1/252)</f>
        <v>48236664.757808477</v>
      </c>
      <c r="I513" s="24">
        <f>I512*(1+((1+VLOOKUP($B513,'IPCA Hist'!$B:$C,2,0))^12 - 1)+$I$2)^(1/252)</f>
        <v>243613304.49366888</v>
      </c>
      <c r="J513" s="24">
        <f>J512*(1+((1+VLOOKUP($B513,'IPCA Hist'!$B:$C,2,0))^12 - 1)+$J$2)^(1/252)</f>
        <v>21469320.72121951</v>
      </c>
      <c r="K513" s="24">
        <f>K512*(1+((1+VLOOKUP($B513,'IPCA Hist'!$B:$C,2,0))^12 - 1)+$K$2)^(1/252)</f>
        <v>83505808.641473636</v>
      </c>
      <c r="L513" s="24">
        <f>L512*(1+((1+VLOOKUP($B513,'IPCA Hist'!$B:$C,2,0))^12 - 1)+$L$2)^(1/252)</f>
        <v>43976885.58268258</v>
      </c>
      <c r="M513" s="24">
        <f>M512*(1+((1+VLOOKUP($B513,'IPCA Hist'!$B:$C,2,0))^12 - 1)+$M$2)^(1/252)</f>
        <v>15051529.73477361</v>
      </c>
      <c r="N513" s="24">
        <f>N512*(1+((1+VLOOKUP($B513,'IPCA Hist'!$B:$C,2,0))^12 - 1)+$N$2)^(1/252)</f>
        <v>122745588.54293369</v>
      </c>
      <c r="O513" s="24">
        <f t="shared" si="80"/>
        <v>673031895.10895956</v>
      </c>
      <c r="P513" s="24">
        <v>0</v>
      </c>
      <c r="Q513" s="24">
        <v>0</v>
      </c>
      <c r="R513" s="24">
        <f t="shared" si="90"/>
        <v>239943.63865745068</v>
      </c>
      <c r="S513" s="24">
        <f t="shared" si="82"/>
        <v>1438354.1675817966</v>
      </c>
      <c r="T513" s="24">
        <f t="shared" si="83"/>
        <v>33747494.282143697</v>
      </c>
      <c r="U513" s="46">
        <f t="shared" si="86"/>
        <v>1.2124041341483833</v>
      </c>
      <c r="V513" s="47">
        <f t="shared" si="87"/>
        <v>3.5663868768498475E-4</v>
      </c>
      <c r="W513" s="47">
        <f t="shared" si="84"/>
        <v>2.1417033963211374E-3</v>
      </c>
      <c r="X513" s="47">
        <f t="shared" si="85"/>
        <v>5.872272653139321E-2</v>
      </c>
      <c r="Y513" s="48">
        <f t="shared" si="88"/>
        <v>0.21240413414838333</v>
      </c>
      <c r="Z513" s="49">
        <f t="shared" si="79"/>
        <v>5.8112156711756846E-2</v>
      </c>
      <c r="AA513" s="49">
        <f t="shared" si="92"/>
        <v>0.10852916967330106</v>
      </c>
      <c r="AB513" s="49">
        <f t="shared" si="91"/>
        <v>0.21095576310818176</v>
      </c>
    </row>
    <row r="514" spans="1:28" x14ac:dyDescent="0.25">
      <c r="A514" s="1">
        <v>45847</v>
      </c>
      <c r="B514" s="1" t="str">
        <f t="shared" si="89"/>
        <v>202507</v>
      </c>
      <c r="C514" s="24">
        <v>0</v>
      </c>
      <c r="D514" s="24">
        <v>0</v>
      </c>
      <c r="E514" s="24">
        <v>0</v>
      </c>
      <c r="F514" s="24">
        <f>F513*(1+((1+VLOOKUP($B514,'IPCA Hist'!$B:$C,2,0))^12 - 1)+$F$2)^(1/252)</f>
        <v>47237718.143362232</v>
      </c>
      <c r="G514" s="24">
        <f>G513*(1+((1+VLOOKUP($B514,'IPCA Hist'!$B:$C,2,0))^12 - 1)+$G$2)^(1/252)</f>
        <v>47225093.544999465</v>
      </c>
      <c r="H514" s="24">
        <f>H513*(1+((1+VLOOKUP($B514,'IPCA Hist'!$B:$C,2,0))^12 - 1)+$H$2)^(1/252)</f>
        <v>48251795.261080801</v>
      </c>
      <c r="I514" s="24">
        <f>I513*(1+((1+VLOOKUP($B514,'IPCA Hist'!$B:$C,2,0))^12 - 1)+$I$2)^(1/252)</f>
        <v>243689629.86963084</v>
      </c>
      <c r="J514" s="24">
        <f>J513*(1+((1+VLOOKUP($B514,'IPCA Hist'!$B:$C,2,0))^12 - 1)+$J$2)^(1/252)</f>
        <v>21477103.798760552</v>
      </c>
      <c r="K514" s="24">
        <f>K513*(1+((1+VLOOKUP($B514,'IPCA Hist'!$B:$C,2,0))^12 - 1)+$K$2)^(1/252)</f>
        <v>83540499.359631389</v>
      </c>
      <c r="L514" s="24">
        <f>L513*(1+((1+VLOOKUP($B514,'IPCA Hist'!$B:$C,2,0))^12 - 1)+$L$2)^(1/252)</f>
        <v>43995297.872813776</v>
      </c>
      <c r="M514" s="24">
        <f>M513*(1+((1+VLOOKUP($B514,'IPCA Hist'!$B:$C,2,0))^12 - 1)+$M$2)^(1/252)</f>
        <v>15057545.318606066</v>
      </c>
      <c r="N514" s="24">
        <f>N513*(1+((1+VLOOKUP($B514,'IPCA Hist'!$B:$C,2,0))^12 - 1)+$N$2)^(1/252)</f>
        <v>122797242.83177747</v>
      </c>
      <c r="O514" s="24">
        <f t="shared" si="80"/>
        <v>673271926.00066257</v>
      </c>
      <c r="P514" s="24">
        <v>0</v>
      </c>
      <c r="Q514" s="24">
        <v>0</v>
      </c>
      <c r="R514" s="24">
        <f t="shared" si="90"/>
        <v>240030.89170300961</v>
      </c>
      <c r="S514" s="24">
        <f t="shared" si="82"/>
        <v>1678385.0592848063</v>
      </c>
      <c r="T514" s="24">
        <f t="shared" si="83"/>
        <v>33987525.173846707</v>
      </c>
      <c r="U514" s="46">
        <f t="shared" si="86"/>
        <v>1.2128365273938431</v>
      </c>
      <c r="V514" s="47">
        <f t="shared" si="87"/>
        <v>3.5664118364575614E-4</v>
      </c>
      <c r="W514" s="47">
        <f t="shared" si="84"/>
        <v>2.4991083996011021E-3</v>
      </c>
      <c r="X514" s="47">
        <f t="shared" si="85"/>
        <v>5.9100310657736133E-2</v>
      </c>
      <c r="Y514" s="48">
        <f t="shared" si="88"/>
        <v>0.21283652739384307</v>
      </c>
      <c r="Z514" s="49">
        <f t="shared" ref="Z514:Z530" si="93">U514/U388 - 1</f>
        <v>5.817684791155453E-2</v>
      </c>
      <c r="AA514" s="49">
        <f t="shared" si="92"/>
        <v>0.10851570240197539</v>
      </c>
      <c r="AB514" s="49">
        <f t="shared" si="91"/>
        <v>0.21107682298236785</v>
      </c>
    </row>
    <row r="515" spans="1:28" x14ac:dyDescent="0.25">
      <c r="A515" s="1">
        <v>45848</v>
      </c>
      <c r="B515" s="1" t="str">
        <f t="shared" si="89"/>
        <v>202507</v>
      </c>
      <c r="C515" s="24">
        <v>0</v>
      </c>
      <c r="D515" s="24">
        <v>0</v>
      </c>
      <c r="E515" s="24">
        <v>0</v>
      </c>
      <c r="F515" s="24">
        <f>F514*(1+((1+VLOOKUP($B515,'IPCA Hist'!$B:$C,2,0))^12 - 1)+$F$2)^(1/252)</f>
        <v>47252725.795560986</v>
      </c>
      <c r="G515" s="24">
        <f>G514*(1+((1+VLOOKUP($B515,'IPCA Hist'!$B:$C,2,0))^12 - 1)+$G$2)^(1/252)</f>
        <v>47240114.489464283</v>
      </c>
      <c r="H515" s="24">
        <f>H514*(1+((1+VLOOKUP($B515,'IPCA Hist'!$B:$C,2,0))^12 - 1)+$H$2)^(1/252)</f>
        <v>48266930.510372169</v>
      </c>
      <c r="I515" s="24">
        <f>I514*(1+((1+VLOOKUP($B515,'IPCA Hist'!$B:$C,2,0))^12 - 1)+$I$2)^(1/252)</f>
        <v>243765979.15874907</v>
      </c>
      <c r="J515" s="24">
        <f>J514*(1+((1+VLOOKUP($B515,'IPCA Hist'!$B:$C,2,0))^12 - 1)+$J$2)^(1/252)</f>
        <v>21484889.697829895</v>
      </c>
      <c r="K515" s="24">
        <f>K514*(1+((1+VLOOKUP($B515,'IPCA Hist'!$B:$C,2,0))^12 - 1)+$K$2)^(1/252)</f>
        <v>83575204.489312679</v>
      </c>
      <c r="L515" s="24">
        <f>L514*(1+((1+VLOOKUP($B515,'IPCA Hist'!$B:$C,2,0))^12 - 1)+$L$2)^(1/252)</f>
        <v>44013717.871822566</v>
      </c>
      <c r="M515" s="24">
        <f>M514*(1+((1+VLOOKUP($B515,'IPCA Hist'!$B:$C,2,0))^12 - 1)+$M$2)^(1/252)</f>
        <v>15063563.306662509</v>
      </c>
      <c r="N515" s="24">
        <f>N514*(1+((1+VLOOKUP($B515,'IPCA Hist'!$B:$C,2,0))^12 - 1)+$N$2)^(1/252)</f>
        <v>122848918.85798539</v>
      </c>
      <c r="O515" s="24">
        <f t="shared" ref="O515:O530" si="94">SUM(C515:N515)</f>
        <v>673512044.17775965</v>
      </c>
      <c r="P515" s="24">
        <v>0</v>
      </c>
      <c r="Q515" s="24">
        <v>0</v>
      </c>
      <c r="R515" s="24">
        <f t="shared" si="90"/>
        <v>240118.17709708214</v>
      </c>
      <c r="S515" s="24">
        <f t="shared" si="82"/>
        <v>1918503.2363818884</v>
      </c>
      <c r="T515" s="24">
        <f t="shared" si="83"/>
        <v>34227643.350943789</v>
      </c>
      <c r="U515" s="46">
        <f t="shared" si="86"/>
        <v>1.2132690778757924</v>
      </c>
      <c r="V515" s="47">
        <f t="shared" si="87"/>
        <v>3.5664367965471122E-4</v>
      </c>
      <c r="W515" s="47">
        <f t="shared" si="84"/>
        <v>2.8566433704713123E-3</v>
      </c>
      <c r="X515" s="47">
        <f t="shared" si="85"/>
        <v>5.9478032089652633E-2</v>
      </c>
      <c r="Y515" s="48">
        <f t="shared" si="88"/>
        <v>0.21326907787579241</v>
      </c>
      <c r="Z515" s="49">
        <f t="shared" si="93"/>
        <v>5.8241543675628726E-2</v>
      </c>
      <c r="AA515" s="49">
        <f t="shared" si="92"/>
        <v>0.10850223805601233</v>
      </c>
      <c r="AB515" s="49">
        <f t="shared" si="91"/>
        <v>0.21119789797132249</v>
      </c>
    </row>
    <row r="516" spans="1:28" x14ac:dyDescent="0.25">
      <c r="A516" s="1">
        <v>45849</v>
      </c>
      <c r="B516" s="1" t="str">
        <f t="shared" si="89"/>
        <v>202507</v>
      </c>
      <c r="C516" s="24">
        <v>0</v>
      </c>
      <c r="D516" s="24">
        <v>0</v>
      </c>
      <c r="E516" s="24">
        <v>0</v>
      </c>
      <c r="F516" s="24">
        <f>F515*(1+((1+VLOOKUP($B516,'IPCA Hist'!$B:$C,2,0))^12 - 1)+$F$2)^(1/252)</f>
        <v>47267738.215763643</v>
      </c>
      <c r="G516" s="24">
        <f>G515*(1+((1+VLOOKUP($B516,'IPCA Hist'!$B:$C,2,0))^12 - 1)+$G$2)^(1/252)</f>
        <v>47255140.211659662</v>
      </c>
      <c r="H516" s="24">
        <f>H515*(1+((1+VLOOKUP($B516,'IPCA Hist'!$B:$C,2,0))^12 - 1)+$H$2)^(1/252)</f>
        <v>48282070.507171266</v>
      </c>
      <c r="I516" s="24">
        <f>I515*(1+((1+VLOOKUP($B516,'IPCA Hist'!$B:$C,2,0))^12 - 1)+$I$2)^(1/252)</f>
        <v>243842352.36851567</v>
      </c>
      <c r="J516" s="24">
        <f>J515*(1+((1+VLOOKUP($B516,'IPCA Hist'!$B:$C,2,0))^12 - 1)+$J$2)^(1/252)</f>
        <v>21492678.419450402</v>
      </c>
      <c r="K516" s="24">
        <f>K515*(1+((1+VLOOKUP($B516,'IPCA Hist'!$B:$C,2,0))^12 - 1)+$K$2)^(1/252)</f>
        <v>83609924.036504462</v>
      </c>
      <c r="L516" s="24">
        <f>L515*(1+((1+VLOOKUP($B516,'IPCA Hist'!$B:$C,2,0))^12 - 1)+$L$2)^(1/252)</f>
        <v>44032145.58293651</v>
      </c>
      <c r="M516" s="24">
        <f>M515*(1+((1+VLOOKUP($B516,'IPCA Hist'!$B:$C,2,0))^12 - 1)+$M$2)^(1/252)</f>
        <v>15069583.699903827</v>
      </c>
      <c r="N516" s="24">
        <f>N515*(1+((1+VLOOKUP($B516,'IPCA Hist'!$B:$C,2,0))^12 - 1)+$N$2)^(1/252)</f>
        <v>122900616.63070507</v>
      </c>
      <c r="O516" s="24">
        <f t="shared" si="94"/>
        <v>673752249.67261052</v>
      </c>
      <c r="P516" s="24">
        <v>0</v>
      </c>
      <c r="Q516" s="24">
        <v>0</v>
      </c>
      <c r="R516" s="24">
        <f t="shared" si="90"/>
        <v>240205.49485087395</v>
      </c>
      <c r="S516" s="24">
        <f t="shared" ref="S516:S530" si="95">IF(MONTH(A516)=MONTH(A515),R516+S515,R516)</f>
        <v>2158708.7312327623</v>
      </c>
      <c r="T516" s="24">
        <f t="shared" ref="T516:T530" si="96">IF(YEAR(A516)=YEAR(A515),R516+T515,R516)</f>
        <v>34467848.845794663</v>
      </c>
      <c r="U516" s="46">
        <f t="shared" si="86"/>
        <v>1.2137017856525243</v>
      </c>
      <c r="V516" s="47">
        <f t="shared" si="87"/>
        <v>3.5664617571029567E-4</v>
      </c>
      <c r="W516" s="47">
        <f t="shared" ref="W516:W530" si="97">IF(MONTH(A516)=MONTH(A515),(1+V516)*(1+W515) - 1,V516)</f>
        <v>3.2143083571150033E-3</v>
      </c>
      <c r="X516" s="47">
        <f t="shared" ref="X516:X530" si="98">IF(YEAR(A516)=YEAR(A515),(1+V516)*(1+X515) - 1,V516)</f>
        <v>5.9855890878046436E-2</v>
      </c>
      <c r="Y516" s="48">
        <f t="shared" si="88"/>
        <v>0.21370178565252429</v>
      </c>
      <c r="Z516" s="49">
        <f t="shared" si="93"/>
        <v>5.8306244004282082E-2</v>
      </c>
      <c r="AA516" s="49">
        <f t="shared" si="92"/>
        <v>0.10848877663536172</v>
      </c>
      <c r="AB516" s="49">
        <f t="shared" si="91"/>
        <v>0.21131898807721483</v>
      </c>
    </row>
    <row r="517" spans="1:28" x14ac:dyDescent="0.25">
      <c r="A517" s="1">
        <v>45852</v>
      </c>
      <c r="B517" s="1" t="str">
        <f t="shared" si="89"/>
        <v>202507</v>
      </c>
      <c r="C517" s="24">
        <v>0</v>
      </c>
      <c r="D517" s="24">
        <v>0</v>
      </c>
      <c r="E517" s="24">
        <v>0</v>
      </c>
      <c r="F517" s="24">
        <f>F516*(1+((1+VLOOKUP($B517,'IPCA Hist'!$B:$C,2,0))^12 - 1)+$F$2)^(1/252)</f>
        <v>47282755.405485019</v>
      </c>
      <c r="G517" s="24">
        <f>G516*(1+((1+VLOOKUP($B517,'IPCA Hist'!$B:$C,2,0))^12 - 1)+$G$2)^(1/252)</f>
        <v>47270170.713105261</v>
      </c>
      <c r="H517" s="24">
        <f>H516*(1+((1+VLOOKUP($B517,'IPCA Hist'!$B:$C,2,0))^12 - 1)+$H$2)^(1/252)</f>
        <v>48297215.252967253</v>
      </c>
      <c r="I517" s="24">
        <f>I516*(1+((1+VLOOKUP($B517,'IPCA Hist'!$B:$C,2,0))^12 - 1)+$I$2)^(1/252)</f>
        <v>243918749.50642511</v>
      </c>
      <c r="J517" s="24">
        <f>J516*(1+((1+VLOOKUP($B517,'IPCA Hist'!$B:$C,2,0))^12 - 1)+$J$2)^(1/252)</f>
        <v>21500469.964645308</v>
      </c>
      <c r="K517" s="24">
        <f>K516*(1+((1+VLOOKUP($B517,'IPCA Hist'!$B:$C,2,0))^12 - 1)+$K$2)^(1/252)</f>
        <v>83644658.007196188</v>
      </c>
      <c r="L517" s="24">
        <f>L516*(1+((1+VLOOKUP($B517,'IPCA Hist'!$B:$C,2,0))^12 - 1)+$L$2)^(1/252)</f>
        <v>44050581.00938452</v>
      </c>
      <c r="M517" s="24">
        <f>M516*(1+((1+VLOOKUP($B517,'IPCA Hist'!$B:$C,2,0))^12 - 1)+$M$2)^(1/252)</f>
        <v>15075606.49929129</v>
      </c>
      <c r="N517" s="24">
        <f>N516*(1+((1+VLOOKUP($B517,'IPCA Hist'!$B:$C,2,0))^12 - 1)+$N$2)^(1/252)</f>
        <v>122952336.15908796</v>
      </c>
      <c r="O517" s="24">
        <f t="shared" si="94"/>
        <v>673992542.5175879</v>
      </c>
      <c r="P517" s="24">
        <v>0</v>
      </c>
      <c r="Q517" s="24">
        <v>0</v>
      </c>
      <c r="R517" s="24">
        <f t="shared" si="90"/>
        <v>240292.84497737885</v>
      </c>
      <c r="S517" s="24">
        <f t="shared" si="95"/>
        <v>2399001.5762101412</v>
      </c>
      <c r="T517" s="24">
        <f t="shared" si="96"/>
        <v>34708141.690772042</v>
      </c>
      <c r="U517" s="46">
        <f t="shared" ref="U517:U530" si="99">(1+(O517-O516-P517+Q517)/O516)*U516</f>
        <v>1.2141346507823554</v>
      </c>
      <c r="V517" s="47">
        <f t="shared" ref="V517:V530" si="100">U517/U516 - 1</f>
        <v>3.5664867181384174E-4</v>
      </c>
      <c r="W517" s="47">
        <f t="shared" si="97"/>
        <v>3.5721034077351721E-3</v>
      </c>
      <c r="X517" s="47">
        <f t="shared" si="98"/>
        <v>6.0233887073842141E-2</v>
      </c>
      <c r="Y517" s="48">
        <f t="shared" ref="Y517:Y530" si="101">(1+V517)*(1+Y516) - 1</f>
        <v>0.21413465078235538</v>
      </c>
      <c r="Z517" s="49">
        <f t="shared" si="93"/>
        <v>5.8370948897818575E-2</v>
      </c>
      <c r="AA517" s="49">
        <f t="shared" si="92"/>
        <v>0.10847531813997402</v>
      </c>
      <c r="AB517" s="49">
        <f t="shared" si="91"/>
        <v>0.21144009330221758</v>
      </c>
    </row>
    <row r="518" spans="1:28" x14ac:dyDescent="0.25">
      <c r="A518" s="1">
        <v>45853</v>
      </c>
      <c r="B518" s="1" t="str">
        <f t="shared" si="89"/>
        <v>202507</v>
      </c>
      <c r="C518" s="24">
        <v>0</v>
      </c>
      <c r="D518" s="24">
        <v>0</v>
      </c>
      <c r="E518" s="24">
        <v>0</v>
      </c>
      <c r="F518" s="24">
        <f>F517*(1+((1+VLOOKUP($B518,'IPCA Hist'!$B:$C,2,0))^12 - 1)+$F$2)^(1/252)</f>
        <v>47297777.366240419</v>
      </c>
      <c r="G518" s="24">
        <f>G517*(1+((1+VLOOKUP($B518,'IPCA Hist'!$B:$C,2,0))^12 - 1)+$G$2)^(1/252)</f>
        <v>47285205.995321222</v>
      </c>
      <c r="H518" s="24">
        <f>H517*(1+((1+VLOOKUP($B518,'IPCA Hist'!$B:$C,2,0))^12 - 1)+$H$2)^(1/252)</f>
        <v>48312364.749249764</v>
      </c>
      <c r="I518" s="24">
        <f>I517*(1+((1+VLOOKUP($B518,'IPCA Hist'!$B:$C,2,0))^12 - 1)+$I$2)^(1/252)</f>
        <v>243995170.5799742</v>
      </c>
      <c r="J518" s="24">
        <f>J517*(1+((1+VLOOKUP($B518,'IPCA Hist'!$B:$C,2,0))^12 - 1)+$J$2)^(1/252)</f>
        <v>21508264.334438212</v>
      </c>
      <c r="K518" s="24">
        <f>K517*(1+((1+VLOOKUP($B518,'IPCA Hist'!$B:$C,2,0))^12 - 1)+$K$2)^(1/252)</f>
        <v>83679406.407379791</v>
      </c>
      <c r="L518" s="24">
        <f>L517*(1+((1+VLOOKUP($B518,'IPCA Hist'!$B:$C,2,0))^12 - 1)+$L$2)^(1/252)</f>
        <v>44069024.154396862</v>
      </c>
      <c r="M518" s="24">
        <f>M517*(1+((1+VLOOKUP($B518,'IPCA Hist'!$B:$C,2,0))^12 - 1)+$M$2)^(1/252)</f>
        <v>15081631.705786552</v>
      </c>
      <c r="N518" s="24">
        <f>N517*(1+((1+VLOOKUP($B518,'IPCA Hist'!$B:$C,2,0))^12 - 1)+$N$2)^(1/252)</f>
        <v>123004077.45228936</v>
      </c>
      <c r="O518" s="24">
        <f t="shared" si="94"/>
        <v>674232922.74507642</v>
      </c>
      <c r="P518" s="24">
        <v>0</v>
      </c>
      <c r="Q518" s="24">
        <v>0</v>
      </c>
      <c r="R518" s="24">
        <f t="shared" si="90"/>
        <v>240380.22748851776</v>
      </c>
      <c r="S518" s="24">
        <f t="shared" si="95"/>
        <v>2639381.8036986589</v>
      </c>
      <c r="T518" s="24">
        <f t="shared" si="96"/>
        <v>34948521.918260559</v>
      </c>
      <c r="U518" s="46">
        <f t="shared" si="99"/>
        <v>1.2145676733236235</v>
      </c>
      <c r="V518" s="47">
        <f t="shared" si="100"/>
        <v>3.5665116796490537E-4</v>
      </c>
      <c r="W518" s="47">
        <f t="shared" si="97"/>
        <v>3.9300285705525795E-3</v>
      </c>
      <c r="X518" s="47">
        <f t="shared" si="98"/>
        <v>6.0612020727982996E-2</v>
      </c>
      <c r="Y518" s="48">
        <f t="shared" si="101"/>
        <v>0.21456767332362348</v>
      </c>
      <c r="Z518" s="49">
        <f t="shared" si="93"/>
        <v>5.8435658356542408E-2</v>
      </c>
      <c r="AA518" s="49">
        <f t="shared" si="92"/>
        <v>0.1084618625697984</v>
      </c>
      <c r="AB518" s="49">
        <f t="shared" si="91"/>
        <v>0.21156121364850144</v>
      </c>
    </row>
    <row r="519" spans="1:28" x14ac:dyDescent="0.25">
      <c r="A519" s="1">
        <v>45854</v>
      </c>
      <c r="B519" s="1" t="str">
        <f t="shared" si="89"/>
        <v>202507</v>
      </c>
      <c r="C519" s="24">
        <v>0</v>
      </c>
      <c r="D519" s="24">
        <v>0</v>
      </c>
      <c r="E519" s="24">
        <v>0</v>
      </c>
      <c r="F519" s="24">
        <f>F518*(1+((1+VLOOKUP($B519,'IPCA Hist'!$B:$C,2,0))^12 - 1)+$F$2)^(1/252)</f>
        <v>47312804.09954562</v>
      </c>
      <c r="G519" s="24">
        <f>G518*(1+((1+VLOOKUP($B519,'IPCA Hist'!$B:$C,2,0))^12 - 1)+$G$2)^(1/252)</f>
        <v>47300246.059828162</v>
      </c>
      <c r="H519" s="24">
        <f>H518*(1+((1+VLOOKUP($B519,'IPCA Hist'!$B:$C,2,0))^12 - 1)+$H$2)^(1/252)</f>
        <v>48327518.997508898</v>
      </c>
      <c r="I519" s="24">
        <f>I518*(1+((1+VLOOKUP($B519,'IPCA Hist'!$B:$C,2,0))^12 - 1)+$I$2)^(1/252)</f>
        <v>244071615.59666213</v>
      </c>
      <c r="J519" s="24">
        <f>J518*(1+((1+VLOOKUP($B519,'IPCA Hist'!$B:$C,2,0))^12 - 1)+$J$2)^(1/252)</f>
        <v>21516061.529853094</v>
      </c>
      <c r="K519" s="24">
        <f>K518*(1+((1+VLOOKUP($B519,'IPCA Hist'!$B:$C,2,0))^12 - 1)+$K$2)^(1/252)</f>
        <v>83714169.243049711</v>
      </c>
      <c r="L519" s="24">
        <f>L518*(1+((1+VLOOKUP($B519,'IPCA Hist'!$B:$C,2,0))^12 - 1)+$L$2)^(1/252)</f>
        <v>44087475.02120515</v>
      </c>
      <c r="M519" s="24">
        <f>M518*(1+((1+VLOOKUP($B519,'IPCA Hist'!$B:$C,2,0))^12 - 1)+$M$2)^(1/252)</f>
        <v>15087659.320351653</v>
      </c>
      <c r="N519" s="24">
        <f>N518*(1+((1+VLOOKUP($B519,'IPCA Hist'!$B:$C,2,0))^12 - 1)+$N$2)^(1/252)</f>
        <v>123055840.51946843</v>
      </c>
      <c r="O519" s="24">
        <f t="shared" si="94"/>
        <v>674473390.38747287</v>
      </c>
      <c r="P519" s="24">
        <v>0</v>
      </c>
      <c r="Q519" s="24">
        <v>0</v>
      </c>
      <c r="R519" s="24">
        <f t="shared" si="90"/>
        <v>240467.64239645004</v>
      </c>
      <c r="S519" s="24">
        <f t="shared" si="95"/>
        <v>2879849.446095109</v>
      </c>
      <c r="T519" s="24">
        <f t="shared" si="96"/>
        <v>35188989.560657009</v>
      </c>
      <c r="U519" s="46">
        <f t="shared" si="99"/>
        <v>1.2150008533346883</v>
      </c>
      <c r="V519" s="47">
        <f t="shared" si="100"/>
        <v>3.5665366416304245E-4</v>
      </c>
      <c r="W519" s="47">
        <f t="shared" si="97"/>
        <v>4.2880838938055277E-3</v>
      </c>
      <c r="X519" s="47">
        <f t="shared" si="98"/>
        <v>6.0990291891430903E-2</v>
      </c>
      <c r="Y519" s="48">
        <f t="shared" si="101"/>
        <v>0.21500085333468832</v>
      </c>
      <c r="Z519" s="49">
        <f t="shared" si="93"/>
        <v>5.8500372380756893E-2</v>
      </c>
      <c r="AA519" s="49">
        <f t="shared" si="92"/>
        <v>0.10844840992478555</v>
      </c>
      <c r="AB519" s="49">
        <f t="shared" si="91"/>
        <v>0.21168234911823802</v>
      </c>
    </row>
    <row r="520" spans="1:28" x14ac:dyDescent="0.25">
      <c r="A520" s="1">
        <v>45855</v>
      </c>
      <c r="B520" s="1" t="str">
        <f t="shared" ref="B520:B530" si="102">_xlfn.CONCAT(TEXT(YEAR(A520),"0000"),TEXT(MONTH(A520),"00"))</f>
        <v>202507</v>
      </c>
      <c r="C520" s="24">
        <v>0</v>
      </c>
      <c r="D520" s="24">
        <v>0</v>
      </c>
      <c r="E520" s="24">
        <v>0</v>
      </c>
      <c r="F520" s="24">
        <f>F519*(1+((1+VLOOKUP($B520,'IPCA Hist'!$B:$C,2,0))^12 - 1)+$F$2)^(1/252)</f>
        <v>47327835.60691689</v>
      </c>
      <c r="G520" s="24">
        <f>G519*(1+((1+VLOOKUP($B520,'IPCA Hist'!$B:$C,2,0))^12 - 1)+$G$2)^(1/252)</f>
        <v>47315290.908147201</v>
      </c>
      <c r="H520" s="24">
        <f>H519*(1+((1+VLOOKUP($B520,'IPCA Hist'!$B:$C,2,0))^12 - 1)+$H$2)^(1/252)</f>
        <v>48342677.999235213</v>
      </c>
      <c r="I520" s="24">
        <f>I519*(1+((1+VLOOKUP($B520,'IPCA Hist'!$B:$C,2,0))^12 - 1)+$I$2)^(1/252)</f>
        <v>244148084.56399041</v>
      </c>
      <c r="J520" s="24">
        <f>J519*(1+((1+VLOOKUP($B520,'IPCA Hist'!$B:$C,2,0))^12 - 1)+$J$2)^(1/252)</f>
        <v>21523861.551914304</v>
      </c>
      <c r="K520" s="24">
        <f>K519*(1+((1+VLOOKUP($B520,'IPCA Hist'!$B:$C,2,0))^12 - 1)+$K$2)^(1/252)</f>
        <v>83748946.520202845</v>
      </c>
      <c r="L520" s="24">
        <f>L519*(1+((1+VLOOKUP($B520,'IPCA Hist'!$B:$C,2,0))^12 - 1)+$L$2)^(1/252)</f>
        <v>44105933.613042362</v>
      </c>
      <c r="M520" s="24">
        <f>M519*(1+((1+VLOOKUP($B520,'IPCA Hist'!$B:$C,2,0))^12 - 1)+$M$2)^(1/252)</f>
        <v>15093689.343949016</v>
      </c>
      <c r="N520" s="24">
        <f>N519*(1+((1+VLOOKUP($B520,'IPCA Hist'!$B:$C,2,0))^12 - 1)+$N$2)^(1/252)</f>
        <v>123107625.36978818</v>
      </c>
      <c r="O520" s="24">
        <f t="shared" si="94"/>
        <v>674713945.47718644</v>
      </c>
      <c r="P520" s="24">
        <v>0</v>
      </c>
      <c r="Q520" s="24">
        <v>0</v>
      </c>
      <c r="R520" s="24">
        <f t="shared" si="90"/>
        <v>240555.08971357346</v>
      </c>
      <c r="S520" s="24">
        <f t="shared" si="95"/>
        <v>3120404.5358086824</v>
      </c>
      <c r="T520" s="24">
        <f t="shared" si="96"/>
        <v>35429544.650370583</v>
      </c>
      <c r="U520" s="46">
        <f t="shared" si="99"/>
        <v>1.2154341908739323</v>
      </c>
      <c r="V520" s="47">
        <f t="shared" si="100"/>
        <v>3.5665616040891912E-4</v>
      </c>
      <c r="W520" s="47">
        <f t="shared" si="97"/>
        <v>4.6462694257514148E-3</v>
      </c>
      <c r="X520" s="47">
        <f t="shared" si="98"/>
        <v>6.136870061516797E-2</v>
      </c>
      <c r="Y520" s="48">
        <f t="shared" si="101"/>
        <v>0.21543419087393234</v>
      </c>
      <c r="Z520" s="49">
        <f t="shared" si="93"/>
        <v>5.8565090970766231E-2</v>
      </c>
      <c r="AA520" s="49">
        <f t="shared" si="92"/>
        <v>0.10843496020488552</v>
      </c>
      <c r="AB520" s="49">
        <f t="shared" si="91"/>
        <v>0.21180349971360002</v>
      </c>
    </row>
    <row r="521" spans="1:28" x14ac:dyDescent="0.25">
      <c r="A521" s="1">
        <v>45856</v>
      </c>
      <c r="B521" s="1" t="str">
        <f t="shared" si="102"/>
        <v>202507</v>
      </c>
      <c r="C521" s="24">
        <v>0</v>
      </c>
      <c r="D521" s="24">
        <v>0</v>
      </c>
      <c r="E521" s="24">
        <v>0</v>
      </c>
      <c r="F521" s="24">
        <f>F520*(1+((1+VLOOKUP($B521,'IPCA Hist'!$B:$C,2,0))^12 - 1)+$F$2)^(1/252)</f>
        <v>47342871.889870964</v>
      </c>
      <c r="G521" s="24">
        <f>G520*(1+((1+VLOOKUP($B521,'IPCA Hist'!$B:$C,2,0))^12 - 1)+$G$2)^(1/252)</f>
        <v>47330340.541799925</v>
      </c>
      <c r="H521" s="24">
        <f>H520*(1+((1+VLOOKUP($B521,'IPCA Hist'!$B:$C,2,0))^12 - 1)+$H$2)^(1/252)</f>
        <v>48357841.75591974</v>
      </c>
      <c r="I521" s="24">
        <f>I520*(1+((1+VLOOKUP($B521,'IPCA Hist'!$B:$C,2,0))^12 - 1)+$I$2)^(1/252)</f>
        <v>244224577.48946291</v>
      </c>
      <c r="J521" s="24">
        <f>J520*(1+((1+VLOOKUP($B521,'IPCA Hist'!$B:$C,2,0))^12 - 1)+$J$2)^(1/252)</f>
        <v>21531664.401646558</v>
      </c>
      <c r="K521" s="24">
        <f>K520*(1+((1+VLOOKUP($B521,'IPCA Hist'!$B:$C,2,0))^12 - 1)+$K$2)^(1/252)</f>
        <v>83783738.24483861</v>
      </c>
      <c r="L521" s="24">
        <f>L520*(1+((1+VLOOKUP($B521,'IPCA Hist'!$B:$C,2,0))^12 - 1)+$L$2)^(1/252)</f>
        <v>44124399.933142811</v>
      </c>
      <c r="M521" s="24">
        <f>M520*(1+((1+VLOOKUP($B521,'IPCA Hist'!$B:$C,2,0))^12 - 1)+$M$2)^(1/252)</f>
        <v>15099721.777541449</v>
      </c>
      <c r="N521" s="24">
        <f>N520*(1+((1+VLOOKUP($B521,'IPCA Hist'!$B:$C,2,0))^12 - 1)+$N$2)^(1/252)</f>
        <v>123159432.0124155</v>
      </c>
      <c r="O521" s="24">
        <f t="shared" si="94"/>
        <v>674954588.04663849</v>
      </c>
      <c r="P521" s="24">
        <v>0</v>
      </c>
      <c r="Q521" s="24">
        <v>0</v>
      </c>
      <c r="R521" s="24">
        <f t="shared" ref="R521:R530" si="103">O521-O520-P521+Q521</f>
        <v>240642.56945204735</v>
      </c>
      <c r="S521" s="24">
        <f t="shared" si="95"/>
        <v>3361047.1052607298</v>
      </c>
      <c r="T521" s="24">
        <f t="shared" si="96"/>
        <v>35670187.21982263</v>
      </c>
      <c r="U521" s="46">
        <f t="shared" si="99"/>
        <v>1.2158676859997593</v>
      </c>
      <c r="V521" s="47">
        <f t="shared" si="100"/>
        <v>3.5665865670209129E-4</v>
      </c>
      <c r="W521" s="47">
        <f t="shared" si="97"/>
        <v>5.0045852146656244E-3</v>
      </c>
      <c r="X521" s="47">
        <f t="shared" si="98"/>
        <v>6.1747246950194956E-2</v>
      </c>
      <c r="Y521" s="48">
        <f t="shared" si="101"/>
        <v>0.21586768599975925</v>
      </c>
      <c r="Z521" s="49">
        <f t="shared" si="93"/>
        <v>5.8629814126873736E-2</v>
      </c>
      <c r="AA521" s="49">
        <f t="shared" si="92"/>
        <v>0.10842151341004791</v>
      </c>
      <c r="AB521" s="49">
        <f t="shared" si="91"/>
        <v>0.2119246654367597</v>
      </c>
    </row>
    <row r="522" spans="1:28" x14ac:dyDescent="0.25">
      <c r="A522" s="1">
        <v>45859</v>
      </c>
      <c r="B522" s="1" t="str">
        <f t="shared" si="102"/>
        <v>202507</v>
      </c>
      <c r="C522" s="24">
        <v>0</v>
      </c>
      <c r="D522" s="24">
        <v>0</v>
      </c>
      <c r="E522" s="24">
        <v>0</v>
      </c>
      <c r="F522" s="24">
        <f>F521*(1+((1+VLOOKUP($B522,'IPCA Hist'!$B:$C,2,0))^12 - 1)+$F$2)^(1/252)</f>
        <v>47357912.949925072</v>
      </c>
      <c r="G522" s="24">
        <f>G521*(1+((1+VLOOKUP($B522,'IPCA Hist'!$B:$C,2,0))^12 - 1)+$G$2)^(1/252)</f>
        <v>47345394.962308422</v>
      </c>
      <c r="H522" s="24">
        <f>H521*(1+((1+VLOOKUP($B522,'IPCA Hist'!$B:$C,2,0))^12 - 1)+$H$2)^(1/252)</f>
        <v>48373010.269053973</v>
      </c>
      <c r="I522" s="24">
        <f>I521*(1+((1+VLOOKUP($B522,'IPCA Hist'!$B:$C,2,0))^12 - 1)+$I$2)^(1/252)</f>
        <v>244301094.38058582</v>
      </c>
      <c r="J522" s="24">
        <f>J521*(1+((1+VLOOKUP($B522,'IPCA Hist'!$B:$C,2,0))^12 - 1)+$J$2)^(1/252)</f>
        <v>21539470.080074944</v>
      </c>
      <c r="K522" s="24">
        <f>K521*(1+((1+VLOOKUP($B522,'IPCA Hist'!$B:$C,2,0))^12 - 1)+$K$2)^(1/252)</f>
        <v>83818544.42295891</v>
      </c>
      <c r="L522" s="24">
        <f>L521*(1+((1+VLOOKUP($B522,'IPCA Hist'!$B:$C,2,0))^12 - 1)+$L$2)^(1/252)</f>
        <v>44142873.98474218</v>
      </c>
      <c r="M522" s="24">
        <f>M521*(1+((1+VLOOKUP($B522,'IPCA Hist'!$B:$C,2,0))^12 - 1)+$M$2)^(1/252)</f>
        <v>15105756.622092146</v>
      </c>
      <c r="N522" s="24">
        <f>N521*(1+((1+VLOOKUP($B522,'IPCA Hist'!$B:$C,2,0))^12 - 1)+$N$2)^(1/252)</f>
        <v>123211260.45652108</v>
      </c>
      <c r="O522" s="24">
        <f t="shared" si="94"/>
        <v>675195318.12826252</v>
      </c>
      <c r="P522" s="24">
        <v>0</v>
      </c>
      <c r="Q522" s="24">
        <v>0</v>
      </c>
      <c r="R522" s="24">
        <f t="shared" si="103"/>
        <v>240730.08162403107</v>
      </c>
      <c r="S522" s="24">
        <f t="shared" si="95"/>
        <v>3601777.1868847609</v>
      </c>
      <c r="T522" s="24">
        <f t="shared" si="96"/>
        <v>35910917.301446661</v>
      </c>
      <c r="U522" s="46">
        <f t="shared" si="99"/>
        <v>1.2163013387705952</v>
      </c>
      <c r="V522" s="47">
        <f t="shared" si="100"/>
        <v>3.5666115304255896E-4</v>
      </c>
      <c r="W522" s="47">
        <f t="shared" si="97"/>
        <v>5.363031308841304E-3</v>
      </c>
      <c r="X522" s="47">
        <f t="shared" si="98"/>
        <v>6.2125930947531938E-2</v>
      </c>
      <c r="Y522" s="48">
        <f t="shared" si="101"/>
        <v>0.21630133877059521</v>
      </c>
      <c r="Z522" s="49">
        <f t="shared" si="93"/>
        <v>5.8694541849383386E-2</v>
      </c>
      <c r="AA522" s="49">
        <f t="shared" si="92"/>
        <v>0.10840806954022297</v>
      </c>
      <c r="AB522" s="49">
        <f t="shared" si="91"/>
        <v>0.21204584628988954</v>
      </c>
    </row>
    <row r="523" spans="1:28" x14ac:dyDescent="0.25">
      <c r="A523" s="1">
        <v>45860</v>
      </c>
      <c r="B523" s="1" t="str">
        <f t="shared" si="102"/>
        <v>202507</v>
      </c>
      <c r="C523" s="24">
        <v>0</v>
      </c>
      <c r="D523" s="24">
        <v>0</v>
      </c>
      <c r="E523" s="24">
        <v>0</v>
      </c>
      <c r="F523" s="24">
        <f>F522*(1+((1+VLOOKUP($B523,'IPCA Hist'!$B:$C,2,0))^12 - 1)+$F$2)^(1/252)</f>
        <v>47372958.788596921</v>
      </c>
      <c r="G523" s="24">
        <f>G522*(1+((1+VLOOKUP($B523,'IPCA Hist'!$B:$C,2,0))^12 - 1)+$G$2)^(1/252)</f>
        <v>47360454.171195239</v>
      </c>
      <c r="H523" s="24">
        <f>H522*(1+((1+VLOOKUP($B523,'IPCA Hist'!$B:$C,2,0))^12 - 1)+$H$2)^(1/252)</f>
        <v>48388183.540129885</v>
      </c>
      <c r="I523" s="24">
        <f>I522*(1+((1+VLOOKUP($B523,'IPCA Hist'!$B:$C,2,0))^12 - 1)+$I$2)^(1/252)</f>
        <v>244377635.24486774</v>
      </c>
      <c r="J523" s="24">
        <f>J522*(1+((1+VLOOKUP($B523,'IPCA Hist'!$B:$C,2,0))^12 - 1)+$J$2)^(1/252)</f>
        <v>21547278.588224925</v>
      </c>
      <c r="K523" s="24">
        <f>K522*(1+((1+VLOOKUP($B523,'IPCA Hist'!$B:$C,2,0))^12 - 1)+$K$2)^(1/252)</f>
        <v>83853365.060568139</v>
      </c>
      <c r="L523" s="24">
        <f>L522*(1+((1+VLOOKUP($B523,'IPCA Hist'!$B:$C,2,0))^12 - 1)+$L$2)^(1/252)</f>
        <v>44161355.771077499</v>
      </c>
      <c r="M523" s="24">
        <f>M522*(1+((1+VLOOKUP($B523,'IPCA Hist'!$B:$C,2,0))^12 - 1)+$M$2)^(1/252)</f>
        <v>15111793.878564684</v>
      </c>
      <c r="N523" s="24">
        <f>N522*(1+((1+VLOOKUP($B523,'IPCA Hist'!$B:$C,2,0))^12 - 1)+$N$2)^(1/252)</f>
        <v>123263110.71127953</v>
      </c>
      <c r="O523" s="24">
        <f t="shared" si="94"/>
        <v>675436135.75450456</v>
      </c>
      <c r="P523" s="24">
        <v>0</v>
      </c>
      <c r="Q523" s="24">
        <v>0</v>
      </c>
      <c r="R523" s="24">
        <f t="shared" si="103"/>
        <v>240817.62624204159</v>
      </c>
      <c r="S523" s="24">
        <f t="shared" si="95"/>
        <v>3842594.8131268024</v>
      </c>
      <c r="T523" s="24">
        <f t="shared" si="96"/>
        <v>36151734.927688703</v>
      </c>
      <c r="U523" s="46">
        <f t="shared" si="99"/>
        <v>1.2167351492448883</v>
      </c>
      <c r="V523" s="47">
        <f t="shared" si="100"/>
        <v>3.5666364943054418E-4</v>
      </c>
      <c r="W523" s="47">
        <f t="shared" si="97"/>
        <v>5.7216077565904744E-3</v>
      </c>
      <c r="X523" s="47">
        <f t="shared" si="98"/>
        <v>6.2504752658218532E-2</v>
      </c>
      <c r="Y523" s="48">
        <f t="shared" si="101"/>
        <v>0.21673514924488835</v>
      </c>
      <c r="Z523" s="49">
        <f t="shared" si="93"/>
        <v>5.8759274138598494E-2</v>
      </c>
      <c r="AA523" s="49">
        <f t="shared" si="92"/>
        <v>0.10839462859536053</v>
      </c>
      <c r="AB523" s="49">
        <f t="shared" si="91"/>
        <v>0.21216704227516292</v>
      </c>
    </row>
    <row r="524" spans="1:28" x14ac:dyDescent="0.25">
      <c r="A524" s="1">
        <v>45861</v>
      </c>
      <c r="B524" s="1" t="str">
        <f t="shared" si="102"/>
        <v>202507</v>
      </c>
      <c r="C524" s="24">
        <v>0</v>
      </c>
      <c r="D524" s="24">
        <v>0</v>
      </c>
      <c r="E524" s="24">
        <v>0</v>
      </c>
      <c r="F524" s="24">
        <f>F523*(1+((1+VLOOKUP($B524,'IPCA Hist'!$B:$C,2,0))^12 - 1)+$F$2)^(1/252)</f>
        <v>47388009.407404698</v>
      </c>
      <c r="G524" s="24">
        <f>G523*(1+((1+VLOOKUP($B524,'IPCA Hist'!$B:$C,2,0))^12 - 1)+$G$2)^(1/252)</f>
        <v>47375518.169983432</v>
      </c>
      <c r="H524" s="24">
        <f>H523*(1+((1+VLOOKUP($B524,'IPCA Hist'!$B:$C,2,0))^12 - 1)+$H$2)^(1/252)</f>
        <v>48403361.570639908</v>
      </c>
      <c r="I524" s="24">
        <f>I523*(1+((1+VLOOKUP($B524,'IPCA Hist'!$B:$C,2,0))^12 - 1)+$I$2)^(1/252)</f>
        <v>244454200.08981958</v>
      </c>
      <c r="J524" s="24">
        <f>J523*(1+((1+VLOOKUP($B524,'IPCA Hist'!$B:$C,2,0))^12 - 1)+$J$2)^(1/252)</f>
        <v>21555089.927122332</v>
      </c>
      <c r="K524" s="24">
        <f>K523*(1+((1+VLOOKUP($B524,'IPCA Hist'!$B:$C,2,0))^12 - 1)+$K$2)^(1/252)</f>
        <v>83888200.163673177</v>
      </c>
      <c r="L524" s="24">
        <f>L523*(1+((1+VLOOKUP($B524,'IPCA Hist'!$B:$C,2,0))^12 - 1)+$L$2)^(1/252)</f>
        <v>44179845.295387156</v>
      </c>
      <c r="M524" s="24">
        <f>M523*(1+((1+VLOOKUP($B524,'IPCA Hist'!$B:$C,2,0))^12 - 1)+$M$2)^(1/252)</f>
        <v>15117833.547923027</v>
      </c>
      <c r="N524" s="24">
        <f>N523*(1+((1+VLOOKUP($B524,'IPCA Hist'!$B:$C,2,0))^12 - 1)+$N$2)^(1/252)</f>
        <v>123314982.78586929</v>
      </c>
      <c r="O524" s="24">
        <f t="shared" si="94"/>
        <v>675677040.95782256</v>
      </c>
      <c r="P524" s="24">
        <v>0</v>
      </c>
      <c r="Q524" s="24">
        <v>0</v>
      </c>
      <c r="R524" s="24">
        <f t="shared" si="103"/>
        <v>240905.20331799984</v>
      </c>
      <c r="S524" s="24">
        <f t="shared" si="95"/>
        <v>4083500.0164448023</v>
      </c>
      <c r="T524" s="24">
        <f t="shared" si="96"/>
        <v>36392640.131006703</v>
      </c>
      <c r="U524" s="46">
        <f t="shared" si="99"/>
        <v>1.217169117481109</v>
      </c>
      <c r="V524" s="47">
        <f t="shared" si="100"/>
        <v>3.566661458658249E-4</v>
      </c>
      <c r="W524" s="47">
        <f t="shared" si="97"/>
        <v>6.0803146062429203E-3</v>
      </c>
      <c r="X524" s="47">
        <f t="shared" si="98"/>
        <v>6.288371213331323E-2</v>
      </c>
      <c r="Y524" s="48">
        <f t="shared" si="101"/>
        <v>0.21716911748110901</v>
      </c>
      <c r="Z524" s="49">
        <f t="shared" si="93"/>
        <v>5.8824010994823706E-2</v>
      </c>
      <c r="AA524" s="49">
        <f t="shared" si="92"/>
        <v>0.10838119057541018</v>
      </c>
      <c r="AB524" s="49">
        <f t="shared" si="91"/>
        <v>0.21228825339475366</v>
      </c>
    </row>
    <row r="525" spans="1:28" x14ac:dyDescent="0.25">
      <c r="A525" s="1">
        <v>45862</v>
      </c>
      <c r="B525" s="1" t="str">
        <f t="shared" si="102"/>
        <v>202507</v>
      </c>
      <c r="C525" s="24">
        <v>0</v>
      </c>
      <c r="D525" s="24">
        <v>0</v>
      </c>
      <c r="E525" s="24">
        <v>0</v>
      </c>
      <c r="F525" s="24">
        <f>F524*(1+((1+VLOOKUP($B525,'IPCA Hist'!$B:$C,2,0))^12 - 1)+$F$2)^(1/252)</f>
        <v>47403064.80786708</v>
      </c>
      <c r="G525" s="24">
        <f>G524*(1+((1+VLOOKUP($B525,'IPCA Hist'!$B:$C,2,0))^12 - 1)+$G$2)^(1/252)</f>
        <v>47390586.960196525</v>
      </c>
      <c r="H525" s="24">
        <f>H524*(1+((1+VLOOKUP($B525,'IPCA Hist'!$B:$C,2,0))^12 - 1)+$H$2)^(1/252)</f>
        <v>48418544.362076946</v>
      </c>
      <c r="I525" s="24">
        <f>I524*(1+((1+VLOOKUP($B525,'IPCA Hist'!$B:$C,2,0))^12 - 1)+$I$2)^(1/252)</f>
        <v>244530788.92295462</v>
      </c>
      <c r="J525" s="24">
        <f>J524*(1+((1+VLOOKUP($B525,'IPCA Hist'!$B:$C,2,0))^12 - 1)+$J$2)^(1/252)</f>
        <v>21562904.097793374</v>
      </c>
      <c r="K525" s="24">
        <f>K524*(1+((1+VLOOKUP($B525,'IPCA Hist'!$B:$C,2,0))^12 - 1)+$K$2)^(1/252)</f>
        <v>83923049.738283426</v>
      </c>
      <c r="L525" s="24">
        <f>L524*(1+((1+VLOOKUP($B525,'IPCA Hist'!$B:$C,2,0))^12 - 1)+$L$2)^(1/252)</f>
        <v>44198342.560910895</v>
      </c>
      <c r="M525" s="24">
        <f>M524*(1+((1+VLOOKUP($B525,'IPCA Hist'!$B:$C,2,0))^12 - 1)+$M$2)^(1/252)</f>
        <v>15123875.631131522</v>
      </c>
      <c r="N525" s="24">
        <f>N524*(1+((1+VLOOKUP($B525,'IPCA Hist'!$B:$C,2,0))^12 - 1)+$N$2)^(1/252)</f>
        <v>123366876.68947266</v>
      </c>
      <c r="O525" s="24">
        <f t="shared" si="94"/>
        <v>675918033.7706871</v>
      </c>
      <c r="P525" s="24">
        <v>0</v>
      </c>
      <c r="Q525" s="24">
        <v>0</v>
      </c>
      <c r="R525" s="24">
        <f t="shared" si="103"/>
        <v>240992.81286454201</v>
      </c>
      <c r="S525" s="24">
        <f t="shared" si="95"/>
        <v>4324492.8293093443</v>
      </c>
      <c r="T525" s="24">
        <f t="shared" si="96"/>
        <v>36633632.943871245</v>
      </c>
      <c r="U525" s="46">
        <f t="shared" si="99"/>
        <v>1.2176032435377497</v>
      </c>
      <c r="V525" s="47">
        <f t="shared" si="100"/>
        <v>3.5666864234862317E-4</v>
      </c>
      <c r="W525" s="47">
        <f t="shared" si="97"/>
        <v>6.4391519061473002E-3</v>
      </c>
      <c r="X525" s="47">
        <f t="shared" si="98"/>
        <v>6.3262809423894284E-2</v>
      </c>
      <c r="Y525" s="48">
        <f t="shared" si="101"/>
        <v>0.21760324353774974</v>
      </c>
      <c r="Z525" s="49">
        <f t="shared" si="93"/>
        <v>5.8888752418362111E-2</v>
      </c>
      <c r="AA525" s="49">
        <f t="shared" si="92"/>
        <v>0.10836775548032285</v>
      </c>
      <c r="AB525" s="49">
        <f t="shared" si="91"/>
        <v>0.21240947965083512</v>
      </c>
    </row>
    <row r="526" spans="1:28" x14ac:dyDescent="0.25">
      <c r="A526" s="1">
        <v>45863</v>
      </c>
      <c r="B526" s="1" t="str">
        <f t="shared" si="102"/>
        <v>202507</v>
      </c>
      <c r="C526" s="24">
        <v>0</v>
      </c>
      <c r="D526" s="24">
        <v>0</v>
      </c>
      <c r="E526" s="24">
        <v>0</v>
      </c>
      <c r="F526" s="24">
        <f>F525*(1+((1+VLOOKUP($B526,'IPCA Hist'!$B:$C,2,0))^12 - 1)+$F$2)^(1/252)</f>
        <v>47418124.991503224</v>
      </c>
      <c r="G526" s="24">
        <f>G525*(1+((1+VLOOKUP($B526,'IPCA Hist'!$B:$C,2,0))^12 - 1)+$G$2)^(1/252)</f>
        <v>47405660.543358535</v>
      </c>
      <c r="H526" s="24">
        <f>H525*(1+((1+VLOOKUP($B526,'IPCA Hist'!$B:$C,2,0))^12 - 1)+$H$2)^(1/252)</f>
        <v>48433731.915934369</v>
      </c>
      <c r="I526" s="24">
        <f>I525*(1+((1+VLOOKUP($B526,'IPCA Hist'!$B:$C,2,0))^12 - 1)+$I$2)^(1/252)</f>
        <v>244607401.75178847</v>
      </c>
      <c r="J526" s="24">
        <f>J525*(1+((1+VLOOKUP($B526,'IPCA Hist'!$B:$C,2,0))^12 - 1)+$J$2)^(1/252)</f>
        <v>21570721.101264626</v>
      </c>
      <c r="K526" s="24">
        <f>K525*(1+((1+VLOOKUP($B526,'IPCA Hist'!$B:$C,2,0))^12 - 1)+$K$2)^(1/252)</f>
        <v>83957913.790410742</v>
      </c>
      <c r="L526" s="24">
        <f>L525*(1+((1+VLOOKUP($B526,'IPCA Hist'!$B:$C,2,0))^12 - 1)+$L$2)^(1/252)</f>
        <v>44216847.570889823</v>
      </c>
      <c r="M526" s="24">
        <f>M525*(1+((1+VLOOKUP($B526,'IPCA Hist'!$B:$C,2,0))^12 - 1)+$M$2)^(1/252)</f>
        <v>15129920.129154904</v>
      </c>
      <c r="N526" s="24">
        <f>N525*(1+((1+VLOOKUP($B526,'IPCA Hist'!$B:$C,2,0))^12 - 1)+$N$2)^(1/252)</f>
        <v>123418792.43127583</v>
      </c>
      <c r="O526" s="24">
        <f t="shared" si="94"/>
        <v>676159114.22558057</v>
      </c>
      <c r="P526" s="24">
        <v>0</v>
      </c>
      <c r="Q526" s="24">
        <v>0</v>
      </c>
      <c r="R526" s="24">
        <f t="shared" si="103"/>
        <v>241080.45489346981</v>
      </c>
      <c r="S526" s="24">
        <f t="shared" si="95"/>
        <v>4565573.2842028141</v>
      </c>
      <c r="T526" s="24">
        <f t="shared" si="96"/>
        <v>36874713.398764715</v>
      </c>
      <c r="U526" s="46">
        <f t="shared" si="99"/>
        <v>1.2180375274733244</v>
      </c>
      <c r="V526" s="47">
        <f t="shared" si="100"/>
        <v>3.5667113887849489E-4</v>
      </c>
      <c r="W526" s="47">
        <f t="shared" si="97"/>
        <v>6.7981197046695918E-3</v>
      </c>
      <c r="X526" s="47">
        <f t="shared" si="98"/>
        <v>6.3642044581058599E-2</v>
      </c>
      <c r="Y526" s="48">
        <f t="shared" si="101"/>
        <v>0.21803752747332439</v>
      </c>
      <c r="Z526" s="49">
        <f t="shared" si="93"/>
        <v>5.8953498409517691E-2</v>
      </c>
      <c r="AA526" s="49">
        <f t="shared" si="92"/>
        <v>0.10835432331004768</v>
      </c>
      <c r="AB526" s="49">
        <f t="shared" si="91"/>
        <v>0.21253072104558135</v>
      </c>
    </row>
    <row r="527" spans="1:28" x14ac:dyDescent="0.25">
      <c r="A527" s="1">
        <v>45866</v>
      </c>
      <c r="B527" s="1" t="str">
        <f t="shared" si="102"/>
        <v>202507</v>
      </c>
      <c r="C527" s="24">
        <v>0</v>
      </c>
      <c r="D527" s="24">
        <v>0</v>
      </c>
      <c r="E527" s="24">
        <v>0</v>
      </c>
      <c r="F527" s="24">
        <f>F526*(1+((1+VLOOKUP($B527,'IPCA Hist'!$B:$C,2,0))^12 - 1)+$F$2)^(1/252)</f>
        <v>47433189.959832765</v>
      </c>
      <c r="G527" s="24">
        <f>G526*(1+((1+VLOOKUP($B527,'IPCA Hist'!$B:$C,2,0))^12 - 1)+$G$2)^(1/252)</f>
        <v>47420738.920993961</v>
      </c>
      <c r="H527" s="24">
        <f>H526*(1+((1+VLOOKUP($B527,'IPCA Hist'!$B:$C,2,0))^12 - 1)+$H$2)^(1/252)</f>
        <v>48448924.233706012</v>
      </c>
      <c r="I527" s="24">
        <f>I526*(1+((1+VLOOKUP($B527,'IPCA Hist'!$B:$C,2,0))^12 - 1)+$I$2)^(1/252)</f>
        <v>244684038.58383912</v>
      </c>
      <c r="J527" s="24">
        <f>J526*(1+((1+VLOOKUP($B527,'IPCA Hist'!$B:$C,2,0))^12 - 1)+$J$2)^(1/252)</f>
        <v>21578540.938563038</v>
      </c>
      <c r="K527" s="24">
        <f>K526*(1+((1+VLOOKUP($B527,'IPCA Hist'!$B:$C,2,0))^12 - 1)+$K$2)^(1/252)</f>
        <v>83992792.326069519</v>
      </c>
      <c r="L527" s="24">
        <f>L526*(1+((1+VLOOKUP($B527,'IPCA Hist'!$B:$C,2,0))^12 - 1)+$L$2)^(1/252)</f>
        <v>44235360.328566387</v>
      </c>
      <c r="M527" s="24">
        <f>M526*(1+((1+VLOOKUP($B527,'IPCA Hist'!$B:$C,2,0))^12 - 1)+$M$2)^(1/252)</f>
        <v>15135967.042958291</v>
      </c>
      <c r="N527" s="24">
        <f>N526*(1+((1+VLOOKUP($B527,'IPCA Hist'!$B:$C,2,0))^12 - 1)+$N$2)^(1/252)</f>
        <v>123470730.02046882</v>
      </c>
      <c r="O527" s="24">
        <f t="shared" si="94"/>
        <v>676400282.35499799</v>
      </c>
      <c r="P527" s="24">
        <v>0</v>
      </c>
      <c r="Q527" s="24">
        <v>0</v>
      </c>
      <c r="R527" s="24">
        <f t="shared" si="103"/>
        <v>241168.12941741943</v>
      </c>
      <c r="S527" s="24">
        <f t="shared" si="95"/>
        <v>4806741.4136202335</v>
      </c>
      <c r="T527" s="24">
        <f t="shared" si="96"/>
        <v>37115881.528182134</v>
      </c>
      <c r="U527" s="46">
        <f t="shared" si="99"/>
        <v>1.2184719693463699</v>
      </c>
      <c r="V527" s="47">
        <f t="shared" si="100"/>
        <v>3.5667363545588415E-4</v>
      </c>
      <c r="W527" s="47">
        <f t="shared" si="97"/>
        <v>7.157218050194869E-3</v>
      </c>
      <c r="X527" s="47">
        <f t="shared" si="98"/>
        <v>6.4021417655923063E-2</v>
      </c>
      <c r="Y527" s="48">
        <f t="shared" si="101"/>
        <v>0.21847196934636992</v>
      </c>
      <c r="Z527" s="49">
        <f t="shared" si="93"/>
        <v>5.9018248968594422E-2</v>
      </c>
      <c r="AA527" s="49">
        <f t="shared" si="92"/>
        <v>0.10834089406453562</v>
      </c>
      <c r="AB527" s="49">
        <f t="shared" si="91"/>
        <v>0.21265197758116705</v>
      </c>
    </row>
    <row r="528" spans="1:28" x14ac:dyDescent="0.25">
      <c r="A528" s="1">
        <v>45867</v>
      </c>
      <c r="B528" s="1" t="str">
        <f t="shared" si="102"/>
        <v>202507</v>
      </c>
      <c r="C528" s="24">
        <v>0</v>
      </c>
      <c r="D528" s="24">
        <v>0</v>
      </c>
      <c r="E528" s="24">
        <v>0</v>
      </c>
      <c r="F528" s="24">
        <f>F527*(1+((1+VLOOKUP($B528,'IPCA Hist'!$B:$C,2,0))^12 - 1)+$F$2)^(1/252)</f>
        <v>47448259.714375824</v>
      </c>
      <c r="G528" s="24">
        <f>G527*(1+((1+VLOOKUP($B528,'IPCA Hist'!$B:$C,2,0))^12 - 1)+$G$2)^(1/252)</f>
        <v>47435822.09462779</v>
      </c>
      <c r="H528" s="24">
        <f>H527*(1+((1+VLOOKUP($B528,'IPCA Hist'!$B:$C,2,0))^12 - 1)+$H$2)^(1/252)</f>
        <v>48464121.316886194</v>
      </c>
      <c r="I528" s="24">
        <f>I527*(1+((1+VLOOKUP($B528,'IPCA Hist'!$B:$C,2,0))^12 - 1)+$I$2)^(1/252)</f>
        <v>244760699.42662692</v>
      </c>
      <c r="J528" s="24">
        <f>J527*(1+((1+VLOOKUP($B528,'IPCA Hist'!$B:$C,2,0))^12 - 1)+$J$2)^(1/252)</f>
        <v>21586363.610715929</v>
      </c>
      <c r="K528" s="24">
        <f>K527*(1+((1+VLOOKUP($B528,'IPCA Hist'!$B:$C,2,0))^12 - 1)+$K$2)^(1/252)</f>
        <v>84027685.351276621</v>
      </c>
      <c r="L528" s="24">
        <f>L527*(1+((1+VLOOKUP($B528,'IPCA Hist'!$B:$C,2,0))^12 - 1)+$L$2)^(1/252)</f>
        <v>44253880.837184407</v>
      </c>
      <c r="M528" s="24">
        <f>M527*(1+((1+VLOOKUP($B528,'IPCA Hist'!$B:$C,2,0))^12 - 1)+$M$2)^(1/252)</f>
        <v>15142016.373507189</v>
      </c>
      <c r="N528" s="24">
        <f>N527*(1+((1+VLOOKUP($B528,'IPCA Hist'!$B:$C,2,0))^12 - 1)+$N$2)^(1/252)</f>
        <v>123522689.46624555</v>
      </c>
      <c r="O528" s="24">
        <f t="shared" si="94"/>
        <v>676641538.1914463</v>
      </c>
      <c r="P528" s="24">
        <v>0</v>
      </c>
      <c r="Q528" s="24">
        <v>0</v>
      </c>
      <c r="R528" s="24">
        <f t="shared" si="103"/>
        <v>241255.83644831181</v>
      </c>
      <c r="S528" s="24">
        <f t="shared" si="95"/>
        <v>5047997.2500685453</v>
      </c>
      <c r="T528" s="24">
        <f t="shared" si="96"/>
        <v>37357137.364630446</v>
      </c>
      <c r="U528" s="46">
        <f t="shared" si="99"/>
        <v>1.2189065692154444</v>
      </c>
      <c r="V528" s="47">
        <f t="shared" si="100"/>
        <v>3.5667613208012483E-4</v>
      </c>
      <c r="W528" s="47">
        <f t="shared" si="97"/>
        <v>7.5164469911255249E-3</v>
      </c>
      <c r="X528" s="47">
        <f t="shared" si="98"/>
        <v>6.4400928699622995E-2</v>
      </c>
      <c r="Y528" s="48">
        <f t="shared" si="101"/>
        <v>0.21890656921544438</v>
      </c>
      <c r="Z528" s="49">
        <f t="shared" si="93"/>
        <v>5.9083004095895397E-2</v>
      </c>
      <c r="AA528" s="49">
        <f t="shared" si="92"/>
        <v>0.10832746774373581</v>
      </c>
      <c r="AB528" s="49">
        <f t="shared" si="91"/>
        <v>0.21277324925976648</v>
      </c>
    </row>
    <row r="529" spans="1:28" x14ac:dyDescent="0.25">
      <c r="A529" s="1">
        <v>45868</v>
      </c>
      <c r="B529" s="1" t="str">
        <f t="shared" si="102"/>
        <v>202507</v>
      </c>
      <c r="C529" s="24">
        <v>0</v>
      </c>
      <c r="D529" s="24">
        <v>0</v>
      </c>
      <c r="E529" s="24">
        <v>0</v>
      </c>
      <c r="F529" s="24">
        <f>F528*(1+((1+VLOOKUP($B529,'IPCA Hist'!$B:$C,2,0))^12 - 1)+$F$2)^(1/252)</f>
        <v>47463334.256653003</v>
      </c>
      <c r="G529" s="24">
        <f>G528*(1+((1+VLOOKUP($B529,'IPCA Hist'!$B:$C,2,0))^12 - 1)+$G$2)^(1/252)</f>
        <v>47450910.065785483</v>
      </c>
      <c r="H529" s="24">
        <f>H528*(1+((1+VLOOKUP($B529,'IPCA Hist'!$B:$C,2,0))^12 - 1)+$H$2)^(1/252)</f>
        <v>48479323.166969679</v>
      </c>
      <c r="I529" s="24">
        <f>I528*(1+((1+VLOOKUP($B529,'IPCA Hist'!$B:$C,2,0))^12 - 1)+$I$2)^(1/252)</f>
        <v>244837384.28767455</v>
      </c>
      <c r="J529" s="24">
        <f>J528*(1+((1+VLOOKUP($B529,'IPCA Hist'!$B:$C,2,0))^12 - 1)+$J$2)^(1/252)</f>
        <v>21594189.118750997</v>
      </c>
      <c r="K529" s="24">
        <f>K528*(1+((1+VLOOKUP($B529,'IPCA Hist'!$B:$C,2,0))^12 - 1)+$K$2)^(1/252)</f>
        <v>84062592.872051433</v>
      </c>
      <c r="L529" s="24">
        <f>L528*(1+((1+VLOOKUP($B529,'IPCA Hist'!$B:$C,2,0))^12 - 1)+$L$2)^(1/252)</f>
        <v>44272409.099989049</v>
      </c>
      <c r="M529" s="24">
        <f>M528*(1+((1+VLOOKUP($B529,'IPCA Hist'!$B:$C,2,0))^12 - 1)+$M$2)^(1/252)</f>
        <v>15148068.121767487</v>
      </c>
      <c r="N529" s="24">
        <f>N528*(1+((1+VLOOKUP($B529,'IPCA Hist'!$B:$C,2,0))^12 - 1)+$N$2)^(1/252)</f>
        <v>123574670.77780378</v>
      </c>
      <c r="O529" s="24">
        <f t="shared" si="94"/>
        <v>676882881.76744545</v>
      </c>
      <c r="P529" s="24">
        <v>0</v>
      </c>
      <c r="Q529" s="24">
        <v>0</v>
      </c>
      <c r="R529" s="24">
        <f t="shared" si="103"/>
        <v>241343.57599914074</v>
      </c>
      <c r="S529" s="24">
        <f t="shared" si="95"/>
        <v>5289340.8260676861</v>
      </c>
      <c r="T529" s="24">
        <f t="shared" si="96"/>
        <v>37598480.940629587</v>
      </c>
      <c r="U529" s="46">
        <f t="shared" si="99"/>
        <v>1.2193413271391296</v>
      </c>
      <c r="V529" s="47">
        <f t="shared" si="100"/>
        <v>3.5667862875254919E-4</v>
      </c>
      <c r="W529" s="47">
        <f t="shared" si="97"/>
        <v>7.8758065758839368E-3</v>
      </c>
      <c r="X529" s="47">
        <f t="shared" si="98"/>
        <v>6.4780577763314584E-2</v>
      </c>
      <c r="Y529" s="48">
        <f t="shared" si="101"/>
        <v>0.21934132713912957</v>
      </c>
      <c r="Z529" s="49">
        <f t="shared" si="93"/>
        <v>5.9147763791725483E-2</v>
      </c>
      <c r="AA529" s="49">
        <f t="shared" si="92"/>
        <v>0.10831404434759917</v>
      </c>
      <c r="AB529" s="49">
        <f t="shared" si="91"/>
        <v>0.21289453608355591</v>
      </c>
    </row>
    <row r="530" spans="1:28" x14ac:dyDescent="0.25">
      <c r="A530" s="1">
        <v>45869</v>
      </c>
      <c r="B530" s="1" t="str">
        <f t="shared" si="102"/>
        <v>202507</v>
      </c>
      <c r="C530" s="24">
        <v>0</v>
      </c>
      <c r="D530" s="24">
        <v>0</v>
      </c>
      <c r="E530" s="24">
        <v>0</v>
      </c>
      <c r="F530" s="24">
        <f>F529*(1+((1+VLOOKUP($B530,'IPCA Hist'!$B:$C,2,0))^12 - 1)+$F$2)^(1/252)</f>
        <v>47478413.588185385</v>
      </c>
      <c r="G530" s="24">
        <f>G529*(1+((1+VLOOKUP($B530,'IPCA Hist'!$B:$C,2,0))^12 - 1)+$G$2)^(1/252)</f>
        <v>47466002.835992999</v>
      </c>
      <c r="H530" s="24">
        <f>H529*(1+((1+VLOOKUP($B530,'IPCA Hist'!$B:$C,2,0))^12 - 1)+$H$2)^(1/252)</f>
        <v>48494529.785451718</v>
      </c>
      <c r="I530" s="24">
        <f>I529*(1+((1+VLOOKUP($B530,'IPCA Hist'!$B:$C,2,0))^12 - 1)+$I$2)^(1/252)</f>
        <v>244914093.17450708</v>
      </c>
      <c r="J530" s="24">
        <f>J529*(1+((1+VLOOKUP($B530,'IPCA Hist'!$B:$C,2,0))^12 - 1)+$J$2)^(1/252)</f>
        <v>21602017.463696305</v>
      </c>
      <c r="K530" s="24">
        <f>K529*(1+((1+VLOOKUP($B530,'IPCA Hist'!$B:$C,2,0))^12 - 1)+$K$2)^(1/252)</f>
        <v>84097514.894415826</v>
      </c>
      <c r="L530" s="24">
        <f>L529*(1+((1+VLOOKUP($B530,'IPCA Hist'!$B:$C,2,0))^12 - 1)+$L$2)^(1/252)</f>
        <v>44290945.120226853</v>
      </c>
      <c r="M530" s="24">
        <f>M529*(1+((1+VLOOKUP($B530,'IPCA Hist'!$B:$C,2,0))^12 - 1)+$M$2)^(1/252)</f>
        <v>15154122.288705464</v>
      </c>
      <c r="N530" s="24">
        <f>N529*(1+((1+VLOOKUP($B530,'IPCA Hist'!$B:$C,2,0))^12 - 1)+$N$2)^(1/252)</f>
        <v>123626673.96434517</v>
      </c>
      <c r="O530" s="24">
        <f t="shared" si="94"/>
        <v>677124313.1155268</v>
      </c>
      <c r="P530" s="24">
        <v>0</v>
      </c>
      <c r="Q530" s="24">
        <v>0</v>
      </c>
      <c r="R530" s="24">
        <f t="shared" si="103"/>
        <v>241431.34808135033</v>
      </c>
      <c r="S530" s="24">
        <f t="shared" si="95"/>
        <v>5530772.1741490364</v>
      </c>
      <c r="T530" s="24">
        <f t="shared" si="96"/>
        <v>37839912.288710937</v>
      </c>
      <c r="U530" s="46">
        <f t="shared" si="99"/>
        <v>1.219776243176028</v>
      </c>
      <c r="V530" s="47">
        <f t="shared" si="100"/>
        <v>3.5668112547182496E-4</v>
      </c>
      <c r="W530" s="47">
        <f t="shared" si="97"/>
        <v>8.2352968529093573E-3</v>
      </c>
      <c r="X530" s="47">
        <f t="shared" si="98"/>
        <v>6.5160364898171785E-2</v>
      </c>
      <c r="Y530" s="48">
        <f t="shared" si="101"/>
        <v>0.21977624317602795</v>
      </c>
      <c r="Z530" s="49">
        <f t="shared" si="93"/>
        <v>5.9212528056388214E-2</v>
      </c>
      <c r="AA530" s="49">
        <f t="shared" si="92"/>
        <v>0.10830062387607509</v>
      </c>
      <c r="AB530" s="49">
        <f t="shared" si="91"/>
        <v>0.21301583805471003</v>
      </c>
    </row>
    <row r="535" spans="1:28" x14ac:dyDescent="0.25">
      <c r="F535" s="8"/>
    </row>
  </sheetData>
  <mergeCells count="15">
    <mergeCell ref="AA1:AA2"/>
    <mergeCell ref="AB1:AB2"/>
    <mergeCell ref="U1:U2"/>
    <mergeCell ref="V1:V2"/>
    <mergeCell ref="W1:W2"/>
    <mergeCell ref="X1:X2"/>
    <mergeCell ref="Y1:Y2"/>
    <mergeCell ref="Z1:Z2"/>
    <mergeCell ref="T1:T2"/>
    <mergeCell ref="A1:A2"/>
    <mergeCell ref="O1:O2"/>
    <mergeCell ref="P1:P2"/>
    <mergeCell ref="Q1:Q2"/>
    <mergeCell ref="R1:R2"/>
    <mergeCell ref="S1:S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3E73-9894-4B84-96EB-B30846AB6B4C}">
  <dimension ref="A1:T166"/>
  <sheetViews>
    <sheetView workbookViewId="0">
      <pane ySplit="2" topLeftCell="A147" activePane="bottomLeft" state="frozen"/>
      <selection pane="bottomLeft" activeCell="R166" sqref="R166"/>
    </sheetView>
  </sheetViews>
  <sheetFormatPr defaultRowHeight="15" outlineLevelCol="1" x14ac:dyDescent="0.25"/>
  <cols>
    <col min="1" max="1" width="14.140625" customWidth="1"/>
    <col min="2" max="2" width="14.140625" hidden="1" customWidth="1" outlineLevel="1"/>
    <col min="3" max="3" width="13.85546875" customWidth="1" collapsed="1"/>
    <col min="4" max="6" width="13.85546875" customWidth="1"/>
    <col min="7" max="7" width="17.140625" bestFit="1" customWidth="1"/>
    <col min="8" max="9" width="14.85546875" style="2" bestFit="1" customWidth="1"/>
    <col min="10" max="12" width="15.42578125" style="2" bestFit="1" customWidth="1"/>
    <col min="13" max="13" width="10" bestFit="1" customWidth="1"/>
    <col min="14" max="14" width="8.85546875" bestFit="1" customWidth="1"/>
    <col min="15" max="16" width="7.5703125" bestFit="1" customWidth="1"/>
    <col min="17" max="17" width="9.5703125" style="18" bestFit="1" customWidth="1"/>
    <col min="18" max="18" width="8.42578125" bestFit="1" customWidth="1"/>
    <col min="19" max="19" width="7.140625" bestFit="1" customWidth="1"/>
    <col min="20" max="20" width="8.5703125" bestFit="1" customWidth="1"/>
  </cols>
  <sheetData>
    <row r="1" spans="1:20" ht="14.45" customHeight="1" x14ac:dyDescent="0.25">
      <c r="A1" s="53" t="s">
        <v>14</v>
      </c>
      <c r="B1" s="9"/>
      <c r="C1" s="4" t="s">
        <v>39</v>
      </c>
      <c r="D1" s="4" t="s">
        <v>39</v>
      </c>
      <c r="E1" s="4" t="s">
        <v>39</v>
      </c>
      <c r="F1" s="4" t="s">
        <v>39</v>
      </c>
      <c r="G1" s="56" t="s">
        <v>35</v>
      </c>
      <c r="H1" s="54" t="s">
        <v>36</v>
      </c>
      <c r="I1" s="54" t="s">
        <v>37</v>
      </c>
      <c r="J1" s="58" t="s">
        <v>57</v>
      </c>
      <c r="K1" s="58" t="s">
        <v>58</v>
      </c>
      <c r="L1" s="58" t="s">
        <v>59</v>
      </c>
      <c r="M1" s="55" t="s">
        <v>38</v>
      </c>
      <c r="N1" s="52" t="s">
        <v>46</v>
      </c>
      <c r="O1" s="52" t="s">
        <v>47</v>
      </c>
      <c r="P1" s="52" t="s">
        <v>48</v>
      </c>
      <c r="Q1" s="51" t="s">
        <v>49</v>
      </c>
      <c r="R1" s="51" t="s">
        <v>50</v>
      </c>
      <c r="S1" s="51" t="s">
        <v>51</v>
      </c>
      <c r="T1" s="51" t="s">
        <v>52</v>
      </c>
    </row>
    <row r="2" spans="1:20" x14ac:dyDescent="0.25">
      <c r="A2" s="53"/>
      <c r="B2" s="4" t="s">
        <v>15</v>
      </c>
      <c r="C2" s="10">
        <v>7.1999999999999995E-2</v>
      </c>
      <c r="D2" s="10">
        <v>8.4199999999999997E-2</v>
      </c>
      <c r="E2" s="10">
        <v>8.4099999999999994E-2</v>
      </c>
      <c r="F2" s="10">
        <v>7.4690000000000006E-2</v>
      </c>
      <c r="G2" s="57"/>
      <c r="H2" s="54"/>
      <c r="I2" s="54"/>
      <c r="J2" s="58"/>
      <c r="K2" s="58"/>
      <c r="L2" s="58"/>
      <c r="M2" s="55"/>
      <c r="N2" s="52"/>
      <c r="O2" s="52"/>
      <c r="P2" s="52"/>
      <c r="Q2" s="51"/>
      <c r="R2" s="51"/>
      <c r="S2" s="51"/>
      <c r="T2" s="51"/>
    </row>
    <row r="3" spans="1:20" x14ac:dyDescent="0.25">
      <c r="A3" s="1">
        <v>45630</v>
      </c>
      <c r="B3" s="1" t="str">
        <f t="shared" ref="B3:B23" si="0">_xlfn.CONCAT(TEXT(YEAR(A3),"0000"),TEXT(MONTH(A3),"00"))</f>
        <v>202412</v>
      </c>
      <c r="C3" s="2">
        <v>80227234.988000005</v>
      </c>
      <c r="D3" s="2">
        <v>0</v>
      </c>
      <c r="E3" s="2">
        <v>0</v>
      </c>
      <c r="F3" s="2">
        <v>0</v>
      </c>
      <c r="G3" s="2">
        <f t="shared" ref="G3:G34" si="1">SUM(C3:F3)</f>
        <v>80227234.988000005</v>
      </c>
      <c r="H3" s="2">
        <v>80227234.988000005</v>
      </c>
      <c r="I3" s="2">
        <v>0</v>
      </c>
      <c r="J3" s="2">
        <v>0</v>
      </c>
      <c r="K3" s="2">
        <v>0</v>
      </c>
      <c r="L3" s="2">
        <v>0</v>
      </c>
      <c r="M3" s="11">
        <v>1</v>
      </c>
      <c r="N3" s="12">
        <v>0</v>
      </c>
      <c r="O3" s="12">
        <v>0</v>
      </c>
      <c r="P3" s="12">
        <v>0</v>
      </c>
      <c r="Q3" s="5">
        <v>0</v>
      </c>
      <c r="R3" s="19">
        <v>0</v>
      </c>
      <c r="S3" s="19">
        <v>0</v>
      </c>
      <c r="T3" s="19" t="s">
        <v>53</v>
      </c>
    </row>
    <row r="4" spans="1:20" x14ac:dyDescent="0.25">
      <c r="A4" s="1">
        <v>45631</v>
      </c>
      <c r="B4" s="1" t="str">
        <f t="shared" si="0"/>
        <v>202412</v>
      </c>
      <c r="C4" s="2">
        <f>C3*(1+((1+VLOOKUP($B4,'IPCA Hist'!$B:$C,2,0))^12 - 1)+$C$2)^(1/252)</f>
        <v>80267901.203063652</v>
      </c>
      <c r="D4" s="2">
        <v>0</v>
      </c>
      <c r="E4" s="2">
        <v>0</v>
      </c>
      <c r="F4" s="2">
        <v>0</v>
      </c>
      <c r="G4" s="2">
        <f t="shared" si="1"/>
        <v>80267901.203063652</v>
      </c>
      <c r="H4" s="2">
        <v>0</v>
      </c>
      <c r="I4" s="2">
        <v>0</v>
      </c>
      <c r="J4" s="2">
        <f t="shared" ref="J4:J28" si="2">G4-G3-H4+I4</f>
        <v>40666.215063646436</v>
      </c>
      <c r="K4" s="2">
        <f t="shared" ref="K4:K35" si="3">IF(MONTH(A4)=MONTH(A3),J4+K3,J4)</f>
        <v>40666.215063646436</v>
      </c>
      <c r="L4" s="2">
        <f t="shared" ref="L4:L35" si="4">IF(YEAR(A4)=YEAR(A3),J4+L3,J4)</f>
        <v>40666.215063646436</v>
      </c>
      <c r="M4" s="11">
        <f t="shared" ref="M4:M24" si="5">(1+(G4-G3-H4+I4)/G3)*M3</f>
        <v>1.0005068879049581</v>
      </c>
      <c r="N4" s="12">
        <f t="shared" ref="N4:N24" si="6">M4/M3 - 1</f>
        <v>5.0688790495811986E-4</v>
      </c>
      <c r="O4" s="12">
        <f t="shared" ref="O4:O35" si="7">IF(MONTH(A4)=MONTH(A3),(1+N4)*(1+O3) - 1,N4)</f>
        <v>5.0688790495811986E-4</v>
      </c>
      <c r="P4" s="12">
        <f t="shared" ref="P4:P35" si="8">IF(YEAR(A4)=YEAR(A3),(1+N4)*(1+P3) - 1,N4)</f>
        <v>5.0688790495811986E-4</v>
      </c>
      <c r="Q4" s="5">
        <f t="shared" ref="Q4:Q24" si="9">(1+N4)*(1+Q3) - 1</f>
        <v>5.0688790495811986E-4</v>
      </c>
      <c r="R4" s="19" t="e">
        <f>M4/#REF! - 1</f>
        <v>#REF!</v>
      </c>
      <c r="S4" s="19" t="e">
        <f>M4/#REF! - 1</f>
        <v>#REF!</v>
      </c>
      <c r="T4" s="19" t="s">
        <v>53</v>
      </c>
    </row>
    <row r="5" spans="1:20" x14ac:dyDescent="0.25">
      <c r="A5" s="1">
        <v>45632</v>
      </c>
      <c r="B5" s="1" t="str">
        <f t="shared" si="0"/>
        <v>202412</v>
      </c>
      <c r="C5" s="2">
        <f>C4*(1+((1+VLOOKUP($B5,'IPCA Hist'!$B:$C,2,0))^12 - 1)+$C$2)^(1/252)</f>
        <v>80308588.031339854</v>
      </c>
      <c r="D5" s="2">
        <v>0</v>
      </c>
      <c r="E5" s="2">
        <v>0</v>
      </c>
      <c r="F5" s="2">
        <v>0</v>
      </c>
      <c r="G5" s="2">
        <f t="shared" si="1"/>
        <v>80308588.031339854</v>
      </c>
      <c r="H5" s="2">
        <v>0</v>
      </c>
      <c r="I5" s="2">
        <v>0</v>
      </c>
      <c r="J5" s="2">
        <f t="shared" si="2"/>
        <v>40686.828276202083</v>
      </c>
      <c r="K5" s="2">
        <f t="shared" si="3"/>
        <v>81353.043339848518</v>
      </c>
      <c r="L5" s="2">
        <f t="shared" si="4"/>
        <v>81353.043339848518</v>
      </c>
      <c r="M5" s="11">
        <f t="shared" si="5"/>
        <v>1.0010140327452643</v>
      </c>
      <c r="N5" s="12">
        <f t="shared" si="6"/>
        <v>5.0688790495811986E-4</v>
      </c>
      <c r="O5" s="12">
        <f t="shared" si="7"/>
        <v>1.0140327452643483E-3</v>
      </c>
      <c r="P5" s="12">
        <f t="shared" si="8"/>
        <v>1.0140327452643483E-3</v>
      </c>
      <c r="Q5" s="5">
        <f t="shared" si="9"/>
        <v>1.0140327452643483E-3</v>
      </c>
      <c r="R5" s="19" t="e">
        <f>M5/#REF! - 1</f>
        <v>#REF!</v>
      </c>
      <c r="S5" s="19" t="e">
        <f>M5/#REF! - 1</f>
        <v>#REF!</v>
      </c>
      <c r="T5" s="19" t="s">
        <v>53</v>
      </c>
    </row>
    <row r="6" spans="1:20" x14ac:dyDescent="0.25">
      <c r="A6" s="1">
        <v>45635</v>
      </c>
      <c r="B6" s="1" t="str">
        <f t="shared" si="0"/>
        <v>202412</v>
      </c>
      <c r="C6" s="2">
        <f>C5*(1+((1+VLOOKUP($B6,'IPCA Hist'!$B:$C,2,0))^12 - 1)+$C$2)^(1/252)</f>
        <v>80349295.483277202</v>
      </c>
      <c r="D6" s="2">
        <v>0</v>
      </c>
      <c r="E6" s="2">
        <v>0</v>
      </c>
      <c r="F6" s="2">
        <v>0</v>
      </c>
      <c r="G6" s="2">
        <f t="shared" si="1"/>
        <v>80349295.483277202</v>
      </c>
      <c r="H6" s="2">
        <v>0</v>
      </c>
      <c r="I6" s="2">
        <v>0</v>
      </c>
      <c r="J6" s="2">
        <f t="shared" si="2"/>
        <v>40707.451937347651</v>
      </c>
      <c r="K6" s="2">
        <f t="shared" si="3"/>
        <v>122060.49527719617</v>
      </c>
      <c r="L6" s="2">
        <f t="shared" si="4"/>
        <v>122060.49527719617</v>
      </c>
      <c r="M6" s="11">
        <f t="shared" si="5"/>
        <v>1.0015214346511563</v>
      </c>
      <c r="N6" s="12">
        <f t="shared" si="6"/>
        <v>5.0688790495811986E-4</v>
      </c>
      <c r="O6" s="12">
        <f t="shared" si="7"/>
        <v>1.5214346511562837E-3</v>
      </c>
      <c r="P6" s="12">
        <f t="shared" si="8"/>
        <v>1.5214346511562837E-3</v>
      </c>
      <c r="Q6" s="5">
        <f t="shared" si="9"/>
        <v>1.5214346511562837E-3</v>
      </c>
      <c r="R6" s="19" t="e">
        <f>M6/#REF! - 1</f>
        <v>#REF!</v>
      </c>
      <c r="S6" s="19" t="e">
        <f>M6/#REF! - 1</f>
        <v>#REF!</v>
      </c>
      <c r="T6" s="19" t="s">
        <v>53</v>
      </c>
    </row>
    <row r="7" spans="1:20" x14ac:dyDescent="0.25">
      <c r="A7" s="1">
        <v>45636</v>
      </c>
      <c r="B7" s="1" t="str">
        <f t="shared" si="0"/>
        <v>202412</v>
      </c>
      <c r="C7" s="2">
        <f>C6*(1+((1+VLOOKUP($B7,'IPCA Hist'!$B:$C,2,0))^12 - 1)+$C$2)^(1/252)</f>
        <v>80390023.569329575</v>
      </c>
      <c r="D7" s="2">
        <v>0</v>
      </c>
      <c r="E7" s="2">
        <v>0</v>
      </c>
      <c r="F7" s="2">
        <v>0</v>
      </c>
      <c r="G7" s="2">
        <f t="shared" si="1"/>
        <v>80390023.569329575</v>
      </c>
      <c r="H7" s="2">
        <v>0</v>
      </c>
      <c r="I7" s="2">
        <v>0</v>
      </c>
      <c r="J7" s="2">
        <f t="shared" si="2"/>
        <v>40728.086052373052</v>
      </c>
      <c r="K7" s="2">
        <f t="shared" si="3"/>
        <v>162788.58132956922</v>
      </c>
      <c r="L7" s="2">
        <f t="shared" si="4"/>
        <v>162788.58132956922</v>
      </c>
      <c r="M7" s="11">
        <f t="shared" si="5"/>
        <v>1.0020290937529372</v>
      </c>
      <c r="N7" s="12">
        <f t="shared" si="6"/>
        <v>5.0688790495811986E-4</v>
      </c>
      <c r="O7" s="12">
        <f t="shared" si="7"/>
        <v>2.0290937529372499E-3</v>
      </c>
      <c r="P7" s="12">
        <f t="shared" si="8"/>
        <v>2.0290937529372499E-3</v>
      </c>
      <c r="Q7" s="5">
        <f t="shared" si="9"/>
        <v>2.0290937529372499E-3</v>
      </c>
      <c r="R7" s="19" t="e">
        <f>M7/#REF! - 1</f>
        <v>#REF!</v>
      </c>
      <c r="S7" s="19" t="e">
        <f>M7/#REF! - 1</f>
        <v>#REF!</v>
      </c>
      <c r="T7" s="19" t="s">
        <v>53</v>
      </c>
    </row>
    <row r="8" spans="1:20" x14ac:dyDescent="0.25">
      <c r="A8" s="1">
        <v>45637</v>
      </c>
      <c r="B8" s="1" t="str">
        <f t="shared" si="0"/>
        <v>202412</v>
      </c>
      <c r="C8" s="2">
        <f>C7*(1+((1+VLOOKUP($B8,'IPCA Hist'!$B:$C,2,0))^12 - 1)+$C$2)^(1/252)</f>
        <v>80430772.299956173</v>
      </c>
      <c r="D8" s="2">
        <v>0</v>
      </c>
      <c r="E8" s="2">
        <v>0</v>
      </c>
      <c r="F8" s="2">
        <v>0</v>
      </c>
      <c r="G8" s="2">
        <f t="shared" si="1"/>
        <v>80430772.299956173</v>
      </c>
      <c r="H8" s="2">
        <v>0</v>
      </c>
      <c r="I8" s="2">
        <v>0</v>
      </c>
      <c r="J8" s="2">
        <f t="shared" si="2"/>
        <v>40748.730626598001</v>
      </c>
      <c r="K8" s="2">
        <f t="shared" si="3"/>
        <v>203537.31195616722</v>
      </c>
      <c r="L8" s="2">
        <f t="shared" si="4"/>
        <v>203537.31195616722</v>
      </c>
      <c r="M8" s="11">
        <f t="shared" si="5"/>
        <v>1.0025370101809767</v>
      </c>
      <c r="N8" s="12">
        <f t="shared" si="6"/>
        <v>5.0688790495811986E-4</v>
      </c>
      <c r="O8" s="12">
        <f t="shared" si="7"/>
        <v>2.5370101809767398E-3</v>
      </c>
      <c r="P8" s="12">
        <f t="shared" si="8"/>
        <v>2.5370101809767398E-3</v>
      </c>
      <c r="Q8" s="5">
        <f t="shared" si="9"/>
        <v>2.5370101809767398E-3</v>
      </c>
      <c r="R8" s="19" t="e">
        <f>M8/#REF! - 1</f>
        <v>#REF!</v>
      </c>
      <c r="S8" s="19" t="e">
        <f>M8/#REF! - 1</f>
        <v>#REF!</v>
      </c>
      <c r="T8" s="19" t="s">
        <v>53</v>
      </c>
    </row>
    <row r="9" spans="1:20" x14ac:dyDescent="0.25">
      <c r="A9" s="1">
        <v>45638</v>
      </c>
      <c r="B9" s="1" t="str">
        <f t="shared" si="0"/>
        <v>202412</v>
      </c>
      <c r="C9" s="2">
        <f>C8*(1+((1+VLOOKUP($B9,'IPCA Hist'!$B:$C,2,0))^12 - 1)+$C$2)^(1/252)</f>
        <v>80471541.685621455</v>
      </c>
      <c r="D9" s="2">
        <v>0</v>
      </c>
      <c r="E9" s="2">
        <v>0</v>
      </c>
      <c r="F9" s="2">
        <v>0</v>
      </c>
      <c r="G9" s="2">
        <f t="shared" si="1"/>
        <v>80471541.685621455</v>
      </c>
      <c r="H9" s="2">
        <v>0</v>
      </c>
      <c r="I9" s="2">
        <v>0</v>
      </c>
      <c r="J9" s="2">
        <f t="shared" si="2"/>
        <v>40769.385665282607</v>
      </c>
      <c r="K9" s="2">
        <f t="shared" si="3"/>
        <v>244306.69762144983</v>
      </c>
      <c r="L9" s="2">
        <f t="shared" si="4"/>
        <v>244306.69762144983</v>
      </c>
      <c r="M9" s="11">
        <f t="shared" si="5"/>
        <v>1.0030451840657104</v>
      </c>
      <c r="N9" s="12">
        <f t="shared" si="6"/>
        <v>5.0688790495811986E-4</v>
      </c>
      <c r="O9" s="12">
        <f t="shared" si="7"/>
        <v>3.0451840657104157E-3</v>
      </c>
      <c r="P9" s="12">
        <f t="shared" si="8"/>
        <v>3.0451840657104157E-3</v>
      </c>
      <c r="Q9" s="5">
        <f t="shared" si="9"/>
        <v>3.0451840657104157E-3</v>
      </c>
      <c r="R9" s="19" t="e">
        <f>M9/#REF! - 1</f>
        <v>#REF!</v>
      </c>
      <c r="S9" s="19" t="e">
        <f>M9/#REF! - 1</f>
        <v>#REF!</v>
      </c>
      <c r="T9" s="19" t="s">
        <v>53</v>
      </c>
    </row>
    <row r="10" spans="1:20" x14ac:dyDescent="0.25">
      <c r="A10" s="1">
        <v>45639</v>
      </c>
      <c r="B10" s="1" t="str">
        <f t="shared" si="0"/>
        <v>202412</v>
      </c>
      <c r="C10" s="2">
        <f>C9*(1+((1+VLOOKUP($B10,'IPCA Hist'!$B:$C,2,0))^12 - 1)+$C$2)^(1/252)</f>
        <v>80512331.736795232</v>
      </c>
      <c r="D10" s="2">
        <v>0</v>
      </c>
      <c r="E10" s="2">
        <v>0</v>
      </c>
      <c r="F10" s="2">
        <v>0</v>
      </c>
      <c r="G10" s="2">
        <f t="shared" si="1"/>
        <v>80512331.736795232</v>
      </c>
      <c r="H10" s="2">
        <v>0</v>
      </c>
      <c r="I10" s="2">
        <v>0</v>
      </c>
      <c r="J10" s="2">
        <f t="shared" si="2"/>
        <v>40790.051173776388</v>
      </c>
      <c r="K10" s="2">
        <f t="shared" si="3"/>
        <v>285096.74879522622</v>
      </c>
      <c r="L10" s="2">
        <f t="shared" si="4"/>
        <v>285096.74879522622</v>
      </c>
      <c r="M10" s="11">
        <f t="shared" si="5"/>
        <v>1.0035536155376399</v>
      </c>
      <c r="N10" s="12">
        <f t="shared" si="6"/>
        <v>5.0688790495811986E-4</v>
      </c>
      <c r="O10" s="12">
        <f t="shared" si="7"/>
        <v>3.553615537639887E-3</v>
      </c>
      <c r="P10" s="12">
        <f t="shared" si="8"/>
        <v>3.553615537639887E-3</v>
      </c>
      <c r="Q10" s="5">
        <f t="shared" si="9"/>
        <v>3.553615537639887E-3</v>
      </c>
      <c r="R10" s="19" t="e">
        <f>M10/#REF! - 1</f>
        <v>#REF!</v>
      </c>
      <c r="S10" s="19" t="e">
        <f>M10/#REF! - 1</f>
        <v>#REF!</v>
      </c>
      <c r="T10" s="19" t="s">
        <v>53</v>
      </c>
    </row>
    <row r="11" spans="1:20" x14ac:dyDescent="0.25">
      <c r="A11" s="1">
        <v>45642</v>
      </c>
      <c r="B11" s="1" t="str">
        <f t="shared" si="0"/>
        <v>202412</v>
      </c>
      <c r="C11" s="2">
        <f>C10*(1+((1+VLOOKUP($B11,'IPCA Hist'!$B:$C,2,0))^12 - 1)+$C$2)^(1/252)</f>
        <v>80553142.463952586</v>
      </c>
      <c r="D11" s="2">
        <v>0</v>
      </c>
      <c r="E11" s="2">
        <v>0</v>
      </c>
      <c r="F11" s="2">
        <v>0</v>
      </c>
      <c r="G11" s="2">
        <f t="shared" si="1"/>
        <v>80553142.463952586</v>
      </c>
      <c r="H11" s="2">
        <v>0</v>
      </c>
      <c r="I11" s="2">
        <v>0</v>
      </c>
      <c r="J11" s="2">
        <f t="shared" si="2"/>
        <v>40810.727157354355</v>
      </c>
      <c r="K11" s="2">
        <f t="shared" si="3"/>
        <v>325907.47595258057</v>
      </c>
      <c r="L11" s="2">
        <f t="shared" si="4"/>
        <v>325907.47595258057</v>
      </c>
      <c r="M11" s="11">
        <f t="shared" si="5"/>
        <v>1.0040623047273329</v>
      </c>
      <c r="N11" s="12">
        <f t="shared" si="6"/>
        <v>5.0688790495811986E-4</v>
      </c>
      <c r="O11" s="12">
        <f t="shared" si="7"/>
        <v>4.0623047273329327E-3</v>
      </c>
      <c r="P11" s="12">
        <f t="shared" si="8"/>
        <v>4.0623047273329327E-3</v>
      </c>
      <c r="Q11" s="5">
        <f t="shared" si="9"/>
        <v>4.0623047273329327E-3</v>
      </c>
      <c r="R11" s="19" t="e">
        <f>M11/#REF! - 1</f>
        <v>#REF!</v>
      </c>
      <c r="S11" s="19" t="e">
        <f>M11/#REF! - 1</f>
        <v>#REF!</v>
      </c>
      <c r="T11" s="19" t="s">
        <v>53</v>
      </c>
    </row>
    <row r="12" spans="1:20" x14ac:dyDescent="0.25">
      <c r="A12" s="1">
        <v>45643</v>
      </c>
      <c r="B12" s="1" t="str">
        <f t="shared" si="0"/>
        <v>202412</v>
      </c>
      <c r="C12" s="2">
        <f>C11*(1+((1+VLOOKUP($B12,'IPCA Hist'!$B:$C,2,0))^12 - 1)+$C$2)^(1/252)</f>
        <v>80593973.877573937</v>
      </c>
      <c r="D12" s="2">
        <v>0</v>
      </c>
      <c r="E12" s="2">
        <v>0</v>
      </c>
      <c r="F12" s="2">
        <v>0</v>
      </c>
      <c r="G12" s="2">
        <f t="shared" si="1"/>
        <v>80593973.877573937</v>
      </c>
      <c r="H12" s="2">
        <v>0</v>
      </c>
      <c r="I12" s="2">
        <v>0</v>
      </c>
      <c r="J12" s="2">
        <f t="shared" si="2"/>
        <v>40831.413621351123</v>
      </c>
      <c r="K12" s="2">
        <f t="shared" si="3"/>
        <v>366738.88957393169</v>
      </c>
      <c r="L12" s="2">
        <f t="shared" si="4"/>
        <v>366738.88957393169</v>
      </c>
      <c r="M12" s="11">
        <f t="shared" si="5"/>
        <v>1.0045712517654235</v>
      </c>
      <c r="N12" s="12">
        <f t="shared" si="6"/>
        <v>5.0688790495811986E-4</v>
      </c>
      <c r="O12" s="12">
        <f t="shared" si="7"/>
        <v>4.5712517654235008E-3</v>
      </c>
      <c r="P12" s="12">
        <f t="shared" si="8"/>
        <v>4.5712517654235008E-3</v>
      </c>
      <c r="Q12" s="5">
        <f t="shared" si="9"/>
        <v>4.5712517654235008E-3</v>
      </c>
      <c r="R12" s="19" t="e">
        <f>M12/#REF! - 1</f>
        <v>#REF!</v>
      </c>
      <c r="S12" s="19" t="e">
        <f>M12/#REF! - 1</f>
        <v>#REF!</v>
      </c>
      <c r="T12" s="19" t="s">
        <v>53</v>
      </c>
    </row>
    <row r="13" spans="1:20" x14ac:dyDescent="0.25">
      <c r="A13" s="1">
        <v>45644</v>
      </c>
      <c r="B13" s="1" t="str">
        <f t="shared" si="0"/>
        <v>202412</v>
      </c>
      <c r="C13" s="2">
        <f>C12*(1+((1+VLOOKUP($B13,'IPCA Hist'!$B:$C,2,0))^12 - 1)+$C$2)^(1/252)</f>
        <v>80634825.988144994</v>
      </c>
      <c r="D13" s="2">
        <v>0</v>
      </c>
      <c r="E13" s="2">
        <v>0</v>
      </c>
      <c r="F13" s="2">
        <v>0</v>
      </c>
      <c r="G13" s="2">
        <f t="shared" si="1"/>
        <v>80634825.988144994</v>
      </c>
      <c r="H13" s="2">
        <v>0</v>
      </c>
      <c r="I13" s="2">
        <v>0</v>
      </c>
      <c r="J13" s="2">
        <f t="shared" si="2"/>
        <v>40852.110571056604</v>
      </c>
      <c r="K13" s="2">
        <f t="shared" si="3"/>
        <v>407591.0001449883</v>
      </c>
      <c r="L13" s="2">
        <f t="shared" si="4"/>
        <v>407591.0001449883</v>
      </c>
      <c r="M13" s="11">
        <f t="shared" si="5"/>
        <v>1.0050804567826119</v>
      </c>
      <c r="N13" s="12">
        <f t="shared" si="6"/>
        <v>5.0688790495811986E-4</v>
      </c>
      <c r="O13" s="12">
        <f t="shared" si="7"/>
        <v>5.0804567826119307E-3</v>
      </c>
      <c r="P13" s="12">
        <f t="shared" si="8"/>
        <v>5.0804567826119307E-3</v>
      </c>
      <c r="Q13" s="5">
        <f t="shared" si="9"/>
        <v>5.0804567826119307E-3</v>
      </c>
      <c r="R13" s="19" t="e">
        <f>M13/#REF! - 1</f>
        <v>#REF!</v>
      </c>
      <c r="S13" s="19" t="e">
        <f>M13/#REF! - 1</f>
        <v>#REF!</v>
      </c>
      <c r="T13" s="19" t="s">
        <v>53</v>
      </c>
    </row>
    <row r="14" spans="1:20" x14ac:dyDescent="0.25">
      <c r="A14" s="1">
        <v>45645</v>
      </c>
      <c r="B14" s="1" t="str">
        <f t="shared" si="0"/>
        <v>202412</v>
      </c>
      <c r="C14" s="2">
        <f>C13*(1+((1+VLOOKUP($B14,'IPCA Hist'!$B:$C,2,0))^12 - 1)+$C$2)^(1/252)</f>
        <v>80675698.806156784</v>
      </c>
      <c r="D14" s="2">
        <v>40465286.780000001</v>
      </c>
      <c r="E14" s="2">
        <v>40479654.43</v>
      </c>
      <c r="F14" s="2">
        <v>0</v>
      </c>
      <c r="G14" s="2">
        <f t="shared" si="1"/>
        <v>161620640.01615679</v>
      </c>
      <c r="H14" s="2">
        <v>80944941.210000008</v>
      </c>
      <c r="I14" s="2">
        <v>0</v>
      </c>
      <c r="J14" s="2">
        <f t="shared" si="2"/>
        <v>40872.818011790514</v>
      </c>
      <c r="K14" s="2">
        <f t="shared" si="3"/>
        <v>448463.81815677881</v>
      </c>
      <c r="L14" s="2">
        <f t="shared" si="4"/>
        <v>448463.81815677881</v>
      </c>
      <c r="M14" s="11">
        <f t="shared" si="5"/>
        <v>1.0055899199096647</v>
      </c>
      <c r="N14" s="12">
        <f t="shared" si="6"/>
        <v>5.0688790495811986E-4</v>
      </c>
      <c r="O14" s="12">
        <f t="shared" si="7"/>
        <v>5.5899199096647312E-3</v>
      </c>
      <c r="P14" s="12">
        <f t="shared" si="8"/>
        <v>5.5899199096647312E-3</v>
      </c>
      <c r="Q14" s="5">
        <f t="shared" si="9"/>
        <v>5.5899199096647312E-3</v>
      </c>
      <c r="R14" s="19" t="e">
        <f>M14/#REF! - 1</f>
        <v>#REF!</v>
      </c>
      <c r="S14" s="19" t="e">
        <f>M14/#REF! - 1</f>
        <v>#REF!</v>
      </c>
      <c r="T14" s="19" t="s">
        <v>53</v>
      </c>
    </row>
    <row r="15" spans="1:20" x14ac:dyDescent="0.25">
      <c r="A15" s="1">
        <v>45646</v>
      </c>
      <c r="B15" s="1" t="str">
        <f t="shared" si="0"/>
        <v>202412</v>
      </c>
      <c r="C15" s="2">
        <f>C14*(1+((1+VLOOKUP($B15,'IPCA Hist'!$B:$C,2,0))^12 - 1)+$C$2)^(1/252)</f>
        <v>80716592.342105672</v>
      </c>
      <c r="D15" s="2">
        <f>D14*(1+((1+VLOOKUP($B15,'IPCA Hist'!$B:$C,2,0))^12 - 1)+$D$2)^(1/252)</f>
        <v>40487514.033043988</v>
      </c>
      <c r="E15" s="2">
        <f>E14*(1+((1+VLOOKUP($B15,'IPCA Hist'!$B:$C,2,0))^12 - 1)+$E$2)^(1/252)</f>
        <v>40501875.579385623</v>
      </c>
      <c r="F15" s="2">
        <v>0</v>
      </c>
      <c r="G15" s="2">
        <f t="shared" si="1"/>
        <v>161705981.95453531</v>
      </c>
      <c r="H15" s="2">
        <v>0</v>
      </c>
      <c r="I15" s="2">
        <v>0</v>
      </c>
      <c r="J15" s="2">
        <f t="shared" si="2"/>
        <v>85341.938378512859</v>
      </c>
      <c r="K15" s="2">
        <f t="shared" si="3"/>
        <v>533805.75653529167</v>
      </c>
      <c r="L15" s="2">
        <f t="shared" si="4"/>
        <v>533805.75653529167</v>
      </c>
      <c r="M15" s="11">
        <f t="shared" si="5"/>
        <v>1.0061209102149278</v>
      </c>
      <c r="N15" s="12">
        <f t="shared" si="6"/>
        <v>5.2803861171435429E-4</v>
      </c>
      <c r="O15" s="12">
        <f t="shared" si="7"/>
        <v>6.1209102149277772E-3</v>
      </c>
      <c r="P15" s="12">
        <f t="shared" si="8"/>
        <v>6.1209102149277772E-3</v>
      </c>
      <c r="Q15" s="5">
        <f t="shared" si="9"/>
        <v>6.1209102149277772E-3</v>
      </c>
      <c r="R15" s="19" t="e">
        <f>M15/#REF! - 1</f>
        <v>#REF!</v>
      </c>
      <c r="S15" s="19" t="e">
        <f>M15/#REF! - 1</f>
        <v>#REF!</v>
      </c>
      <c r="T15" s="19" t="s">
        <v>53</v>
      </c>
    </row>
    <row r="16" spans="1:20" x14ac:dyDescent="0.25">
      <c r="A16" s="1">
        <v>45649</v>
      </c>
      <c r="B16" s="1" t="str">
        <f t="shared" si="0"/>
        <v>202412</v>
      </c>
      <c r="C16" s="2">
        <f>C15*(1+((1+VLOOKUP($B16,'IPCA Hist'!$B:$C,2,0))^12 - 1)+$C$2)^(1/252)</f>
        <v>80757506.606493324</v>
      </c>
      <c r="D16" s="2">
        <f>D15*(1+((1+VLOOKUP($B16,'IPCA Hist'!$B:$C,2,0))^12 - 1)+$D$2)^(1/252)</f>
        <v>40509753.49533736</v>
      </c>
      <c r="E16" s="2">
        <f>E15*(1+((1+VLOOKUP($B16,'IPCA Hist'!$B:$C,2,0))^12 - 1)+$E$2)^(1/252)</f>
        <v>40524108.926985063</v>
      </c>
      <c r="F16" s="2">
        <v>0</v>
      </c>
      <c r="G16" s="2">
        <f t="shared" si="1"/>
        <v>161791369.02881575</v>
      </c>
      <c r="H16" s="2">
        <v>0</v>
      </c>
      <c r="I16" s="2">
        <v>0</v>
      </c>
      <c r="J16" s="2">
        <f t="shared" si="2"/>
        <v>85387.074280440807</v>
      </c>
      <c r="K16" s="2">
        <f t="shared" si="3"/>
        <v>619192.83081573248</v>
      </c>
      <c r="L16" s="2">
        <f t="shared" si="4"/>
        <v>619192.83081573248</v>
      </c>
      <c r="M16" s="11">
        <f t="shared" si="5"/>
        <v>1.006652181351946</v>
      </c>
      <c r="N16" s="12">
        <f t="shared" si="6"/>
        <v>5.2803905735809842E-4</v>
      </c>
      <c r="O16" s="12">
        <f t="shared" si="7"/>
        <v>6.6521813519460071E-3</v>
      </c>
      <c r="P16" s="12">
        <f t="shared" si="8"/>
        <v>6.6521813519460071E-3</v>
      </c>
      <c r="Q16" s="5">
        <f t="shared" si="9"/>
        <v>6.6521813519460071E-3</v>
      </c>
      <c r="R16" s="19" t="e">
        <f>M16/#REF! - 1</f>
        <v>#REF!</v>
      </c>
      <c r="S16" s="19" t="e">
        <f>M16/#REF! - 1</f>
        <v>#REF!</v>
      </c>
      <c r="T16" s="19" t="s">
        <v>53</v>
      </c>
    </row>
    <row r="17" spans="1:20" x14ac:dyDescent="0.25">
      <c r="A17" s="1">
        <v>45650</v>
      </c>
      <c r="B17" s="1" t="str">
        <f t="shared" si="0"/>
        <v>202412</v>
      </c>
      <c r="C17" s="2">
        <f>C16*(1+((1+VLOOKUP($B17,'IPCA Hist'!$B:$C,2,0))^12 - 1)+$C$2)^(1/252)</f>
        <v>80798441.609826729</v>
      </c>
      <c r="D17" s="2">
        <f>D16*(1+((1+VLOOKUP($B17,'IPCA Hist'!$B:$C,2,0))^12 - 1)+$D$2)^(1/252)</f>
        <v>40532005.173586562</v>
      </c>
      <c r="E17" s="2">
        <f>E16*(1+((1+VLOOKUP($B17,'IPCA Hist'!$B:$C,2,0))^12 - 1)+$E$2)^(1/252)</f>
        <v>40546354.479494482</v>
      </c>
      <c r="F17" s="2">
        <v>0</v>
      </c>
      <c r="G17" s="2">
        <f t="shared" si="1"/>
        <v>161876801.26290777</v>
      </c>
      <c r="H17" s="2">
        <v>0</v>
      </c>
      <c r="I17" s="2">
        <v>0</v>
      </c>
      <c r="J17" s="2">
        <f t="shared" si="2"/>
        <v>85432.234092026949</v>
      </c>
      <c r="K17" s="2">
        <f t="shared" si="3"/>
        <v>704625.06490775943</v>
      </c>
      <c r="L17" s="2">
        <f t="shared" si="4"/>
        <v>704625.06490775943</v>
      </c>
      <c r="M17" s="11">
        <f t="shared" si="5"/>
        <v>1.0071837334694833</v>
      </c>
      <c r="N17" s="12">
        <f t="shared" si="6"/>
        <v>5.2803950300228664E-4</v>
      </c>
      <c r="O17" s="12">
        <f t="shared" si="7"/>
        <v>7.183733469483311E-3</v>
      </c>
      <c r="P17" s="12">
        <f t="shared" si="8"/>
        <v>7.183733469483311E-3</v>
      </c>
      <c r="Q17" s="5">
        <f t="shared" si="9"/>
        <v>7.183733469483311E-3</v>
      </c>
      <c r="R17" s="19" t="e">
        <f>M17/#REF! - 1</f>
        <v>#REF!</v>
      </c>
      <c r="S17" s="19" t="e">
        <f>M17/#REF! - 1</f>
        <v>#REF!</v>
      </c>
      <c r="T17" s="19" t="s">
        <v>53</v>
      </c>
    </row>
    <row r="18" spans="1:20" x14ac:dyDescent="0.25">
      <c r="A18" s="1">
        <v>45652</v>
      </c>
      <c r="B18" s="1" t="str">
        <f t="shared" si="0"/>
        <v>202412</v>
      </c>
      <c r="C18" s="2">
        <f>C17*(1+((1+VLOOKUP($B18,'IPCA Hist'!$B:$C,2,0))^12 - 1)+$C$2)^(1/252)</f>
        <v>80839397.362618208</v>
      </c>
      <c r="D18" s="2">
        <f>D17*(1+((1+VLOOKUP($B18,'IPCA Hist'!$B:$C,2,0))^12 - 1)+$D$2)^(1/252)</f>
        <v>40554269.074501723</v>
      </c>
      <c r="E18" s="2">
        <f>E17*(1+((1+VLOOKUP($B18,'IPCA Hist'!$B:$C,2,0))^12 - 1)+$E$2)^(1/252)</f>
        <v>40568612.24361372</v>
      </c>
      <c r="F18" s="2">
        <v>0</v>
      </c>
      <c r="G18" s="2">
        <f t="shared" si="1"/>
        <v>161962278.68073365</v>
      </c>
      <c r="H18" s="2">
        <v>0</v>
      </c>
      <c r="I18" s="2">
        <v>0</v>
      </c>
      <c r="J18" s="2">
        <f t="shared" si="2"/>
        <v>85477.417825877666</v>
      </c>
      <c r="K18" s="2">
        <f t="shared" si="3"/>
        <v>790102.48273363709</v>
      </c>
      <c r="L18" s="2">
        <f t="shared" si="4"/>
        <v>790102.48273363709</v>
      </c>
      <c r="M18" s="11">
        <f t="shared" si="5"/>
        <v>1.007715566716382</v>
      </c>
      <c r="N18" s="12">
        <f t="shared" si="6"/>
        <v>5.2803994864625281E-4</v>
      </c>
      <c r="O18" s="12">
        <f t="shared" si="7"/>
        <v>7.7155667163819608E-3</v>
      </c>
      <c r="P18" s="12">
        <f t="shared" si="8"/>
        <v>7.7155667163819608E-3</v>
      </c>
      <c r="Q18" s="5">
        <f t="shared" si="9"/>
        <v>7.7155667163819608E-3</v>
      </c>
      <c r="R18" s="19" t="e">
        <f>M18/#REF! - 1</f>
        <v>#REF!</v>
      </c>
      <c r="S18" s="19" t="e">
        <f>M18/#REF! - 1</f>
        <v>#REF!</v>
      </c>
      <c r="T18" s="19" t="s">
        <v>53</v>
      </c>
    </row>
    <row r="19" spans="1:20" x14ac:dyDescent="0.25">
      <c r="A19" s="1">
        <v>45653</v>
      </c>
      <c r="B19" s="1" t="str">
        <f t="shared" si="0"/>
        <v>202412</v>
      </c>
      <c r="C19" s="2">
        <f>C18*(1+((1+VLOOKUP($B19,'IPCA Hist'!$B:$C,2,0))^12 - 1)+$C$2)^(1/252)</f>
        <v>80880373.875385419</v>
      </c>
      <c r="D19" s="2">
        <f>D18*(1+((1+VLOOKUP($B19,'IPCA Hist'!$B:$C,2,0))^12 - 1)+$D$2)^(1/252)</f>
        <v>40576545.20479665</v>
      </c>
      <c r="E19" s="2">
        <f>E18*(1+((1+VLOOKUP($B19,'IPCA Hist'!$B:$C,2,0))^12 - 1)+$E$2)^(1/252)</f>
        <v>40590882.226046294</v>
      </c>
      <c r="F19" s="2">
        <v>0</v>
      </c>
      <c r="G19" s="2">
        <f t="shared" si="1"/>
        <v>162047801.30622837</v>
      </c>
      <c r="H19" s="2">
        <v>0</v>
      </c>
      <c r="I19" s="2">
        <v>0</v>
      </c>
      <c r="J19" s="2">
        <f t="shared" si="2"/>
        <v>85522.625494718552</v>
      </c>
      <c r="K19" s="2">
        <f t="shared" si="3"/>
        <v>875625.10822835565</v>
      </c>
      <c r="L19" s="2">
        <f t="shared" si="4"/>
        <v>875625.10822835565</v>
      </c>
      <c r="M19" s="11">
        <f t="shared" si="5"/>
        <v>1.0082476812415633</v>
      </c>
      <c r="N19" s="12">
        <f t="shared" si="6"/>
        <v>5.2804039429021898E-4</v>
      </c>
      <c r="O19" s="12">
        <f t="shared" si="7"/>
        <v>8.2476812415632761E-3</v>
      </c>
      <c r="P19" s="12">
        <f t="shared" si="8"/>
        <v>8.2476812415632761E-3</v>
      </c>
      <c r="Q19" s="5">
        <f t="shared" si="9"/>
        <v>8.2476812415632761E-3</v>
      </c>
      <c r="R19" s="19" t="e">
        <f>M19/#REF! - 1</f>
        <v>#REF!</v>
      </c>
      <c r="S19" s="19" t="e">
        <f>M19/#REF! - 1</f>
        <v>#REF!</v>
      </c>
      <c r="T19" s="19" t="s">
        <v>53</v>
      </c>
    </row>
    <row r="20" spans="1:20" x14ac:dyDescent="0.25">
      <c r="A20" s="1">
        <v>45656</v>
      </c>
      <c r="B20" s="1" t="str">
        <f t="shared" si="0"/>
        <v>202412</v>
      </c>
      <c r="C20" s="2">
        <f>C19*(1+((1+VLOOKUP($B20,'IPCA Hist'!$B:$C,2,0))^12 - 1)+$C$2)^(1/252)</f>
        <v>80921371.158651337</v>
      </c>
      <c r="D20" s="2">
        <f>D19*(1+((1+VLOOKUP($B20,'IPCA Hist'!$B:$C,2,0))^12 - 1)+$D$2)^(1/252)</f>
        <v>40598833.571188837</v>
      </c>
      <c r="E20" s="2">
        <f>E19*(1+((1+VLOOKUP($B20,'IPCA Hist'!$B:$C,2,0))^12 - 1)+$E$2)^(1/252)</f>
        <v>40613164.433499396</v>
      </c>
      <c r="F20" s="2">
        <v>0</v>
      </c>
      <c r="G20" s="2">
        <f t="shared" si="1"/>
        <v>162133369.16333956</v>
      </c>
      <c r="H20" s="2">
        <v>0</v>
      </c>
      <c r="I20" s="2">
        <v>0</v>
      </c>
      <c r="J20" s="2">
        <f t="shared" si="2"/>
        <v>85567.857111185789</v>
      </c>
      <c r="K20" s="2">
        <f t="shared" si="3"/>
        <v>961192.96533954144</v>
      </c>
      <c r="L20" s="2">
        <f t="shared" si="4"/>
        <v>961192.96533954144</v>
      </c>
      <c r="M20" s="11">
        <f t="shared" si="5"/>
        <v>1.0087800771940276</v>
      </c>
      <c r="N20" s="12">
        <f t="shared" si="6"/>
        <v>5.2804083993396311E-4</v>
      </c>
      <c r="O20" s="12">
        <f t="shared" si="7"/>
        <v>8.7800771940276245E-3</v>
      </c>
      <c r="P20" s="12">
        <f t="shared" si="8"/>
        <v>8.7800771940276245E-3</v>
      </c>
      <c r="Q20" s="5">
        <f t="shared" si="9"/>
        <v>8.7800771940276245E-3</v>
      </c>
      <c r="R20" s="19" t="e">
        <f>M20/#REF! - 1</f>
        <v>#REF!</v>
      </c>
      <c r="S20" s="19" t="e">
        <f>M20/#REF! - 1</f>
        <v>#REF!</v>
      </c>
      <c r="T20" s="19" t="s">
        <v>53</v>
      </c>
    </row>
    <row r="21" spans="1:20" x14ac:dyDescent="0.25">
      <c r="A21" s="1">
        <v>45657</v>
      </c>
      <c r="B21" s="1" t="str">
        <f t="shared" si="0"/>
        <v>202412</v>
      </c>
      <c r="C21" s="2">
        <f>C20*(1+((1+VLOOKUP($B21,'IPCA Hist'!$B:$C,2,0))^12 - 1)+$C$2)^(1/252)</f>
        <v>80962389.222944289</v>
      </c>
      <c r="D21" s="2">
        <f>D20*(1+((1+VLOOKUP($B21,'IPCA Hist'!$B:$C,2,0))^12 - 1)+$D$2)^(1/252)</f>
        <v>40621134.180399477</v>
      </c>
      <c r="E21" s="2">
        <f>E20*(1+((1+VLOOKUP($B21,'IPCA Hist'!$B:$C,2,0))^12 - 1)+$E$2)^(1/252)</f>
        <v>40635458.872683905</v>
      </c>
      <c r="F21" s="2">
        <v>0</v>
      </c>
      <c r="G21" s="2">
        <f t="shared" si="1"/>
        <v>162218982.27602768</v>
      </c>
      <c r="H21" s="2">
        <v>0</v>
      </c>
      <c r="I21" s="2">
        <v>0</v>
      </c>
      <c r="J21" s="2">
        <f t="shared" si="2"/>
        <v>85613.11268812418</v>
      </c>
      <c r="K21" s="2">
        <f t="shared" si="3"/>
        <v>1046806.0780276656</v>
      </c>
      <c r="L21" s="2">
        <f t="shared" si="4"/>
        <v>1046806.0780276656</v>
      </c>
      <c r="M21" s="11">
        <f t="shared" si="5"/>
        <v>1.0093127547228549</v>
      </c>
      <c r="N21" s="12">
        <f t="shared" si="6"/>
        <v>5.2804128557815133E-4</v>
      </c>
      <c r="O21" s="12">
        <f t="shared" si="7"/>
        <v>9.3127547228548657E-3</v>
      </c>
      <c r="P21" s="12">
        <f t="shared" si="8"/>
        <v>9.3127547228548657E-3</v>
      </c>
      <c r="Q21" s="5">
        <f t="shared" si="9"/>
        <v>9.3127547228548657E-3</v>
      </c>
      <c r="R21" s="19" t="e">
        <f>M21/#REF! - 1</f>
        <v>#REF!</v>
      </c>
      <c r="S21" s="19" t="e">
        <f>M21/#REF! - 1</f>
        <v>#REF!</v>
      </c>
      <c r="T21" s="19" t="s">
        <v>53</v>
      </c>
    </row>
    <row r="22" spans="1:20" x14ac:dyDescent="0.25">
      <c r="A22" s="1">
        <v>45659</v>
      </c>
      <c r="B22" s="1" t="str">
        <f t="shared" si="0"/>
        <v>202501</v>
      </c>
      <c r="C22" s="2">
        <f>C21*(1+((1+VLOOKUP($B22,'IPCA Hist'!$B:$C,2,0))^12 - 1)+$C$2)^(1/252)</f>
        <v>80990484.724808857</v>
      </c>
      <c r="D22" s="2">
        <f>D21*(1+((1+VLOOKUP($B22,'IPCA Hist'!$B:$C,2,0))^12 - 1)+$D$2)^(1/252)</f>
        <v>40637023.093348272</v>
      </c>
      <c r="E22" s="2">
        <f>E21*(1+((1+VLOOKUP($B22,'IPCA Hist'!$B:$C,2,0))^12 - 1)+$E$2)^(1/252)</f>
        <v>40651338.770509377</v>
      </c>
      <c r="F22" s="2">
        <v>0</v>
      </c>
      <c r="G22" s="2">
        <f t="shared" si="1"/>
        <v>162278846.5886665</v>
      </c>
      <c r="H22" s="2">
        <v>0</v>
      </c>
      <c r="I22" s="2">
        <v>0</v>
      </c>
      <c r="J22" s="2">
        <f t="shared" si="2"/>
        <v>59864.312638819218</v>
      </c>
      <c r="K22" s="2">
        <f t="shared" si="3"/>
        <v>59864.312638819218</v>
      </c>
      <c r="L22" s="2">
        <f t="shared" si="4"/>
        <v>59864.312638819218</v>
      </c>
      <c r="M22" s="11">
        <f t="shared" si="5"/>
        <v>1.0096852254007702</v>
      </c>
      <c r="N22" s="12">
        <f t="shared" si="6"/>
        <v>3.6903395520604398E-4</v>
      </c>
      <c r="O22" s="12">
        <f t="shared" si="7"/>
        <v>3.6903395520604398E-4</v>
      </c>
      <c r="P22" s="12">
        <f t="shared" si="8"/>
        <v>3.6903395520604398E-4</v>
      </c>
      <c r="Q22" s="5">
        <f t="shared" si="9"/>
        <v>9.6852254007702143E-3</v>
      </c>
      <c r="R22" s="19" t="e">
        <f>M22/#REF! - 1</f>
        <v>#REF!</v>
      </c>
      <c r="S22" s="19" t="e">
        <f>M22/#REF! - 1</f>
        <v>#REF!</v>
      </c>
      <c r="T22" s="19" t="s">
        <v>53</v>
      </c>
    </row>
    <row r="23" spans="1:20" x14ac:dyDescent="0.25">
      <c r="A23" s="1">
        <v>45660</v>
      </c>
      <c r="B23" s="1" t="str">
        <f t="shared" si="0"/>
        <v>202501</v>
      </c>
      <c r="C23" s="2">
        <f>C22*(1+((1+VLOOKUP($B23,'IPCA Hist'!$B:$C,2,0))^12 - 1)+$C$2)^(1/252)</f>
        <v>81018589.976351425</v>
      </c>
      <c r="D23" s="2">
        <f>D22*(1+((1+VLOOKUP($B23,'IPCA Hist'!$B:$C,2,0))^12 - 1)+$D$2)^(1/252)</f>
        <v>40652918.221228279</v>
      </c>
      <c r="E23" s="2">
        <f>E22*(1+((1+VLOOKUP($B23,'IPCA Hist'!$B:$C,2,0))^12 - 1)+$E$2)^(1/252)</f>
        <v>40667224.87402717</v>
      </c>
      <c r="F23" s="2">
        <v>0</v>
      </c>
      <c r="G23" s="2">
        <f t="shared" si="1"/>
        <v>162338733.07160687</v>
      </c>
      <c r="H23" s="2">
        <v>0</v>
      </c>
      <c r="I23" s="2">
        <v>0</v>
      </c>
      <c r="J23" s="2">
        <f t="shared" si="2"/>
        <v>59886.482940375805</v>
      </c>
      <c r="K23" s="2">
        <f t="shared" si="3"/>
        <v>119750.79557919502</v>
      </c>
      <c r="L23" s="2">
        <f t="shared" si="4"/>
        <v>119750.79557919502</v>
      </c>
      <c r="M23" s="11">
        <f t="shared" si="5"/>
        <v>1.0100578340204223</v>
      </c>
      <c r="N23" s="12">
        <f t="shared" si="6"/>
        <v>3.6903443793989688E-4</v>
      </c>
      <c r="O23" s="12">
        <f t="shared" si="7"/>
        <v>7.3820457938422734E-4</v>
      </c>
      <c r="P23" s="12">
        <f t="shared" si="8"/>
        <v>7.3820457938422734E-4</v>
      </c>
      <c r="Q23" s="5">
        <f t="shared" si="9"/>
        <v>1.0057834020422263E-2</v>
      </c>
      <c r="R23" s="19" t="e">
        <f>M23/#REF! - 1</f>
        <v>#REF!</v>
      </c>
      <c r="S23" s="19" t="e">
        <f>M23/#REF! - 1</f>
        <v>#REF!</v>
      </c>
      <c r="T23" s="19" t="s">
        <v>53</v>
      </c>
    </row>
    <row r="24" spans="1:20" x14ac:dyDescent="0.25">
      <c r="A24" s="1">
        <v>45663</v>
      </c>
      <c r="B24" s="1" t="str">
        <f t="shared" ref="B24:B87" si="10">_xlfn.CONCAT(TEXT(YEAR(A24),"0000"),TEXT(MONTH(A24),"00"))</f>
        <v>202501</v>
      </c>
      <c r="C24" s="2">
        <f>C23*(1+((1+VLOOKUP($B24,'IPCA Hist'!$B:$C,2,0))^12 - 1)+$C$2)^(1/252)</f>
        <v>81046704.980955318</v>
      </c>
      <c r="D24" s="2">
        <f>D23*(1+((1+VLOOKUP($B24,'IPCA Hist'!$B:$C,2,0))^12 - 1)+$D$2)^(1/252)</f>
        <v>40668819.566470459</v>
      </c>
      <c r="E24" s="2">
        <f>E23*(1+((1+VLOOKUP($B24,'IPCA Hist'!$B:$C,2,0))^12 - 1)+$E$2)^(1/252)</f>
        <v>40683117.185662396</v>
      </c>
      <c r="F24" s="2">
        <v>0</v>
      </c>
      <c r="G24" s="2">
        <f t="shared" si="1"/>
        <v>162398641.73308817</v>
      </c>
      <c r="H24" s="2">
        <v>0</v>
      </c>
      <c r="I24" s="2">
        <v>0</v>
      </c>
      <c r="J24" s="2">
        <f t="shared" si="2"/>
        <v>59908.661481291056</v>
      </c>
      <c r="K24" s="2">
        <f t="shared" si="3"/>
        <v>179659.45706048608</v>
      </c>
      <c r="L24" s="2">
        <f t="shared" si="4"/>
        <v>179659.45706048608</v>
      </c>
      <c r="M24" s="11">
        <f t="shared" si="5"/>
        <v>1.0104305806330753</v>
      </c>
      <c r="N24" s="12">
        <f t="shared" si="6"/>
        <v>3.6903492067330568E-4</v>
      </c>
      <c r="O24" s="12">
        <f t="shared" si="7"/>
        <v>1.1075119233259212E-3</v>
      </c>
      <c r="P24" s="12">
        <f t="shared" si="8"/>
        <v>1.1075119233259212E-3</v>
      </c>
      <c r="Q24" s="5">
        <f t="shared" si="9"/>
        <v>1.0430580633075337E-2</v>
      </c>
      <c r="R24" s="19" t="e">
        <f>M24/#REF! - 1</f>
        <v>#REF!</v>
      </c>
      <c r="S24" s="19" t="e">
        <f>M24/#REF! - 1</f>
        <v>#REF!</v>
      </c>
      <c r="T24" s="19" t="s">
        <v>53</v>
      </c>
    </row>
    <row r="25" spans="1:20" x14ac:dyDescent="0.25">
      <c r="A25" s="1">
        <v>45664</v>
      </c>
      <c r="B25" s="1" t="str">
        <f t="shared" si="10"/>
        <v>202501</v>
      </c>
      <c r="C25" s="2">
        <f>C24*(1+((1+VLOOKUP($B25,'IPCA Hist'!$B:$C,2,0))^12 - 1)+$C$2)^(1/252)</f>
        <v>81074829.742005035</v>
      </c>
      <c r="D25" s="2">
        <f>D24*(1+((1+VLOOKUP($B25,'IPCA Hist'!$B:$C,2,0))^12 - 1)+$D$2)^(1/252)</f>
        <v>40684727.131506734</v>
      </c>
      <c r="E25" s="2">
        <f>E24*(1+((1+VLOOKUP($B25,'IPCA Hist'!$B:$C,2,0))^12 - 1)+$E$2)^(1/252)</f>
        <v>40699015.707841128</v>
      </c>
      <c r="F25" s="2">
        <v>0</v>
      </c>
      <c r="G25" s="2">
        <f t="shared" si="1"/>
        <v>162458572.58135289</v>
      </c>
      <c r="H25" s="2">
        <v>0</v>
      </c>
      <c r="I25" s="2">
        <v>0</v>
      </c>
      <c r="J25" s="2">
        <f t="shared" si="2"/>
        <v>59930.848264724016</v>
      </c>
      <c r="K25" s="2">
        <f t="shared" si="3"/>
        <v>239590.30532521009</v>
      </c>
      <c r="L25" s="2">
        <f t="shared" si="4"/>
        <v>239590.30532521009</v>
      </c>
      <c r="M25" s="11">
        <f t="shared" ref="M25:M88" si="11">(1+(G25-G24-H25+I25)/G24)*M24</f>
        <v>1.010803465290014</v>
      </c>
      <c r="N25" s="12">
        <f t="shared" ref="N25:N88" si="12">M25/M24 - 1</f>
        <v>3.6903540340693652E-4</v>
      </c>
      <c r="O25" s="12">
        <f t="shared" si="7"/>
        <v>1.4769560378422586E-3</v>
      </c>
      <c r="P25" s="12">
        <f t="shared" si="8"/>
        <v>1.4769560378422586E-3</v>
      </c>
      <c r="Q25" s="5">
        <f t="shared" ref="Q25:Q88" si="13">(1+N25)*(1+Q24) - 1</f>
        <v>1.0803465290013969E-2</v>
      </c>
      <c r="R25" s="19" t="e">
        <f>M25/#REF! - 1</f>
        <v>#REF!</v>
      </c>
      <c r="S25" s="19" t="e">
        <f>M25/#REF! - 1</f>
        <v>#REF!</v>
      </c>
      <c r="T25" s="19" t="s">
        <v>53</v>
      </c>
    </row>
    <row r="26" spans="1:20" x14ac:dyDescent="0.25">
      <c r="A26" s="1">
        <v>45665</v>
      </c>
      <c r="B26" s="1" t="str">
        <f t="shared" si="10"/>
        <v>202501</v>
      </c>
      <c r="C26" s="2">
        <f>C25*(1+((1+VLOOKUP($B26,'IPCA Hist'!$B:$C,2,0))^12 - 1)+$C$2)^(1/252)</f>
        <v>81102964.262886241</v>
      </c>
      <c r="D26" s="2">
        <f>D25*(1+((1+VLOOKUP($B26,'IPCA Hist'!$B:$C,2,0))^12 - 1)+$D$2)^(1/252)</f>
        <v>40700640.918769963</v>
      </c>
      <c r="E26" s="2">
        <f>E25*(1+((1+VLOOKUP($B26,'IPCA Hist'!$B:$C,2,0))^12 - 1)+$E$2)^(1/252)</f>
        <v>40714920.44299037</v>
      </c>
      <c r="F26" s="2">
        <v>0</v>
      </c>
      <c r="G26" s="2">
        <f t="shared" si="1"/>
        <v>162518525.62464657</v>
      </c>
      <c r="H26" s="2">
        <v>0</v>
      </c>
      <c r="I26" s="2">
        <v>0</v>
      </c>
      <c r="J26" s="2">
        <f t="shared" si="2"/>
        <v>59953.043293684721</v>
      </c>
      <c r="K26" s="2">
        <f t="shared" si="3"/>
        <v>299543.34861889482</v>
      </c>
      <c r="L26" s="2">
        <f t="shared" si="4"/>
        <v>299543.34861889482</v>
      </c>
      <c r="M26" s="11">
        <f t="shared" si="11"/>
        <v>1.0111764880425411</v>
      </c>
      <c r="N26" s="12">
        <f t="shared" si="12"/>
        <v>3.6903588614056737E-4</v>
      </c>
      <c r="O26" s="12">
        <f t="shared" si="7"/>
        <v>1.8465369737630244E-3</v>
      </c>
      <c r="P26" s="12">
        <f t="shared" si="8"/>
        <v>1.8465369737630244E-3</v>
      </c>
      <c r="Q26" s="5">
        <f t="shared" si="13"/>
        <v>1.1176488042541122E-2</v>
      </c>
      <c r="R26" s="19" t="e">
        <f>M26/#REF! - 1</f>
        <v>#REF!</v>
      </c>
      <c r="S26" s="19" t="e">
        <f>M26/#REF! - 1</f>
        <v>#REF!</v>
      </c>
      <c r="T26" s="19" t="s">
        <v>53</v>
      </c>
    </row>
    <row r="27" spans="1:20" x14ac:dyDescent="0.25">
      <c r="A27" s="1">
        <v>45666</v>
      </c>
      <c r="B27" s="1" t="str">
        <f t="shared" si="10"/>
        <v>202501</v>
      </c>
      <c r="C27" s="2">
        <f>C26*(1+((1+VLOOKUP($B27,'IPCA Hist'!$B:$C,2,0))^12 - 1)+$C$2)^(1/252)</f>
        <v>81131108.546985805</v>
      </c>
      <c r="D27" s="2">
        <f>D26*(1+((1+VLOOKUP($B27,'IPCA Hist'!$B:$C,2,0))^12 - 1)+$D$2)^(1/252)</f>
        <v>40716560.930693962</v>
      </c>
      <c r="E27" s="2">
        <f>E26*(1+((1+VLOOKUP($B27,'IPCA Hist'!$B:$C,2,0))^12 - 1)+$E$2)^(1/252)</f>
        <v>40730831.393538088</v>
      </c>
      <c r="F27" s="2">
        <v>0</v>
      </c>
      <c r="G27" s="2">
        <f t="shared" si="1"/>
        <v>162578500.87121785</v>
      </c>
      <c r="H27" s="2">
        <v>0</v>
      </c>
      <c r="I27" s="2">
        <v>0</v>
      </c>
      <c r="J27" s="2">
        <f t="shared" si="2"/>
        <v>59975.246571272612</v>
      </c>
      <c r="K27" s="2">
        <f t="shared" si="3"/>
        <v>359518.59519016743</v>
      </c>
      <c r="L27" s="2">
        <f t="shared" si="4"/>
        <v>359518.59519016743</v>
      </c>
      <c r="M27" s="11">
        <f t="shared" si="11"/>
        <v>1.0115496489419791</v>
      </c>
      <c r="N27" s="12">
        <f t="shared" si="12"/>
        <v>3.6903636887397617E-4</v>
      </c>
      <c r="O27" s="12">
        <f t="shared" si="7"/>
        <v>2.2162547819368772E-3</v>
      </c>
      <c r="P27" s="12">
        <f t="shared" si="8"/>
        <v>2.2162547819368772E-3</v>
      </c>
      <c r="Q27" s="5">
        <f t="shared" si="13"/>
        <v>1.1549648941979074E-2</v>
      </c>
      <c r="R27" s="19" t="e">
        <f>M27/#REF! - 1</f>
        <v>#REF!</v>
      </c>
      <c r="S27" s="19" t="e">
        <f>M27/#REF! - 1</f>
        <v>#REF!</v>
      </c>
      <c r="T27" s="19" t="s">
        <v>53</v>
      </c>
    </row>
    <row r="28" spans="1:20" x14ac:dyDescent="0.25">
      <c r="A28" s="1">
        <v>45667</v>
      </c>
      <c r="B28" s="1" t="str">
        <f t="shared" si="10"/>
        <v>202501</v>
      </c>
      <c r="C28" s="2">
        <f>C27*(1+((1+VLOOKUP($B28,'IPCA Hist'!$B:$C,2,0))^12 - 1)+$C$2)^(1/252)</f>
        <v>81159262.59769173</v>
      </c>
      <c r="D28" s="2">
        <f>D27*(1+((1+VLOOKUP($B28,'IPCA Hist'!$B:$C,2,0))^12 - 1)+$D$2)^(1/252)</f>
        <v>40732487.169713505</v>
      </c>
      <c r="E28" s="2">
        <f>E27*(1+((1+VLOOKUP($B28,'IPCA Hist'!$B:$C,2,0))^12 - 1)+$E$2)^(1/252)</f>
        <v>40746748.561913192</v>
      </c>
      <c r="F28" s="2">
        <v>0</v>
      </c>
      <c r="G28" s="2">
        <f t="shared" si="1"/>
        <v>162638498.32931843</v>
      </c>
      <c r="H28" s="2">
        <v>0</v>
      </c>
      <c r="I28" s="2">
        <v>0</v>
      </c>
      <c r="J28" s="2">
        <f t="shared" si="2"/>
        <v>59997.45810058713</v>
      </c>
      <c r="K28" s="2">
        <f t="shared" si="3"/>
        <v>419516.05329075456</v>
      </c>
      <c r="L28" s="2">
        <f t="shared" si="4"/>
        <v>419516.05329075456</v>
      </c>
      <c r="M28" s="11">
        <f t="shared" si="11"/>
        <v>1.0119229480396694</v>
      </c>
      <c r="N28" s="12">
        <f t="shared" si="12"/>
        <v>3.6903685160760702E-4</v>
      </c>
      <c r="O28" s="12">
        <f t="shared" si="7"/>
        <v>2.5861095132315715E-3</v>
      </c>
      <c r="P28" s="12">
        <f t="shared" si="8"/>
        <v>2.5861095132315715E-3</v>
      </c>
      <c r="Q28" s="5">
        <f t="shared" si="13"/>
        <v>1.1922948039669423E-2</v>
      </c>
      <c r="R28" s="19" t="e">
        <f>M28/#REF! - 1</f>
        <v>#REF!</v>
      </c>
      <c r="S28" s="19" t="e">
        <f>M28/#REF! - 1</f>
        <v>#REF!</v>
      </c>
      <c r="T28" s="19" t="s">
        <v>53</v>
      </c>
    </row>
    <row r="29" spans="1:20" x14ac:dyDescent="0.25">
      <c r="A29" s="1">
        <v>45670</v>
      </c>
      <c r="B29" s="1" t="str">
        <f t="shared" si="10"/>
        <v>202501</v>
      </c>
      <c r="C29" s="2">
        <f>C28*(1+((1+VLOOKUP($B29,'IPCA Hist'!$B:$C,2,0))^12 - 1)+$C$2)^(1/252)</f>
        <v>81187426.418393224</v>
      </c>
      <c r="D29" s="2">
        <f>D28*(1+((1+VLOOKUP($B29,'IPCA Hist'!$B:$C,2,0))^12 - 1)+$D$2)^(1/252)</f>
        <v>40748419.638264313</v>
      </c>
      <c r="E29" s="2">
        <f>E28*(1+((1+VLOOKUP($B29,'IPCA Hist'!$B:$C,2,0))^12 - 1)+$E$2)^(1/252)</f>
        <v>40762671.950545542</v>
      </c>
      <c r="F29" s="2">
        <v>0</v>
      </c>
      <c r="G29" s="2">
        <f t="shared" si="1"/>
        <v>162698518.00720307</v>
      </c>
      <c r="H29" s="2">
        <v>0</v>
      </c>
      <c r="I29" s="2">
        <v>0</v>
      </c>
      <c r="J29" s="2">
        <f t="shared" ref="J29:J92" si="14">G29-G28-H29+I29</f>
        <v>60019.677884638309</v>
      </c>
      <c r="K29" s="2">
        <f t="shared" si="3"/>
        <v>479535.73117539287</v>
      </c>
      <c r="L29" s="2">
        <f t="shared" si="4"/>
        <v>479535.73117539287</v>
      </c>
      <c r="M29" s="11">
        <f t="shared" si="11"/>
        <v>1.0122963853869722</v>
      </c>
      <c r="N29" s="12">
        <f t="shared" si="12"/>
        <v>3.6903733434079378E-4</v>
      </c>
      <c r="O29" s="12">
        <f t="shared" si="7"/>
        <v>2.9561012185335134E-3</v>
      </c>
      <c r="P29" s="12">
        <f t="shared" si="8"/>
        <v>2.9561012185335134E-3</v>
      </c>
      <c r="Q29" s="5">
        <f t="shared" si="13"/>
        <v>1.2296385386972197E-2</v>
      </c>
      <c r="R29" s="19" t="e">
        <f>M29/#REF! - 1</f>
        <v>#REF!</v>
      </c>
      <c r="S29" s="19" t="e">
        <f>M29/#REF! - 1</f>
        <v>#REF!</v>
      </c>
      <c r="T29" s="19" t="s">
        <v>53</v>
      </c>
    </row>
    <row r="30" spans="1:20" x14ac:dyDescent="0.25">
      <c r="A30" s="1">
        <v>45671</v>
      </c>
      <c r="B30" s="1" t="str">
        <f t="shared" si="10"/>
        <v>202501</v>
      </c>
      <c r="C30" s="2">
        <f>C29*(1+((1+VLOOKUP($B30,'IPCA Hist'!$B:$C,2,0))^12 - 1)+$C$2)^(1/252)</f>
        <v>81215600.012480676</v>
      </c>
      <c r="D30" s="2">
        <f>D29*(1+((1+VLOOKUP($B30,'IPCA Hist'!$B:$C,2,0))^12 - 1)+$D$2)^(1/252)</f>
        <v>40764358.338783063</v>
      </c>
      <c r="E30" s="2">
        <f>E29*(1+((1+VLOOKUP($B30,'IPCA Hist'!$B:$C,2,0))^12 - 1)+$E$2)^(1/252)</f>
        <v>40778601.561865941</v>
      </c>
      <c r="F30" s="2">
        <v>0</v>
      </c>
      <c r="G30" s="2">
        <f t="shared" si="1"/>
        <v>162758559.91312969</v>
      </c>
      <c r="H30" s="2">
        <v>0</v>
      </c>
      <c r="I30" s="2">
        <v>0</v>
      </c>
      <c r="J30" s="2">
        <f t="shared" si="14"/>
        <v>60041.905926615</v>
      </c>
      <c r="K30" s="2">
        <f t="shared" si="3"/>
        <v>539577.63710200787</v>
      </c>
      <c r="L30" s="2">
        <f t="shared" si="4"/>
        <v>539577.63710200787</v>
      </c>
      <c r="M30" s="11">
        <f t="shared" si="11"/>
        <v>1.0126699610352676</v>
      </c>
      <c r="N30" s="12">
        <f t="shared" si="12"/>
        <v>3.6903781707442462E-4</v>
      </c>
      <c r="O30" s="12">
        <f t="shared" si="7"/>
        <v>3.3262299487486491E-3</v>
      </c>
      <c r="P30" s="12">
        <f t="shared" si="8"/>
        <v>3.3262299487486491E-3</v>
      </c>
      <c r="Q30" s="5">
        <f t="shared" si="13"/>
        <v>1.266996103526763E-2</v>
      </c>
      <c r="R30" s="19" t="e">
        <f>M30/#REF! - 1</f>
        <v>#REF!</v>
      </c>
      <c r="S30" s="19" t="e">
        <f>M30/#REF! - 1</f>
        <v>#REF!</v>
      </c>
      <c r="T30" s="19" t="s">
        <v>53</v>
      </c>
    </row>
    <row r="31" spans="1:20" x14ac:dyDescent="0.25">
      <c r="A31" s="1">
        <v>45672</v>
      </c>
      <c r="B31" s="1" t="str">
        <f t="shared" si="10"/>
        <v>202501</v>
      </c>
      <c r="C31" s="2">
        <f>C30*(1+((1+VLOOKUP($B31,'IPCA Hist'!$B:$C,2,0))^12 - 1)+$C$2)^(1/252)</f>
        <v>81243783.383345619</v>
      </c>
      <c r="D31" s="2">
        <f>D30*(1+((1+VLOOKUP($B31,'IPCA Hist'!$B:$C,2,0))^12 - 1)+$D$2)^(1/252)</f>
        <v>40780303.273707375</v>
      </c>
      <c r="E31" s="2">
        <f>E30*(1+((1+VLOOKUP($B31,'IPCA Hist'!$B:$C,2,0))^12 - 1)+$E$2)^(1/252)</f>
        <v>40794537.398306154</v>
      </c>
      <c r="F31" s="2">
        <v>0</v>
      </c>
      <c r="G31" s="2">
        <f t="shared" si="1"/>
        <v>162818624.05535915</v>
      </c>
      <c r="H31" s="2">
        <v>0</v>
      </c>
      <c r="I31" s="2">
        <v>0</v>
      </c>
      <c r="J31" s="2">
        <f t="shared" si="14"/>
        <v>60064.14222946763</v>
      </c>
      <c r="K31" s="2">
        <f t="shared" si="3"/>
        <v>599641.7793314755</v>
      </c>
      <c r="L31" s="2">
        <f t="shared" si="4"/>
        <v>599641.7793314755</v>
      </c>
      <c r="M31" s="11">
        <f t="shared" si="11"/>
        <v>1.0130436750359544</v>
      </c>
      <c r="N31" s="12">
        <f t="shared" si="12"/>
        <v>3.6903829980761138E-4</v>
      </c>
      <c r="O31" s="12">
        <f t="shared" si="7"/>
        <v>3.6964957548013544E-3</v>
      </c>
      <c r="P31" s="12">
        <f t="shared" si="8"/>
        <v>3.6964957548013544E-3</v>
      </c>
      <c r="Q31" s="5">
        <f t="shared" si="13"/>
        <v>1.3043675035954383E-2</v>
      </c>
      <c r="R31" s="19" t="e">
        <f>M31/#REF! - 1</f>
        <v>#REF!</v>
      </c>
      <c r="S31" s="19" t="e">
        <f>M31/#REF! - 1</f>
        <v>#REF!</v>
      </c>
      <c r="T31" s="19" t="s">
        <v>53</v>
      </c>
    </row>
    <row r="32" spans="1:20" x14ac:dyDescent="0.25">
      <c r="A32" s="1">
        <v>45673</v>
      </c>
      <c r="B32" s="1" t="str">
        <f t="shared" si="10"/>
        <v>202501</v>
      </c>
      <c r="C32" s="2">
        <f>C31*(1+((1+VLOOKUP($B32,'IPCA Hist'!$B:$C,2,0))^12 - 1)+$C$2)^(1/252)</f>
        <v>81271976.534380794</v>
      </c>
      <c r="D32" s="2">
        <f>D31*(1+((1+VLOOKUP($B32,'IPCA Hist'!$B:$C,2,0))^12 - 1)+$D$2)^(1/252)</f>
        <v>40796254.445475839</v>
      </c>
      <c r="E32" s="2">
        <f>E31*(1+((1+VLOOKUP($B32,'IPCA Hist'!$B:$C,2,0))^12 - 1)+$E$2)^(1/252)</f>
        <v>40810479.462298892</v>
      </c>
      <c r="F32" s="2">
        <v>0</v>
      </c>
      <c r="G32" s="2">
        <f t="shared" si="1"/>
        <v>162878710.44215554</v>
      </c>
      <c r="H32" s="2">
        <v>0</v>
      </c>
      <c r="I32" s="2">
        <v>0</v>
      </c>
      <c r="J32" s="2">
        <f t="shared" si="14"/>
        <v>60086.38679638505</v>
      </c>
      <c r="K32" s="2">
        <f t="shared" si="3"/>
        <v>659728.16612786055</v>
      </c>
      <c r="L32" s="2">
        <f t="shared" si="4"/>
        <v>659728.16612786055</v>
      </c>
      <c r="M32" s="11">
        <f t="shared" si="11"/>
        <v>1.0134175274404504</v>
      </c>
      <c r="N32" s="12">
        <f t="shared" si="12"/>
        <v>3.6903878254102018E-4</v>
      </c>
      <c r="O32" s="12">
        <f t="shared" si="7"/>
        <v>4.066898687635323E-3</v>
      </c>
      <c r="P32" s="12">
        <f t="shared" si="8"/>
        <v>4.066898687635323E-3</v>
      </c>
      <c r="Q32" s="5">
        <f t="shared" si="13"/>
        <v>1.3417527440450439E-2</v>
      </c>
      <c r="R32" s="19" t="e">
        <f>M32/#REF! - 1</f>
        <v>#REF!</v>
      </c>
      <c r="S32" s="19" t="e">
        <f>M32/#REF! - 1</f>
        <v>#REF!</v>
      </c>
      <c r="T32" s="19" t="s">
        <v>53</v>
      </c>
    </row>
    <row r="33" spans="1:20" x14ac:dyDescent="0.25">
      <c r="A33" s="1">
        <v>45674</v>
      </c>
      <c r="B33" s="1" t="str">
        <f t="shared" si="10"/>
        <v>202501</v>
      </c>
      <c r="C33" s="2">
        <f>C32*(1+((1+VLOOKUP($B33,'IPCA Hist'!$B:$C,2,0))^12 - 1)+$C$2)^(1/252)</f>
        <v>81300179.468980104</v>
      </c>
      <c r="D33" s="2">
        <f>D32*(1+((1+VLOOKUP($B33,'IPCA Hist'!$B:$C,2,0))^12 - 1)+$D$2)^(1/252)</f>
        <v>40812211.856527984</v>
      </c>
      <c r="E33" s="2">
        <f>E32*(1+((1+VLOOKUP($B33,'IPCA Hist'!$B:$C,2,0))^12 - 1)+$E$2)^(1/252)</f>
        <v>40826427.756277815</v>
      </c>
      <c r="F33" s="2">
        <v>0</v>
      </c>
      <c r="G33" s="2">
        <f t="shared" si="1"/>
        <v>162938819.08178592</v>
      </c>
      <c r="H33" s="2">
        <v>0</v>
      </c>
      <c r="I33" s="2">
        <v>0</v>
      </c>
      <c r="J33" s="2">
        <f t="shared" si="14"/>
        <v>60108.639630377293</v>
      </c>
      <c r="K33" s="2">
        <f t="shared" si="3"/>
        <v>719836.80575823784</v>
      </c>
      <c r="L33" s="2">
        <f t="shared" si="4"/>
        <v>719836.80575823784</v>
      </c>
      <c r="M33" s="11">
        <f t="shared" si="11"/>
        <v>1.0137915183001931</v>
      </c>
      <c r="N33" s="12">
        <f t="shared" si="12"/>
        <v>3.6903926527420694E-4</v>
      </c>
      <c r="O33" s="12">
        <f t="shared" si="7"/>
        <v>4.4374387982131225E-3</v>
      </c>
      <c r="P33" s="12">
        <f t="shared" si="8"/>
        <v>4.4374387982131225E-3</v>
      </c>
      <c r="Q33" s="5">
        <f t="shared" si="13"/>
        <v>1.3791518300193095E-2</v>
      </c>
      <c r="R33" s="19" t="e">
        <f>M33/#REF! - 1</f>
        <v>#REF!</v>
      </c>
      <c r="S33" s="19" t="e">
        <f>M33/#REF! - 1</f>
        <v>#REF!</v>
      </c>
      <c r="T33" s="19" t="s">
        <v>53</v>
      </c>
    </row>
    <row r="34" spans="1:20" x14ac:dyDescent="0.25">
      <c r="A34" s="1">
        <v>45677</v>
      </c>
      <c r="B34" s="1" t="str">
        <f t="shared" si="10"/>
        <v>202501</v>
      </c>
      <c r="C34" s="2">
        <f>C33*(1+((1+VLOOKUP($B34,'IPCA Hist'!$B:$C,2,0))^12 - 1)+$C$2)^(1/252)</f>
        <v>81328392.19053863</v>
      </c>
      <c r="D34" s="2">
        <f>D33*(1+((1+VLOOKUP($B34,'IPCA Hist'!$B:$C,2,0))^12 - 1)+$D$2)^(1/252)</f>
        <v>40828175.5093043</v>
      </c>
      <c r="E34" s="2">
        <f>E33*(1+((1+VLOOKUP($B34,'IPCA Hist'!$B:$C,2,0))^12 - 1)+$E$2)^(1/252)</f>
        <v>40842382.282677531</v>
      </c>
      <c r="F34" s="2">
        <v>0</v>
      </c>
      <c r="G34" s="2">
        <f t="shared" si="1"/>
        <v>162998949.98252046</v>
      </c>
      <c r="H34" s="2">
        <v>0</v>
      </c>
      <c r="I34" s="2">
        <v>0</v>
      </c>
      <c r="J34" s="2">
        <f t="shared" si="14"/>
        <v>60130.9007345438</v>
      </c>
      <c r="K34" s="2">
        <f t="shared" si="3"/>
        <v>779967.70649278164</v>
      </c>
      <c r="L34" s="2">
        <f t="shared" si="4"/>
        <v>779967.70649278164</v>
      </c>
      <c r="M34" s="11">
        <f t="shared" si="11"/>
        <v>1.0141656476666383</v>
      </c>
      <c r="N34" s="12">
        <f t="shared" si="12"/>
        <v>3.6903974800717165E-4</v>
      </c>
      <c r="O34" s="12">
        <f t="shared" si="7"/>
        <v>4.808116137516194E-3</v>
      </c>
      <c r="P34" s="12">
        <f t="shared" si="8"/>
        <v>4.808116137516194E-3</v>
      </c>
      <c r="Q34" s="5">
        <f t="shared" si="13"/>
        <v>1.4165647666638304E-2</v>
      </c>
      <c r="R34" s="19" t="e">
        <f>M34/#REF! - 1</f>
        <v>#REF!</v>
      </c>
      <c r="S34" s="19" t="e">
        <f>M34/#REF! - 1</f>
        <v>#REF!</v>
      </c>
      <c r="T34" s="19" t="s">
        <v>53</v>
      </c>
    </row>
    <row r="35" spans="1:20" x14ac:dyDescent="0.25">
      <c r="A35" s="1">
        <v>45678</v>
      </c>
      <c r="B35" s="1" t="str">
        <f t="shared" si="10"/>
        <v>202501</v>
      </c>
      <c r="C35" s="2">
        <f>C34*(1+((1+VLOOKUP($B35,'IPCA Hist'!$B:$C,2,0))^12 - 1)+$C$2)^(1/252)</f>
        <v>81356614.702452645</v>
      </c>
      <c r="D35" s="2">
        <f>D34*(1+((1+VLOOKUP($B35,'IPCA Hist'!$B:$C,2,0))^12 - 1)+$D$2)^(1/252)</f>
        <v>40844145.40624623</v>
      </c>
      <c r="E35" s="2">
        <f>E34*(1+((1+VLOOKUP($B35,'IPCA Hist'!$B:$C,2,0))^12 - 1)+$E$2)^(1/252)</f>
        <v>40858343.043933608</v>
      </c>
      <c r="F35" s="2">
        <v>0</v>
      </c>
      <c r="G35" s="2">
        <f t="shared" ref="G35:G66" si="15">SUM(C35:F35)</f>
        <v>163059103.15263247</v>
      </c>
      <c r="H35" s="2">
        <v>0</v>
      </c>
      <c r="I35" s="2">
        <v>0</v>
      </c>
      <c r="J35" s="2">
        <f t="shared" si="14"/>
        <v>60153.170112013817</v>
      </c>
      <c r="K35" s="2">
        <f t="shared" si="3"/>
        <v>840120.87660479546</v>
      </c>
      <c r="L35" s="2">
        <f t="shared" si="4"/>
        <v>840120.87660479546</v>
      </c>
      <c r="M35" s="11">
        <f t="shared" si="11"/>
        <v>1.0145399155912624</v>
      </c>
      <c r="N35" s="12">
        <f t="shared" si="12"/>
        <v>3.6904023074058045E-4</v>
      </c>
      <c r="O35" s="12">
        <f t="shared" si="7"/>
        <v>5.1789307565455189E-3</v>
      </c>
      <c r="P35" s="12">
        <f t="shared" si="8"/>
        <v>5.1789307565455189E-3</v>
      </c>
      <c r="Q35" s="5">
        <f t="shared" si="13"/>
        <v>1.4539915591262442E-2</v>
      </c>
      <c r="R35" s="19" t="e">
        <f>M35/#REF! - 1</f>
        <v>#REF!</v>
      </c>
      <c r="S35" s="19" t="e">
        <f>M35/#REF! - 1</f>
        <v>#REF!</v>
      </c>
      <c r="T35" s="19" t="s">
        <v>53</v>
      </c>
    </row>
    <row r="36" spans="1:20" x14ac:dyDescent="0.25">
      <c r="A36" s="1">
        <v>45679</v>
      </c>
      <c r="B36" s="1" t="str">
        <f t="shared" si="10"/>
        <v>202501</v>
      </c>
      <c r="C36" s="2">
        <f>C35*(1+((1+VLOOKUP($B36,'IPCA Hist'!$B:$C,2,0))^12 - 1)+$C$2)^(1/252)</f>
        <v>81384847.008119583</v>
      </c>
      <c r="D36" s="2">
        <f>D35*(1+((1+VLOOKUP($B36,'IPCA Hist'!$B:$C,2,0))^12 - 1)+$D$2)^(1/252)</f>
        <v>40860121.549796179</v>
      </c>
      <c r="E36" s="2">
        <f>E35*(1+((1+VLOOKUP($B36,'IPCA Hist'!$B:$C,2,0))^12 - 1)+$E$2)^(1/252)</f>
        <v>40874310.042482555</v>
      </c>
      <c r="F36" s="2">
        <v>0</v>
      </c>
      <c r="G36" s="2">
        <f t="shared" si="15"/>
        <v>163119278.6003983</v>
      </c>
      <c r="H36" s="2">
        <v>0</v>
      </c>
      <c r="I36" s="2">
        <v>0</v>
      </c>
      <c r="J36" s="2">
        <f t="shared" si="14"/>
        <v>60175.447765827179</v>
      </c>
      <c r="K36" s="2">
        <f t="shared" ref="K36:K67" si="16">IF(MONTH(A36)=MONTH(A35),J36+K35,J36)</f>
        <v>900296.32437062263</v>
      </c>
      <c r="L36" s="2">
        <f t="shared" ref="L36:L67" si="17">IF(YEAR(A36)=YEAR(A35),J36+L35,J36)</f>
        <v>900296.32437062263</v>
      </c>
      <c r="M36" s="11">
        <f t="shared" si="11"/>
        <v>1.0149143221255599</v>
      </c>
      <c r="N36" s="12">
        <f t="shared" si="12"/>
        <v>3.6904071347376721E-4</v>
      </c>
      <c r="O36" s="12">
        <f t="shared" ref="O36:O67" si="18">IF(MONTH(A36)=MONTH(A35),(1+N36)*(1+O35) - 1,N36)</f>
        <v>5.5498827063207301E-3</v>
      </c>
      <c r="P36" s="12">
        <f t="shared" ref="P36:P67" si="19">IF(YEAR(A36)=YEAR(A35),(1+N36)*(1+P35) - 1,N36)</f>
        <v>5.5498827063207301E-3</v>
      </c>
      <c r="Q36" s="5">
        <f t="shared" si="13"/>
        <v>1.4914322125559876E-2</v>
      </c>
      <c r="R36" s="19" t="e">
        <f>M36/#REF! - 1</f>
        <v>#REF!</v>
      </c>
      <c r="S36" s="19" t="e">
        <f>M36/#REF! - 1</f>
        <v>#REF!</v>
      </c>
      <c r="T36" s="19" t="s">
        <v>53</v>
      </c>
    </row>
    <row r="37" spans="1:20" x14ac:dyDescent="0.25">
      <c r="A37" s="1">
        <v>45680</v>
      </c>
      <c r="B37" s="1" t="str">
        <f t="shared" si="10"/>
        <v>202501</v>
      </c>
      <c r="C37" s="2">
        <f>C36*(1+((1+VLOOKUP($B37,'IPCA Hist'!$B:$C,2,0))^12 - 1)+$C$2)^(1/252)</f>
        <v>81413089.110938057</v>
      </c>
      <c r="D37" s="2">
        <f>D36*(1+((1+VLOOKUP($B37,'IPCA Hist'!$B:$C,2,0))^12 - 1)+$D$2)^(1/252)</f>
        <v>40876103.94239749</v>
      </c>
      <c r="E37" s="2">
        <f>E36*(1+((1+VLOOKUP($B37,'IPCA Hist'!$B:$C,2,0))^12 - 1)+$E$2)^(1/252)</f>
        <v>40890283.280761838</v>
      </c>
      <c r="F37" s="2">
        <v>0</v>
      </c>
      <c r="G37" s="2">
        <f t="shared" si="15"/>
        <v>163179476.33409739</v>
      </c>
      <c r="H37" s="2">
        <v>0</v>
      </c>
      <c r="I37" s="2">
        <v>0</v>
      </c>
      <c r="J37" s="2">
        <f t="shared" si="14"/>
        <v>60197.733699083328</v>
      </c>
      <c r="K37" s="2">
        <f t="shared" si="16"/>
        <v>960494.05806970596</v>
      </c>
      <c r="L37" s="2">
        <f t="shared" si="17"/>
        <v>960494.05806970596</v>
      </c>
      <c r="M37" s="11">
        <f t="shared" si="11"/>
        <v>1.0152888673210445</v>
      </c>
      <c r="N37" s="12">
        <f t="shared" si="12"/>
        <v>3.6904119620673193E-4</v>
      </c>
      <c r="O37" s="12">
        <f t="shared" si="18"/>
        <v>5.9209720378801123E-3</v>
      </c>
      <c r="P37" s="12">
        <f t="shared" si="19"/>
        <v>5.9209720378801123E-3</v>
      </c>
      <c r="Q37" s="5">
        <f t="shared" si="13"/>
        <v>1.5288867321044508E-2</v>
      </c>
      <c r="R37" s="19" t="e">
        <f>M37/#REF! - 1</f>
        <v>#REF!</v>
      </c>
      <c r="S37" s="19" t="e">
        <f>M37/#REF! - 1</f>
        <v>#REF!</v>
      </c>
      <c r="T37" s="19" t="s">
        <v>53</v>
      </c>
    </row>
    <row r="38" spans="1:20" x14ac:dyDescent="0.25">
      <c r="A38" s="1">
        <v>45681</v>
      </c>
      <c r="B38" s="1" t="str">
        <f t="shared" si="10"/>
        <v>202501</v>
      </c>
      <c r="C38" s="2">
        <f>C37*(1+((1+VLOOKUP($B38,'IPCA Hist'!$B:$C,2,0))^12 - 1)+$C$2)^(1/252)</f>
        <v>81441341.014307871</v>
      </c>
      <c r="D38" s="2">
        <f>D37*(1+((1+VLOOKUP($B38,'IPCA Hist'!$B:$C,2,0))^12 - 1)+$D$2)^(1/252)</f>
        <v>40892092.586494483</v>
      </c>
      <c r="E38" s="2">
        <f>E37*(1+((1+VLOOKUP($B38,'IPCA Hist'!$B:$C,2,0))^12 - 1)+$E$2)^(1/252)</f>
        <v>40906262.761209883</v>
      </c>
      <c r="F38" s="2">
        <v>0</v>
      </c>
      <c r="G38" s="2">
        <f t="shared" si="15"/>
        <v>163239696.36201224</v>
      </c>
      <c r="H38" s="2">
        <v>0</v>
      </c>
      <c r="I38" s="2">
        <v>0</v>
      </c>
      <c r="J38" s="2">
        <f t="shared" si="14"/>
        <v>60220.027914851904</v>
      </c>
      <c r="K38" s="2">
        <f t="shared" si="16"/>
        <v>1020714.0859845579</v>
      </c>
      <c r="L38" s="2">
        <f t="shared" si="17"/>
        <v>1020714.0859845579</v>
      </c>
      <c r="M38" s="11">
        <f t="shared" si="11"/>
        <v>1.0156635512292493</v>
      </c>
      <c r="N38" s="12">
        <f t="shared" si="12"/>
        <v>3.6904167893969664E-4</v>
      </c>
      <c r="O38" s="12">
        <f t="shared" si="18"/>
        <v>6.2921988022817121E-3</v>
      </c>
      <c r="P38" s="12">
        <f t="shared" si="19"/>
        <v>6.2921988022817121E-3</v>
      </c>
      <c r="Q38" s="5">
        <f t="shared" si="13"/>
        <v>1.566355122924934E-2</v>
      </c>
      <c r="R38" s="19" t="e">
        <f>M38/#REF! - 1</f>
        <v>#REF!</v>
      </c>
      <c r="S38" s="19" t="e">
        <f>M38/#REF! - 1</f>
        <v>#REF!</v>
      </c>
      <c r="T38" s="19" t="s">
        <v>53</v>
      </c>
    </row>
    <row r="39" spans="1:20" x14ac:dyDescent="0.25">
      <c r="A39" s="1">
        <v>45684</v>
      </c>
      <c r="B39" s="1" t="str">
        <f t="shared" si="10"/>
        <v>202501</v>
      </c>
      <c r="C39" s="2">
        <f>C38*(1+((1+VLOOKUP($B39,'IPCA Hist'!$B:$C,2,0))^12 - 1)+$C$2)^(1/252)</f>
        <v>81469602.721630007</v>
      </c>
      <c r="D39" s="2">
        <f>D38*(1+((1+VLOOKUP($B39,'IPCA Hist'!$B:$C,2,0))^12 - 1)+$D$2)^(1/252)</f>
        <v>40908087.484532416</v>
      </c>
      <c r="E39" s="2">
        <f>E38*(1+((1+VLOOKUP($B39,'IPCA Hist'!$B:$C,2,0))^12 - 1)+$E$2)^(1/252)</f>
        <v>40922248.486266054</v>
      </c>
      <c r="F39" s="2">
        <v>0</v>
      </c>
      <c r="G39" s="2">
        <f t="shared" si="15"/>
        <v>163299938.69242847</v>
      </c>
      <c r="H39" s="2">
        <v>0</v>
      </c>
      <c r="I39" s="2">
        <v>0</v>
      </c>
      <c r="J39" s="2">
        <f t="shared" si="14"/>
        <v>60242.330416232347</v>
      </c>
      <c r="K39" s="2">
        <f t="shared" si="16"/>
        <v>1080956.4164007902</v>
      </c>
      <c r="L39" s="2">
        <f t="shared" si="17"/>
        <v>1080956.4164007902</v>
      </c>
      <c r="M39" s="11">
        <f t="shared" si="11"/>
        <v>1.0160383739017271</v>
      </c>
      <c r="N39" s="12">
        <f t="shared" si="12"/>
        <v>3.6904216167266135E-4</v>
      </c>
      <c r="O39" s="12">
        <f t="shared" si="18"/>
        <v>6.663563050602006E-3</v>
      </c>
      <c r="P39" s="12">
        <f t="shared" si="19"/>
        <v>6.663563050602006E-3</v>
      </c>
      <c r="Q39" s="5">
        <f t="shared" si="13"/>
        <v>1.6038373901727132E-2</v>
      </c>
      <c r="R39" s="19" t="e">
        <f>M39/#REF! - 1</f>
        <v>#REF!</v>
      </c>
      <c r="S39" s="19" t="e">
        <f>M39/#REF! - 1</f>
        <v>#REF!</v>
      </c>
      <c r="T39" s="19" t="s">
        <v>53</v>
      </c>
    </row>
    <row r="40" spans="1:20" x14ac:dyDescent="0.25">
      <c r="A40" s="1">
        <v>45685</v>
      </c>
      <c r="B40" s="1" t="str">
        <f t="shared" si="10"/>
        <v>202501</v>
      </c>
      <c r="C40" s="2">
        <f>C39*(1+((1+VLOOKUP($B40,'IPCA Hist'!$B:$C,2,0))^12 - 1)+$C$2)^(1/252)</f>
        <v>81497874.236306623</v>
      </c>
      <c r="D40" s="2">
        <f>D39*(1+((1+VLOOKUP($B40,'IPCA Hist'!$B:$C,2,0))^12 - 1)+$D$2)^(1/252)</f>
        <v>40924088.638957515</v>
      </c>
      <c r="E40" s="2">
        <f>E39*(1+((1+VLOOKUP($B40,'IPCA Hist'!$B:$C,2,0))^12 - 1)+$E$2)^(1/252)</f>
        <v>40938240.458370678</v>
      </c>
      <c r="F40" s="2">
        <v>0</v>
      </c>
      <c r="G40" s="2">
        <f t="shared" si="15"/>
        <v>163360203.33363482</v>
      </c>
      <c r="H40" s="2">
        <v>0</v>
      </c>
      <c r="I40" s="2">
        <v>0</v>
      </c>
      <c r="J40" s="2">
        <f t="shared" si="14"/>
        <v>60264.641206353903</v>
      </c>
      <c r="K40" s="2">
        <f t="shared" si="16"/>
        <v>1141221.0576071441</v>
      </c>
      <c r="L40" s="2">
        <f t="shared" si="17"/>
        <v>1141221.0576071441</v>
      </c>
      <c r="M40" s="11">
        <f t="shared" si="11"/>
        <v>1.0164133353900497</v>
      </c>
      <c r="N40" s="12">
        <f t="shared" si="12"/>
        <v>3.6904264440584811E-4</v>
      </c>
      <c r="O40" s="12">
        <f t="shared" si="18"/>
        <v>7.0350648339372324E-3</v>
      </c>
      <c r="P40" s="12">
        <f t="shared" si="19"/>
        <v>7.0350648339372324E-3</v>
      </c>
      <c r="Q40" s="5">
        <f t="shared" si="13"/>
        <v>1.6413335390049744E-2</v>
      </c>
      <c r="R40" s="19" t="e">
        <f>M40/#REF! - 1</f>
        <v>#REF!</v>
      </c>
      <c r="S40" s="19" t="e">
        <f>M40/#REF! - 1</f>
        <v>#REF!</v>
      </c>
      <c r="T40" s="19" t="s">
        <v>53</v>
      </c>
    </row>
    <row r="41" spans="1:20" x14ac:dyDescent="0.25">
      <c r="A41" s="1">
        <v>45686</v>
      </c>
      <c r="B41" s="1" t="str">
        <f t="shared" si="10"/>
        <v>202501</v>
      </c>
      <c r="C41" s="2">
        <f>C40*(1+((1+VLOOKUP($B41,'IPCA Hist'!$B:$C,2,0))^12 - 1)+$C$2)^(1/252)</f>
        <v>81526155.561741069</v>
      </c>
      <c r="D41" s="2">
        <f>D40*(1+((1+VLOOKUP($B41,'IPCA Hist'!$B:$C,2,0))^12 - 1)+$D$2)^(1/252)</f>
        <v>40940096.052216962</v>
      </c>
      <c r="E41" s="2">
        <f>E40*(1+((1+VLOOKUP($B41,'IPCA Hist'!$B:$C,2,0))^12 - 1)+$E$2)^(1/252)</f>
        <v>40954238.679965034</v>
      </c>
      <c r="F41" s="2">
        <v>0</v>
      </c>
      <c r="G41" s="2">
        <f t="shared" si="15"/>
        <v>163420490.29392308</v>
      </c>
      <c r="H41" s="2">
        <v>0</v>
      </c>
      <c r="I41" s="2">
        <v>0</v>
      </c>
      <c r="J41" s="2">
        <f t="shared" si="14"/>
        <v>60286.960288256407</v>
      </c>
      <c r="K41" s="2">
        <f t="shared" si="16"/>
        <v>1201508.0178954005</v>
      </c>
      <c r="L41" s="2">
        <f t="shared" si="17"/>
        <v>1201508.0178954005</v>
      </c>
      <c r="M41" s="11">
        <f t="shared" si="11"/>
        <v>1.0167884357458075</v>
      </c>
      <c r="N41" s="12">
        <f t="shared" si="12"/>
        <v>3.6904312713859078E-4</v>
      </c>
      <c r="O41" s="12">
        <f t="shared" si="18"/>
        <v>7.4067042034018371E-3</v>
      </c>
      <c r="P41" s="12">
        <f t="shared" si="19"/>
        <v>7.4067042034018371E-3</v>
      </c>
      <c r="Q41" s="5">
        <f t="shared" si="13"/>
        <v>1.6788435745807462E-2</v>
      </c>
      <c r="R41" s="19" t="e">
        <f>M41/#REF! - 1</f>
        <v>#REF!</v>
      </c>
      <c r="S41" s="19" t="e">
        <f>M41/#REF! - 1</f>
        <v>#REF!</v>
      </c>
      <c r="T41" s="19" t="s">
        <v>53</v>
      </c>
    </row>
    <row r="42" spans="1:20" ht="13.5" customHeight="1" x14ac:dyDescent="0.25">
      <c r="A42" s="1">
        <v>45687</v>
      </c>
      <c r="B42" s="1" t="str">
        <f t="shared" si="10"/>
        <v>202501</v>
      </c>
      <c r="C42" s="2">
        <f>C41*(1+((1+VLOOKUP($B42,'IPCA Hist'!$B:$C,2,0))^12 - 1)+$C$2)^(1/252)</f>
        <v>81554446.701337859</v>
      </c>
      <c r="D42" s="2">
        <f>D41*(1+((1+VLOOKUP($B42,'IPCA Hist'!$B:$C,2,0))^12 - 1)+$D$2)^(1/252)</f>
        <v>40956109.72675889</v>
      </c>
      <c r="E42" s="2">
        <f>E41*(1+((1+VLOOKUP($B42,'IPCA Hist'!$B:$C,2,0))^12 - 1)+$E$2)^(1/252)</f>
        <v>40970243.153491363</v>
      </c>
      <c r="F42" s="2">
        <v>0</v>
      </c>
      <c r="G42" s="2">
        <f t="shared" si="15"/>
        <v>163480799.58158809</v>
      </c>
      <c r="H42" s="2">
        <v>0</v>
      </c>
      <c r="I42" s="2">
        <v>0</v>
      </c>
      <c r="J42" s="2">
        <f t="shared" si="14"/>
        <v>60309.287665009499</v>
      </c>
      <c r="K42" s="2">
        <f t="shared" si="16"/>
        <v>1261817.30556041</v>
      </c>
      <c r="L42" s="2">
        <f t="shared" si="17"/>
        <v>1261817.30556041</v>
      </c>
      <c r="M42" s="11">
        <f t="shared" si="11"/>
        <v>1.0171636750206106</v>
      </c>
      <c r="N42" s="12">
        <f t="shared" si="12"/>
        <v>3.6904360987133344E-4</v>
      </c>
      <c r="O42" s="12">
        <f t="shared" si="18"/>
        <v>7.7784812101295842E-3</v>
      </c>
      <c r="P42" s="12">
        <f t="shared" si="19"/>
        <v>7.7784812101295842E-3</v>
      </c>
      <c r="Q42" s="5">
        <f t="shared" si="13"/>
        <v>1.7163675020610558E-2</v>
      </c>
      <c r="R42" s="19" t="e">
        <f>M42/#REF! - 1</f>
        <v>#REF!</v>
      </c>
      <c r="S42" s="19" t="e">
        <f>M42/#REF! - 1</f>
        <v>#REF!</v>
      </c>
      <c r="T42" s="19" t="s">
        <v>53</v>
      </c>
    </row>
    <row r="43" spans="1:20" x14ac:dyDescent="0.25">
      <c r="A43" s="1">
        <v>45688</v>
      </c>
      <c r="B43" s="1" t="str">
        <f t="shared" si="10"/>
        <v>202501</v>
      </c>
      <c r="C43" s="2">
        <f>C42*(1+((1+VLOOKUP($B43,'IPCA Hist'!$B:$C,2,0))^12 - 1)+$C$2)^(1/252)</f>
        <v>81582747.658502683</v>
      </c>
      <c r="D43" s="2">
        <f>D42*(1+((1+VLOOKUP($B43,'IPCA Hist'!$B:$C,2,0))^12 - 1)+$D$2)^(1/252)</f>
        <v>40972129.665032394</v>
      </c>
      <c r="E43" s="2">
        <f>E42*(1+((1+VLOOKUP($B43,'IPCA Hist'!$B:$C,2,0))^12 - 1)+$E$2)^(1/252)</f>
        <v>40986253.881392844</v>
      </c>
      <c r="F43" s="2">
        <v>0</v>
      </c>
      <c r="G43" s="2">
        <f t="shared" si="15"/>
        <v>163541131.20492792</v>
      </c>
      <c r="H43" s="2">
        <v>0</v>
      </c>
      <c r="I43" s="2">
        <v>0</v>
      </c>
      <c r="J43" s="2">
        <f t="shared" si="14"/>
        <v>60331.623339831829</v>
      </c>
      <c r="K43" s="2">
        <f t="shared" si="16"/>
        <v>1322148.9289002419</v>
      </c>
      <c r="L43" s="2">
        <f t="shared" si="17"/>
        <v>1322148.9289002419</v>
      </c>
      <c r="M43" s="11">
        <f t="shared" si="11"/>
        <v>1.0175390532660888</v>
      </c>
      <c r="N43" s="12">
        <f t="shared" si="12"/>
        <v>3.690440926045202E-4</v>
      </c>
      <c r="O43" s="12">
        <f t="shared" si="18"/>
        <v>8.1503959052742214E-3</v>
      </c>
      <c r="P43" s="12">
        <f t="shared" si="19"/>
        <v>8.1503959052742214E-3</v>
      </c>
      <c r="Q43" s="5">
        <f t="shared" si="13"/>
        <v>1.7539053266088844E-2</v>
      </c>
      <c r="R43" s="19" t="e">
        <f>M43/#REF! - 1</f>
        <v>#REF!</v>
      </c>
      <c r="S43" s="19" t="e">
        <f>M43/#REF! - 1</f>
        <v>#REF!</v>
      </c>
      <c r="T43" s="19" t="s">
        <v>53</v>
      </c>
    </row>
    <row r="44" spans="1:20" x14ac:dyDescent="0.25">
      <c r="A44" s="1">
        <v>45691</v>
      </c>
      <c r="B44" s="1" t="str">
        <f t="shared" si="10"/>
        <v>202502</v>
      </c>
      <c r="C44" s="2">
        <f>C43*(1+((1+VLOOKUP($B44,'IPCA Hist'!$B:$C,2,0))^12 - 1)+$C$2)^(1/252)</f>
        <v>81652688.304410324</v>
      </c>
      <c r="D44" s="2">
        <f>D43*(1+((1+VLOOKUP($B44,'IPCA Hist'!$B:$C,2,0))^12 - 1)+$D$2)^(1/252)</f>
        <v>41008846.858138375</v>
      </c>
      <c r="E44" s="2">
        <f>E43*(1+((1+VLOOKUP($B44,'IPCA Hist'!$B:$C,2,0))^12 - 1)+$E$2)^(1/252)</f>
        <v>41022970.741860755</v>
      </c>
      <c r="F44" s="2">
        <v>0</v>
      </c>
      <c r="G44" s="2">
        <f t="shared" si="15"/>
        <v>163684505.90440944</v>
      </c>
      <c r="H44" s="2">
        <v>0</v>
      </c>
      <c r="I44" s="2">
        <v>0</v>
      </c>
      <c r="J44" s="2">
        <f t="shared" si="14"/>
        <v>143374.69948151708</v>
      </c>
      <c r="K44" s="2">
        <f t="shared" si="16"/>
        <v>143374.69948151708</v>
      </c>
      <c r="L44" s="2">
        <f t="shared" si="17"/>
        <v>1465523.6283817589</v>
      </c>
      <c r="M44" s="11">
        <f t="shared" si="11"/>
        <v>1.0184311184908912</v>
      </c>
      <c r="N44" s="12">
        <f t="shared" si="12"/>
        <v>8.7668893094461353E-4</v>
      </c>
      <c r="O44" s="12">
        <f t="shared" si="18"/>
        <v>8.7668893094461353E-4</v>
      </c>
      <c r="P44" s="12">
        <f t="shared" si="19"/>
        <v>9.0342301980919082E-3</v>
      </c>
      <c r="Q44" s="5">
        <f t="shared" si="13"/>
        <v>1.8431118490891185E-2</v>
      </c>
      <c r="R44" s="19" t="e">
        <f>M44/#REF! - 1</f>
        <v>#REF!</v>
      </c>
      <c r="S44" s="19" t="e">
        <f>M44/#REF! - 1</f>
        <v>#REF!</v>
      </c>
      <c r="T44" s="19" t="s">
        <v>53</v>
      </c>
    </row>
    <row r="45" spans="1:20" x14ac:dyDescent="0.25">
      <c r="A45" s="1">
        <v>45692</v>
      </c>
      <c r="B45" s="1" t="str">
        <f t="shared" si="10"/>
        <v>202502</v>
      </c>
      <c r="C45" s="2">
        <f>C44*(1+((1+VLOOKUP($B45,'IPCA Hist'!$B:$C,2,0))^12 - 1)+$C$2)^(1/252)</f>
        <v>81722688.91022481</v>
      </c>
      <c r="D45" s="2">
        <f>D44*(1+((1+VLOOKUP($B45,'IPCA Hist'!$B:$C,2,0))^12 - 1)+$D$2)^(1/252)</f>
        <v>41045596.955374084</v>
      </c>
      <c r="E45" s="2">
        <f>E44*(1+((1+VLOOKUP($B45,'IPCA Hist'!$B:$C,2,0))^12 - 1)+$E$2)^(1/252)</f>
        <v>41059720.494523369</v>
      </c>
      <c r="F45" s="2">
        <v>0</v>
      </c>
      <c r="G45" s="2">
        <f t="shared" si="15"/>
        <v>163828006.36012226</v>
      </c>
      <c r="H45" s="2">
        <v>0</v>
      </c>
      <c r="I45" s="2">
        <v>0</v>
      </c>
      <c r="J45" s="2">
        <f t="shared" si="14"/>
        <v>143500.45571282506</v>
      </c>
      <c r="K45" s="2">
        <f t="shared" si="16"/>
        <v>286875.15519434214</v>
      </c>
      <c r="L45" s="2">
        <f t="shared" si="17"/>
        <v>1609024.084094584</v>
      </c>
      <c r="M45" s="11">
        <f t="shared" si="11"/>
        <v>1.0193239661603031</v>
      </c>
      <c r="N45" s="12">
        <f t="shared" si="12"/>
        <v>8.7668930495254926E-4</v>
      </c>
      <c r="O45" s="12">
        <f t="shared" si="18"/>
        <v>1.7541468197066479E-3</v>
      </c>
      <c r="P45" s="12">
        <f t="shared" si="19"/>
        <v>9.9188397160376862E-3</v>
      </c>
      <c r="Q45" s="5">
        <f t="shared" si="13"/>
        <v>1.9323966160303074E-2</v>
      </c>
      <c r="R45" s="19" t="e">
        <f>M45/#REF! - 1</f>
        <v>#REF!</v>
      </c>
      <c r="S45" s="19" t="e">
        <f>M45/#REF! - 1</f>
        <v>#REF!</v>
      </c>
      <c r="T45" s="19" t="s">
        <v>53</v>
      </c>
    </row>
    <row r="46" spans="1:20" x14ac:dyDescent="0.25">
      <c r="A46" s="1">
        <v>45693</v>
      </c>
      <c r="B46" s="1" t="str">
        <f t="shared" si="10"/>
        <v>202502</v>
      </c>
      <c r="C46" s="2">
        <f>C45*(1+((1+VLOOKUP($B46,'IPCA Hist'!$B:$C,2,0))^12 - 1)+$C$2)^(1/252)</f>
        <v>81792749.527349591</v>
      </c>
      <c r="D46" s="2">
        <f>D45*(1+((1+VLOOKUP($B46,'IPCA Hist'!$B:$C,2,0))^12 - 1)+$D$2)^(1/252)</f>
        <v>41082379.986226566</v>
      </c>
      <c r="E46" s="2">
        <f>E45*(1+((1+VLOOKUP($B46,'IPCA Hist'!$B:$C,2,0))^12 - 1)+$E$2)^(1/252)</f>
        <v>41096503.168846607</v>
      </c>
      <c r="F46" s="2">
        <v>0</v>
      </c>
      <c r="G46" s="2">
        <f t="shared" si="15"/>
        <v>163971632.68242276</v>
      </c>
      <c r="H46" s="2">
        <v>0</v>
      </c>
      <c r="I46" s="2">
        <v>0</v>
      </c>
      <c r="J46" s="2">
        <f t="shared" si="14"/>
        <v>143626.32230049372</v>
      </c>
      <c r="K46" s="2">
        <f t="shared" si="16"/>
        <v>430501.47749483585</v>
      </c>
      <c r="L46" s="2">
        <f t="shared" si="17"/>
        <v>1752650.4063950777</v>
      </c>
      <c r="M46" s="11">
        <f t="shared" si="11"/>
        <v>1.0202175969609522</v>
      </c>
      <c r="N46" s="12">
        <f t="shared" si="12"/>
        <v>8.7668967895981886E-4</v>
      </c>
      <c r="O46" s="12">
        <f t="shared" si="18"/>
        <v>2.6323743410787692E-3</v>
      </c>
      <c r="P46" s="12">
        <f t="shared" si="19"/>
        <v>1.0804225139403822E-2</v>
      </c>
      <c r="Q46" s="5">
        <f t="shared" si="13"/>
        <v>2.0217596960952156E-2</v>
      </c>
      <c r="R46" s="19" t="e">
        <f>M46/#REF! - 1</f>
        <v>#REF!</v>
      </c>
      <c r="S46" s="19" t="e">
        <f>M46/#REF! - 1</f>
        <v>#REF!</v>
      </c>
      <c r="T46" s="19" t="s">
        <v>53</v>
      </c>
    </row>
    <row r="47" spans="1:20" x14ac:dyDescent="0.25">
      <c r="A47" s="1">
        <v>45694</v>
      </c>
      <c r="B47" s="1" t="str">
        <f t="shared" si="10"/>
        <v>202502</v>
      </c>
      <c r="C47" s="2">
        <f>C46*(1+((1+VLOOKUP($B47,'IPCA Hist'!$B:$C,2,0))^12 - 1)+$C$2)^(1/252)</f>
        <v>81862870.207232177</v>
      </c>
      <c r="D47" s="2">
        <f>D46*(1+((1+VLOOKUP($B47,'IPCA Hist'!$B:$C,2,0))^12 - 1)+$D$2)^(1/252)</f>
        <v>41119195.980209298</v>
      </c>
      <c r="E47" s="2">
        <f>E46*(1+((1+VLOOKUP($B47,'IPCA Hist'!$B:$C,2,0))^12 - 1)+$E$2)^(1/252)</f>
        <v>41133318.794322804</v>
      </c>
      <c r="F47" s="2">
        <v>0</v>
      </c>
      <c r="G47" s="2">
        <f t="shared" si="15"/>
        <v>164115384.98176426</v>
      </c>
      <c r="H47" s="2">
        <v>0</v>
      </c>
      <c r="I47" s="2">
        <v>0</v>
      </c>
      <c r="J47" s="2">
        <f t="shared" si="14"/>
        <v>143752.29934149981</v>
      </c>
      <c r="K47" s="2">
        <f t="shared" si="16"/>
        <v>574253.77683633566</v>
      </c>
      <c r="L47" s="2">
        <f t="shared" si="17"/>
        <v>1896402.7057365775</v>
      </c>
      <c r="M47" s="11">
        <f t="shared" si="11"/>
        <v>1.02111201158007</v>
      </c>
      <c r="N47" s="12">
        <f t="shared" si="12"/>
        <v>8.7669005296731051E-4</v>
      </c>
      <c r="O47" s="12">
        <f t="shared" si="18"/>
        <v>3.5113721704465028E-3</v>
      </c>
      <c r="P47" s="12">
        <f t="shared" si="19"/>
        <v>1.1690387149080772E-2</v>
      </c>
      <c r="Q47" s="5">
        <f t="shared" si="13"/>
        <v>2.1112011580070034E-2</v>
      </c>
      <c r="R47" s="19" t="e">
        <f>M47/#REF! - 1</f>
        <v>#REF!</v>
      </c>
      <c r="S47" s="19" t="e">
        <f>M47/#REF! - 1</f>
        <v>#REF!</v>
      </c>
      <c r="T47" s="19" t="s">
        <v>53</v>
      </c>
    </row>
    <row r="48" spans="1:20" x14ac:dyDescent="0.25">
      <c r="A48" s="1">
        <v>45695</v>
      </c>
      <c r="B48" s="1" t="str">
        <f t="shared" si="10"/>
        <v>202502</v>
      </c>
      <c r="C48" s="2">
        <f>C47*(1+((1+VLOOKUP($B48,'IPCA Hist'!$B:$C,2,0))^12 - 1)+$C$2)^(1/252)</f>
        <v>81933051.001364201</v>
      </c>
      <c r="D48" s="2">
        <f>D47*(1+((1+VLOOKUP($B48,'IPCA Hist'!$B:$C,2,0))^12 - 1)+$D$2)^(1/252)</f>
        <v>41156044.966862209</v>
      </c>
      <c r="E48" s="2">
        <f>E47*(1+((1+VLOOKUP($B48,'IPCA Hist'!$B:$C,2,0))^12 - 1)+$E$2)^(1/252)</f>
        <v>41170167.400470704</v>
      </c>
      <c r="F48" s="2">
        <v>0</v>
      </c>
      <c r="G48" s="2">
        <f t="shared" si="15"/>
        <v>164259263.36869711</v>
      </c>
      <c r="H48" s="2">
        <v>0</v>
      </c>
      <c r="I48" s="2">
        <v>0</v>
      </c>
      <c r="J48" s="2">
        <f t="shared" si="14"/>
        <v>143878.38693284988</v>
      </c>
      <c r="K48" s="2">
        <f t="shared" si="16"/>
        <v>718132.16376918554</v>
      </c>
      <c r="L48" s="2">
        <f t="shared" si="17"/>
        <v>2040281.0926694274</v>
      </c>
      <c r="M48" s="11">
        <f t="shared" si="11"/>
        <v>1.0220072107054914</v>
      </c>
      <c r="N48" s="12">
        <f t="shared" si="12"/>
        <v>8.766904269750242E-4</v>
      </c>
      <c r="O48" s="12">
        <f t="shared" si="18"/>
        <v>4.3911409837888993E-3</v>
      </c>
      <c r="P48" s="12">
        <f t="shared" si="19"/>
        <v>1.2577326426556956E-2</v>
      </c>
      <c r="Q48" s="5">
        <f t="shared" si="13"/>
        <v>2.2007210705491387E-2</v>
      </c>
      <c r="R48" s="19" t="e">
        <f>M48/#REF! - 1</f>
        <v>#REF!</v>
      </c>
      <c r="S48" s="19" t="e">
        <f>M48/#REF! - 1</f>
        <v>#REF!</v>
      </c>
      <c r="T48" s="19" t="s">
        <v>53</v>
      </c>
    </row>
    <row r="49" spans="1:20" x14ac:dyDescent="0.25">
      <c r="A49" s="1">
        <v>45698</v>
      </c>
      <c r="B49" s="1" t="str">
        <f t="shared" si="10"/>
        <v>202502</v>
      </c>
      <c r="C49" s="2">
        <f>C48*(1+((1+VLOOKUP($B49,'IPCA Hist'!$B:$C,2,0))^12 - 1)+$C$2)^(1/252)</f>
        <v>82003291.961281434</v>
      </c>
      <c r="D49" s="2">
        <f>D48*(1+((1+VLOOKUP($B49,'IPCA Hist'!$B:$C,2,0))^12 - 1)+$D$2)^(1/252)</f>
        <v>41192926.975751691</v>
      </c>
      <c r="E49" s="2">
        <f>E48*(1+((1+VLOOKUP($B49,'IPCA Hist'!$B:$C,2,0))^12 - 1)+$E$2)^(1/252)</f>
        <v>41207049.016835503</v>
      </c>
      <c r="F49" s="2">
        <v>0</v>
      </c>
      <c r="G49" s="2">
        <f t="shared" si="15"/>
        <v>164403267.95386863</v>
      </c>
      <c r="H49" s="2">
        <v>0</v>
      </c>
      <c r="I49" s="2">
        <v>0</v>
      </c>
      <c r="J49" s="2">
        <f t="shared" si="14"/>
        <v>144004.58517152071</v>
      </c>
      <c r="K49" s="2">
        <f t="shared" si="16"/>
        <v>862136.74894070625</v>
      </c>
      <c r="L49" s="2">
        <f t="shared" si="17"/>
        <v>2184285.6778409481</v>
      </c>
      <c r="M49" s="11">
        <f t="shared" si="11"/>
        <v>1.0229031950256549</v>
      </c>
      <c r="N49" s="12">
        <f t="shared" si="12"/>
        <v>8.7669080098273788E-4</v>
      </c>
      <c r="O49" s="12">
        <f t="shared" si="18"/>
        <v>5.2716814576778681E-3</v>
      </c>
      <c r="P49" s="12">
        <f t="shared" si="19"/>
        <v>1.3465043653918762E-2</v>
      </c>
      <c r="Q49" s="5">
        <f t="shared" si="13"/>
        <v>2.2903195025654854E-2</v>
      </c>
      <c r="R49" s="19" t="e">
        <f>M49/#REF! - 1</f>
        <v>#REF!</v>
      </c>
      <c r="S49" s="19" t="e">
        <f>M49/#REF! - 1</f>
        <v>#REF!</v>
      </c>
      <c r="T49" s="19" t="s">
        <v>53</v>
      </c>
    </row>
    <row r="50" spans="1:20" x14ac:dyDescent="0.25">
      <c r="A50" s="1">
        <v>45699</v>
      </c>
      <c r="B50" s="1" t="str">
        <f t="shared" si="10"/>
        <v>202502</v>
      </c>
      <c r="C50" s="2">
        <f>C49*(1+((1+VLOOKUP($B50,'IPCA Hist'!$B:$C,2,0))^12 - 1)+$C$2)^(1/252)</f>
        <v>82073593.138563812</v>
      </c>
      <c r="D50" s="2">
        <f>D49*(1+((1+VLOOKUP($B50,'IPCA Hist'!$B:$C,2,0))^12 - 1)+$D$2)^(1/252)</f>
        <v>41229842.036470637</v>
      </c>
      <c r="E50" s="2">
        <f>E49*(1+((1+VLOOKUP($B50,'IPCA Hist'!$B:$C,2,0))^12 - 1)+$E$2)^(1/252)</f>
        <v>41243963.672988854</v>
      </c>
      <c r="F50" s="2">
        <v>0</v>
      </c>
      <c r="G50" s="2">
        <f t="shared" si="15"/>
        <v>164547398.8480233</v>
      </c>
      <c r="H50" s="2">
        <v>0</v>
      </c>
      <c r="I50" s="2">
        <v>0</v>
      </c>
      <c r="J50" s="2">
        <f t="shared" si="14"/>
        <v>144130.89415466785</v>
      </c>
      <c r="K50" s="2">
        <f t="shared" si="16"/>
        <v>1006267.6430953741</v>
      </c>
      <c r="L50" s="2">
        <f t="shared" si="17"/>
        <v>2328416.571995616</v>
      </c>
      <c r="M50" s="11">
        <f t="shared" si="11"/>
        <v>1.023799965229603</v>
      </c>
      <c r="N50" s="12">
        <f t="shared" si="12"/>
        <v>8.7669117499000748E-4</v>
      </c>
      <c r="O50" s="12">
        <f t="shared" si="18"/>
        <v>6.1529942692792883E-3</v>
      </c>
      <c r="P50" s="12">
        <f t="shared" si="19"/>
        <v>1.4353539513850988E-2</v>
      </c>
      <c r="Q50" s="5">
        <f t="shared" si="13"/>
        <v>2.3799965229603037E-2</v>
      </c>
      <c r="R50" s="19" t="e">
        <f>M50/#REF! - 1</f>
        <v>#REF!</v>
      </c>
      <c r="S50" s="19" t="e">
        <f>M50/#REF! - 1</f>
        <v>#REF!</v>
      </c>
      <c r="T50" s="19" t="s">
        <v>53</v>
      </c>
    </row>
    <row r="51" spans="1:20" x14ac:dyDescent="0.25">
      <c r="A51" s="1">
        <v>45700</v>
      </c>
      <c r="B51" s="1" t="str">
        <f t="shared" si="10"/>
        <v>202502</v>
      </c>
      <c r="C51" s="2">
        <f>C50*(1+((1+VLOOKUP($B51,'IPCA Hist'!$B:$C,2,0))^12 - 1)+$C$2)^(1/252)</f>
        <v>82143954.584835514</v>
      </c>
      <c r="D51" s="2">
        <f>D50*(1+((1+VLOOKUP($B51,'IPCA Hist'!$B:$C,2,0))^12 - 1)+$D$2)^(1/252)</f>
        <v>41266790.178638466</v>
      </c>
      <c r="E51" s="2">
        <f>E50*(1+((1+VLOOKUP($B51,'IPCA Hist'!$B:$C,2,0))^12 - 1)+$E$2)^(1/252)</f>
        <v>41280911.398528911</v>
      </c>
      <c r="F51" s="2">
        <v>0</v>
      </c>
      <c r="G51" s="2">
        <f t="shared" si="15"/>
        <v>164691656.16200289</v>
      </c>
      <c r="H51" s="2">
        <v>0</v>
      </c>
      <c r="I51" s="2">
        <v>0</v>
      </c>
      <c r="J51" s="2">
        <f t="shared" si="14"/>
        <v>144257.3139795959</v>
      </c>
      <c r="K51" s="2">
        <f t="shared" si="16"/>
        <v>1150524.95707497</v>
      </c>
      <c r="L51" s="2">
        <f t="shared" si="17"/>
        <v>2472673.8859752119</v>
      </c>
      <c r="M51" s="11">
        <f t="shared" si="11"/>
        <v>1.0246975220069838</v>
      </c>
      <c r="N51" s="12">
        <f t="shared" si="12"/>
        <v>8.7669154899749913E-4</v>
      </c>
      <c r="O51" s="12">
        <f t="shared" si="18"/>
        <v>7.0350800963536742E-3</v>
      </c>
      <c r="P51" s="12">
        <f t="shared" si="19"/>
        <v>1.5242814689638395E-2</v>
      </c>
      <c r="Q51" s="5">
        <f t="shared" si="13"/>
        <v>2.469752200698383E-2</v>
      </c>
      <c r="R51" s="19" t="e">
        <f>M51/#REF! - 1</f>
        <v>#REF!</v>
      </c>
      <c r="S51" s="19" t="e">
        <f>M51/#REF! - 1</f>
        <v>#REF!</v>
      </c>
      <c r="T51" s="19" t="s">
        <v>53</v>
      </c>
    </row>
    <row r="52" spans="1:20" x14ac:dyDescent="0.25">
      <c r="A52" s="1">
        <v>45701</v>
      </c>
      <c r="B52" s="1" t="str">
        <f t="shared" si="10"/>
        <v>202502</v>
      </c>
      <c r="C52" s="2">
        <f>C51*(1+((1+VLOOKUP($B52,'IPCA Hist'!$B:$C,2,0))^12 - 1)+$C$2)^(1/252)</f>
        <v>82214376.351764962</v>
      </c>
      <c r="D52" s="2">
        <f>D51*(1+((1+VLOOKUP($B52,'IPCA Hist'!$B:$C,2,0))^12 - 1)+$D$2)^(1/252)</f>
        <v>41303771.431901127</v>
      </c>
      <c r="E52" s="2">
        <f>E51*(1+((1+VLOOKUP($B52,'IPCA Hist'!$B:$C,2,0))^12 - 1)+$E$2)^(1/252)</f>
        <v>41317892.223080337</v>
      </c>
      <c r="F52" s="2">
        <v>0</v>
      </c>
      <c r="G52" s="2">
        <f t="shared" si="15"/>
        <v>164836040.00674641</v>
      </c>
      <c r="H52" s="2">
        <v>0</v>
      </c>
      <c r="I52" s="2">
        <v>0</v>
      </c>
      <c r="J52" s="2">
        <f t="shared" si="14"/>
        <v>144383.84474352002</v>
      </c>
      <c r="K52" s="2">
        <f t="shared" si="16"/>
        <v>1294908.80181849</v>
      </c>
      <c r="L52" s="2">
        <f t="shared" si="17"/>
        <v>2617057.7307187319</v>
      </c>
      <c r="M52" s="11">
        <f t="shared" si="11"/>
        <v>1.0255958660480504</v>
      </c>
      <c r="N52" s="12">
        <f t="shared" si="12"/>
        <v>8.7669192300476873E-4</v>
      </c>
      <c r="O52" s="12">
        <f t="shared" si="18"/>
        <v>7.9179396172566197E-3</v>
      </c>
      <c r="P52" s="12">
        <f t="shared" si="19"/>
        <v>1.6132869865165489E-2</v>
      </c>
      <c r="Q52" s="5">
        <f t="shared" si="13"/>
        <v>2.559586604805042E-2</v>
      </c>
      <c r="R52" s="19" t="e">
        <f>M52/#REF! - 1</f>
        <v>#REF!</v>
      </c>
      <c r="S52" s="19" t="e">
        <f>M52/#REF! - 1</f>
        <v>#REF!</v>
      </c>
      <c r="T52" s="19" t="s">
        <v>53</v>
      </c>
    </row>
    <row r="53" spans="1:20" x14ac:dyDescent="0.25">
      <c r="A53" s="1">
        <v>45702</v>
      </c>
      <c r="B53" s="1" t="str">
        <f t="shared" si="10"/>
        <v>202502</v>
      </c>
      <c r="C53" s="2">
        <f>C52*(1+((1+VLOOKUP($B53,'IPCA Hist'!$B:$C,2,0))^12 - 1)+$C$2)^(1/252)</f>
        <v>82284858.491064876</v>
      </c>
      <c r="D53" s="2">
        <f>D52*(1+((1+VLOOKUP($B53,'IPCA Hist'!$B:$C,2,0))^12 - 1)+$D$2)^(1/252)</f>
        <v>41340785.825931147</v>
      </c>
      <c r="E53" s="2">
        <f>E52*(1+((1+VLOOKUP($B53,'IPCA Hist'!$B:$C,2,0))^12 - 1)+$E$2)^(1/252)</f>
        <v>41354906.176294342</v>
      </c>
      <c r="F53" s="2">
        <v>0</v>
      </c>
      <c r="G53" s="2">
        <f t="shared" si="15"/>
        <v>164980550.49329036</v>
      </c>
      <c r="H53" s="2">
        <v>0</v>
      </c>
      <c r="I53" s="2">
        <v>0</v>
      </c>
      <c r="J53" s="2">
        <f t="shared" si="14"/>
        <v>144510.48654395342</v>
      </c>
      <c r="K53" s="2">
        <f t="shared" si="16"/>
        <v>1439419.2883624434</v>
      </c>
      <c r="L53" s="2">
        <f t="shared" si="17"/>
        <v>2761568.2172626853</v>
      </c>
      <c r="M53" s="11">
        <f t="shared" si="11"/>
        <v>1.0264949980436626</v>
      </c>
      <c r="N53" s="12">
        <f t="shared" si="12"/>
        <v>8.7669229701248241E-4</v>
      </c>
      <c r="O53" s="12">
        <f t="shared" si="18"/>
        <v>8.8015735109396864E-3</v>
      </c>
      <c r="P53" s="12">
        <f t="shared" si="19"/>
        <v>1.7023705724917404E-2</v>
      </c>
      <c r="Q53" s="5">
        <f t="shared" si="13"/>
        <v>2.6494998043662621E-2</v>
      </c>
      <c r="R53" s="19" t="e">
        <f>M53/#REF! - 1</f>
        <v>#REF!</v>
      </c>
      <c r="S53" s="19" t="e">
        <f>M53/#REF! - 1</f>
        <v>#REF!</v>
      </c>
      <c r="T53" s="19" t="s">
        <v>53</v>
      </c>
    </row>
    <row r="54" spans="1:20" s="17" customFormat="1" x14ac:dyDescent="0.25">
      <c r="A54" s="13">
        <v>45705</v>
      </c>
      <c r="B54" s="13" t="str">
        <f t="shared" si="10"/>
        <v>202502</v>
      </c>
      <c r="C54" s="14">
        <f>C53*(1+((1+VLOOKUP($B54,'IPCA Hist'!$B:$C,2,0))^12 - 1)+$C$2)^(1/252)</f>
        <v>82355401.054492295</v>
      </c>
      <c r="D54" s="14">
        <f>D53*(1+((1+VLOOKUP($B54,'IPCA Hist'!$B:$C,2,0))^12 - 1)+$D$2)^(1/252)</f>
        <v>41377833.390427634</v>
      </c>
      <c r="E54" s="14">
        <f>E53*(1+((1+VLOOKUP($B54,'IPCA Hist'!$B:$C,2,0))^12 - 1)+$E$2)^(1/252)</f>
        <v>41391953.287848689</v>
      </c>
      <c r="F54" s="2">
        <v>0</v>
      </c>
      <c r="G54" s="14">
        <f t="shared" si="15"/>
        <v>165125187.73276863</v>
      </c>
      <c r="H54" s="2">
        <v>0</v>
      </c>
      <c r="I54" s="2">
        <v>0</v>
      </c>
      <c r="J54" s="2">
        <f t="shared" si="14"/>
        <v>144637.23947826028</v>
      </c>
      <c r="K54" s="2">
        <f t="shared" si="16"/>
        <v>1584056.5278407037</v>
      </c>
      <c r="L54" s="2">
        <f t="shared" si="17"/>
        <v>2906205.4567409456</v>
      </c>
      <c r="M54" s="15">
        <f t="shared" si="11"/>
        <v>1.027394918685286</v>
      </c>
      <c r="N54" s="16">
        <f t="shared" si="12"/>
        <v>8.7669267101975201E-4</v>
      </c>
      <c r="O54" s="16">
        <f t="shared" si="18"/>
        <v>9.6859824569499597E-3</v>
      </c>
      <c r="P54" s="16">
        <f t="shared" si="19"/>
        <v>1.7915322953979684E-2</v>
      </c>
      <c r="Q54" s="20">
        <f t="shared" si="13"/>
        <v>2.7394918685285985E-2</v>
      </c>
      <c r="R54" s="21" t="e">
        <f>M54/#REF! - 1</f>
        <v>#REF!</v>
      </c>
      <c r="S54" s="21" t="e">
        <f>M54/#REF! - 1</f>
        <v>#REF!</v>
      </c>
      <c r="T54" s="21" t="s">
        <v>53</v>
      </c>
    </row>
    <row r="55" spans="1:20" x14ac:dyDescent="0.25">
      <c r="A55" s="1">
        <v>45706</v>
      </c>
      <c r="B55" s="1" t="str">
        <f t="shared" si="10"/>
        <v>202502</v>
      </c>
      <c r="C55" s="2">
        <f>C54*(1+((1+VLOOKUP($B55,'IPCA Hist'!$B:$C,2,0))^12 - 1)+$C$2)^(1/252)</f>
        <v>82426004.093848661</v>
      </c>
      <c r="D55" s="2">
        <f>D54*(1+((1+VLOOKUP($B55,'IPCA Hist'!$B:$C,2,0))^12 - 1)+$D$2)^(1/252)</f>
        <v>41414914.15511632</v>
      </c>
      <c r="E55" s="2">
        <f>E54*(1+((1+VLOOKUP($B55,'IPCA Hist'!$B:$C,2,0))^12 - 1)+$E$2)^(1/252)</f>
        <v>41429033.587447725</v>
      </c>
      <c r="F55" s="2">
        <v>0</v>
      </c>
      <c r="G55" s="2">
        <f t="shared" si="15"/>
        <v>165269951.8364127</v>
      </c>
      <c r="H55" s="2">
        <v>0</v>
      </c>
      <c r="I55" s="2">
        <v>0</v>
      </c>
      <c r="J55" s="2">
        <f t="shared" si="14"/>
        <v>144764.10364407301</v>
      </c>
      <c r="K55" s="2">
        <f t="shared" si="16"/>
        <v>1728820.6314847767</v>
      </c>
      <c r="L55" s="2">
        <f t="shared" si="17"/>
        <v>3050969.5603850186</v>
      </c>
      <c r="M55" s="11">
        <f t="shared" si="11"/>
        <v>1.0282956286649934</v>
      </c>
      <c r="N55" s="12">
        <f t="shared" si="12"/>
        <v>8.7669304502679957E-4</v>
      </c>
      <c r="O55" s="12">
        <f t="shared" si="18"/>
        <v>1.0571167135430937E-2</v>
      </c>
      <c r="P55" s="12">
        <f t="shared" si="19"/>
        <v>1.8807722238039615E-2</v>
      </c>
      <c r="Q55" s="5">
        <f t="shared" si="13"/>
        <v>2.8295628664993355E-2</v>
      </c>
      <c r="R55" s="19" t="e">
        <f>M55/#REF! - 1</f>
        <v>#REF!</v>
      </c>
      <c r="S55" s="19" t="e">
        <f>M55/#REF! - 1</f>
        <v>#REF!</v>
      </c>
      <c r="T55" s="19" t="s">
        <v>53</v>
      </c>
    </row>
    <row r="56" spans="1:20" x14ac:dyDescent="0.25">
      <c r="A56" s="1">
        <v>45707</v>
      </c>
      <c r="B56" s="1" t="str">
        <f t="shared" si="10"/>
        <v>202502</v>
      </c>
      <c r="C56" s="2">
        <f>C55*(1+((1+VLOOKUP($B56,'IPCA Hist'!$B:$C,2,0))^12 - 1)+$C$2)^(1/252)</f>
        <v>82496667.660979792</v>
      </c>
      <c r="D56" s="2">
        <f>D55*(1+((1+VLOOKUP($B56,'IPCA Hist'!$B:$C,2,0))^12 - 1)+$D$2)^(1/252)</f>
        <v>41452028.149749577</v>
      </c>
      <c r="E56" s="2">
        <f>E55*(1+((1+VLOOKUP($B56,'IPCA Hist'!$B:$C,2,0))^12 - 1)+$E$2)^(1/252)</f>
        <v>41466147.10482242</v>
      </c>
      <c r="F56" s="2">
        <v>0</v>
      </c>
      <c r="G56" s="2">
        <f t="shared" si="15"/>
        <v>165414842.91555178</v>
      </c>
      <c r="H56" s="2">
        <v>0</v>
      </c>
      <c r="I56" s="2">
        <v>0</v>
      </c>
      <c r="J56" s="2">
        <f t="shared" si="14"/>
        <v>144891.07913908362</v>
      </c>
      <c r="K56" s="2">
        <f t="shared" si="16"/>
        <v>1873711.7106238604</v>
      </c>
      <c r="L56" s="2">
        <f t="shared" si="17"/>
        <v>3195860.6395241022</v>
      </c>
      <c r="M56" s="11">
        <f t="shared" si="11"/>
        <v>1.0291971286754658</v>
      </c>
      <c r="N56" s="12">
        <f t="shared" si="12"/>
        <v>8.7669341903429121E-4</v>
      </c>
      <c r="O56" s="12">
        <f t="shared" si="18"/>
        <v>1.1457128227124302E-2</v>
      </c>
      <c r="P56" s="12">
        <f t="shared" si="19"/>
        <v>1.9700904263387109E-2</v>
      </c>
      <c r="Q56" s="5">
        <f t="shared" si="13"/>
        <v>2.9197128675465756E-2</v>
      </c>
      <c r="R56" s="19" t="e">
        <f>M56/#REF! - 1</f>
        <v>#REF!</v>
      </c>
      <c r="S56" s="19" t="e">
        <f>M56/#REF! - 1</f>
        <v>#REF!</v>
      </c>
      <c r="T56" s="19" t="s">
        <v>53</v>
      </c>
    </row>
    <row r="57" spans="1:20" x14ac:dyDescent="0.25">
      <c r="A57" s="1">
        <v>45708</v>
      </c>
      <c r="B57" s="1" t="str">
        <f t="shared" si="10"/>
        <v>202502</v>
      </c>
      <c r="C57" s="2">
        <f>C56*(1+((1+VLOOKUP($B57,'IPCA Hist'!$B:$C,2,0))^12 - 1)+$C$2)^(1/252)</f>
        <v>82567391.807775989</v>
      </c>
      <c r="D57" s="2">
        <f>D56*(1+((1+VLOOKUP($B57,'IPCA Hist'!$B:$C,2,0))^12 - 1)+$D$2)^(1/252)</f>
        <v>41489175.404106431</v>
      </c>
      <c r="E57" s="2">
        <f>E56*(1+((1+VLOOKUP($B57,'IPCA Hist'!$B:$C,2,0))^12 - 1)+$E$2)^(1/252)</f>
        <v>41503293.869730376</v>
      </c>
      <c r="F57" s="2">
        <v>0</v>
      </c>
      <c r="G57" s="2">
        <f t="shared" si="15"/>
        <v>165559861.0816128</v>
      </c>
      <c r="H57" s="2">
        <v>0</v>
      </c>
      <c r="I57" s="2">
        <v>0</v>
      </c>
      <c r="J57" s="2">
        <f t="shared" si="14"/>
        <v>145018.16606101394</v>
      </c>
      <c r="K57" s="2">
        <f t="shared" si="16"/>
        <v>2018729.8766848743</v>
      </c>
      <c r="L57" s="2">
        <f t="shared" si="17"/>
        <v>3340878.8055851161</v>
      </c>
      <c r="M57" s="11">
        <f t="shared" si="11"/>
        <v>1.0300994194099917</v>
      </c>
      <c r="N57" s="12">
        <f t="shared" si="12"/>
        <v>8.7669379304156081E-4</v>
      </c>
      <c r="O57" s="12">
        <f t="shared" si="18"/>
        <v>1.2343866413368598E-2</v>
      </c>
      <c r="P57" s="12">
        <f t="shared" si="19"/>
        <v>2.05948697169136E-2</v>
      </c>
      <c r="Q57" s="5">
        <f t="shared" si="13"/>
        <v>3.0099419409991723E-2</v>
      </c>
      <c r="R57" s="19" t="e">
        <f>M57/#REF! - 1</f>
        <v>#REF!</v>
      </c>
      <c r="S57" s="19" t="e">
        <f>M57/#REF! - 1</f>
        <v>#REF!</v>
      </c>
      <c r="T57" s="19" t="s">
        <v>53</v>
      </c>
    </row>
    <row r="58" spans="1:20" x14ac:dyDescent="0.25">
      <c r="A58" s="1">
        <v>45709</v>
      </c>
      <c r="B58" s="1" t="str">
        <f t="shared" si="10"/>
        <v>202502</v>
      </c>
      <c r="C58" s="2">
        <f>C57*(1+((1+VLOOKUP($B58,'IPCA Hist'!$B:$C,2,0))^12 - 1)+$C$2)^(1/252)</f>
        <v>82638176.586172</v>
      </c>
      <c r="D58" s="2">
        <f>D57*(1+((1+VLOOKUP($B58,'IPCA Hist'!$B:$C,2,0))^12 - 1)+$D$2)^(1/252)</f>
        <v>41526355.947992601</v>
      </c>
      <c r="E58" s="2">
        <f>E57*(1+((1+VLOOKUP($B58,'IPCA Hist'!$B:$C,2,0))^12 - 1)+$E$2)^(1/252)</f>
        <v>41540473.911955841</v>
      </c>
      <c r="F58" s="2">
        <v>0</v>
      </c>
      <c r="G58" s="2">
        <f t="shared" si="15"/>
        <v>165705006.44612044</v>
      </c>
      <c r="H58" s="2">
        <v>0</v>
      </c>
      <c r="I58" s="2">
        <v>0</v>
      </c>
      <c r="J58" s="2">
        <f t="shared" si="14"/>
        <v>145145.36450764537</v>
      </c>
      <c r="K58" s="2">
        <f t="shared" si="16"/>
        <v>2163875.2411925197</v>
      </c>
      <c r="L58" s="2">
        <f t="shared" si="17"/>
        <v>3486024.1700927615</v>
      </c>
      <c r="M58" s="11">
        <f t="shared" si="11"/>
        <v>1.0310025015624686</v>
      </c>
      <c r="N58" s="12">
        <f t="shared" si="12"/>
        <v>8.7669416704860836E-4</v>
      </c>
      <c r="O58" s="12">
        <f t="shared" si="18"/>
        <v>1.3231382376100553E-2</v>
      </c>
      <c r="P58" s="12">
        <f t="shared" si="19"/>
        <v>2.1489619286114259E-2</v>
      </c>
      <c r="Q58" s="5">
        <f t="shared" si="13"/>
        <v>3.1002501562468643E-2</v>
      </c>
      <c r="R58" s="19" t="e">
        <f>M58/#REF! - 1</f>
        <v>#REF!</v>
      </c>
      <c r="S58" s="19" t="e">
        <f>M58/#REF! - 1</f>
        <v>#REF!</v>
      </c>
      <c r="T58" s="19" t="s">
        <v>53</v>
      </c>
    </row>
    <row r="59" spans="1:20" x14ac:dyDescent="0.25">
      <c r="A59" s="1">
        <v>45712</v>
      </c>
      <c r="B59" s="1" t="str">
        <f t="shared" si="10"/>
        <v>202502</v>
      </c>
      <c r="C59" s="2">
        <f>C58*(1+((1+VLOOKUP($B59,'IPCA Hist'!$B:$C,2,0))^12 - 1)+$C$2)^(1/252)</f>
        <v>82709022.048147112</v>
      </c>
      <c r="D59" s="2">
        <f>D58*(1+((1+VLOOKUP($B59,'IPCA Hist'!$B:$C,2,0))^12 - 1)+$D$2)^(1/252)</f>
        <v>41563569.811240509</v>
      </c>
      <c r="E59" s="2">
        <f>E58*(1+((1+VLOOKUP($B59,'IPCA Hist'!$B:$C,2,0))^12 - 1)+$E$2)^(1/252)</f>
        <v>41577687.26130975</v>
      </c>
      <c r="F59" s="2">
        <v>0</v>
      </c>
      <c r="G59" s="2">
        <f t="shared" si="15"/>
        <v>165850279.12069738</v>
      </c>
      <c r="H59" s="2">
        <v>0</v>
      </c>
      <c r="I59" s="2">
        <v>0</v>
      </c>
      <c r="J59" s="2">
        <f t="shared" si="14"/>
        <v>145272.67457693815</v>
      </c>
      <c r="K59" s="2">
        <f t="shared" si="16"/>
        <v>2309147.9157694578</v>
      </c>
      <c r="L59" s="2">
        <f t="shared" si="17"/>
        <v>3631296.8446696997</v>
      </c>
      <c r="M59" s="11">
        <f t="shared" si="11"/>
        <v>1.0319063758274034</v>
      </c>
      <c r="N59" s="12">
        <f t="shared" si="12"/>
        <v>8.7669454105587796E-4</v>
      </c>
      <c r="O59" s="12">
        <f t="shared" si="18"/>
        <v>1.4119676797856195E-2</v>
      </c>
      <c r="P59" s="12">
        <f t="shared" si="19"/>
        <v>2.2385153659087553E-2</v>
      </c>
      <c r="Q59" s="5">
        <f t="shared" si="13"/>
        <v>3.190637582740341E-2</v>
      </c>
      <c r="R59" s="19" t="e">
        <f>M59/#REF! - 1</f>
        <v>#REF!</v>
      </c>
      <c r="S59" s="19" t="e">
        <f>M59/#REF! - 1</f>
        <v>#REF!</v>
      </c>
      <c r="T59" s="19" t="s">
        <v>53</v>
      </c>
    </row>
    <row r="60" spans="1:20" x14ac:dyDescent="0.25">
      <c r="A60" s="1">
        <v>45713</v>
      </c>
      <c r="B60" s="1" t="str">
        <f t="shared" si="10"/>
        <v>202502</v>
      </c>
      <c r="C60" s="2">
        <f>C59*(1+((1+VLOOKUP($B60,'IPCA Hist'!$B:$C,2,0))^12 - 1)+$C$2)^(1/252)</f>
        <v>82779928.245725185</v>
      </c>
      <c r="D60" s="2">
        <f>D59*(1+((1+VLOOKUP($B60,'IPCA Hist'!$B:$C,2,0))^12 - 1)+$D$2)^(1/252)</f>
        <v>41600817.023709327</v>
      </c>
      <c r="E60" s="2">
        <f>E59*(1+((1+VLOOKUP($B60,'IPCA Hist'!$B:$C,2,0))^12 - 1)+$E$2)^(1/252)</f>
        <v>41614933.94762975</v>
      </c>
      <c r="F60" s="2">
        <v>0</v>
      </c>
      <c r="G60" s="2">
        <f t="shared" si="15"/>
        <v>165995679.21706426</v>
      </c>
      <c r="H60" s="2">
        <v>0</v>
      </c>
      <c r="I60" s="2">
        <v>0</v>
      </c>
      <c r="J60" s="2">
        <f t="shared" si="14"/>
        <v>145400.09636688232</v>
      </c>
      <c r="K60" s="2">
        <f t="shared" si="16"/>
        <v>2454548.0121363401</v>
      </c>
      <c r="L60" s="2">
        <f t="shared" si="17"/>
        <v>3776696.941036582</v>
      </c>
      <c r="M60" s="11">
        <f t="shared" si="11"/>
        <v>1.0328110428999122</v>
      </c>
      <c r="N60" s="12">
        <f t="shared" si="12"/>
        <v>8.7669491506292552E-4</v>
      </c>
      <c r="O60" s="12">
        <f t="shared" si="18"/>
        <v>1.5008750361770185E-2</v>
      </c>
      <c r="P60" s="12">
        <f t="shared" si="19"/>
        <v>2.3281473524536356E-2</v>
      </c>
      <c r="Q60" s="5">
        <f t="shared" si="13"/>
        <v>3.2811042899912213E-2</v>
      </c>
      <c r="R60" s="19" t="e">
        <f>M60/#REF! - 1</f>
        <v>#REF!</v>
      </c>
      <c r="S60" s="19" t="e">
        <f>M60/#REF! - 1</f>
        <v>#REF!</v>
      </c>
      <c r="T60" s="19" t="s">
        <v>53</v>
      </c>
    </row>
    <row r="61" spans="1:20" x14ac:dyDescent="0.25">
      <c r="A61" s="1">
        <v>45714</v>
      </c>
      <c r="B61" s="1" t="str">
        <f t="shared" si="10"/>
        <v>202502</v>
      </c>
      <c r="C61" s="2">
        <f>C60*(1+((1+VLOOKUP($B61,'IPCA Hist'!$B:$C,2,0))^12 - 1)+$C$2)^(1/252)</f>
        <v>82850895.230974674</v>
      </c>
      <c r="D61" s="2">
        <f>D60*(1+((1+VLOOKUP($B61,'IPCA Hist'!$B:$C,2,0))^12 - 1)+$D$2)^(1/252)</f>
        <v>41638097.615284964</v>
      </c>
      <c r="E61" s="2">
        <f>E60*(1+((1+VLOOKUP($B61,'IPCA Hist'!$B:$C,2,0))^12 - 1)+$E$2)^(1/252)</f>
        <v>41652214.00078021</v>
      </c>
      <c r="F61" s="2">
        <v>0</v>
      </c>
      <c r="G61" s="2">
        <f t="shared" si="15"/>
        <v>166141206.84703985</v>
      </c>
      <c r="H61" s="2">
        <v>0</v>
      </c>
      <c r="I61" s="2">
        <v>0</v>
      </c>
      <c r="J61" s="2">
        <f t="shared" si="14"/>
        <v>145527.62997558713</v>
      </c>
      <c r="K61" s="2">
        <f t="shared" si="16"/>
        <v>2600075.6421119273</v>
      </c>
      <c r="L61" s="2">
        <f t="shared" si="17"/>
        <v>3922224.5710121691</v>
      </c>
      <c r="M61" s="11">
        <f t="shared" si="11"/>
        <v>1.0337165034757221</v>
      </c>
      <c r="N61" s="12">
        <f t="shared" si="12"/>
        <v>8.7669528906997307E-4</v>
      </c>
      <c r="O61" s="12">
        <f t="shared" si="18"/>
        <v>1.5898603751577145E-2</v>
      </c>
      <c r="P61" s="12">
        <f t="shared" si="19"/>
        <v>2.4178579571767944E-2</v>
      </c>
      <c r="Q61" s="5">
        <f t="shared" si="13"/>
        <v>3.3716503475722082E-2</v>
      </c>
      <c r="R61" s="19" t="e">
        <f>M61/#REF! - 1</f>
        <v>#REF!</v>
      </c>
      <c r="S61" s="19" t="e">
        <f>M61/#REF! - 1</f>
        <v>#REF!</v>
      </c>
      <c r="T61" s="19" t="s">
        <v>53</v>
      </c>
    </row>
    <row r="62" spans="1:20" x14ac:dyDescent="0.25">
      <c r="A62" s="1">
        <v>45715</v>
      </c>
      <c r="B62" s="1" t="str">
        <f t="shared" si="10"/>
        <v>202502</v>
      </c>
      <c r="C62" s="2">
        <f>C61*(1+((1+VLOOKUP($B62,'IPCA Hist'!$B:$C,2,0))^12 - 1)+$C$2)^(1/252)</f>
        <v>82921923.056008667</v>
      </c>
      <c r="D62" s="2">
        <f>D61*(1+((1+VLOOKUP($B62,'IPCA Hist'!$B:$C,2,0))^12 - 1)+$D$2)^(1/252)</f>
        <v>41675411.615880132</v>
      </c>
      <c r="E62" s="2">
        <f>E61*(1+((1+VLOOKUP($B62,'IPCA Hist'!$B:$C,2,0))^12 - 1)+$E$2)^(1/252)</f>
        <v>41689527.450652257</v>
      </c>
      <c r="F62" s="2">
        <v>0</v>
      </c>
      <c r="G62" s="2">
        <f t="shared" si="15"/>
        <v>166286862.12254107</v>
      </c>
      <c r="H62" s="2">
        <v>0</v>
      </c>
      <c r="I62" s="2">
        <v>0</v>
      </c>
      <c r="J62" s="2">
        <f t="shared" si="14"/>
        <v>145655.27550122142</v>
      </c>
      <c r="K62" s="2">
        <f t="shared" si="16"/>
        <v>2745730.9176131487</v>
      </c>
      <c r="L62" s="2">
        <f t="shared" si="17"/>
        <v>4067879.8465133905</v>
      </c>
      <c r="M62" s="11">
        <f t="shared" si="11"/>
        <v>1.0346227582511707</v>
      </c>
      <c r="N62" s="12">
        <f t="shared" si="12"/>
        <v>8.7669566307724267E-4</v>
      </c>
      <c r="O62" s="12">
        <f t="shared" si="18"/>
        <v>1.6789237651612332E-2</v>
      </c>
      <c r="P62" s="12">
        <f t="shared" si="19"/>
        <v>2.5076472490695112E-2</v>
      </c>
      <c r="Q62" s="5">
        <f t="shared" si="13"/>
        <v>3.4622758251170671E-2</v>
      </c>
      <c r="R62" s="19" t="e">
        <f>M62/#REF! - 1</f>
        <v>#REF!</v>
      </c>
      <c r="S62" s="19" t="e">
        <f>M62/#REF! - 1</f>
        <v>#REF!</v>
      </c>
      <c r="T62" s="19" t="s">
        <v>53</v>
      </c>
    </row>
    <row r="63" spans="1:20" x14ac:dyDescent="0.25">
      <c r="A63" s="1">
        <v>45716</v>
      </c>
      <c r="B63" s="1" t="str">
        <f t="shared" si="10"/>
        <v>202502</v>
      </c>
      <c r="C63" s="2">
        <f>C62*(1+((1+VLOOKUP($B63,'IPCA Hist'!$B:$C,2,0))^12 - 1)+$C$2)^(1/252)</f>
        <v>82993011.772984922</v>
      </c>
      <c r="D63" s="2">
        <f>D62*(1+((1+VLOOKUP($B63,'IPCA Hist'!$B:$C,2,0))^12 - 1)+$D$2)^(1/252)</f>
        <v>41712759.055434331</v>
      </c>
      <c r="E63" s="2">
        <f>E62*(1+((1+VLOOKUP($B63,'IPCA Hist'!$B:$C,2,0))^12 - 1)+$E$2)^(1/252)</f>
        <v>41726874.327163793</v>
      </c>
      <c r="F63" s="2">
        <v>0</v>
      </c>
      <c r="G63" s="2">
        <f t="shared" si="15"/>
        <v>166432645.15558305</v>
      </c>
      <c r="H63" s="2">
        <v>0</v>
      </c>
      <c r="I63" s="2">
        <v>0</v>
      </c>
      <c r="J63" s="2">
        <f t="shared" si="14"/>
        <v>145783.03304198384</v>
      </c>
      <c r="K63" s="2">
        <f t="shared" si="16"/>
        <v>2891513.9506551325</v>
      </c>
      <c r="L63" s="2">
        <f t="shared" si="17"/>
        <v>4213662.8795553744</v>
      </c>
      <c r="M63" s="11">
        <f t="shared" si="11"/>
        <v>1.0355298079232065</v>
      </c>
      <c r="N63" s="12">
        <f t="shared" si="12"/>
        <v>8.7669603708406818E-4</v>
      </c>
      <c r="O63" s="12">
        <f t="shared" si="18"/>
        <v>1.7680652746811187E-2</v>
      </c>
      <c r="P63" s="12">
        <f t="shared" si="19"/>
        <v>2.5975152971835724E-2</v>
      </c>
      <c r="Q63" s="5">
        <f t="shared" si="13"/>
        <v>3.552980792320648E-2</v>
      </c>
      <c r="R63" s="19" t="e">
        <f>M63/#REF! - 1</f>
        <v>#REF!</v>
      </c>
      <c r="S63" s="19" t="e">
        <f>M63/#REF! - 1</f>
        <v>#REF!</v>
      </c>
      <c r="T63" s="19" t="s">
        <v>53</v>
      </c>
    </row>
    <row r="64" spans="1:20" x14ac:dyDescent="0.25">
      <c r="A64" s="1">
        <v>45721</v>
      </c>
      <c r="B64" s="1" t="str">
        <f t="shared" si="10"/>
        <v>202503</v>
      </c>
      <c r="C64" s="2">
        <f>C63*(1+((1+VLOOKUP($B64,'IPCA Hist'!$B:$C,2,0))^12 - 1)+$C$2)^(1/252)</f>
        <v>83036553.602009177</v>
      </c>
      <c r="D64" s="2">
        <f>D63*(1+((1+VLOOKUP($B64,'IPCA Hist'!$B:$C,2,0))^12 - 1)+$D$2)^(1/252)</f>
        <v>41736404.39227473</v>
      </c>
      <c r="E64" s="2">
        <f>E63*(1+((1+VLOOKUP($B64,'IPCA Hist'!$B:$C,2,0))^12 - 1)+$E$2)^(1/252)</f>
        <v>41750513.301935971</v>
      </c>
      <c r="F64" s="2">
        <v>0</v>
      </c>
      <c r="G64" s="2">
        <f t="shared" si="15"/>
        <v>166523471.29621989</v>
      </c>
      <c r="H64" s="2">
        <v>0</v>
      </c>
      <c r="I64" s="2">
        <v>0</v>
      </c>
      <c r="J64" s="2">
        <f t="shared" si="14"/>
        <v>90826.140636831522</v>
      </c>
      <c r="K64" s="2">
        <f t="shared" si="16"/>
        <v>90826.140636831522</v>
      </c>
      <c r="L64" s="2">
        <f t="shared" si="17"/>
        <v>4304489.0201922059</v>
      </c>
      <c r="M64" s="11">
        <f t="shared" si="11"/>
        <v>1.0360949204699677</v>
      </c>
      <c r="N64" s="12">
        <f t="shared" si="12"/>
        <v>5.457231095014059E-4</v>
      </c>
      <c r="O64" s="12">
        <f t="shared" si="18"/>
        <v>5.457231095014059E-4</v>
      </c>
      <c r="P64" s="12">
        <f t="shared" si="19"/>
        <v>2.65350513225866E-2</v>
      </c>
      <c r="Q64" s="5">
        <f t="shared" si="13"/>
        <v>3.6094920469967651E-2</v>
      </c>
      <c r="R64" s="19" t="e">
        <f>M64/#REF! - 1</f>
        <v>#REF!</v>
      </c>
      <c r="S64" s="19" t="e">
        <f>M64/#REF! - 1</f>
        <v>#REF!</v>
      </c>
      <c r="T64" s="19" t="s">
        <v>53</v>
      </c>
    </row>
    <row r="65" spans="1:20" x14ac:dyDescent="0.25">
      <c r="A65" s="1">
        <v>45722</v>
      </c>
      <c r="B65" s="1" t="str">
        <f t="shared" si="10"/>
        <v>202503</v>
      </c>
      <c r="C65" s="2">
        <f>C64*(1+((1+VLOOKUP($B65,'IPCA Hist'!$B:$C,2,0))^12 - 1)+$C$2)^(1/252)</f>
        <v>83080118.275015533</v>
      </c>
      <c r="D65" s="2">
        <f>D64*(1+((1+VLOOKUP($B65,'IPCA Hist'!$B:$C,2,0))^12 - 1)+$D$2)^(1/252)</f>
        <v>41760063.132734716</v>
      </c>
      <c r="E65" s="2">
        <f>E64*(1+((1+VLOOKUP($B65,'IPCA Hist'!$B:$C,2,0))^12 - 1)+$E$2)^(1/252)</f>
        <v>41774165.668584183</v>
      </c>
      <c r="F65" s="2">
        <v>0</v>
      </c>
      <c r="G65" s="2">
        <f t="shared" si="15"/>
        <v>166614347.07633442</v>
      </c>
      <c r="H65" s="2">
        <v>0</v>
      </c>
      <c r="I65" s="2">
        <v>0</v>
      </c>
      <c r="J65" s="2">
        <f t="shared" si="14"/>
        <v>90875.780114531517</v>
      </c>
      <c r="K65" s="2">
        <f t="shared" si="16"/>
        <v>181701.92075136304</v>
      </c>
      <c r="L65" s="2">
        <f t="shared" si="17"/>
        <v>4395364.8003067374</v>
      </c>
      <c r="M65" s="11">
        <f t="shared" si="11"/>
        <v>1.0366603418693505</v>
      </c>
      <c r="N65" s="12">
        <f t="shared" si="12"/>
        <v>5.4572355120363625E-4</v>
      </c>
      <c r="O65" s="12">
        <f t="shared" si="18"/>
        <v>1.0917444746583183E-3</v>
      </c>
      <c r="P65" s="12">
        <f t="shared" si="19"/>
        <v>2.7095255676229391E-2</v>
      </c>
      <c r="Q65" s="5">
        <f t="shared" si="13"/>
        <v>3.6660341869350521E-2</v>
      </c>
      <c r="R65" s="19" t="e">
        <f>M65/#REF! - 1</f>
        <v>#REF!</v>
      </c>
      <c r="S65" s="19" t="e">
        <f>M65/#REF! - 1</f>
        <v>#REF!</v>
      </c>
      <c r="T65" s="19" t="s">
        <v>53</v>
      </c>
    </row>
    <row r="66" spans="1:20" x14ac:dyDescent="0.25">
      <c r="A66" s="1">
        <v>45723</v>
      </c>
      <c r="B66" s="1" t="str">
        <f t="shared" si="10"/>
        <v>202503</v>
      </c>
      <c r="C66" s="2">
        <f>C65*(1+((1+VLOOKUP($B66,'IPCA Hist'!$B:$C,2,0))^12 - 1)+$C$2)^(1/252)</f>
        <v>83123705.803988948</v>
      </c>
      <c r="D66" s="2">
        <f>D65*(1+((1+VLOOKUP($B66,'IPCA Hist'!$B:$C,2,0))^12 - 1)+$D$2)^(1/252)</f>
        <v>41783735.28441228</v>
      </c>
      <c r="E66" s="2">
        <f>E65*(1+((1+VLOOKUP($B66,'IPCA Hist'!$B:$C,2,0))^12 - 1)+$E$2)^(1/252)</f>
        <v>41797831.434695154</v>
      </c>
      <c r="F66" s="2">
        <v>0</v>
      </c>
      <c r="G66" s="2">
        <f t="shared" si="15"/>
        <v>166705272.52309638</v>
      </c>
      <c r="H66" s="2">
        <v>0</v>
      </c>
      <c r="I66" s="2">
        <v>0</v>
      </c>
      <c r="J66" s="2">
        <f t="shared" si="14"/>
        <v>90925.446761965752</v>
      </c>
      <c r="K66" s="2">
        <f t="shared" si="16"/>
        <v>272627.36751332879</v>
      </c>
      <c r="L66" s="2">
        <f t="shared" si="17"/>
        <v>4486290.2470687032</v>
      </c>
      <c r="M66" s="11">
        <f t="shared" si="11"/>
        <v>1.037226072290403</v>
      </c>
      <c r="N66" s="12">
        <f t="shared" si="12"/>
        <v>5.4572399290631068E-4</v>
      </c>
      <c r="O66" s="12">
        <f t="shared" si="18"/>
        <v>1.6380642587185967E-3</v>
      </c>
      <c r="P66" s="12">
        <f t="shared" si="19"/>
        <v>2.7655766200252119E-2</v>
      </c>
      <c r="Q66" s="5">
        <f t="shared" si="13"/>
        <v>3.7226072290402978E-2</v>
      </c>
      <c r="R66" s="19" t="e">
        <f>M66/#REF! - 1</f>
        <v>#REF!</v>
      </c>
      <c r="S66" s="19" t="e">
        <f>M66/#REF! - 1</f>
        <v>#REF!</v>
      </c>
      <c r="T66" s="19" t="s">
        <v>53</v>
      </c>
    </row>
    <row r="67" spans="1:20" x14ac:dyDescent="0.25">
      <c r="A67" s="1">
        <v>45726</v>
      </c>
      <c r="B67" s="1" t="str">
        <f t="shared" si="10"/>
        <v>202503</v>
      </c>
      <c r="C67" s="2">
        <f>C66*(1+((1+VLOOKUP($B67,'IPCA Hist'!$B:$C,2,0))^12 - 1)+$C$2)^(1/252)</f>
        <v>83167316.200920686</v>
      </c>
      <c r="D67" s="2">
        <f>D66*(1+((1+VLOOKUP($B67,'IPCA Hist'!$B:$C,2,0))^12 - 1)+$D$2)^(1/252)</f>
        <v>41807420.854909718</v>
      </c>
      <c r="E67" s="2">
        <f>E66*(1+((1+VLOOKUP($B67,'IPCA Hist'!$B:$C,2,0))^12 - 1)+$E$2)^(1/252)</f>
        <v>41821510.607859902</v>
      </c>
      <c r="F67" s="2">
        <v>0</v>
      </c>
      <c r="G67" s="2">
        <f t="shared" ref="G67:G98" si="20">SUM(C67:F67)</f>
        <v>166796247.6636903</v>
      </c>
      <c r="H67" s="2">
        <v>0</v>
      </c>
      <c r="I67" s="2">
        <v>0</v>
      </c>
      <c r="J67" s="2">
        <f t="shared" si="14"/>
        <v>90975.140593916178</v>
      </c>
      <c r="K67" s="2">
        <f t="shared" si="16"/>
        <v>363602.50810724497</v>
      </c>
      <c r="L67" s="2">
        <f t="shared" si="17"/>
        <v>4577265.3876626194</v>
      </c>
      <c r="M67" s="11">
        <f t="shared" si="11"/>
        <v>1.0377921119022648</v>
      </c>
      <c r="N67" s="12">
        <f t="shared" si="12"/>
        <v>5.4572443460854103E-4</v>
      </c>
      <c r="O67" s="12">
        <f t="shared" si="18"/>
        <v>2.1846826250184748E-3</v>
      </c>
      <c r="P67" s="12">
        <f t="shared" si="19"/>
        <v>2.8216583062234069E-2</v>
      </c>
      <c r="Q67" s="5">
        <f t="shared" si="13"/>
        <v>3.7792111902264836E-2</v>
      </c>
      <c r="R67" s="19" t="e">
        <f>M67/#REF! - 1</f>
        <v>#REF!</v>
      </c>
      <c r="S67" s="19" t="e">
        <f>M67/#REF! - 1</f>
        <v>#REF!</v>
      </c>
      <c r="T67" s="19" t="s">
        <v>53</v>
      </c>
    </row>
    <row r="68" spans="1:20" x14ac:dyDescent="0.25">
      <c r="A68" s="1">
        <v>45727</v>
      </c>
      <c r="B68" s="1" t="str">
        <f t="shared" si="10"/>
        <v>202503</v>
      </c>
      <c r="C68" s="2">
        <f>C67*(1+((1+VLOOKUP($B68,'IPCA Hist'!$B:$C,2,0))^12 - 1)+$C$2)^(1/252)</f>
        <v>83210949.477808282</v>
      </c>
      <c r="D68" s="2">
        <f>D67*(1+((1+VLOOKUP($B68,'IPCA Hist'!$B:$C,2,0))^12 - 1)+$D$2)^(1/252)</f>
        <v>41831119.851833634</v>
      </c>
      <c r="E68" s="2">
        <f>E67*(1+((1+VLOOKUP($B68,'IPCA Hist'!$B:$C,2,0))^12 - 1)+$E$2)^(1/252)</f>
        <v>41845203.195673749</v>
      </c>
      <c r="F68" s="2">
        <v>0</v>
      </c>
      <c r="G68" s="2">
        <f t="shared" si="20"/>
        <v>166887272.52531564</v>
      </c>
      <c r="H68" s="2">
        <v>0</v>
      </c>
      <c r="I68" s="2">
        <v>0</v>
      </c>
      <c r="J68" s="2">
        <f t="shared" si="14"/>
        <v>91024.861625343561</v>
      </c>
      <c r="K68" s="2">
        <f t="shared" ref="K68:K99" si="21">IF(MONTH(A68)=MONTH(A67),J68+K67,J68)</f>
        <v>454627.36973258853</v>
      </c>
      <c r="L68" s="2">
        <f t="shared" ref="L68:L99" si="22">IF(YEAR(A68)=YEAR(A67),J68+L67,J68)</f>
        <v>4668290.2492879629</v>
      </c>
      <c r="M68" s="11">
        <f t="shared" si="11"/>
        <v>1.0383584608741687</v>
      </c>
      <c r="N68" s="12">
        <f t="shared" si="12"/>
        <v>5.4572487631054933E-4</v>
      </c>
      <c r="O68" s="12">
        <f t="shared" ref="O68:O99" si="23">IF(MONTH(A68)=MONTH(A67),(1+N68)*(1+O67) - 1,N68)</f>
        <v>2.7315997369843359E-3</v>
      </c>
      <c r="P68" s="12">
        <f t="shared" ref="P68:P99" si="24">IF(YEAR(A68)=YEAR(A67),(1+N68)*(1+P67) - 1,N68)</f>
        <v>2.8777706429846228E-2</v>
      </c>
      <c r="Q68" s="5">
        <f t="shared" si="13"/>
        <v>3.8358460874168721E-2</v>
      </c>
      <c r="R68" s="19" t="e">
        <f>M68/#REF! - 1</f>
        <v>#REF!</v>
      </c>
      <c r="S68" s="19" t="e">
        <f>M68/#REF! - 1</f>
        <v>#REF!</v>
      </c>
      <c r="T68" s="19" t="s">
        <v>53</v>
      </c>
    </row>
    <row r="69" spans="1:20" x14ac:dyDescent="0.25">
      <c r="A69" s="1">
        <v>45728</v>
      </c>
      <c r="B69" s="1" t="str">
        <f t="shared" si="10"/>
        <v>202503</v>
      </c>
      <c r="C69" s="2">
        <f>C68*(1+((1+VLOOKUP($B69,'IPCA Hist'!$B:$C,2,0))^12 - 1)+$C$2)^(1/252)</f>
        <v>83254605.646655604</v>
      </c>
      <c r="D69" s="2">
        <f>D68*(1+((1+VLOOKUP($B69,'IPCA Hist'!$B:$C,2,0))^12 - 1)+$D$2)^(1/252)</f>
        <v>41854832.282794945</v>
      </c>
      <c r="E69" s="2">
        <f>E68*(1+((1+VLOOKUP($B69,'IPCA Hist'!$B:$C,2,0))^12 - 1)+$E$2)^(1/252)</f>
        <v>41868909.205736317</v>
      </c>
      <c r="F69" s="2">
        <v>0</v>
      </c>
      <c r="G69" s="2">
        <f t="shared" si="20"/>
        <v>166978347.13518685</v>
      </c>
      <c r="H69" s="2">
        <v>0</v>
      </c>
      <c r="I69" s="2">
        <v>0</v>
      </c>
      <c r="J69" s="2">
        <f t="shared" si="14"/>
        <v>91074.609871208668</v>
      </c>
      <c r="K69" s="2">
        <f t="shared" si="21"/>
        <v>545701.9796037972</v>
      </c>
      <c r="L69" s="2">
        <f t="shared" si="22"/>
        <v>4759364.8591591716</v>
      </c>
      <c r="M69" s="11">
        <f t="shared" si="11"/>
        <v>1.0389251193754407</v>
      </c>
      <c r="N69" s="12">
        <f t="shared" si="12"/>
        <v>5.4572531801300173E-4</v>
      </c>
      <c r="O69" s="12">
        <f t="shared" si="23"/>
        <v>3.2788157581324917E-3</v>
      </c>
      <c r="P69" s="12">
        <f t="shared" si="24"/>
        <v>2.9339136470852401E-2</v>
      </c>
      <c r="Q69" s="5">
        <f t="shared" si="13"/>
        <v>3.8925119375440742E-2</v>
      </c>
      <c r="R69" s="19" t="e">
        <f>M69/#REF! - 1</f>
        <v>#REF!</v>
      </c>
      <c r="S69" s="19" t="e">
        <f>M69/#REF! - 1</f>
        <v>#REF!</v>
      </c>
      <c r="T69" s="19" t="s">
        <v>53</v>
      </c>
    </row>
    <row r="70" spans="1:20" x14ac:dyDescent="0.25">
      <c r="A70" s="1">
        <v>45729</v>
      </c>
      <c r="B70" s="1" t="str">
        <f t="shared" si="10"/>
        <v>202503</v>
      </c>
      <c r="C70" s="2">
        <f>C69*(1+((1+VLOOKUP($B70,'IPCA Hist'!$B:$C,2,0))^12 - 1)+$C$2)^(1/252)</f>
        <v>83298284.719472781</v>
      </c>
      <c r="D70" s="2">
        <f>D69*(1+((1+VLOOKUP($B70,'IPCA Hist'!$B:$C,2,0))^12 - 1)+$D$2)^(1/252)</f>
        <v>41878558.155408882</v>
      </c>
      <c r="E70" s="2">
        <f>E69*(1+((1+VLOOKUP($B70,'IPCA Hist'!$B:$C,2,0))^12 - 1)+$E$2)^(1/252)</f>
        <v>41892628.645651534</v>
      </c>
      <c r="F70" s="2">
        <v>0</v>
      </c>
      <c r="G70" s="2">
        <f t="shared" si="20"/>
        <v>167069471.5205332</v>
      </c>
      <c r="H70" s="2">
        <v>0</v>
      </c>
      <c r="I70" s="2">
        <v>0</v>
      </c>
      <c r="J70" s="2">
        <f t="shared" si="14"/>
        <v>91124.385346353054</v>
      </c>
      <c r="K70" s="2">
        <f t="shared" si="21"/>
        <v>636826.36495015025</v>
      </c>
      <c r="L70" s="2">
        <f t="shared" si="22"/>
        <v>4850489.2445055246</v>
      </c>
      <c r="M70" s="11">
        <f t="shared" si="11"/>
        <v>1.0394920875754992</v>
      </c>
      <c r="N70" s="12">
        <f t="shared" si="12"/>
        <v>5.4572575971523207E-4</v>
      </c>
      <c r="O70" s="12">
        <f t="shared" si="23"/>
        <v>3.8263308520682937E-3</v>
      </c>
      <c r="P70" s="12">
        <f t="shared" si="24"/>
        <v>2.9900873353107649E-2</v>
      </c>
      <c r="Q70" s="5">
        <f t="shared" si="13"/>
        <v>3.9492087575499157E-2</v>
      </c>
      <c r="R70" s="19" t="e">
        <f>M70/#REF! - 1</f>
        <v>#REF!</v>
      </c>
      <c r="S70" s="19" t="e">
        <f>M70/#REF! - 1</f>
        <v>#REF!</v>
      </c>
      <c r="T70" s="19" t="s">
        <v>53</v>
      </c>
    </row>
    <row r="71" spans="1:20" x14ac:dyDescent="0.25">
      <c r="A71" s="1">
        <v>45730</v>
      </c>
      <c r="B71" s="1" t="str">
        <f t="shared" si="10"/>
        <v>202503</v>
      </c>
      <c r="C71" s="2">
        <f>C70*(1+((1+VLOOKUP($B71,'IPCA Hist'!$B:$C,2,0))^12 - 1)+$C$2)^(1/252)</f>
        <v>83341986.708276242</v>
      </c>
      <c r="D71" s="2">
        <f>D70*(1+((1+VLOOKUP($B71,'IPCA Hist'!$B:$C,2,0))^12 - 1)+$D$2)^(1/252)</f>
        <v>41902297.477294996</v>
      </c>
      <c r="E71" s="2">
        <f>E70*(1+((1+VLOOKUP($B71,'IPCA Hist'!$B:$C,2,0))^12 - 1)+$E$2)^(1/252)</f>
        <v>41916361.523027644</v>
      </c>
      <c r="F71" s="2">
        <v>0</v>
      </c>
      <c r="G71" s="2">
        <f t="shared" si="20"/>
        <v>167160645.70859888</v>
      </c>
      <c r="H71" s="2">
        <v>0</v>
      </c>
      <c r="I71" s="2">
        <v>0</v>
      </c>
      <c r="J71" s="2">
        <f t="shared" si="14"/>
        <v>91174.188065677881</v>
      </c>
      <c r="K71" s="2">
        <f t="shared" si="21"/>
        <v>728000.55301582813</v>
      </c>
      <c r="L71" s="2">
        <f t="shared" si="22"/>
        <v>4941663.4325712025</v>
      </c>
      <c r="M71" s="11">
        <f t="shared" si="11"/>
        <v>1.040059365643855</v>
      </c>
      <c r="N71" s="12">
        <f t="shared" si="12"/>
        <v>5.4572620141724038E-4</v>
      </c>
      <c r="O71" s="12">
        <f t="shared" si="23"/>
        <v>4.3741451824867994E-3</v>
      </c>
      <c r="P71" s="12">
        <f t="shared" si="24"/>
        <v>3.0462917244558962E-2</v>
      </c>
      <c r="Q71" s="5">
        <f t="shared" si="13"/>
        <v>4.0059365643855038E-2</v>
      </c>
      <c r="R71" s="19" t="e">
        <f>M71/#REF! - 1</f>
        <v>#REF!</v>
      </c>
      <c r="S71" s="19" t="e">
        <f>M71/#REF! - 1</f>
        <v>#REF!</v>
      </c>
      <c r="T71" s="19" t="s">
        <v>53</v>
      </c>
    </row>
    <row r="72" spans="1:20" x14ac:dyDescent="0.25">
      <c r="A72" s="1">
        <v>45733</v>
      </c>
      <c r="B72" s="1" t="str">
        <f t="shared" si="10"/>
        <v>202503</v>
      </c>
      <c r="C72" s="2">
        <f>C71*(1+((1+VLOOKUP($B72,'IPCA Hist'!$B:$C,2,0))^12 - 1)+$C$2)^(1/252)</f>
        <v>83385711.625088751</v>
      </c>
      <c r="D72" s="2">
        <f>D71*(1+((1+VLOOKUP($B72,'IPCA Hist'!$B:$C,2,0))^12 - 1)+$D$2)^(1/252)</f>
        <v>41926050.256077155</v>
      </c>
      <c r="E72" s="2">
        <f>E71*(1+((1+VLOOKUP($B72,'IPCA Hist'!$B:$C,2,0))^12 - 1)+$E$2)^(1/252)</f>
        <v>41940107.845477186</v>
      </c>
      <c r="F72" s="2">
        <v>0</v>
      </c>
      <c r="G72" s="2">
        <f t="shared" si="20"/>
        <v>167251869.72664309</v>
      </c>
      <c r="H72" s="2">
        <v>0</v>
      </c>
      <c r="I72" s="2">
        <v>0</v>
      </c>
      <c r="J72" s="2">
        <f t="shared" si="14"/>
        <v>91224.01804420352</v>
      </c>
      <c r="K72" s="2">
        <f t="shared" si="21"/>
        <v>819224.57106003165</v>
      </c>
      <c r="L72" s="2">
        <f t="shared" si="22"/>
        <v>5032887.450615406</v>
      </c>
      <c r="M72" s="11">
        <f t="shared" si="11"/>
        <v>1.0406269537501125</v>
      </c>
      <c r="N72" s="12">
        <f t="shared" si="12"/>
        <v>5.4572664311924868E-4</v>
      </c>
      <c r="O72" s="12">
        <f t="shared" si="23"/>
        <v>4.9222589131729944E-3</v>
      </c>
      <c r="P72" s="12">
        <f t="shared" si="24"/>
        <v>3.1025268313245702E-2</v>
      </c>
      <c r="Q72" s="5">
        <f t="shared" si="13"/>
        <v>4.0626953750112493E-2</v>
      </c>
      <c r="R72" s="19" t="e">
        <f>M72/#REF! - 1</f>
        <v>#REF!</v>
      </c>
      <c r="S72" s="19" t="e">
        <f>M72/#REF! - 1</f>
        <v>#REF!</v>
      </c>
      <c r="T72" s="19" t="s">
        <v>53</v>
      </c>
    </row>
    <row r="73" spans="1:20" x14ac:dyDescent="0.25">
      <c r="A73" s="1">
        <v>45734</v>
      </c>
      <c r="B73" s="1" t="str">
        <f t="shared" si="10"/>
        <v>202503</v>
      </c>
      <c r="C73" s="2">
        <f>C72*(1+((1+VLOOKUP($B73,'IPCA Hist'!$B:$C,2,0))^12 - 1)+$C$2)^(1/252)</f>
        <v>83429459.48193936</v>
      </c>
      <c r="D73" s="2">
        <f>D72*(1+((1+VLOOKUP($B73,'IPCA Hist'!$B:$C,2,0))^12 - 1)+$D$2)^(1/252)</f>
        <v>41949816.499383554</v>
      </c>
      <c r="E73" s="2">
        <f>E72*(1+((1+VLOOKUP($B73,'IPCA Hist'!$B:$C,2,0))^12 - 1)+$E$2)^(1/252)</f>
        <v>41963867.620617025</v>
      </c>
      <c r="F73" s="2">
        <v>0</v>
      </c>
      <c r="G73" s="2">
        <f t="shared" si="20"/>
        <v>167343143.60193995</v>
      </c>
      <c r="H73" s="2">
        <v>0</v>
      </c>
      <c r="I73" s="2">
        <v>0</v>
      </c>
      <c r="J73" s="2">
        <f t="shared" si="14"/>
        <v>91273.875296860933</v>
      </c>
      <c r="K73" s="2">
        <f t="shared" si="21"/>
        <v>910498.44635689259</v>
      </c>
      <c r="L73" s="2">
        <f t="shared" si="22"/>
        <v>5124161.325912267</v>
      </c>
      <c r="M73" s="11">
        <f t="shared" si="11"/>
        <v>1.0411948520639691</v>
      </c>
      <c r="N73" s="12">
        <f t="shared" si="12"/>
        <v>5.4572708482147902E-4</v>
      </c>
      <c r="O73" s="12">
        <f t="shared" si="23"/>
        <v>5.4706722080017922E-3</v>
      </c>
      <c r="P73" s="12">
        <f t="shared" si="24"/>
        <v>3.1587926727299598E-2</v>
      </c>
      <c r="Q73" s="5">
        <f t="shared" si="13"/>
        <v>4.1194852063969112E-2</v>
      </c>
      <c r="R73" s="19" t="e">
        <f>M73/#REF! - 1</f>
        <v>#REF!</v>
      </c>
      <c r="S73" s="19" t="e">
        <f>M73/#REF! - 1</f>
        <v>#REF!</v>
      </c>
      <c r="T73" s="19" t="s">
        <v>53</v>
      </c>
    </row>
    <row r="74" spans="1:20" x14ac:dyDescent="0.25">
      <c r="A74" s="1">
        <v>45735</v>
      </c>
      <c r="B74" s="1" t="str">
        <f t="shared" si="10"/>
        <v>202503</v>
      </c>
      <c r="C74" s="2">
        <f>C73*(1+((1+VLOOKUP($B74,'IPCA Hist'!$B:$C,2,0))^12 - 1)+$C$2)^(1/252)</f>
        <v>83473230.290863439</v>
      </c>
      <c r="D74" s="2">
        <f>D73*(1+((1+VLOOKUP($B74,'IPCA Hist'!$B:$C,2,0))^12 - 1)+$D$2)^(1/252)</f>
        <v>41973596.2148467</v>
      </c>
      <c r="E74" s="2">
        <f>E73*(1+((1+VLOOKUP($B74,'IPCA Hist'!$B:$C,2,0))^12 - 1)+$E$2)^(1/252)</f>
        <v>41987640.856068335</v>
      </c>
      <c r="F74" s="2">
        <v>0</v>
      </c>
      <c r="G74" s="2">
        <f t="shared" si="20"/>
        <v>167434467.36177847</v>
      </c>
      <c r="H74" s="2">
        <v>0</v>
      </c>
      <c r="I74" s="2">
        <v>0</v>
      </c>
      <c r="J74" s="2">
        <f t="shared" si="14"/>
        <v>91323.759838521481</v>
      </c>
      <c r="K74" s="2">
        <f t="shared" si="21"/>
        <v>1001822.2061954141</v>
      </c>
      <c r="L74" s="2">
        <f t="shared" si="22"/>
        <v>5215485.0857507885</v>
      </c>
      <c r="M74" s="11">
        <f t="shared" si="11"/>
        <v>1.0417630607552146</v>
      </c>
      <c r="N74" s="12">
        <f t="shared" si="12"/>
        <v>5.4572752652326528E-4</v>
      </c>
      <c r="O74" s="12">
        <f t="shared" si="23"/>
        <v>6.0193852309375906E-3</v>
      </c>
      <c r="P74" s="12">
        <f t="shared" si="24"/>
        <v>3.2150892654943641E-2</v>
      </c>
      <c r="Q74" s="5">
        <f t="shared" si="13"/>
        <v>4.1763060755214632E-2</v>
      </c>
      <c r="R74" s="19" t="e">
        <f>M74/#REF! - 1</f>
        <v>#REF!</v>
      </c>
      <c r="S74" s="19" t="e">
        <f>M74/#REF! - 1</f>
        <v>#REF!</v>
      </c>
      <c r="T74" s="19" t="s">
        <v>53</v>
      </c>
    </row>
    <row r="75" spans="1:20" x14ac:dyDescent="0.25">
      <c r="A75" s="1">
        <v>45736</v>
      </c>
      <c r="B75" s="1" t="str">
        <f t="shared" si="10"/>
        <v>202503</v>
      </c>
      <c r="C75" s="2">
        <f>C74*(1+((1+VLOOKUP($B75,'IPCA Hist'!$B:$C,2,0))^12 - 1)+$C$2)^(1/252)</f>
        <v>83517024.063902661</v>
      </c>
      <c r="D75" s="2">
        <f>D74*(1+((1+VLOOKUP($B75,'IPCA Hist'!$B:$C,2,0))^12 - 1)+$D$2)^(1/252)</f>
        <v>41997389.410103433</v>
      </c>
      <c r="E75" s="2">
        <f>E74*(1+((1+VLOOKUP($B75,'IPCA Hist'!$B:$C,2,0))^12 - 1)+$E$2)^(1/252)</f>
        <v>42011427.559456609</v>
      </c>
      <c r="F75" s="2">
        <v>0</v>
      </c>
      <c r="G75" s="2">
        <f t="shared" si="20"/>
        <v>167525841.0334627</v>
      </c>
      <c r="H75" s="2">
        <v>0</v>
      </c>
      <c r="I75" s="2">
        <v>0</v>
      </c>
      <c r="J75" s="2">
        <f t="shared" si="14"/>
        <v>91373.671684235334</v>
      </c>
      <c r="K75" s="2">
        <f t="shared" si="21"/>
        <v>1093195.8778796494</v>
      </c>
      <c r="L75" s="2">
        <f t="shared" si="22"/>
        <v>5306858.7574350238</v>
      </c>
      <c r="M75" s="11">
        <f t="shared" si="11"/>
        <v>1.0423315799937327</v>
      </c>
      <c r="N75" s="12">
        <f t="shared" si="12"/>
        <v>5.4572796822527359E-4</v>
      </c>
      <c r="O75" s="12">
        <f t="shared" si="23"/>
        <v>6.5683981460349372E-3</v>
      </c>
      <c r="P75" s="12">
        <f t="shared" si="24"/>
        <v>3.2714166264494082E-2</v>
      </c>
      <c r="Q75" s="5">
        <f t="shared" si="13"/>
        <v>4.2331579993732715E-2</v>
      </c>
      <c r="R75" s="19" t="e">
        <f>M75/#REF! - 1</f>
        <v>#REF!</v>
      </c>
      <c r="S75" s="19" t="e">
        <f>M75/#REF! - 1</f>
        <v>#REF!</v>
      </c>
      <c r="T75" s="19" t="s">
        <v>53</v>
      </c>
    </row>
    <row r="76" spans="1:20" x14ac:dyDescent="0.25">
      <c r="A76" s="1">
        <v>45737</v>
      </c>
      <c r="B76" s="1" t="str">
        <f t="shared" si="10"/>
        <v>202503</v>
      </c>
      <c r="C76" s="2">
        <f>C75*(1+((1+VLOOKUP($B76,'IPCA Hist'!$B:$C,2,0))^12 - 1)+$C$2)^(1/252)</f>
        <v>83560840.813105017</v>
      </c>
      <c r="D76" s="2">
        <f>D75*(1+((1+VLOOKUP($B76,'IPCA Hist'!$B:$C,2,0))^12 - 1)+$D$2)^(1/252)</f>
        <v>42021196.092794925</v>
      </c>
      <c r="E76" s="2">
        <f>E75*(1+((1+VLOOKUP($B76,'IPCA Hist'!$B:$C,2,0))^12 - 1)+$E$2)^(1/252)</f>
        <v>42035227.738411658</v>
      </c>
      <c r="F76" s="2">
        <v>0</v>
      </c>
      <c r="G76" s="2">
        <f t="shared" si="20"/>
        <v>167617264.64431161</v>
      </c>
      <c r="H76" s="2">
        <v>0</v>
      </c>
      <c r="I76" s="2">
        <v>0</v>
      </c>
      <c r="J76" s="2">
        <f t="shared" si="14"/>
        <v>91423.610848903656</v>
      </c>
      <c r="K76" s="2">
        <f t="shared" si="21"/>
        <v>1184619.4887285531</v>
      </c>
      <c r="L76" s="2">
        <f t="shared" si="22"/>
        <v>5398282.3682839274</v>
      </c>
      <c r="M76" s="11">
        <f t="shared" si="11"/>
        <v>1.0429004099494996</v>
      </c>
      <c r="N76" s="12">
        <f t="shared" si="12"/>
        <v>5.4572840992728189E-4</v>
      </c>
      <c r="O76" s="12">
        <f t="shared" si="23"/>
        <v>7.1177111174383079E-3</v>
      </c>
      <c r="P76" s="12">
        <f t="shared" si="24"/>
        <v>3.3277747724358875E-2</v>
      </c>
      <c r="Q76" s="5">
        <f t="shared" si="13"/>
        <v>4.2900409949499618E-2</v>
      </c>
      <c r="R76" s="19" t="e">
        <f>M76/#REF! - 1</f>
        <v>#REF!</v>
      </c>
      <c r="S76" s="19" t="e">
        <f>M76/#REF! - 1</f>
        <v>#REF!</v>
      </c>
      <c r="T76" s="19" t="s">
        <v>53</v>
      </c>
    </row>
    <row r="77" spans="1:20" x14ac:dyDescent="0.25">
      <c r="A77" s="1">
        <v>45740</v>
      </c>
      <c r="B77" s="1" t="str">
        <f t="shared" si="10"/>
        <v>202503</v>
      </c>
      <c r="C77" s="2">
        <f>C76*(1+((1+VLOOKUP($B77,'IPCA Hist'!$B:$C,2,0))^12 - 1)+$C$2)^(1/252)</f>
        <v>83604680.550524831</v>
      </c>
      <c r="D77" s="2">
        <f>D76*(1+((1+VLOOKUP($B77,'IPCA Hist'!$B:$C,2,0))^12 - 1)+$D$2)^(1/252)</f>
        <v>42045016.27056668</v>
      </c>
      <c r="E77" s="2">
        <f>E76*(1+((1+VLOOKUP($B77,'IPCA Hist'!$B:$C,2,0))^12 - 1)+$E$2)^(1/252)</f>
        <v>42059041.400567614</v>
      </c>
      <c r="F77" s="2">
        <v>0</v>
      </c>
      <c r="G77" s="2">
        <f t="shared" si="20"/>
        <v>167708738.22165912</v>
      </c>
      <c r="H77" s="2">
        <v>0</v>
      </c>
      <c r="I77" s="2">
        <v>0</v>
      </c>
      <c r="J77" s="2">
        <f t="shared" si="14"/>
        <v>91473.577347517014</v>
      </c>
      <c r="K77" s="2">
        <f t="shared" si="21"/>
        <v>1276093.0660760701</v>
      </c>
      <c r="L77" s="2">
        <f t="shared" si="22"/>
        <v>5489755.9456314445</v>
      </c>
      <c r="M77" s="11">
        <f t="shared" si="11"/>
        <v>1.0434695507925846</v>
      </c>
      <c r="N77" s="12">
        <f t="shared" si="12"/>
        <v>5.457288516288461E-4</v>
      </c>
      <c r="O77" s="12">
        <f t="shared" si="23"/>
        <v>7.6673243093814403E-3</v>
      </c>
      <c r="P77" s="12">
        <f t="shared" si="24"/>
        <v>3.3841637203038122E-2</v>
      </c>
      <c r="Q77" s="5">
        <f t="shared" si="13"/>
        <v>4.3469550792584633E-2</v>
      </c>
      <c r="R77" s="19" t="e">
        <f>M77/#REF! - 1</f>
        <v>#REF!</v>
      </c>
      <c r="S77" s="19" t="e">
        <f>M77/#REF! - 1</f>
        <v>#REF!</v>
      </c>
      <c r="T77" s="19" t="s">
        <v>53</v>
      </c>
    </row>
    <row r="78" spans="1:20" x14ac:dyDescent="0.25">
      <c r="A78" s="1">
        <v>45741</v>
      </c>
      <c r="B78" s="1" t="str">
        <f t="shared" si="10"/>
        <v>202503</v>
      </c>
      <c r="C78" s="2">
        <f>C77*(1+((1+VLOOKUP($B78,'IPCA Hist'!$B:$C,2,0))^12 - 1)+$C$2)^(1/252)</f>
        <v>83648543.288222745</v>
      </c>
      <c r="D78" s="2">
        <f>D77*(1+((1+VLOOKUP($B78,'IPCA Hist'!$B:$C,2,0))^12 - 1)+$D$2)^(1/252)</f>
        <v>42068849.951068528</v>
      </c>
      <c r="E78" s="2">
        <f>E77*(1+((1+VLOOKUP($B78,'IPCA Hist'!$B:$C,2,0))^12 - 1)+$E$2)^(1/252)</f>
        <v>42082868.553562939</v>
      </c>
      <c r="F78" s="2">
        <v>0</v>
      </c>
      <c r="G78" s="2">
        <f t="shared" si="20"/>
        <v>167800261.79285422</v>
      </c>
      <c r="H78" s="2">
        <v>0</v>
      </c>
      <c r="I78" s="2">
        <v>0</v>
      </c>
      <c r="J78" s="2">
        <f t="shared" si="14"/>
        <v>91523.571195095778</v>
      </c>
      <c r="K78" s="2">
        <f t="shared" si="21"/>
        <v>1367616.6372711658</v>
      </c>
      <c r="L78" s="2">
        <f t="shared" si="22"/>
        <v>5581279.5168265402</v>
      </c>
      <c r="M78" s="11">
        <f t="shared" si="11"/>
        <v>1.0440390026931508</v>
      </c>
      <c r="N78" s="12">
        <f t="shared" si="12"/>
        <v>5.4572929333063236E-4</v>
      </c>
      <c r="O78" s="12">
        <f t="shared" si="23"/>
        <v>8.2172378861891104E-3</v>
      </c>
      <c r="P78" s="12">
        <f t="shared" si="24"/>
        <v>3.4405834869124741E-2</v>
      </c>
      <c r="Q78" s="5">
        <f t="shared" si="13"/>
        <v>4.4039002693150753E-2</v>
      </c>
      <c r="R78" s="19" t="e">
        <f>M78/#REF! - 1</f>
        <v>#REF!</v>
      </c>
      <c r="S78" s="19" t="e">
        <f>M78/#REF! - 1</f>
        <v>#REF!</v>
      </c>
      <c r="T78" s="19" t="s">
        <v>53</v>
      </c>
    </row>
    <row r="79" spans="1:20" x14ac:dyDescent="0.25">
      <c r="A79" s="1">
        <v>45742</v>
      </c>
      <c r="B79" s="1" t="str">
        <f t="shared" si="10"/>
        <v>202503</v>
      </c>
      <c r="C79" s="2">
        <f>C78*(1+((1+VLOOKUP($B79,'IPCA Hist'!$B:$C,2,0))^12 - 1)+$C$2)^(1/252)</f>
        <v>83692429.038265735</v>
      </c>
      <c r="D79" s="2">
        <f>D78*(1+((1+VLOOKUP($B79,'IPCA Hist'!$B:$C,2,0))^12 - 1)+$D$2)^(1/252)</f>
        <v>42092697.141954638</v>
      </c>
      <c r="E79" s="2">
        <f>E78*(1+((1+VLOOKUP($B79,'IPCA Hist'!$B:$C,2,0))^12 - 1)+$E$2)^(1/252)</f>
        <v>42106709.205040418</v>
      </c>
      <c r="F79" s="2">
        <v>0</v>
      </c>
      <c r="G79" s="2">
        <f t="shared" si="20"/>
        <v>167891835.38526079</v>
      </c>
      <c r="H79" s="2">
        <v>0</v>
      </c>
      <c r="I79" s="2">
        <v>0</v>
      </c>
      <c r="J79" s="2">
        <f t="shared" si="14"/>
        <v>91573.592406570911</v>
      </c>
      <c r="K79" s="2">
        <f t="shared" si="21"/>
        <v>1459190.2296777368</v>
      </c>
      <c r="L79" s="2">
        <f t="shared" si="22"/>
        <v>5672853.1092331111</v>
      </c>
      <c r="M79" s="11">
        <f t="shared" si="11"/>
        <v>1.044608765821454</v>
      </c>
      <c r="N79" s="12">
        <f t="shared" si="12"/>
        <v>5.4572973503241862E-4</v>
      </c>
      <c r="O79" s="12">
        <f t="shared" si="23"/>
        <v>8.7674520122758004E-3</v>
      </c>
      <c r="P79" s="12">
        <f t="shared" si="24"/>
        <v>3.4970340891303797E-2</v>
      </c>
      <c r="Q79" s="5">
        <f t="shared" si="13"/>
        <v>4.4608765821454011E-2</v>
      </c>
      <c r="R79" s="19" t="e">
        <f>M79/#REF! - 1</f>
        <v>#REF!</v>
      </c>
      <c r="S79" s="19" t="e">
        <f>M79/#REF! - 1</f>
        <v>#REF!</v>
      </c>
      <c r="T79" s="19" t="s">
        <v>53</v>
      </c>
    </row>
    <row r="80" spans="1:20" x14ac:dyDescent="0.25">
      <c r="A80" s="1">
        <v>45743</v>
      </c>
      <c r="B80" s="1" t="str">
        <f t="shared" si="10"/>
        <v>202503</v>
      </c>
      <c r="C80" s="2">
        <f>C79*(1+((1+VLOOKUP($B80,'IPCA Hist'!$B:$C,2,0))^12 - 1)+$C$2)^(1/252)</f>
        <v>83736337.812727094</v>
      </c>
      <c r="D80" s="2">
        <f>D79*(1+((1+VLOOKUP($B80,'IPCA Hist'!$B:$C,2,0))^12 - 1)+$D$2)^(1/252)</f>
        <v>42116557.850883521</v>
      </c>
      <c r="E80" s="2">
        <f>E79*(1+((1+VLOOKUP($B80,'IPCA Hist'!$B:$C,2,0))^12 - 1)+$E$2)^(1/252)</f>
        <v>42130563.362647168</v>
      </c>
      <c r="F80" s="2">
        <v>0</v>
      </c>
      <c r="G80" s="2">
        <f t="shared" si="20"/>
        <v>167983459.02625778</v>
      </c>
      <c r="H80" s="2">
        <v>0</v>
      </c>
      <c r="I80" s="2">
        <v>0</v>
      </c>
      <c r="J80" s="2">
        <f t="shared" si="14"/>
        <v>91623.640996992588</v>
      </c>
      <c r="K80" s="2">
        <f t="shared" si="21"/>
        <v>1550813.8706747293</v>
      </c>
      <c r="L80" s="2">
        <f t="shared" si="22"/>
        <v>5764476.7502301037</v>
      </c>
      <c r="M80" s="11">
        <f t="shared" si="11"/>
        <v>1.0451788403478437</v>
      </c>
      <c r="N80" s="12">
        <f t="shared" si="12"/>
        <v>5.4573017673398283E-4</v>
      </c>
      <c r="O80" s="12">
        <f t="shared" si="23"/>
        <v>9.3179668521459202E-3</v>
      </c>
      <c r="P80" s="12">
        <f t="shared" si="24"/>
        <v>3.5535155438352728E-2</v>
      </c>
      <c r="Q80" s="5">
        <f t="shared" si="13"/>
        <v>4.5178840347843696E-2</v>
      </c>
      <c r="R80" s="19" t="e">
        <f>M80/#REF! - 1</f>
        <v>#REF!</v>
      </c>
      <c r="S80" s="19" t="e">
        <f>M80/#REF! - 1</f>
        <v>#REF!</v>
      </c>
      <c r="T80" s="19" t="s">
        <v>53</v>
      </c>
    </row>
    <row r="81" spans="1:20" x14ac:dyDescent="0.25">
      <c r="A81" s="1">
        <v>45744</v>
      </c>
      <c r="B81" s="1" t="str">
        <f t="shared" si="10"/>
        <v>202503</v>
      </c>
      <c r="C81" s="2">
        <f>C80*(1+((1+VLOOKUP($B81,'IPCA Hist'!$B:$C,2,0))^12 - 1)+$C$2)^(1/252)</f>
        <v>83780269.623686463</v>
      </c>
      <c r="D81" s="2">
        <f>D80*(1+((1+VLOOKUP($B81,'IPCA Hist'!$B:$C,2,0))^12 - 1)+$D$2)^(1/252)</f>
        <v>42140432.085518032</v>
      </c>
      <c r="E81" s="2">
        <f>E80*(1+((1+VLOOKUP($B81,'IPCA Hist'!$B:$C,2,0))^12 - 1)+$E$2)^(1/252)</f>
        <v>42154431.034034647</v>
      </c>
      <c r="F81" s="2">
        <v>0</v>
      </c>
      <c r="G81" s="2">
        <f t="shared" si="20"/>
        <v>168075132.74323913</v>
      </c>
      <c r="H81" s="2">
        <v>0</v>
      </c>
      <c r="I81" s="2">
        <v>0</v>
      </c>
      <c r="J81" s="2">
        <f t="shared" si="14"/>
        <v>91673.716981351376</v>
      </c>
      <c r="K81" s="2">
        <f t="shared" si="21"/>
        <v>1642487.5876560807</v>
      </c>
      <c r="L81" s="2">
        <f t="shared" si="22"/>
        <v>5856150.4672114551</v>
      </c>
      <c r="M81" s="11">
        <f t="shared" si="11"/>
        <v>1.0457492264427626</v>
      </c>
      <c r="N81" s="12">
        <f t="shared" si="12"/>
        <v>5.4573061843554704E-4</v>
      </c>
      <c r="O81" s="12">
        <f t="shared" si="23"/>
        <v>9.8687825703942522E-3</v>
      </c>
      <c r="P81" s="12">
        <f t="shared" si="24"/>
        <v>3.6100278679141784E-2</v>
      </c>
      <c r="Q81" s="5">
        <f t="shared" si="13"/>
        <v>4.5749226442762581E-2</v>
      </c>
      <c r="R81" s="19" t="e">
        <f>M81/#REF! - 1</f>
        <v>#REF!</v>
      </c>
      <c r="S81" s="19" t="e">
        <f>M81/#REF! - 1</f>
        <v>#REF!</v>
      </c>
      <c r="T81" s="19" t="s">
        <v>53</v>
      </c>
    </row>
    <row r="82" spans="1:20" x14ac:dyDescent="0.25">
      <c r="A82" s="1">
        <v>45747</v>
      </c>
      <c r="B82" s="1" t="str">
        <f t="shared" si="10"/>
        <v>202503</v>
      </c>
      <c r="C82" s="2">
        <f>C81*(1+((1+VLOOKUP($B82,'IPCA Hist'!$B:$C,2,0))^12 - 1)+$C$2)^(1/252)</f>
        <v>83824224.483229801</v>
      </c>
      <c r="D82" s="2">
        <f>D81*(1+((1+VLOOKUP($B82,'IPCA Hist'!$B:$C,2,0))^12 - 1)+$D$2)^(1/252)</f>
        <v>42164319.85352537</v>
      </c>
      <c r="E82" s="2">
        <f>E81*(1+((1+VLOOKUP($B82,'IPCA Hist'!$B:$C,2,0))^12 - 1)+$E$2)^(1/252)</f>
        <v>42178312.226858631</v>
      </c>
      <c r="F82" s="2">
        <v>0</v>
      </c>
      <c r="G82" s="2">
        <f t="shared" si="20"/>
        <v>168166856.5636138</v>
      </c>
      <c r="H82" s="2">
        <v>0</v>
      </c>
      <c r="I82" s="2">
        <v>0</v>
      </c>
      <c r="J82" s="2">
        <f t="shared" si="14"/>
        <v>91723.820374667645</v>
      </c>
      <c r="K82" s="2">
        <f t="shared" si="21"/>
        <v>1734211.4080307484</v>
      </c>
      <c r="L82" s="2">
        <f t="shared" si="22"/>
        <v>5947874.2875861228</v>
      </c>
      <c r="M82" s="11">
        <f t="shared" si="11"/>
        <v>1.0463199242767467</v>
      </c>
      <c r="N82" s="12">
        <f t="shared" si="12"/>
        <v>5.4573106013711126E-4</v>
      </c>
      <c r="O82" s="12">
        <f t="shared" si="23"/>
        <v>1.0419899331705729E-2</v>
      </c>
      <c r="P82" s="12">
        <f t="shared" si="24"/>
        <v>3.6665710782633809E-2</v>
      </c>
      <c r="Q82" s="5">
        <f t="shared" si="13"/>
        <v>4.6319924276746693E-2</v>
      </c>
      <c r="R82" s="19" t="e">
        <f>M82/#REF! - 1</f>
        <v>#REF!</v>
      </c>
      <c r="S82" s="19" t="e">
        <f>M82/#REF! - 1</f>
        <v>#REF!</v>
      </c>
      <c r="T82" s="19" t="s">
        <v>53</v>
      </c>
    </row>
    <row r="83" spans="1:20" x14ac:dyDescent="0.25">
      <c r="A83" s="1">
        <v>45748</v>
      </c>
      <c r="B83" s="1" t="str">
        <f t="shared" si="10"/>
        <v>202504</v>
      </c>
      <c r="C83" s="2">
        <f>C82*(1+((1+VLOOKUP($B83,'IPCA Hist'!$B:$C,2,0))^12 - 1)+$C$2)^(1/252)</f>
        <v>83863364.571444631</v>
      </c>
      <c r="D83" s="2">
        <f>D82*(1+((1+VLOOKUP($B83,'IPCA Hist'!$B:$C,2,0))^12 - 1)+$D$2)^(1/252)</f>
        <v>42185813.511741824</v>
      </c>
      <c r="E83" s="2">
        <f>E82*(1+((1+VLOOKUP($B83,'IPCA Hist'!$B:$C,2,0))^12 - 1)+$E$2)^(1/252)</f>
        <v>42199798.289471142</v>
      </c>
      <c r="F83" s="2">
        <v>0</v>
      </c>
      <c r="G83" s="2">
        <f t="shared" si="20"/>
        <v>168248976.3726576</v>
      </c>
      <c r="H83" s="2">
        <v>0</v>
      </c>
      <c r="I83" s="2">
        <v>0</v>
      </c>
      <c r="J83" s="2">
        <f t="shared" si="14"/>
        <v>82119.80904379487</v>
      </c>
      <c r="K83" s="2">
        <f t="shared" si="21"/>
        <v>82119.80904379487</v>
      </c>
      <c r="L83" s="2">
        <f t="shared" si="22"/>
        <v>6029994.0966299176</v>
      </c>
      <c r="M83" s="11">
        <f t="shared" si="11"/>
        <v>1.0468308667664628</v>
      </c>
      <c r="N83" s="12">
        <f t="shared" si="12"/>
        <v>4.8832338738957759E-4</v>
      </c>
      <c r="O83" s="12">
        <f t="shared" si="23"/>
        <v>4.8832338738957759E-4</v>
      </c>
      <c r="P83" s="12">
        <f t="shared" si="24"/>
        <v>3.7171938894113854E-2</v>
      </c>
      <c r="Q83" s="5">
        <f t="shared" si="13"/>
        <v>4.6830866766462753E-2</v>
      </c>
      <c r="R83" s="19" t="e">
        <f>M83/#REF! - 1</f>
        <v>#REF!</v>
      </c>
      <c r="S83" s="19" t="e">
        <f>M83/#REF! - 1</f>
        <v>#REF!</v>
      </c>
      <c r="T83" s="19" t="s">
        <v>53</v>
      </c>
    </row>
    <row r="84" spans="1:20" x14ac:dyDescent="0.25">
      <c r="A84" s="1">
        <v>45749</v>
      </c>
      <c r="B84" s="1" t="str">
        <f t="shared" si="10"/>
        <v>202504</v>
      </c>
      <c r="C84" s="2">
        <f>C83*(1+((1+VLOOKUP($B84,'IPCA Hist'!$B:$C,2,0))^12 - 1)+$C$2)^(1/252)</f>
        <v>83902522.935360968</v>
      </c>
      <c r="D84" s="2">
        <f>D83*(1+((1+VLOOKUP($B84,'IPCA Hist'!$B:$C,2,0))^12 - 1)+$D$2)^(1/252)</f>
        <v>42207318.1265525</v>
      </c>
      <c r="E84" s="2">
        <f>E83*(1+((1+VLOOKUP($B84,'IPCA Hist'!$B:$C,2,0))^12 - 1)+$E$2)^(1/252)</f>
        <v>42221295.297303177</v>
      </c>
      <c r="F84" s="2">
        <v>0</v>
      </c>
      <c r="G84" s="2">
        <f t="shared" si="20"/>
        <v>168331136.35921663</v>
      </c>
      <c r="H84" s="2">
        <v>0</v>
      </c>
      <c r="I84" s="2">
        <v>0</v>
      </c>
      <c r="J84" s="2">
        <f t="shared" si="14"/>
        <v>82159.986559033394</v>
      </c>
      <c r="K84" s="2">
        <f t="shared" si="21"/>
        <v>164279.79560282826</v>
      </c>
      <c r="L84" s="2">
        <f t="shared" si="22"/>
        <v>6112154.083188951</v>
      </c>
      <c r="M84" s="11">
        <f t="shared" si="11"/>
        <v>1.0473420592372722</v>
      </c>
      <c r="N84" s="12">
        <f t="shared" si="12"/>
        <v>4.8832384202479595E-4</v>
      </c>
      <c r="O84" s="12">
        <f t="shared" si="23"/>
        <v>9.7688568936704634E-4</v>
      </c>
      <c r="P84" s="12">
        <f t="shared" si="24"/>
        <v>3.7678414680154981E-2</v>
      </c>
      <c r="Q84" s="5">
        <f t="shared" si="13"/>
        <v>4.7342059237272194E-2</v>
      </c>
      <c r="R84" s="19" t="e">
        <f>M84/#REF! - 1</f>
        <v>#REF!</v>
      </c>
      <c r="S84" s="19" t="e">
        <f>M84/#REF! - 1</f>
        <v>#REF!</v>
      </c>
      <c r="T84" s="19" t="s">
        <v>53</v>
      </c>
    </row>
    <row r="85" spans="1:20" x14ac:dyDescent="0.25">
      <c r="A85" s="1">
        <v>45750</v>
      </c>
      <c r="B85" s="1" t="str">
        <f t="shared" si="10"/>
        <v>202504</v>
      </c>
      <c r="C85" s="2">
        <f>C84*(1+((1+VLOOKUP($B85,'IPCA Hist'!$B:$C,2,0))^12 - 1)+$C$2)^(1/252)</f>
        <v>83941699.583512291</v>
      </c>
      <c r="D85" s="2">
        <f>D84*(1+((1+VLOOKUP($B85,'IPCA Hist'!$B:$C,2,0))^12 - 1)+$D$2)^(1/252)</f>
        <v>42228833.703542635</v>
      </c>
      <c r="E85" s="2">
        <f>E84*(1+((1+VLOOKUP($B85,'IPCA Hist'!$B:$C,2,0))^12 - 1)+$E$2)^(1/252)</f>
        <v>42242803.255930349</v>
      </c>
      <c r="F85" s="2">
        <v>0</v>
      </c>
      <c r="G85" s="2">
        <f t="shared" si="20"/>
        <v>168413336.54298526</v>
      </c>
      <c r="H85" s="2">
        <v>0</v>
      </c>
      <c r="I85" s="2">
        <v>0</v>
      </c>
      <c r="J85" s="2">
        <f t="shared" si="14"/>
        <v>82200.183768630028</v>
      </c>
      <c r="K85" s="2">
        <f t="shared" si="21"/>
        <v>246479.97937145829</v>
      </c>
      <c r="L85" s="2">
        <f t="shared" si="22"/>
        <v>6194354.266957581</v>
      </c>
      <c r="M85" s="11">
        <f t="shared" si="11"/>
        <v>1.0478535018117119</v>
      </c>
      <c r="N85" s="12">
        <f t="shared" si="12"/>
        <v>4.8832429666023636E-4</v>
      </c>
      <c r="O85" s="12">
        <f t="shared" si="23"/>
        <v>1.465687023044504E-3</v>
      </c>
      <c r="P85" s="12">
        <f t="shared" si="24"/>
        <v>3.8185138262163187E-2</v>
      </c>
      <c r="Q85" s="5">
        <f t="shared" si="13"/>
        <v>4.7853501811711885E-2</v>
      </c>
      <c r="R85" s="19" t="e">
        <f>M85/#REF! - 1</f>
        <v>#REF!</v>
      </c>
      <c r="S85" s="19" t="e">
        <f>M85/#REF! - 1</f>
        <v>#REF!</v>
      </c>
      <c r="T85" s="19" t="s">
        <v>53</v>
      </c>
    </row>
    <row r="86" spans="1:20" x14ac:dyDescent="0.25">
      <c r="A86" s="1">
        <v>45751</v>
      </c>
      <c r="B86" s="1" t="str">
        <f t="shared" si="10"/>
        <v>202504</v>
      </c>
      <c r="C86" s="2">
        <f>C85*(1+((1+VLOOKUP($B86,'IPCA Hist'!$B:$C,2,0))^12 - 1)+$C$2)^(1/252)</f>
        <v>83980894.524436072</v>
      </c>
      <c r="D86" s="2">
        <f>D85*(1+((1+VLOOKUP($B86,'IPCA Hist'!$B:$C,2,0))^12 - 1)+$D$2)^(1/252)</f>
        <v>42250360.248300299</v>
      </c>
      <c r="E86" s="2">
        <f>E85*(1+((1+VLOOKUP($B86,'IPCA Hist'!$B:$C,2,0))^12 - 1)+$E$2)^(1/252)</f>
        <v>42264322.170931101</v>
      </c>
      <c r="F86" s="2">
        <v>0</v>
      </c>
      <c r="G86" s="2">
        <f t="shared" si="20"/>
        <v>168495576.94366747</v>
      </c>
      <c r="H86" s="2">
        <v>0</v>
      </c>
      <c r="I86" s="2">
        <v>0</v>
      </c>
      <c r="J86" s="2">
        <f t="shared" si="14"/>
        <v>82240.400682210922</v>
      </c>
      <c r="K86" s="2">
        <f t="shared" si="21"/>
        <v>328720.38005366921</v>
      </c>
      <c r="L86" s="2">
        <f t="shared" si="22"/>
        <v>6276594.667639792</v>
      </c>
      <c r="M86" s="11">
        <f t="shared" si="11"/>
        <v>1.0483651946123784</v>
      </c>
      <c r="N86" s="12">
        <f t="shared" si="12"/>
        <v>4.8832475129567676E-4</v>
      </c>
      <c r="O86" s="12">
        <f t="shared" si="23"/>
        <v>1.954727505591114E-3</v>
      </c>
      <c r="P86" s="12">
        <f t="shared" si="24"/>
        <v>3.8692109761603977E-2</v>
      </c>
      <c r="Q86" s="5">
        <f t="shared" si="13"/>
        <v>4.8365194612378426E-2</v>
      </c>
      <c r="R86" s="19" t="e">
        <f>M86/#REF! - 1</f>
        <v>#REF!</v>
      </c>
      <c r="S86" s="19" t="e">
        <f>M86/#REF! - 1</f>
        <v>#REF!</v>
      </c>
      <c r="T86" s="19" t="s">
        <v>53</v>
      </c>
    </row>
    <row r="87" spans="1:20" x14ac:dyDescent="0.25">
      <c r="A87" s="1">
        <v>45754</v>
      </c>
      <c r="B87" s="1" t="str">
        <f t="shared" si="10"/>
        <v>202504</v>
      </c>
      <c r="C87" s="2">
        <f>C86*(1+((1+VLOOKUP($B87,'IPCA Hist'!$B:$C,2,0))^12 - 1)+$C$2)^(1/252)</f>
        <v>84020107.766673759</v>
      </c>
      <c r="D87" s="2">
        <f>D86*(1+((1+VLOOKUP($B87,'IPCA Hist'!$B:$C,2,0))^12 - 1)+$D$2)^(1/252)</f>
        <v>42271897.766416416</v>
      </c>
      <c r="E87" s="2">
        <f>E86*(1+((1+VLOOKUP($B87,'IPCA Hist'!$B:$C,2,0))^12 - 1)+$E$2)^(1/252)</f>
        <v>42285852.047886722</v>
      </c>
      <c r="F87" s="2">
        <v>0</v>
      </c>
      <c r="G87" s="2">
        <f t="shared" si="20"/>
        <v>168577857.5809769</v>
      </c>
      <c r="H87" s="2">
        <v>0</v>
      </c>
      <c r="I87" s="2">
        <v>0</v>
      </c>
      <c r="J87" s="2">
        <f t="shared" si="14"/>
        <v>82280.63730943203</v>
      </c>
      <c r="K87" s="2">
        <f t="shared" si="21"/>
        <v>411001.01736310124</v>
      </c>
      <c r="L87" s="2">
        <f t="shared" si="22"/>
        <v>6358875.304949224</v>
      </c>
      <c r="M87" s="11">
        <f t="shared" si="11"/>
        <v>1.0488771377619281</v>
      </c>
      <c r="N87" s="12">
        <f t="shared" si="12"/>
        <v>4.8832520593067308E-4</v>
      </c>
      <c r="O87" s="12">
        <f t="shared" si="23"/>
        <v>2.4440072542335489E-3</v>
      </c>
      <c r="P87" s="12">
        <f t="shared" si="24"/>
        <v>3.9199329300001917E-2</v>
      </c>
      <c r="Q87" s="5">
        <f t="shared" si="13"/>
        <v>4.8877137761928147E-2</v>
      </c>
      <c r="R87" s="19" t="e">
        <f>M87/#REF! - 1</f>
        <v>#REF!</v>
      </c>
      <c r="S87" s="19" t="e">
        <f>M87/#REF! - 1</f>
        <v>#REF!</v>
      </c>
      <c r="T87" s="19" t="s">
        <v>53</v>
      </c>
    </row>
    <row r="88" spans="1:20" x14ac:dyDescent="0.25">
      <c r="A88" s="1">
        <v>45755</v>
      </c>
      <c r="B88" s="1" t="str">
        <f t="shared" ref="B88:B89" si="25">_xlfn.CONCAT(TEXT(YEAR(A88),"0000"),TEXT(MONTH(A88),"00"))</f>
        <v>202504</v>
      </c>
      <c r="C88" s="2">
        <f>C87*(1+((1+VLOOKUP($B88,'IPCA Hist'!$B:$C,2,0))^12 - 1)+$C$2)^(1/252)</f>
        <v>84059339.318770796</v>
      </c>
      <c r="D88" s="2">
        <f>D87*(1+((1+VLOOKUP($B88,'IPCA Hist'!$B:$C,2,0))^12 - 1)+$D$2)^(1/252)</f>
        <v>42293446.263484754</v>
      </c>
      <c r="E88" s="2">
        <f>E87*(1+((1+VLOOKUP($B88,'IPCA Hist'!$B:$C,2,0))^12 - 1)+$E$2)^(1/252)</f>
        <v>42307392.89238134</v>
      </c>
      <c r="F88" s="2">
        <v>0</v>
      </c>
      <c r="G88" s="2">
        <f t="shared" si="20"/>
        <v>168660178.47463688</v>
      </c>
      <c r="H88" s="2">
        <v>0</v>
      </c>
      <c r="I88" s="2">
        <v>0</v>
      </c>
      <c r="J88" s="2">
        <f t="shared" si="14"/>
        <v>82320.893659979105</v>
      </c>
      <c r="K88" s="2">
        <f t="shared" si="21"/>
        <v>493321.91102308035</v>
      </c>
      <c r="L88" s="2">
        <f t="shared" si="22"/>
        <v>6441196.1986092031</v>
      </c>
      <c r="M88" s="11">
        <f t="shared" si="11"/>
        <v>1.049389331383078</v>
      </c>
      <c r="N88" s="12">
        <f t="shared" si="12"/>
        <v>4.8832566056566939E-4</v>
      </c>
      <c r="O88" s="12">
        <f t="shared" si="23"/>
        <v>2.9335263862559913E-3</v>
      </c>
      <c r="P88" s="12">
        <f t="shared" si="24"/>
        <v>3.9706796998941751E-2</v>
      </c>
      <c r="Q88" s="5">
        <f t="shared" si="13"/>
        <v>4.9389331383077995E-2</v>
      </c>
      <c r="R88" s="19" t="e">
        <f>M88/#REF! - 1</f>
        <v>#REF!</v>
      </c>
      <c r="S88" s="19" t="e">
        <f>M88/#REF! - 1</f>
        <v>#REF!</v>
      </c>
      <c r="T88" s="19" t="s">
        <v>53</v>
      </c>
    </row>
    <row r="89" spans="1:20" x14ac:dyDescent="0.25">
      <c r="A89" s="1">
        <v>45756</v>
      </c>
      <c r="B89" s="1" t="str">
        <f t="shared" si="25"/>
        <v>202504</v>
      </c>
      <c r="C89" s="2">
        <f>C88*(1+((1+VLOOKUP($B89,'IPCA Hist'!$B:$C,2,0))^12 - 1)+$C$2)^(1/252)</f>
        <v>84098589.189276606</v>
      </c>
      <c r="D89" s="2">
        <f>D88*(1+((1+VLOOKUP($B89,'IPCA Hist'!$B:$C,2,0))^12 - 1)+$D$2)^(1/252)</f>
        <v>42315005.745101936</v>
      </c>
      <c r="E89" s="2">
        <f>E88*(1+((1+VLOOKUP($B89,'IPCA Hist'!$B:$C,2,0))^12 - 1)+$E$2)^(1/252)</f>
        <v>42328944.710001938</v>
      </c>
      <c r="F89" s="2">
        <v>0</v>
      </c>
      <c r="G89" s="2">
        <f t="shared" si="20"/>
        <v>168742539.64438048</v>
      </c>
      <c r="H89" s="2">
        <v>0</v>
      </c>
      <c r="I89" s="2">
        <v>0</v>
      </c>
      <c r="J89" s="2">
        <f t="shared" si="14"/>
        <v>82361.169743597507</v>
      </c>
      <c r="K89" s="2">
        <f t="shared" si="21"/>
        <v>575683.08076667786</v>
      </c>
      <c r="L89" s="2">
        <f t="shared" si="22"/>
        <v>6523557.3683528006</v>
      </c>
      <c r="M89" s="11">
        <f t="shared" ref="M89:M152" si="26">(1+(G89-G88-H89+I89)/G88)*M88</f>
        <v>1.0499017755986055</v>
      </c>
      <c r="N89" s="12">
        <f t="shared" ref="N89:N152" si="27">M89/M88 - 1</f>
        <v>4.8832611520088776E-4</v>
      </c>
      <c r="O89" s="12">
        <f t="shared" si="23"/>
        <v>3.4232850190010211E-3</v>
      </c>
      <c r="P89" s="12">
        <f t="shared" si="24"/>
        <v>4.0214512980068173E-2</v>
      </c>
      <c r="Q89" s="5">
        <f t="shared" ref="Q89:Q152" si="28">(1+N89)*(1+Q88) - 1</f>
        <v>4.9901775598605536E-2</v>
      </c>
      <c r="R89" s="19" t="e">
        <f>M89/#REF! - 1</f>
        <v>#REF!</v>
      </c>
      <c r="S89" s="19" t="e">
        <f>M89/#REF! - 1</f>
        <v>#REF!</v>
      </c>
      <c r="T89" s="19" t="s">
        <v>53</v>
      </c>
    </row>
    <row r="90" spans="1:20" x14ac:dyDescent="0.25">
      <c r="A90" s="1">
        <v>45757</v>
      </c>
      <c r="B90" s="1" t="str">
        <f>_xlfn.CONCAT(TEXT(YEAR(A90),"0000"),TEXT(MONTH(A90),"00"))</f>
        <v>202504</v>
      </c>
      <c r="C90" s="2">
        <f>C89*(1+((1+VLOOKUP($B90,'IPCA Hist'!$B:$C,2,0))^12 - 1)+$C$2)^(1/252)</f>
        <v>84137857.386744633</v>
      </c>
      <c r="D90" s="2">
        <f>D89*(1+((1+VLOOKUP($B90,'IPCA Hist'!$B:$C,2,0))^12 - 1)+$D$2)^(1/252)</f>
        <v>42336576.216867447</v>
      </c>
      <c r="E90" s="2">
        <f>E89*(1+((1+VLOOKUP($B90,'IPCA Hist'!$B:$C,2,0))^12 - 1)+$E$2)^(1/252)</f>
        <v>42350507.506338336</v>
      </c>
      <c r="F90" s="2">
        <v>0</v>
      </c>
      <c r="G90" s="2">
        <f t="shared" si="20"/>
        <v>168824941.10995042</v>
      </c>
      <c r="H90" s="2">
        <v>0</v>
      </c>
      <c r="I90" s="2">
        <v>0</v>
      </c>
      <c r="J90" s="2">
        <f t="shared" si="14"/>
        <v>82401.46556994319</v>
      </c>
      <c r="K90" s="2">
        <f t="shared" si="21"/>
        <v>658084.54633662105</v>
      </c>
      <c r="L90" s="2">
        <f t="shared" si="22"/>
        <v>6605958.8339227438</v>
      </c>
      <c r="M90" s="11">
        <f t="shared" si="26"/>
        <v>1.0504144705313483</v>
      </c>
      <c r="N90" s="12">
        <f t="shared" si="27"/>
        <v>4.8832656983588407E-4</v>
      </c>
      <c r="O90" s="12">
        <f t="shared" si="23"/>
        <v>3.9132832698678399E-3</v>
      </c>
      <c r="P90" s="12">
        <f t="shared" si="24"/>
        <v>4.0722477365085163E-2</v>
      </c>
      <c r="Q90" s="5">
        <f t="shared" si="28"/>
        <v>5.0414470531348288E-2</v>
      </c>
      <c r="R90" s="19" t="e">
        <f>M90/#REF! - 1</f>
        <v>#REF!</v>
      </c>
      <c r="S90" s="19" t="e">
        <f>M90/#REF! - 1</f>
        <v>#REF!</v>
      </c>
      <c r="T90" s="19" t="s">
        <v>53</v>
      </c>
    </row>
    <row r="91" spans="1:20" x14ac:dyDescent="0.25">
      <c r="A91" s="1">
        <v>45758</v>
      </c>
      <c r="B91" s="1" t="str">
        <f>_xlfn.CONCAT(TEXT(YEAR(A91),"0000"),TEXT(MONTH(A91),"00"))</f>
        <v>202504</v>
      </c>
      <c r="C91" s="2">
        <f>C90*(1+((1+VLOOKUP($B91,'IPCA Hist'!$B:$C,2,0))^12 - 1)+$C$2)^(1/252)</f>
        <v>84177143.919732273</v>
      </c>
      <c r="D91" s="2">
        <f>D90*(1+((1+VLOOKUP($B91,'IPCA Hist'!$B:$C,2,0))^12 - 1)+$D$2)^(1/252)</f>
        <v>42358157.684383616</v>
      </c>
      <c r="E91" s="2">
        <f>E90*(1+((1+VLOOKUP($B91,'IPCA Hist'!$B:$C,2,0))^12 - 1)+$E$2)^(1/252)</f>
        <v>42372081.286983199</v>
      </c>
      <c r="F91" s="2">
        <v>0</v>
      </c>
      <c r="G91" s="2">
        <f t="shared" si="20"/>
        <v>168907382.8910991</v>
      </c>
      <c r="H91" s="2">
        <v>0</v>
      </c>
      <c r="I91" s="2">
        <v>0</v>
      </c>
      <c r="J91" s="2">
        <f t="shared" si="14"/>
        <v>82441.781148672104</v>
      </c>
      <c r="K91" s="2">
        <f t="shared" si="21"/>
        <v>740526.32748529315</v>
      </c>
      <c r="L91" s="2">
        <f t="shared" si="22"/>
        <v>6688400.6150714159</v>
      </c>
      <c r="M91" s="11">
        <f t="shared" si="26"/>
        <v>1.0509274163042037</v>
      </c>
      <c r="N91" s="12">
        <f t="shared" si="27"/>
        <v>4.8832702447065834E-4</v>
      </c>
      <c r="O91" s="12">
        <f t="shared" si="23"/>
        <v>4.4035212563136028E-3</v>
      </c>
      <c r="P91" s="12">
        <f t="shared" si="24"/>
        <v>4.1230690275756654E-2</v>
      </c>
      <c r="Q91" s="5">
        <f t="shared" si="28"/>
        <v>5.0927416304203721E-2</v>
      </c>
      <c r="R91" s="19" t="e">
        <f>M91/#REF! - 1</f>
        <v>#REF!</v>
      </c>
      <c r="S91" s="19" t="e">
        <f>M91/#REF! - 1</f>
        <v>#REF!</v>
      </c>
      <c r="T91" s="19" t="s">
        <v>53</v>
      </c>
    </row>
    <row r="92" spans="1:20" x14ac:dyDescent="0.25">
      <c r="A92" s="1">
        <v>45761</v>
      </c>
      <c r="B92" s="1" t="str">
        <f t="shared" ref="B92:B155" si="29">_xlfn.CONCAT(TEXT(YEAR(A92),"0000"),TEXT(MONTH(A92),"00"))</f>
        <v>202504</v>
      </c>
      <c r="C92" s="2">
        <f>C91*(1+((1+VLOOKUP($B92,'IPCA Hist'!$B:$C,2,0))^12 - 1)+$C$2)^(1/252)</f>
        <v>84216448.796800956</v>
      </c>
      <c r="D92" s="2">
        <f>D91*(1+((1+VLOOKUP($B92,'IPCA Hist'!$B:$C,2,0))^12 - 1)+$D$2)^(1/252)</f>
        <v>42379750.153255627</v>
      </c>
      <c r="E92" s="2">
        <f>E91*(1+((1+VLOOKUP($B92,'IPCA Hist'!$B:$C,2,0))^12 - 1)+$E$2)^(1/252)</f>
        <v>42393666.05753205</v>
      </c>
      <c r="F92" s="2">
        <v>0</v>
      </c>
      <c r="G92" s="2">
        <f t="shared" si="20"/>
        <v>168989865.00758862</v>
      </c>
      <c r="H92" s="2">
        <v>0</v>
      </c>
      <c r="I92" s="2">
        <v>0</v>
      </c>
      <c r="J92" s="2">
        <f t="shared" si="14"/>
        <v>82482.11648952961</v>
      </c>
      <c r="K92" s="2">
        <f t="shared" si="21"/>
        <v>823008.44397482276</v>
      </c>
      <c r="L92" s="2">
        <f t="shared" si="22"/>
        <v>6770882.7315609455</v>
      </c>
      <c r="M92" s="11">
        <f t="shared" si="26"/>
        <v>1.0514406130401306</v>
      </c>
      <c r="N92" s="12">
        <f t="shared" si="27"/>
        <v>4.8832747910565466E-4</v>
      </c>
      <c r="O92" s="12">
        <f t="shared" si="23"/>
        <v>4.8939990958536406E-3</v>
      </c>
      <c r="P92" s="12">
        <f t="shared" si="24"/>
        <v>4.1739151833906529E-2</v>
      </c>
      <c r="Q92" s="5">
        <f t="shared" si="28"/>
        <v>5.1440613040130589E-2</v>
      </c>
      <c r="R92" s="19" t="e">
        <f>M92/#REF! - 1</f>
        <v>#REF!</v>
      </c>
      <c r="S92" s="19" t="e">
        <f>M92/#REF! - 1</f>
        <v>#REF!</v>
      </c>
      <c r="T92" s="19" t="s">
        <v>53</v>
      </c>
    </row>
    <row r="93" spans="1:20" x14ac:dyDescent="0.25">
      <c r="A93" s="1">
        <v>45762</v>
      </c>
      <c r="B93" s="1" t="str">
        <f t="shared" si="29"/>
        <v>202504</v>
      </c>
      <c r="C93" s="2">
        <f>C92*(1+((1+VLOOKUP($B93,'IPCA Hist'!$B:$C,2,0))^12 - 1)+$C$2)^(1/252)</f>
        <v>84255772.026516095</v>
      </c>
      <c r="D93" s="2">
        <f>D92*(1+((1+VLOOKUP($B93,'IPCA Hist'!$B:$C,2,0))^12 - 1)+$D$2)^(1/252)</f>
        <v>42401353.629091524</v>
      </c>
      <c r="E93" s="2">
        <f>E92*(1+((1+VLOOKUP($B93,'IPCA Hist'!$B:$C,2,0))^12 - 1)+$E$2)^(1/252)</f>
        <v>42415261.82358326</v>
      </c>
      <c r="F93" s="2">
        <v>0</v>
      </c>
      <c r="G93" s="2">
        <f t="shared" si="20"/>
        <v>169072387.47919089</v>
      </c>
      <c r="H93" s="2">
        <v>0</v>
      </c>
      <c r="I93" s="2">
        <v>0</v>
      </c>
      <c r="J93" s="2">
        <f t="shared" ref="J93:J156" si="30">G93-G92-H93+I93</f>
        <v>82522.471602261066</v>
      </c>
      <c r="K93" s="2">
        <f t="shared" si="21"/>
        <v>905530.91557708383</v>
      </c>
      <c r="L93" s="2">
        <f t="shared" si="22"/>
        <v>6853405.2031632066</v>
      </c>
      <c r="M93" s="11">
        <f t="shared" si="26"/>
        <v>1.0519540608621474</v>
      </c>
      <c r="N93" s="12">
        <f t="shared" si="27"/>
        <v>4.8832793374065098E-4</v>
      </c>
      <c r="O93" s="12">
        <f t="shared" si="23"/>
        <v>5.3847169060605715E-3</v>
      </c>
      <c r="P93" s="12">
        <f t="shared" si="24"/>
        <v>4.2247862161418404E-2</v>
      </c>
      <c r="Q93" s="5">
        <f t="shared" si="28"/>
        <v>5.1954060862147378E-2</v>
      </c>
      <c r="R93" s="19" t="e">
        <f>M93/#REF! - 1</f>
        <v>#REF!</v>
      </c>
      <c r="S93" s="19" t="e">
        <f>M93/#REF! - 1</f>
        <v>#REF!</v>
      </c>
      <c r="T93" s="19" t="s">
        <v>53</v>
      </c>
    </row>
    <row r="94" spans="1:20" x14ac:dyDescent="0.25">
      <c r="A94" s="1">
        <v>45763</v>
      </c>
      <c r="B94" s="1" t="str">
        <f t="shared" si="29"/>
        <v>202504</v>
      </c>
      <c r="C94" s="2">
        <f>C93*(1+((1+VLOOKUP($B94,'IPCA Hist'!$B:$C,2,0))^12 - 1)+$C$2)^(1/252)</f>
        <v>84295113.617447078</v>
      </c>
      <c r="D94" s="2">
        <f>D93*(1+((1+VLOOKUP($B94,'IPCA Hist'!$B:$C,2,0))^12 - 1)+$D$2)^(1/252)</f>
        <v>42422968.117502213</v>
      </c>
      <c r="E94" s="2">
        <f>E93*(1+((1+VLOOKUP($B94,'IPCA Hist'!$B:$C,2,0))^12 - 1)+$E$2)^(1/252)</f>
        <v>42436868.590738043</v>
      </c>
      <c r="F94" s="2">
        <v>0</v>
      </c>
      <c r="G94" s="2">
        <f t="shared" si="20"/>
        <v>169154950.32568735</v>
      </c>
      <c r="H94" s="2">
        <v>0</v>
      </c>
      <c r="I94" s="2">
        <v>0</v>
      </c>
      <c r="J94" s="2">
        <f t="shared" si="30"/>
        <v>82562.846496462822</v>
      </c>
      <c r="K94" s="2">
        <f t="shared" si="21"/>
        <v>988093.76207354665</v>
      </c>
      <c r="L94" s="2">
        <f t="shared" si="22"/>
        <v>6935968.0496596694</v>
      </c>
      <c r="M94" s="11">
        <f t="shared" si="26"/>
        <v>1.052467759893333</v>
      </c>
      <c r="N94" s="12">
        <f t="shared" si="27"/>
        <v>4.883283883752032E-4</v>
      </c>
      <c r="O94" s="12">
        <f t="shared" si="23"/>
        <v>5.8756748045643015E-3</v>
      </c>
      <c r="P94" s="12">
        <f t="shared" si="24"/>
        <v>4.2756821380235177E-2</v>
      </c>
      <c r="Q94" s="5">
        <f t="shared" si="28"/>
        <v>5.2467759893332966E-2</v>
      </c>
      <c r="R94" s="19" t="e">
        <f>M94/#REF! - 1</f>
        <v>#REF!</v>
      </c>
      <c r="S94" s="19" t="e">
        <f>M94/#REF! - 1</f>
        <v>#REF!</v>
      </c>
      <c r="T94" s="19" t="s">
        <v>53</v>
      </c>
    </row>
    <row r="95" spans="1:20" x14ac:dyDescent="0.25">
      <c r="A95" s="1">
        <v>45764</v>
      </c>
      <c r="B95" s="1" t="str">
        <f t="shared" si="29"/>
        <v>202504</v>
      </c>
      <c r="C95" s="2">
        <f>C94*(1+((1+VLOOKUP($B95,'IPCA Hist'!$B:$C,2,0))^12 - 1)+$C$2)^(1/252)</f>
        <v>84334473.578167334</v>
      </c>
      <c r="D95" s="2">
        <f>D94*(1+((1+VLOOKUP($B95,'IPCA Hist'!$B:$C,2,0))^12 - 1)+$D$2)^(1/252)</f>
        <v>42444593.624101453</v>
      </c>
      <c r="E95" s="2">
        <f>E94*(1+((1+VLOOKUP($B95,'IPCA Hist'!$B:$C,2,0))^12 - 1)+$E$2)^(1/252)</f>
        <v>42458486.36460048</v>
      </c>
      <c r="F95" s="2">
        <v>0</v>
      </c>
      <c r="G95" s="2">
        <f t="shared" si="20"/>
        <v>169237553.56686926</v>
      </c>
      <c r="H95" s="2">
        <v>0</v>
      </c>
      <c r="I95" s="2">
        <v>0</v>
      </c>
      <c r="J95" s="2">
        <f t="shared" si="30"/>
        <v>82603.241181910038</v>
      </c>
      <c r="K95" s="2">
        <f t="shared" si="21"/>
        <v>1070697.0032554567</v>
      </c>
      <c r="L95" s="2">
        <f t="shared" si="22"/>
        <v>7018571.2908415794</v>
      </c>
      <c r="M95" s="11">
        <f t="shared" si="26"/>
        <v>1.0529817102568269</v>
      </c>
      <c r="N95" s="12">
        <f t="shared" si="27"/>
        <v>4.8832884300975543E-4</v>
      </c>
      <c r="O95" s="12">
        <f t="shared" si="23"/>
        <v>6.366872909053356E-3</v>
      </c>
      <c r="P95" s="12">
        <f t="shared" si="24"/>
        <v>4.3266029612360368E-2</v>
      </c>
      <c r="Q95" s="5">
        <f t="shared" si="28"/>
        <v>5.2981710256826853E-2</v>
      </c>
      <c r="R95" s="19" t="e">
        <f>M95/#REF! - 1</f>
        <v>#REF!</v>
      </c>
      <c r="S95" s="19" t="e">
        <f>M95/#REF! - 1</f>
        <v>#REF!</v>
      </c>
      <c r="T95" s="19" t="s">
        <v>53</v>
      </c>
    </row>
    <row r="96" spans="1:20" x14ac:dyDescent="0.25">
      <c r="A96" s="1">
        <v>45769</v>
      </c>
      <c r="B96" s="1" t="str">
        <f t="shared" si="29"/>
        <v>202504</v>
      </c>
      <c r="C96" s="2">
        <f>C95*(1+((1+VLOOKUP($B96,'IPCA Hist'!$B:$C,2,0))^12 - 1)+$C$2)^(1/252)</f>
        <v>84373851.917254284</v>
      </c>
      <c r="D96" s="2">
        <f>D95*(1+((1+VLOOKUP($B96,'IPCA Hist'!$B:$C,2,0))^12 - 1)+$D$2)^(1/252)</f>
        <v>42466230.154505871</v>
      </c>
      <c r="E96" s="2">
        <f>E95*(1+((1+VLOOKUP($B96,'IPCA Hist'!$B:$C,2,0))^12 - 1)+$E$2)^(1/252)</f>
        <v>42480115.150777496</v>
      </c>
      <c r="F96" s="2">
        <v>0</v>
      </c>
      <c r="G96" s="2">
        <f t="shared" si="20"/>
        <v>169320197.22253764</v>
      </c>
      <c r="H96" s="2">
        <v>0</v>
      </c>
      <c r="I96" s="2">
        <v>0</v>
      </c>
      <c r="J96" s="2">
        <f t="shared" si="30"/>
        <v>82643.655668377876</v>
      </c>
      <c r="K96" s="2">
        <f t="shared" si="21"/>
        <v>1153340.6589238346</v>
      </c>
      <c r="L96" s="2">
        <f t="shared" si="22"/>
        <v>7101214.9465099573</v>
      </c>
      <c r="M96" s="11">
        <f t="shared" si="26"/>
        <v>1.0534959120758292</v>
      </c>
      <c r="N96" s="12">
        <f t="shared" si="27"/>
        <v>4.883292976445297E-4</v>
      </c>
      <c r="O96" s="12">
        <f t="shared" si="23"/>
        <v>6.8583113372737703E-3</v>
      </c>
      <c r="P96" s="12">
        <f t="shared" si="24"/>
        <v>4.3775486979857448E-2</v>
      </c>
      <c r="Q96" s="5">
        <f t="shared" si="28"/>
        <v>5.3495912075829155E-2</v>
      </c>
      <c r="R96" s="19" t="e">
        <f>M96/#REF! - 1</f>
        <v>#REF!</v>
      </c>
      <c r="S96" s="19" t="e">
        <f>M96/#REF! - 1</f>
        <v>#REF!</v>
      </c>
      <c r="T96" s="19" t="s">
        <v>53</v>
      </c>
    </row>
    <row r="97" spans="1:20" x14ac:dyDescent="0.25">
      <c r="A97" s="1">
        <v>45770</v>
      </c>
      <c r="B97" s="1" t="str">
        <f t="shared" si="29"/>
        <v>202504</v>
      </c>
      <c r="C97" s="2">
        <f>C96*(1+((1+VLOOKUP($B97,'IPCA Hist'!$B:$C,2,0))^12 - 1)+$C$2)^(1/252)</f>
        <v>84413248.643289343</v>
      </c>
      <c r="D97" s="2">
        <f>D96*(1+((1+VLOOKUP($B97,'IPCA Hist'!$B:$C,2,0))^12 - 1)+$D$2)^(1/252)</f>
        <v>42487877.714334965</v>
      </c>
      <c r="E97" s="2">
        <f>E96*(1+((1+VLOOKUP($B97,'IPCA Hist'!$B:$C,2,0))^12 - 1)+$E$2)^(1/252)</f>
        <v>42501754.954878882</v>
      </c>
      <c r="F97" s="2">
        <v>0</v>
      </c>
      <c r="G97" s="2">
        <f t="shared" si="20"/>
        <v>169402881.31250319</v>
      </c>
      <c r="H97" s="2">
        <v>0</v>
      </c>
      <c r="I97" s="2">
        <v>0</v>
      </c>
      <c r="J97" s="2">
        <f t="shared" si="30"/>
        <v>82684.089965552092</v>
      </c>
      <c r="K97" s="2">
        <f t="shared" si="21"/>
        <v>1236024.7488893867</v>
      </c>
      <c r="L97" s="2">
        <f t="shared" si="22"/>
        <v>7183899.0364755094</v>
      </c>
      <c r="M97" s="11">
        <f t="shared" si="26"/>
        <v>1.0540103654736004</v>
      </c>
      <c r="N97" s="12">
        <f t="shared" si="27"/>
        <v>4.8832975227930397E-4</v>
      </c>
      <c r="O97" s="12">
        <f t="shared" si="23"/>
        <v>7.3499902070295331E-3</v>
      </c>
      <c r="P97" s="12">
        <f t="shared" si="24"/>
        <v>4.4285193604849615E-2</v>
      </c>
      <c r="Q97" s="5">
        <f t="shared" si="28"/>
        <v>5.4010365473600386E-2</v>
      </c>
      <c r="R97" s="19" t="e">
        <f>M97/#REF! - 1</f>
        <v>#REF!</v>
      </c>
      <c r="S97" s="19" t="e">
        <f>M97/#REF! - 1</f>
        <v>#REF!</v>
      </c>
      <c r="T97" s="19" t="s">
        <v>53</v>
      </c>
    </row>
    <row r="98" spans="1:20" x14ac:dyDescent="0.25">
      <c r="A98" s="1">
        <v>45771</v>
      </c>
      <c r="B98" s="1" t="str">
        <f t="shared" si="29"/>
        <v>202504</v>
      </c>
      <c r="C98" s="2">
        <f>C97*(1+((1+VLOOKUP($B98,'IPCA Hist'!$B:$C,2,0))^12 - 1)+$C$2)^(1/252)</f>
        <v>84452663.764857933</v>
      </c>
      <c r="D98" s="2">
        <f>D97*(1+((1+VLOOKUP($B98,'IPCA Hist'!$B:$C,2,0))^12 - 1)+$D$2)^(1/252)</f>
        <v>42509536.309211075</v>
      </c>
      <c r="E98" s="2">
        <f>E97*(1+((1+VLOOKUP($B98,'IPCA Hist'!$B:$C,2,0))^12 - 1)+$E$2)^(1/252)</f>
        <v>42523405.782517277</v>
      </c>
      <c r="F98" s="2">
        <v>0</v>
      </c>
      <c r="G98" s="2">
        <f t="shared" si="20"/>
        <v>169485605.85658628</v>
      </c>
      <c r="H98" s="2">
        <v>0</v>
      </c>
      <c r="I98" s="2">
        <v>0</v>
      </c>
      <c r="J98" s="2">
        <f t="shared" si="30"/>
        <v>82724.544083088636</v>
      </c>
      <c r="K98" s="2">
        <f t="shared" si="21"/>
        <v>1318749.2929724753</v>
      </c>
      <c r="L98" s="2">
        <f t="shared" si="22"/>
        <v>7266623.580558598</v>
      </c>
      <c r="M98" s="11">
        <f t="shared" si="26"/>
        <v>1.0545250705734612</v>
      </c>
      <c r="N98" s="12">
        <f t="shared" si="27"/>
        <v>4.8833020691363416E-4</v>
      </c>
      <c r="O98" s="12">
        <f t="shared" si="23"/>
        <v>7.8419096361816987E-3</v>
      </c>
      <c r="P98" s="12">
        <f t="shared" si="24"/>
        <v>4.479514960951958E-2</v>
      </c>
      <c r="Q98" s="5">
        <f t="shared" si="28"/>
        <v>5.4525070573461232E-2</v>
      </c>
      <c r="R98" s="19" t="e">
        <f>M98/#REF! - 1</f>
        <v>#REF!</v>
      </c>
      <c r="S98" s="19" t="e">
        <f>M98/#REF! - 1</f>
        <v>#REF!</v>
      </c>
      <c r="T98" s="19" t="s">
        <v>53</v>
      </c>
    </row>
    <row r="99" spans="1:20" x14ac:dyDescent="0.25">
      <c r="A99" s="1">
        <v>45772</v>
      </c>
      <c r="B99" s="1" t="str">
        <f t="shared" si="29"/>
        <v>202504</v>
      </c>
      <c r="C99" s="2">
        <f>C98*(1+((1+VLOOKUP($B99,'IPCA Hist'!$B:$C,2,0))^12 - 1)+$C$2)^(1/252)</f>
        <v>84492097.290549487</v>
      </c>
      <c r="D99" s="2">
        <f>D98*(1+((1+VLOOKUP($B99,'IPCA Hist'!$B:$C,2,0))^12 - 1)+$D$2)^(1/252)</f>
        <v>42531205.944759429</v>
      </c>
      <c r="E99" s="2">
        <f>E98*(1+((1+VLOOKUP($B99,'IPCA Hist'!$B:$C,2,0))^12 - 1)+$E$2)^(1/252)</f>
        <v>42545067.639308184</v>
      </c>
      <c r="F99" s="2">
        <v>0</v>
      </c>
      <c r="G99" s="2">
        <f t="shared" ref="G99:G130" si="31">SUM(C99:F99)</f>
        <v>169568370.8746171</v>
      </c>
      <c r="H99" s="2">
        <v>0</v>
      </c>
      <c r="I99" s="2">
        <v>0</v>
      </c>
      <c r="J99" s="2">
        <f t="shared" si="30"/>
        <v>82765.018030822277</v>
      </c>
      <c r="K99" s="2">
        <f t="shared" si="21"/>
        <v>1401514.3110032976</v>
      </c>
      <c r="L99" s="2">
        <f t="shared" si="22"/>
        <v>7349388.5985894203</v>
      </c>
      <c r="M99" s="11">
        <f t="shared" si="26"/>
        <v>1.0550400274987932</v>
      </c>
      <c r="N99" s="12">
        <f t="shared" si="27"/>
        <v>4.8833066154796434E-4</v>
      </c>
      <c r="O99" s="12">
        <f t="shared" si="23"/>
        <v>8.3340697426501631E-3</v>
      </c>
      <c r="P99" s="12">
        <f t="shared" si="24"/>
        <v>4.5305355116110446E-2</v>
      </c>
      <c r="Q99" s="5">
        <f t="shared" si="28"/>
        <v>5.504002749879322E-2</v>
      </c>
      <c r="R99" s="19" t="e">
        <f>M99/#REF! - 1</f>
        <v>#REF!</v>
      </c>
      <c r="S99" s="19" t="e">
        <f>M99/#REF! - 1</f>
        <v>#REF!</v>
      </c>
      <c r="T99" s="19" t="s">
        <v>53</v>
      </c>
    </row>
    <row r="100" spans="1:20" x14ac:dyDescent="0.25">
      <c r="A100" s="1">
        <v>45775</v>
      </c>
      <c r="B100" s="1" t="str">
        <f t="shared" si="29"/>
        <v>202504</v>
      </c>
      <c r="C100" s="2">
        <f>C99*(1+((1+VLOOKUP($B100,'IPCA Hist'!$B:$C,2,0))^12 - 1)+$C$2)^(1/252)</f>
        <v>84531549.228957459</v>
      </c>
      <c r="D100" s="2">
        <f>D99*(1+((1+VLOOKUP($B100,'IPCA Hist'!$B:$C,2,0))^12 - 1)+$D$2)^(1/252)</f>
        <v>42552886.626608104</v>
      </c>
      <c r="E100" s="2">
        <f>E99*(1+((1+VLOOKUP($B100,'IPCA Hist'!$B:$C,2,0))^12 - 1)+$E$2)^(1/252)</f>
        <v>42566740.530869968</v>
      </c>
      <c r="F100" s="2">
        <v>0</v>
      </c>
      <c r="G100" s="2">
        <f t="shared" si="31"/>
        <v>169651176.38643554</v>
      </c>
      <c r="H100" s="2">
        <v>0</v>
      </c>
      <c r="I100" s="2">
        <v>0</v>
      </c>
      <c r="J100" s="2">
        <f t="shared" si="30"/>
        <v>82805.511818438768</v>
      </c>
      <c r="K100" s="2">
        <f t="shared" ref="K100:K131" si="32">IF(MONTH(A100)=MONTH(A99),J100+K99,J100)</f>
        <v>1484319.8228217363</v>
      </c>
      <c r="L100" s="2">
        <f t="shared" ref="L100:L131" si="33">IF(YEAR(A100)=YEAR(A99),J100+L99,J100)</f>
        <v>7432194.1104078591</v>
      </c>
      <c r="M100" s="11">
        <f t="shared" si="26"/>
        <v>1.0555552363730389</v>
      </c>
      <c r="N100" s="12">
        <f t="shared" si="27"/>
        <v>4.8833111618251657E-4</v>
      </c>
      <c r="O100" s="12">
        <f t="shared" ref="O100:O131" si="34">IF(MONTH(A100)=MONTH(A99),(1+N100)*(1+O99) - 1,N100)</f>
        <v>8.826470644412554E-3</v>
      </c>
      <c r="P100" s="12">
        <f t="shared" ref="P100:P131" si="35">IF(YEAR(A100)=YEAR(A99),(1+N100)*(1+P99) - 1,N100)</f>
        <v>4.5815810246925937E-2</v>
      </c>
      <c r="Q100" s="5">
        <f t="shared" si="28"/>
        <v>5.5555236373038941E-2</v>
      </c>
      <c r="R100" s="19" t="e">
        <f>M100/#REF! - 1</f>
        <v>#REF!</v>
      </c>
      <c r="S100" s="19" t="e">
        <f>M100/#REF! - 1</f>
        <v>#REF!</v>
      </c>
      <c r="T100" s="19" t="s">
        <v>53</v>
      </c>
    </row>
    <row r="101" spans="1:20" x14ac:dyDescent="0.25">
      <c r="A101" s="1">
        <v>45776</v>
      </c>
      <c r="B101" s="1" t="str">
        <f t="shared" si="29"/>
        <v>202504</v>
      </c>
      <c r="C101" s="2">
        <f>C100*(1+((1+VLOOKUP($B101,'IPCA Hist'!$B:$C,2,0))^12 - 1)+$C$2)^(1/252)</f>
        <v>84571019.588679314</v>
      </c>
      <c r="D101" s="2">
        <f>D100*(1+((1+VLOOKUP($B101,'IPCA Hist'!$B:$C,2,0))^12 - 1)+$D$2)^(1/252)</f>
        <v>42574578.360388063</v>
      </c>
      <c r="E101" s="2">
        <f>E100*(1+((1+VLOOKUP($B101,'IPCA Hist'!$B:$C,2,0))^12 - 1)+$E$2)^(1/252)</f>
        <v>42588424.462823853</v>
      </c>
      <c r="F101" s="2">
        <v>0</v>
      </c>
      <c r="G101" s="2">
        <f t="shared" si="31"/>
        <v>169734022.41189122</v>
      </c>
      <c r="H101" s="2">
        <v>0</v>
      </c>
      <c r="I101" s="2">
        <v>0</v>
      </c>
      <c r="J101" s="2">
        <f t="shared" si="30"/>
        <v>82846.02545568347</v>
      </c>
      <c r="K101" s="2">
        <f t="shared" si="32"/>
        <v>1567165.8482774198</v>
      </c>
      <c r="L101" s="2">
        <f t="shared" si="33"/>
        <v>7515040.1358635426</v>
      </c>
      <c r="M101" s="11">
        <f t="shared" si="26"/>
        <v>1.0560706973197007</v>
      </c>
      <c r="N101" s="12">
        <f t="shared" si="27"/>
        <v>4.883315708166247E-4</v>
      </c>
      <c r="O101" s="12">
        <f t="shared" si="34"/>
        <v>9.3191124595037866E-3</v>
      </c>
      <c r="P101" s="12">
        <f t="shared" si="35"/>
        <v>4.6326515124328616E-2</v>
      </c>
      <c r="Q101" s="5">
        <f t="shared" si="28"/>
        <v>5.6070697319700713E-2</v>
      </c>
      <c r="R101" s="19" t="e">
        <f>M101/#REF! - 1</f>
        <v>#REF!</v>
      </c>
      <c r="S101" s="19" t="e">
        <f>M101/#REF! - 1</f>
        <v>#REF!</v>
      </c>
      <c r="T101" s="19" t="s">
        <v>53</v>
      </c>
    </row>
    <row r="102" spans="1:20" x14ac:dyDescent="0.25">
      <c r="A102" s="1">
        <v>45777</v>
      </c>
      <c r="B102" s="1" t="str">
        <f t="shared" si="29"/>
        <v>202504</v>
      </c>
      <c r="C102" s="2">
        <f>C101*(1+((1+VLOOKUP($B102,'IPCA Hist'!$B:$C,2,0))^12 - 1)+$C$2)^(1/252)</f>
        <v>84610508.378316507</v>
      </c>
      <c r="D102" s="2">
        <f>D101*(1+((1+VLOOKUP($B102,'IPCA Hist'!$B:$C,2,0))^12 - 1)+$D$2)^(1/252)</f>
        <v>42596281.15173313</v>
      </c>
      <c r="E102" s="2">
        <f>E101*(1+((1+VLOOKUP($B102,'IPCA Hist'!$B:$C,2,0))^12 - 1)+$E$2)^(1/252)</f>
        <v>42610119.440793924</v>
      </c>
      <c r="F102" s="2">
        <v>0</v>
      </c>
      <c r="G102" s="2">
        <f t="shared" si="31"/>
        <v>169816908.97084355</v>
      </c>
      <c r="H102" s="2">
        <v>0</v>
      </c>
      <c r="I102" s="2">
        <v>0</v>
      </c>
      <c r="J102" s="2">
        <f t="shared" si="30"/>
        <v>82886.558952331543</v>
      </c>
      <c r="K102" s="2">
        <f t="shared" si="32"/>
        <v>1650052.4072297513</v>
      </c>
      <c r="L102" s="2">
        <f t="shared" si="33"/>
        <v>7597926.6948158741</v>
      </c>
      <c r="M102" s="11">
        <f t="shared" si="26"/>
        <v>1.0565864104623421</v>
      </c>
      <c r="N102" s="12">
        <f t="shared" si="27"/>
        <v>4.8833202545095489E-4</v>
      </c>
      <c r="O102" s="12">
        <f t="shared" si="34"/>
        <v>9.8119953060173959E-3</v>
      </c>
      <c r="P102" s="12">
        <f t="shared" si="35"/>
        <v>4.6837469870742332E-2</v>
      </c>
      <c r="Q102" s="5">
        <f t="shared" si="28"/>
        <v>5.658641046234214E-2</v>
      </c>
      <c r="R102" s="19" t="e">
        <f>M102/#REF! - 1</f>
        <v>#REF!</v>
      </c>
      <c r="S102" s="19" t="e">
        <f>M102/#REF! - 1</f>
        <v>#REF!</v>
      </c>
      <c r="T102" s="19" t="s">
        <v>53</v>
      </c>
    </row>
    <row r="103" spans="1:20" x14ac:dyDescent="0.25">
      <c r="A103" s="1">
        <v>45779</v>
      </c>
      <c r="B103" s="1" t="str">
        <f t="shared" si="29"/>
        <v>202505</v>
      </c>
      <c r="C103" s="2">
        <f>C102*(1+((1+VLOOKUP($B103,'IPCA Hist'!$B:$C,2,0))^12 - 1)+$C$2)^(1/252)</f>
        <v>84643628.092265278</v>
      </c>
      <c r="D103" s="2">
        <f>D102*(1+((1+VLOOKUP($B103,'IPCA Hist'!$B:$C,2,0))^12 - 1)+$D$2)^(1/252)</f>
        <v>42614813.971301526</v>
      </c>
      <c r="E103" s="2">
        <f>E102*(1+((1+VLOOKUP($B103,'IPCA Hist'!$B:$C,2,0))^12 - 1)+$E$2)^(1/252)</f>
        <v>42628643.120594762</v>
      </c>
      <c r="F103" s="2">
        <v>0</v>
      </c>
      <c r="G103" s="2">
        <f t="shared" si="31"/>
        <v>169887085.18416157</v>
      </c>
      <c r="H103" s="2">
        <v>0</v>
      </c>
      <c r="I103" s="2">
        <v>0</v>
      </c>
      <c r="J103" s="2">
        <f t="shared" si="30"/>
        <v>70176.213318020105</v>
      </c>
      <c r="K103" s="2">
        <f t="shared" si="32"/>
        <v>70176.213318020105</v>
      </c>
      <c r="L103" s="2">
        <f t="shared" si="33"/>
        <v>7668102.9081338942</v>
      </c>
      <c r="M103" s="11">
        <f t="shared" si="26"/>
        <v>1.0570230409120358</v>
      </c>
      <c r="N103" s="12">
        <f t="shared" si="27"/>
        <v>4.1324632360417723E-4</v>
      </c>
      <c r="O103" s="12">
        <f t="shared" si="34"/>
        <v>4.1324632360417723E-4</v>
      </c>
      <c r="P103" s="12">
        <f t="shared" si="35"/>
        <v>4.727007160657748E-2</v>
      </c>
      <c r="Q103" s="5">
        <f t="shared" si="28"/>
        <v>5.7023040912035805E-2</v>
      </c>
      <c r="R103" s="19" t="e">
        <f>M103/#REF! - 1</f>
        <v>#REF!</v>
      </c>
      <c r="S103" s="19" t="e">
        <f>M103/#REF! - 1</f>
        <v>#REF!</v>
      </c>
      <c r="T103" s="19" t="s">
        <v>53</v>
      </c>
    </row>
    <row r="104" spans="1:20" x14ac:dyDescent="0.25">
      <c r="A104" s="1">
        <v>45782</v>
      </c>
      <c r="B104" s="1" t="str">
        <f t="shared" si="29"/>
        <v>202505</v>
      </c>
      <c r="C104" s="2">
        <f>C103*(1+((1+VLOOKUP($B104,'IPCA Hist'!$B:$C,2,0))^12 - 1)+$C$2)^(1/252)</f>
        <v>84676760.77050741</v>
      </c>
      <c r="D104" s="2">
        <f>D103*(1+((1+VLOOKUP($B104,'IPCA Hist'!$B:$C,2,0))^12 - 1)+$D$2)^(1/252)</f>
        <v>42633354.854141921</v>
      </c>
      <c r="E104" s="2">
        <f>E103*(1+((1+VLOOKUP($B104,'IPCA Hist'!$B:$C,2,0))^12 - 1)+$E$2)^(1/252)</f>
        <v>42647174.853100404</v>
      </c>
      <c r="F104" s="2">
        <v>0</v>
      </c>
      <c r="G104" s="2">
        <f t="shared" si="31"/>
        <v>169957290.47774974</v>
      </c>
      <c r="H104" s="2">
        <v>0</v>
      </c>
      <c r="I104" s="2">
        <v>0</v>
      </c>
      <c r="J104" s="2">
        <f t="shared" si="30"/>
        <v>70205.293588161469</v>
      </c>
      <c r="K104" s="2">
        <f t="shared" si="32"/>
        <v>140381.50690618157</v>
      </c>
      <c r="L104" s="2">
        <f t="shared" si="33"/>
        <v>7738308.2017220557</v>
      </c>
      <c r="M104" s="11">
        <f t="shared" si="26"/>
        <v>1.0574598522967049</v>
      </c>
      <c r="N104" s="12">
        <f t="shared" si="27"/>
        <v>4.1324679572940504E-4</v>
      </c>
      <c r="O104" s="12">
        <f t="shared" si="34"/>
        <v>8.2666389205265922E-4</v>
      </c>
      <c r="P104" s="12">
        <f t="shared" si="35"/>
        <v>4.7702852607932167E-2</v>
      </c>
      <c r="Q104" s="5">
        <f t="shared" si="28"/>
        <v>5.7459852296704916E-2</v>
      </c>
      <c r="R104" s="19" t="e">
        <f>M104/#REF! - 1</f>
        <v>#REF!</v>
      </c>
      <c r="S104" s="19" t="e">
        <f>M104/#REF! - 1</f>
        <v>#REF!</v>
      </c>
      <c r="T104" s="19" t="s">
        <v>53</v>
      </c>
    </row>
    <row r="105" spans="1:20" x14ac:dyDescent="0.25">
      <c r="A105" s="1">
        <v>45783</v>
      </c>
      <c r="B105" s="1" t="str">
        <f t="shared" si="29"/>
        <v>202505</v>
      </c>
      <c r="C105" s="2">
        <f>C104*(1+((1+VLOOKUP($B105,'IPCA Hist'!$B:$C,2,0))^12 - 1)+$C$2)^(1/252)</f>
        <v>84709906.418117613</v>
      </c>
      <c r="D105" s="2">
        <f>D104*(1+((1+VLOOKUP($B105,'IPCA Hist'!$B:$C,2,0))^12 - 1)+$D$2)^(1/252)</f>
        <v>42651903.803762488</v>
      </c>
      <c r="E105" s="2">
        <f>E104*(1+((1+VLOOKUP($B105,'IPCA Hist'!$B:$C,2,0))^12 - 1)+$E$2)^(1/252)</f>
        <v>42665714.641811557</v>
      </c>
      <c r="F105" s="2">
        <v>0</v>
      </c>
      <c r="G105" s="2">
        <f t="shared" si="31"/>
        <v>170027524.86369166</v>
      </c>
      <c r="H105" s="2">
        <v>0</v>
      </c>
      <c r="I105" s="2">
        <v>0</v>
      </c>
      <c r="J105" s="2">
        <f t="shared" si="30"/>
        <v>70234.385941922665</v>
      </c>
      <c r="K105" s="2">
        <f t="shared" si="32"/>
        <v>210615.89284810424</v>
      </c>
      <c r="L105" s="2">
        <f t="shared" si="33"/>
        <v>7808542.5876639783</v>
      </c>
      <c r="M105" s="11">
        <f t="shared" si="26"/>
        <v>1.0578968446915324</v>
      </c>
      <c r="N105" s="12">
        <f t="shared" si="27"/>
        <v>4.1324726785463284E-4</v>
      </c>
      <c r="O105" s="12">
        <f t="shared" si="34"/>
        <v>1.2402527765020821E-3</v>
      </c>
      <c r="P105" s="12">
        <f t="shared" si="35"/>
        <v>4.813581294929592E-2</v>
      </c>
      <c r="Q105" s="5">
        <f t="shared" si="28"/>
        <v>5.7896844691532445E-2</v>
      </c>
      <c r="R105" s="19" t="e">
        <f>M105/#REF! - 1</f>
        <v>#REF!</v>
      </c>
      <c r="S105" s="19" t="e">
        <f>M105/#REF! - 1</f>
        <v>#REF!</v>
      </c>
      <c r="T105" s="19" t="s">
        <v>53</v>
      </c>
    </row>
    <row r="106" spans="1:20" x14ac:dyDescent="0.25">
      <c r="A106" s="1">
        <v>45784</v>
      </c>
      <c r="B106" s="1" t="str">
        <f t="shared" si="29"/>
        <v>202505</v>
      </c>
      <c r="C106" s="2">
        <f>C105*(1+((1+VLOOKUP($B106,'IPCA Hist'!$B:$C,2,0))^12 - 1)+$C$2)^(1/252)</f>
        <v>84743065.040172577</v>
      </c>
      <c r="D106" s="2">
        <f>D105*(1+((1+VLOOKUP($B106,'IPCA Hist'!$B:$C,2,0))^12 - 1)+$D$2)^(1/252)</f>
        <v>42670460.823672935</v>
      </c>
      <c r="E106" s="2">
        <f>E105*(1+((1+VLOOKUP($B106,'IPCA Hist'!$B:$C,2,0))^12 - 1)+$E$2)^(1/252)</f>
        <v>42684262.490230456</v>
      </c>
      <c r="F106" s="2">
        <v>0</v>
      </c>
      <c r="G106" s="2">
        <f t="shared" si="31"/>
        <v>170097788.35407597</v>
      </c>
      <c r="H106" s="2">
        <v>0</v>
      </c>
      <c r="I106" s="2">
        <v>0</v>
      </c>
      <c r="J106" s="2">
        <f t="shared" si="30"/>
        <v>70263.490384310484</v>
      </c>
      <c r="K106" s="2">
        <f t="shared" si="32"/>
        <v>280879.38323241472</v>
      </c>
      <c r="L106" s="2">
        <f t="shared" si="33"/>
        <v>7878806.0780482888</v>
      </c>
      <c r="M106" s="11">
        <f t="shared" si="26"/>
        <v>1.0583340181717333</v>
      </c>
      <c r="N106" s="12">
        <f t="shared" si="27"/>
        <v>4.1324773998008268E-4</v>
      </c>
      <c r="O106" s="12">
        <f t="shared" si="34"/>
        <v>1.654013048139058E-3</v>
      </c>
      <c r="P106" s="12">
        <f t="shared" si="35"/>
        <v>4.856895270518935E-2</v>
      </c>
      <c r="Q106" s="5">
        <f t="shared" si="28"/>
        <v>5.8334018171733337E-2</v>
      </c>
      <c r="R106" s="19" t="e">
        <f>M106/#REF! - 1</f>
        <v>#REF!</v>
      </c>
      <c r="S106" s="19" t="e">
        <f>M106/#REF! - 1</f>
        <v>#REF!</v>
      </c>
      <c r="T106" s="19" t="s">
        <v>53</v>
      </c>
    </row>
    <row r="107" spans="1:20" x14ac:dyDescent="0.25">
      <c r="A107" s="1">
        <v>45785</v>
      </c>
      <c r="B107" s="1" t="str">
        <f t="shared" si="29"/>
        <v>202505</v>
      </c>
      <c r="C107" s="2">
        <f>C106*(1+((1+VLOOKUP($B107,'IPCA Hist'!$B:$C,2,0))^12 - 1)+$C$2)^(1/252)</f>
        <v>84776236.641750991</v>
      </c>
      <c r="D107" s="2">
        <f>D106*(1+((1+VLOOKUP($B107,'IPCA Hist'!$B:$C,2,0))^12 - 1)+$D$2)^(1/252)</f>
        <v>42689025.917384483</v>
      </c>
      <c r="E107" s="2">
        <f>E106*(1+((1+VLOOKUP($B107,'IPCA Hist'!$B:$C,2,0))^12 - 1)+$E$2)^(1/252)</f>
        <v>42702818.401860856</v>
      </c>
      <c r="F107" s="2">
        <v>0</v>
      </c>
      <c r="G107" s="2">
        <f t="shared" si="31"/>
        <v>170168080.96099633</v>
      </c>
      <c r="H107" s="2">
        <v>0</v>
      </c>
      <c r="I107" s="2">
        <v>0</v>
      </c>
      <c r="J107" s="2">
        <f t="shared" si="30"/>
        <v>70292.606920361519</v>
      </c>
      <c r="K107" s="2">
        <f t="shared" si="32"/>
        <v>351171.99015277624</v>
      </c>
      <c r="L107" s="2">
        <f t="shared" si="33"/>
        <v>7949098.6849686503</v>
      </c>
      <c r="M107" s="11">
        <f t="shared" si="26"/>
        <v>1.0587713728125527</v>
      </c>
      <c r="N107" s="12">
        <f t="shared" si="27"/>
        <v>4.1324821210508844E-4</v>
      </c>
      <c r="O107" s="12">
        <f t="shared" si="34"/>
        <v>2.067944778179065E-3</v>
      </c>
      <c r="P107" s="12">
        <f t="shared" si="35"/>
        <v>4.9002271950163712E-2</v>
      </c>
      <c r="Q107" s="5">
        <f t="shared" si="28"/>
        <v>5.8771372812552736E-2</v>
      </c>
      <c r="R107" s="19" t="e">
        <f>M107/#REF! - 1</f>
        <v>#REF!</v>
      </c>
      <c r="S107" s="19" t="e">
        <f>M107/#REF! - 1</f>
        <v>#REF!</v>
      </c>
      <c r="T107" s="19" t="s">
        <v>53</v>
      </c>
    </row>
    <row r="108" spans="1:20" x14ac:dyDescent="0.25">
      <c r="A108" s="1">
        <v>45786</v>
      </c>
      <c r="B108" s="1" t="str">
        <f t="shared" si="29"/>
        <v>202505</v>
      </c>
      <c r="C108" s="2">
        <f>C107*(1+((1+VLOOKUP($B108,'IPCA Hist'!$B:$C,2,0))^12 - 1)+$C$2)^(1/252)</f>
        <v>84809421.227933526</v>
      </c>
      <c r="D108" s="2">
        <f>D107*(1+((1+VLOOKUP($B108,'IPCA Hist'!$B:$C,2,0))^12 - 1)+$D$2)^(1/252)</f>
        <v>42707599.088409886</v>
      </c>
      <c r="E108" s="2">
        <f>E107*(1+((1+VLOOKUP($B108,'IPCA Hist'!$B:$C,2,0))^12 - 1)+$E$2)^(1/252)</f>
        <v>42721382.38020803</v>
      </c>
      <c r="F108" s="2">
        <v>0</v>
      </c>
      <c r="G108" s="2">
        <f t="shared" si="31"/>
        <v>170238402.69655144</v>
      </c>
      <c r="H108" s="2">
        <v>0</v>
      </c>
      <c r="I108" s="2">
        <v>0</v>
      </c>
      <c r="J108" s="2">
        <f t="shared" si="30"/>
        <v>70321.735555112362</v>
      </c>
      <c r="K108" s="2">
        <f t="shared" si="32"/>
        <v>421493.7257078886</v>
      </c>
      <c r="L108" s="2">
        <f t="shared" si="33"/>
        <v>8019420.4205237627</v>
      </c>
      <c r="M108" s="11">
        <f t="shared" si="26"/>
        <v>1.0592089086892682</v>
      </c>
      <c r="N108" s="12">
        <f t="shared" si="27"/>
        <v>4.1324868423031624E-4</v>
      </c>
      <c r="O108" s="12">
        <f t="shared" si="34"/>
        <v>2.482048037868001E-3</v>
      </c>
      <c r="P108" s="12">
        <f t="shared" si="35"/>
        <v>4.9435770758801789E-2</v>
      </c>
      <c r="Q108" s="5">
        <f t="shared" si="28"/>
        <v>5.9208908689268203E-2</v>
      </c>
      <c r="R108" s="19" t="e">
        <f>M108/#REF! - 1</f>
        <v>#REF!</v>
      </c>
      <c r="S108" s="19" t="e">
        <f>M108/#REF! - 1</f>
        <v>#REF!</v>
      </c>
      <c r="T108" s="19" t="s">
        <v>53</v>
      </c>
    </row>
    <row r="109" spans="1:20" x14ac:dyDescent="0.25">
      <c r="A109" s="1">
        <v>45789</v>
      </c>
      <c r="B109" s="1" t="str">
        <f t="shared" si="29"/>
        <v>202505</v>
      </c>
      <c r="C109" s="2">
        <f>C108*(1+((1+VLOOKUP($B109,'IPCA Hist'!$B:$C,2,0))^12 - 1)+$C$2)^(1/252)</f>
        <v>84842618.803802833</v>
      </c>
      <c r="D109" s="2">
        <f>D108*(1+((1+VLOOKUP($B109,'IPCA Hist'!$B:$C,2,0))^12 - 1)+$D$2)^(1/252)</f>
        <v>42726180.340263434</v>
      </c>
      <c r="E109" s="2">
        <f>E108*(1+((1+VLOOKUP($B109,'IPCA Hist'!$B:$C,2,0))^12 - 1)+$E$2)^(1/252)</f>
        <v>42739954.42877879</v>
      </c>
      <c r="F109" s="2">
        <v>0</v>
      </c>
      <c r="G109" s="2">
        <f t="shared" si="31"/>
        <v>170308753.57284507</v>
      </c>
      <c r="H109" s="2">
        <v>0</v>
      </c>
      <c r="I109" s="2">
        <v>0</v>
      </c>
      <c r="J109" s="2">
        <f t="shared" si="30"/>
        <v>70350.876293629408</v>
      </c>
      <c r="K109" s="2">
        <f t="shared" si="32"/>
        <v>491844.60200151801</v>
      </c>
      <c r="L109" s="2">
        <f t="shared" si="33"/>
        <v>8089771.2968173921</v>
      </c>
      <c r="M109" s="11">
        <f t="shared" si="26"/>
        <v>1.0596466258771882</v>
      </c>
      <c r="N109" s="12">
        <f t="shared" si="27"/>
        <v>4.13249156355322E-4</v>
      </c>
      <c r="O109" s="12">
        <f t="shared" si="34"/>
        <v>2.896322898481074E-3</v>
      </c>
      <c r="P109" s="12">
        <f t="shared" si="35"/>
        <v>4.9869449205717009E-2</v>
      </c>
      <c r="Q109" s="5">
        <f t="shared" si="28"/>
        <v>5.9646625877188164E-2</v>
      </c>
      <c r="R109" s="19" t="e">
        <f>M109/#REF! - 1</f>
        <v>#REF!</v>
      </c>
      <c r="S109" s="19" t="e">
        <f>M109/#REF! - 1</f>
        <v>#REF!</v>
      </c>
      <c r="T109" s="19" t="s">
        <v>53</v>
      </c>
    </row>
    <row r="110" spans="1:20" x14ac:dyDescent="0.25">
      <c r="A110" s="1">
        <v>45790</v>
      </c>
      <c r="B110" s="1" t="str">
        <f t="shared" si="29"/>
        <v>202505</v>
      </c>
      <c r="C110" s="2">
        <f>C109*(1+((1+VLOOKUP($B110,'IPCA Hist'!$B:$C,2,0))^12 - 1)+$C$2)^(1/252)</f>
        <v>84875829.374443576</v>
      </c>
      <c r="D110" s="2">
        <f>D109*(1+((1+VLOOKUP($B110,'IPCA Hist'!$B:$C,2,0))^12 - 1)+$D$2)^(1/252)</f>
        <v>42744769.676460929</v>
      </c>
      <c r="E110" s="2">
        <f>E109*(1+((1+VLOOKUP($B110,'IPCA Hist'!$B:$C,2,0))^12 - 1)+$E$2)^(1/252)</f>
        <v>42758534.551081456</v>
      </c>
      <c r="F110" s="2">
        <v>0</v>
      </c>
      <c r="G110" s="2">
        <f t="shared" si="31"/>
        <v>170379133.60198596</v>
      </c>
      <c r="H110" s="2">
        <v>0</v>
      </c>
      <c r="I110" s="2">
        <v>0</v>
      </c>
      <c r="J110" s="2">
        <f t="shared" si="30"/>
        <v>70380.029140889645</v>
      </c>
      <c r="K110" s="2">
        <f t="shared" si="32"/>
        <v>562224.63114240766</v>
      </c>
      <c r="L110" s="2">
        <f t="shared" si="33"/>
        <v>8160151.3259582818</v>
      </c>
      <c r="M110" s="11">
        <f t="shared" si="26"/>
        <v>1.0600845244516521</v>
      </c>
      <c r="N110" s="12">
        <f t="shared" si="27"/>
        <v>4.1324962848010571E-4</v>
      </c>
      <c r="O110" s="12">
        <f t="shared" si="34"/>
        <v>3.310769431323024E-3</v>
      </c>
      <c r="P110" s="12">
        <f t="shared" si="35"/>
        <v>5.0303307365553884E-2</v>
      </c>
      <c r="Q110" s="5">
        <f t="shared" si="28"/>
        <v>6.0084524451652133E-2</v>
      </c>
      <c r="R110" s="19" t="e">
        <f>M110/#REF! - 1</f>
        <v>#REF!</v>
      </c>
      <c r="S110" s="19" t="e">
        <f>M110/#REF! - 1</f>
        <v>#REF!</v>
      </c>
      <c r="T110" s="19" t="s">
        <v>53</v>
      </c>
    </row>
    <row r="111" spans="1:20" x14ac:dyDescent="0.25">
      <c r="A111" s="1">
        <v>45791</v>
      </c>
      <c r="B111" s="1" t="str">
        <f t="shared" si="29"/>
        <v>202505</v>
      </c>
      <c r="C111" s="2">
        <f>C110*(1+((1+VLOOKUP($B111,'IPCA Hist'!$B:$C,2,0))^12 - 1)+$C$2)^(1/252)</f>
        <v>84909052.944942385</v>
      </c>
      <c r="D111" s="2">
        <f>D110*(1+((1+VLOOKUP($B111,'IPCA Hist'!$B:$C,2,0))^12 - 1)+$D$2)^(1/252)</f>
        <v>42763367.100519724</v>
      </c>
      <c r="E111" s="2">
        <f>E110*(1+((1+VLOOKUP($B111,'IPCA Hist'!$B:$C,2,0))^12 - 1)+$E$2)^(1/252)</f>
        <v>42777122.750625886</v>
      </c>
      <c r="F111" s="2">
        <v>0</v>
      </c>
      <c r="G111" s="2">
        <f t="shared" si="31"/>
        <v>170449542.79608798</v>
      </c>
      <c r="H111" s="2">
        <v>0</v>
      </c>
      <c r="I111" s="2">
        <v>0</v>
      </c>
      <c r="J111" s="2">
        <f t="shared" si="30"/>
        <v>70409.194102019072</v>
      </c>
      <c r="K111" s="2">
        <f t="shared" si="32"/>
        <v>632633.82524442673</v>
      </c>
      <c r="L111" s="2">
        <f t="shared" si="33"/>
        <v>8230560.5200603008</v>
      </c>
      <c r="M111" s="11">
        <f t="shared" si="26"/>
        <v>1.0605226044880316</v>
      </c>
      <c r="N111" s="12">
        <f t="shared" si="27"/>
        <v>4.1325010060511147E-4</v>
      </c>
      <c r="O111" s="12">
        <f t="shared" si="34"/>
        <v>3.7253877077287889E-3</v>
      </c>
      <c r="P111" s="12">
        <f t="shared" si="35"/>
        <v>5.073734531298868E-2</v>
      </c>
      <c r="Q111" s="5">
        <f t="shared" si="28"/>
        <v>6.0522604488031595E-2</v>
      </c>
      <c r="R111" s="19" t="e">
        <f>M111/#REF! - 1</f>
        <v>#REF!</v>
      </c>
      <c r="S111" s="19" t="e">
        <f>M111/#REF! - 1</f>
        <v>#REF!</v>
      </c>
      <c r="T111" s="19" t="s">
        <v>53</v>
      </c>
    </row>
    <row r="112" spans="1:20" x14ac:dyDescent="0.25">
      <c r="A112" s="1">
        <v>45792</v>
      </c>
      <c r="B112" s="1" t="str">
        <f t="shared" si="29"/>
        <v>202505</v>
      </c>
      <c r="C112" s="2">
        <f>C111*(1+((1+VLOOKUP($B112,'IPCA Hist'!$B:$C,2,0))^12 - 1)+$C$2)^(1/252)</f>
        <v>84942289.520387888</v>
      </c>
      <c r="D112" s="2">
        <f>D111*(1+((1+VLOOKUP($B112,'IPCA Hist'!$B:$C,2,0))^12 - 1)+$D$2)^(1/252)</f>
        <v>42781972.615958683</v>
      </c>
      <c r="E112" s="2">
        <f>E111*(1+((1+VLOOKUP($B112,'IPCA Hist'!$B:$C,2,0))^12 - 1)+$E$2)^(1/252)</f>
        <v>42795719.030923456</v>
      </c>
      <c r="F112" s="2">
        <v>0</v>
      </c>
      <c r="G112" s="2">
        <f t="shared" si="31"/>
        <v>170519981.16727003</v>
      </c>
      <c r="H112" s="2">
        <v>0</v>
      </c>
      <c r="I112" s="2">
        <v>0</v>
      </c>
      <c r="J112" s="2">
        <f t="shared" si="30"/>
        <v>70438.371182054281</v>
      </c>
      <c r="K112" s="2">
        <f t="shared" si="32"/>
        <v>703072.19642648101</v>
      </c>
      <c r="L112" s="2">
        <f t="shared" si="33"/>
        <v>8300998.8912423551</v>
      </c>
      <c r="M112" s="11">
        <f t="shared" si="26"/>
        <v>1.0609608660617296</v>
      </c>
      <c r="N112" s="12">
        <f t="shared" si="27"/>
        <v>4.1325057273011723E-4</v>
      </c>
      <c r="O112" s="12">
        <f t="shared" si="34"/>
        <v>4.1401777990628386E-3</v>
      </c>
      <c r="P112" s="12">
        <f t="shared" si="35"/>
        <v>5.1171563122728303E-2</v>
      </c>
      <c r="Q112" s="5">
        <f t="shared" si="28"/>
        <v>6.0960866061729568E-2</v>
      </c>
      <c r="R112" s="19" t="e">
        <f>M112/#REF! - 1</f>
        <v>#REF!</v>
      </c>
      <c r="S112" s="19" t="e">
        <f>M112/#REF! - 1</f>
        <v>#REF!</v>
      </c>
      <c r="T112" s="19" t="s">
        <v>53</v>
      </c>
    </row>
    <row r="113" spans="1:20" x14ac:dyDescent="0.25">
      <c r="A113" s="1">
        <v>45793</v>
      </c>
      <c r="B113" s="1" t="str">
        <f t="shared" si="29"/>
        <v>202505</v>
      </c>
      <c r="C113" s="2">
        <f>C112*(1+((1+VLOOKUP($B113,'IPCA Hist'!$B:$C,2,0))^12 - 1)+$C$2)^(1/252) - 2512062.96526154</f>
        <v>82463476.140609175</v>
      </c>
      <c r="D113" s="2">
        <f>D112*(1+((1+VLOOKUP($B113,'IPCA Hist'!$B:$C,2,0))^12 - 1)+$D$2)^(1/252) - 1322138.40276923</f>
        <v>41478447.823528983</v>
      </c>
      <c r="E113" s="2">
        <f>E112*(1+((1+VLOOKUP($B113,'IPCA Hist'!$B:$C,2,0))^12 - 1)+$E$2)^(1/252) - 1322138.40276923</f>
        <v>41492184.99271784</v>
      </c>
      <c r="F113" s="2">
        <v>5156339.7708000001</v>
      </c>
      <c r="G113" s="2">
        <f t="shared" si="31"/>
        <v>170590448.72765598</v>
      </c>
      <c r="H113" s="2">
        <v>0</v>
      </c>
      <c r="I113" s="2">
        <v>0</v>
      </c>
      <c r="J113" s="2">
        <f t="shared" si="30"/>
        <v>70467.560385942459</v>
      </c>
      <c r="K113" s="2">
        <f t="shared" si="32"/>
        <v>773539.75681242347</v>
      </c>
      <c r="L113" s="2">
        <f t="shared" si="33"/>
        <v>8371466.4516282976</v>
      </c>
      <c r="M113" s="11">
        <f t="shared" si="26"/>
        <v>1.0613993092481793</v>
      </c>
      <c r="N113" s="12">
        <f t="shared" si="27"/>
        <v>4.1325104485445685E-4</v>
      </c>
      <c r="O113" s="12">
        <f t="shared" si="34"/>
        <v>4.5551397767187307E-3</v>
      </c>
      <c r="P113" s="12">
        <f t="shared" si="35"/>
        <v>5.1605960869510081E-2</v>
      </c>
      <c r="Q113" s="5">
        <f t="shared" si="28"/>
        <v>6.1399309248179268E-2</v>
      </c>
      <c r="R113" s="19" t="e">
        <f>M113/#REF! - 1</f>
        <v>#REF!</v>
      </c>
      <c r="S113" s="19" t="e">
        <f>M113/#REF! - 1</f>
        <v>#REF!</v>
      </c>
      <c r="T113" s="19" t="s">
        <v>53</v>
      </c>
    </row>
    <row r="114" spans="1:20" x14ac:dyDescent="0.25">
      <c r="A114" s="1">
        <v>45796</v>
      </c>
      <c r="B114" s="1" t="str">
        <f t="shared" si="29"/>
        <v>202505</v>
      </c>
      <c r="C114" s="2">
        <f>C113*(1+((1+VLOOKUP($B114,'IPCA Hist'!$B:$C,2,0))^12 - 1)+$C$2)^(1/252)</f>
        <v>82495755.425928995</v>
      </c>
      <c r="D114" s="2">
        <f>D113*(1+((1+VLOOKUP($B114,'IPCA Hist'!$B:$C,2,0))^12 - 1)+$D$2)^(1/252)</f>
        <v>41496494.295397088</v>
      </c>
      <c r="E114" s="2">
        <f>E113*(1+((1+VLOOKUP($B114,'IPCA Hist'!$B:$C,2,0))^12 - 1)+$E$2)^(1/252)</f>
        <v>41510222.67858047</v>
      </c>
      <c r="F114" s="2">
        <f>F113*(1+((1+VLOOKUP($B114,'IPCA Hist'!$B:$C,2,0))^12 - 1)+$F$2)^(1/252)</f>
        <v>5158407.9864659365</v>
      </c>
      <c r="G114" s="2">
        <f t="shared" si="31"/>
        <v>170660880.38637248</v>
      </c>
      <c r="H114" s="2">
        <v>0</v>
      </c>
      <c r="I114" s="2">
        <v>0</v>
      </c>
      <c r="J114" s="2">
        <f t="shared" si="30"/>
        <v>70431.658716499805</v>
      </c>
      <c r="K114" s="2">
        <f t="shared" si="32"/>
        <v>843971.41552892327</v>
      </c>
      <c r="L114" s="2">
        <f t="shared" si="33"/>
        <v>8441898.1103447974</v>
      </c>
      <c r="M114" s="11">
        <f t="shared" si="26"/>
        <v>1.0618375290574855</v>
      </c>
      <c r="N114" s="12">
        <f t="shared" si="27"/>
        <v>4.1286988364119814E-4</v>
      </c>
      <c r="O114" s="12">
        <f t="shared" si="34"/>
        <v>4.9698903403894157E-3</v>
      </c>
      <c r="P114" s="12">
        <f t="shared" si="35"/>
        <v>5.204013730021062E-2</v>
      </c>
      <c r="Q114" s="5">
        <f t="shared" si="28"/>
        <v>6.1837529057485519E-2</v>
      </c>
      <c r="R114" s="19" t="e">
        <f>M114/#REF! - 1</f>
        <v>#REF!</v>
      </c>
      <c r="S114" s="19" t="e">
        <f>M114/#REF! - 1</f>
        <v>#REF!</v>
      </c>
      <c r="T114" s="19" t="s">
        <v>53</v>
      </c>
    </row>
    <row r="115" spans="1:20" x14ac:dyDescent="0.25">
      <c r="A115" s="1">
        <v>45797</v>
      </c>
      <c r="B115" s="1" t="str">
        <f t="shared" si="29"/>
        <v>202505</v>
      </c>
      <c r="C115" s="2">
        <f>C114*(1+((1+VLOOKUP($B115,'IPCA Hist'!$B:$C,2,0))^12 - 1)+$C$2)^(1/252)</f>
        <v>82528047.346567005</v>
      </c>
      <c r="D115" s="2">
        <f>D114*(1+((1+VLOOKUP($B115,'IPCA Hist'!$B:$C,2,0))^12 - 1)+$D$2)^(1/252)</f>
        <v>41514548.618936695</v>
      </c>
      <c r="E115" s="2">
        <f>E114*(1+((1+VLOOKUP($B115,'IPCA Hist'!$B:$C,2,0))^12 - 1)+$E$2)^(1/252)</f>
        <v>41528268.205874242</v>
      </c>
      <c r="F115" s="2">
        <f>F114*(1+((1+VLOOKUP($B115,'IPCA Hist'!$B:$C,2,0))^12 - 1)+$F$2)^(1/252)</f>
        <v>5160477.0316962982</v>
      </c>
      <c r="G115" s="2">
        <f t="shared" si="31"/>
        <v>170731341.20307422</v>
      </c>
      <c r="H115" s="2">
        <v>0</v>
      </c>
      <c r="I115" s="2">
        <v>0</v>
      </c>
      <c r="J115" s="2">
        <f t="shared" si="30"/>
        <v>70460.816701740026</v>
      </c>
      <c r="K115" s="2">
        <f t="shared" si="32"/>
        <v>914432.2322306633</v>
      </c>
      <c r="L115" s="2">
        <f t="shared" si="33"/>
        <v>8512358.9270465374</v>
      </c>
      <c r="M115" s="11">
        <f t="shared" si="26"/>
        <v>1.0622759302853038</v>
      </c>
      <c r="N115" s="12">
        <f t="shared" si="27"/>
        <v>4.1287034581216631E-4</v>
      </c>
      <c r="O115" s="12">
        <f t="shared" si="34"/>
        <v>5.3848126065449975E-3</v>
      </c>
      <c r="P115" s="12">
        <f t="shared" si="35"/>
        <v>5.2474493475506145E-2</v>
      </c>
      <c r="Q115" s="5">
        <f t="shared" si="28"/>
        <v>6.227593028530376E-2</v>
      </c>
      <c r="R115" s="19" t="e">
        <f>M115/#REF! - 1</f>
        <v>#REF!</v>
      </c>
      <c r="S115" s="19" t="e">
        <f>M115/#REF! - 1</f>
        <v>#REF!</v>
      </c>
      <c r="T115" s="19" t="s">
        <v>53</v>
      </c>
    </row>
    <row r="116" spans="1:20" x14ac:dyDescent="0.25">
      <c r="A116" s="1">
        <v>45798</v>
      </c>
      <c r="B116" s="1" t="str">
        <f t="shared" si="29"/>
        <v>202505</v>
      </c>
      <c r="C116" s="2">
        <f>C115*(1+((1+VLOOKUP($B116,'IPCA Hist'!$B:$C,2,0))^12 - 1)+$C$2)^(1/252)</f>
        <v>82560351.907469153</v>
      </c>
      <c r="D116" s="2">
        <f>D115*(1+((1+VLOOKUP($B116,'IPCA Hist'!$B:$C,2,0))^12 - 1)+$D$2)^(1/252)</f>
        <v>41532610.797563918</v>
      </c>
      <c r="E116" s="2">
        <f>E115*(1+((1+VLOOKUP($B116,'IPCA Hist'!$B:$C,2,0))^12 - 1)+$E$2)^(1/252)</f>
        <v>41546321.578008011</v>
      </c>
      <c r="F116" s="2">
        <f>F115*(1+((1+VLOOKUP($B116,'IPCA Hist'!$B:$C,2,0))^12 - 1)+$F$2)^(1/252)</f>
        <v>5162546.9068238251</v>
      </c>
      <c r="G116" s="2">
        <f t="shared" si="31"/>
        <v>170801831.18986487</v>
      </c>
      <c r="H116" s="2">
        <v>0</v>
      </c>
      <c r="I116" s="2">
        <v>0</v>
      </c>
      <c r="J116" s="2">
        <f t="shared" si="30"/>
        <v>70489.986790657043</v>
      </c>
      <c r="K116" s="2">
        <f t="shared" si="32"/>
        <v>984922.21902132034</v>
      </c>
      <c r="L116" s="2">
        <f t="shared" si="33"/>
        <v>8582848.9138371944</v>
      </c>
      <c r="M116" s="11">
        <f t="shared" si="26"/>
        <v>1.0627145130069424</v>
      </c>
      <c r="N116" s="12">
        <f t="shared" si="27"/>
        <v>4.128708079838006E-4</v>
      </c>
      <c r="O116" s="12">
        <f t="shared" si="34"/>
        <v>5.7999066464604621E-3</v>
      </c>
      <c r="P116" s="12">
        <f t="shared" si="35"/>
        <v>5.2909029470009639E-2</v>
      </c>
      <c r="Q116" s="5">
        <f t="shared" si="28"/>
        <v>6.2714513006942418E-2</v>
      </c>
      <c r="R116" s="19" t="e">
        <f>M116/#REF! - 1</f>
        <v>#REF!</v>
      </c>
      <c r="S116" s="19" t="e">
        <f>M116/#REF! - 1</f>
        <v>#REF!</v>
      </c>
      <c r="T116" s="19" t="s">
        <v>53</v>
      </c>
    </row>
    <row r="117" spans="1:20" x14ac:dyDescent="0.25">
      <c r="A117" s="1">
        <v>45799</v>
      </c>
      <c r="B117" s="1" t="str">
        <f t="shared" si="29"/>
        <v>202505</v>
      </c>
      <c r="C117" s="2">
        <f>C116*(1+((1+VLOOKUP($B117,'IPCA Hist'!$B:$C,2,0))^12 - 1)+$C$2)^(1/252)</f>
        <v>82592669.113583311</v>
      </c>
      <c r="D117" s="2">
        <f>D116*(1+((1+VLOOKUP($B117,'IPCA Hist'!$B:$C,2,0))^12 - 1)+$D$2)^(1/252)</f>
        <v>41550680.834696352</v>
      </c>
      <c r="E117" s="2">
        <f>E116*(1+((1+VLOOKUP($B117,'IPCA Hist'!$B:$C,2,0))^12 - 1)+$E$2)^(1/252)</f>
        <v>41564382.798392124</v>
      </c>
      <c r="F117" s="2">
        <f>F116*(1+((1+VLOOKUP($B117,'IPCA Hist'!$B:$C,2,0))^12 - 1)+$F$2)^(1/252)</f>
        <v>5164617.6121813906</v>
      </c>
      <c r="G117" s="2">
        <f t="shared" si="31"/>
        <v>170872350.35885319</v>
      </c>
      <c r="H117" s="2">
        <v>0</v>
      </c>
      <c r="I117" s="2">
        <v>0</v>
      </c>
      <c r="J117" s="2">
        <f t="shared" si="30"/>
        <v>70519.168988317251</v>
      </c>
      <c r="K117" s="2">
        <f t="shared" si="32"/>
        <v>1055441.3880096376</v>
      </c>
      <c r="L117" s="2">
        <f t="shared" si="33"/>
        <v>8653368.0828255117</v>
      </c>
      <c r="M117" s="11">
        <f t="shared" si="26"/>
        <v>1.0631532772977408</v>
      </c>
      <c r="N117" s="12">
        <f t="shared" si="27"/>
        <v>4.1287127015587899E-4</v>
      </c>
      <c r="O117" s="12">
        <f t="shared" si="34"/>
        <v>6.2151725314403272E-3</v>
      </c>
      <c r="P117" s="12">
        <f t="shared" si="35"/>
        <v>5.3343745358365613E-2</v>
      </c>
      <c r="Q117" s="5">
        <f t="shared" si="28"/>
        <v>6.3153277297740784E-2</v>
      </c>
      <c r="R117" s="19" t="e">
        <f>M117/#REF! - 1</f>
        <v>#REF!</v>
      </c>
      <c r="S117" s="19" t="e">
        <f>M117/#REF! - 1</f>
        <v>#REF!</v>
      </c>
      <c r="T117" s="19" t="s">
        <v>53</v>
      </c>
    </row>
    <row r="118" spans="1:20" x14ac:dyDescent="0.25">
      <c r="A118" s="1">
        <v>45800</v>
      </c>
      <c r="B118" s="1" t="str">
        <f t="shared" si="29"/>
        <v>202505</v>
      </c>
      <c r="C118" s="2">
        <f>C117*(1+((1+VLOOKUP($B118,'IPCA Hist'!$B:$C,2,0))^12 - 1)+$C$2)^(1/252)</f>
        <v>82624998.969859287</v>
      </c>
      <c r="D118" s="2">
        <f>D117*(1+((1+VLOOKUP($B118,'IPCA Hist'!$B:$C,2,0))^12 - 1)+$D$2)^(1/252)</f>
        <v>41568758.733753085</v>
      </c>
      <c r="E118" s="2">
        <f>E117*(1+((1+VLOOKUP($B118,'IPCA Hist'!$B:$C,2,0))^12 - 1)+$E$2)^(1/252)</f>
        <v>41582451.870438419</v>
      </c>
      <c r="F118" s="2">
        <f>F117*(1+((1+VLOOKUP($B118,'IPCA Hist'!$B:$C,2,0))^12 - 1)+$F$2)^(1/252)</f>
        <v>5166689.1481020004</v>
      </c>
      <c r="G118" s="2">
        <f t="shared" si="31"/>
        <v>170942898.72215277</v>
      </c>
      <c r="H118" s="2">
        <v>0</v>
      </c>
      <c r="I118" s="2">
        <v>0</v>
      </c>
      <c r="J118" s="2">
        <f t="shared" si="30"/>
        <v>70548.363299578428</v>
      </c>
      <c r="K118" s="2">
        <f t="shared" si="32"/>
        <v>1125989.751309216</v>
      </c>
      <c r="L118" s="2">
        <f t="shared" si="33"/>
        <v>8723916.4461250901</v>
      </c>
      <c r="M118" s="11">
        <f t="shared" si="26"/>
        <v>1.0635922232330686</v>
      </c>
      <c r="N118" s="12">
        <f t="shared" si="27"/>
        <v>4.1287173232773533E-4</v>
      </c>
      <c r="O118" s="12">
        <f t="shared" si="34"/>
        <v>6.6306103328177546E-3</v>
      </c>
      <c r="P118" s="12">
        <f t="shared" si="35"/>
        <v>5.3778641215248335E-2</v>
      </c>
      <c r="Q118" s="5">
        <f t="shared" si="28"/>
        <v>6.3592223233068568E-2</v>
      </c>
      <c r="R118" s="19" t="e">
        <f>M118/#REF! - 1</f>
        <v>#REF!</v>
      </c>
      <c r="S118" s="19" t="e">
        <f>M118/#REF! - 1</f>
        <v>#REF!</v>
      </c>
      <c r="T118" s="19" t="s">
        <v>53</v>
      </c>
    </row>
    <row r="119" spans="1:20" x14ac:dyDescent="0.25">
      <c r="A119" s="1">
        <v>45803</v>
      </c>
      <c r="B119" s="1" t="str">
        <f t="shared" si="29"/>
        <v>202505</v>
      </c>
      <c r="C119" s="2">
        <f>C118*(1+((1+VLOOKUP($B119,'IPCA Hist'!$B:$C,2,0))^12 - 1)+$C$2)^(1/252)</f>
        <v>82657341.481248811</v>
      </c>
      <c r="D119" s="2">
        <f>D118*(1+((1+VLOOKUP($B119,'IPCA Hist'!$B:$C,2,0))^12 - 1)+$D$2)^(1/252)</f>
        <v>41586844.498154692</v>
      </c>
      <c r="E119" s="2">
        <f>E118*(1+((1+VLOOKUP($B119,'IPCA Hist'!$B:$C,2,0))^12 - 1)+$E$2)^(1/252)</f>
        <v>41600528.797560208</v>
      </c>
      <c r="F119" s="2">
        <f>F118*(1+((1+VLOOKUP($B119,'IPCA Hist'!$B:$C,2,0))^12 - 1)+$F$2)^(1/252)</f>
        <v>5168761.5149187958</v>
      </c>
      <c r="G119" s="2">
        <f t="shared" si="31"/>
        <v>171013476.29188251</v>
      </c>
      <c r="H119" s="2">
        <v>0</v>
      </c>
      <c r="I119" s="2">
        <v>0</v>
      </c>
      <c r="J119" s="2">
        <f t="shared" si="30"/>
        <v>70577.569729745388</v>
      </c>
      <c r="K119" s="2">
        <f t="shared" si="32"/>
        <v>1196567.3210389614</v>
      </c>
      <c r="L119" s="2">
        <f t="shared" si="33"/>
        <v>8794494.0158548355</v>
      </c>
      <c r="M119" s="11">
        <f t="shared" si="26"/>
        <v>1.0640313508883288</v>
      </c>
      <c r="N119" s="12">
        <f t="shared" si="27"/>
        <v>4.1287219450070189E-4</v>
      </c>
      <c r="O119" s="12">
        <f t="shared" si="34"/>
        <v>7.0462201219574361E-3</v>
      </c>
      <c r="P119" s="12">
        <f t="shared" si="35"/>
        <v>5.4213717115364934E-2</v>
      </c>
      <c r="Q119" s="5">
        <f t="shared" si="28"/>
        <v>6.4031350888328786E-2</v>
      </c>
      <c r="R119" s="19" t="e">
        <f>M119/#REF! - 1</f>
        <v>#REF!</v>
      </c>
      <c r="S119" s="19" t="e">
        <f>M119/#REF! - 1</f>
        <v>#REF!</v>
      </c>
      <c r="T119" s="19" t="s">
        <v>53</v>
      </c>
    </row>
    <row r="120" spans="1:20" x14ac:dyDescent="0.25">
      <c r="A120" s="1">
        <v>45804</v>
      </c>
      <c r="B120" s="1" t="str">
        <f t="shared" si="29"/>
        <v>202505</v>
      </c>
      <c r="C120" s="2">
        <f>C119*(1+((1+VLOOKUP($B120,'IPCA Hist'!$B:$C,2,0))^12 - 1)+$C$2)^(1/252)</f>
        <v>82689696.65270558</v>
      </c>
      <c r="D120" s="2">
        <f>D119*(1+((1+VLOOKUP($B120,'IPCA Hist'!$B:$C,2,0))^12 - 1)+$D$2)^(1/252)</f>
        <v>41604938.131323226</v>
      </c>
      <c r="E120" s="2">
        <f>E119*(1+((1+VLOOKUP($B120,'IPCA Hist'!$B:$C,2,0))^12 - 1)+$E$2)^(1/252)</f>
        <v>41618613.583172284</v>
      </c>
      <c r="F120" s="2">
        <f>F119*(1+((1+VLOOKUP($B120,'IPCA Hist'!$B:$C,2,0))^12 - 1)+$F$2)^(1/252)</f>
        <v>5170834.7129650498</v>
      </c>
      <c r="G120" s="2">
        <f t="shared" si="31"/>
        <v>171084083.08016613</v>
      </c>
      <c r="H120" s="2">
        <v>0</v>
      </c>
      <c r="I120" s="2">
        <v>0</v>
      </c>
      <c r="J120" s="2">
        <f t="shared" si="30"/>
        <v>70606.788283616304</v>
      </c>
      <c r="K120" s="2">
        <f t="shared" si="32"/>
        <v>1267174.1093225777</v>
      </c>
      <c r="L120" s="2">
        <f t="shared" si="33"/>
        <v>8865100.8041384518</v>
      </c>
      <c r="M120" s="11">
        <f t="shared" si="26"/>
        <v>1.0644706603389542</v>
      </c>
      <c r="N120" s="12">
        <f t="shared" si="27"/>
        <v>4.1287265667366846E-4</v>
      </c>
      <c r="O120" s="12">
        <f t="shared" si="34"/>
        <v>7.4620019702522633E-3</v>
      </c>
      <c r="P120" s="12">
        <f t="shared" si="35"/>
        <v>5.4648973133452072E-2</v>
      </c>
      <c r="Q120" s="5">
        <f t="shared" si="28"/>
        <v>6.4470660338954211E-2</v>
      </c>
      <c r="R120" s="19" t="e">
        <f>M120/#REF! - 1</f>
        <v>#REF!</v>
      </c>
      <c r="S120" s="19" t="e">
        <f>M120/#REF! - 1</f>
        <v>#REF!</v>
      </c>
      <c r="T120" s="19" t="s">
        <v>53</v>
      </c>
    </row>
    <row r="121" spans="1:20" x14ac:dyDescent="0.25">
      <c r="A121" s="1">
        <v>45805</v>
      </c>
      <c r="B121" s="1" t="str">
        <f t="shared" si="29"/>
        <v>202505</v>
      </c>
      <c r="C121" s="2">
        <f>C120*(1+((1+VLOOKUP($B121,'IPCA Hist'!$B:$C,2,0))^12 - 1)+$C$2)^(1/252)</f>
        <v>82722064.489185214</v>
      </c>
      <c r="D121" s="2">
        <f>D120*(1+((1+VLOOKUP($B121,'IPCA Hist'!$B:$C,2,0))^12 - 1)+$D$2)^(1/252)</f>
        <v>41623039.636682235</v>
      </c>
      <c r="E121" s="2">
        <f>E120*(1+((1+VLOOKUP($B121,'IPCA Hist'!$B:$C,2,0))^12 - 1)+$E$2)^(1/252)</f>
        <v>41636706.230690926</v>
      </c>
      <c r="F121" s="2">
        <f>F120*(1+((1+VLOOKUP($B121,'IPCA Hist'!$B:$C,2,0))^12 - 1)+$F$2)^(1/252)</f>
        <v>5172908.7425741693</v>
      </c>
      <c r="G121" s="2">
        <f t="shared" si="31"/>
        <v>171154719.09913254</v>
      </c>
      <c r="H121" s="2">
        <v>0</v>
      </c>
      <c r="I121" s="2">
        <v>0</v>
      </c>
      <c r="J121" s="2">
        <f t="shared" si="30"/>
        <v>70636.018966406584</v>
      </c>
      <c r="K121" s="2">
        <f t="shared" si="32"/>
        <v>1337810.1282889843</v>
      </c>
      <c r="L121" s="2">
        <f t="shared" si="33"/>
        <v>8935736.8231048584</v>
      </c>
      <c r="M121" s="11">
        <f t="shared" si="26"/>
        <v>1.0649101516604096</v>
      </c>
      <c r="N121" s="12">
        <f t="shared" si="27"/>
        <v>4.1287311884707911E-4</v>
      </c>
      <c r="O121" s="12">
        <f t="shared" si="34"/>
        <v>7.877955949125548E-3</v>
      </c>
      <c r="P121" s="12">
        <f t="shared" si="35"/>
        <v>5.5084409344278606E-2</v>
      </c>
      <c r="Q121" s="5">
        <f t="shared" si="28"/>
        <v>6.4910151660409587E-2</v>
      </c>
      <c r="R121" s="19" t="e">
        <f>M121/#REF! - 1</f>
        <v>#REF!</v>
      </c>
      <c r="S121" s="19" t="e">
        <f>M121/#REF! - 1</f>
        <v>#REF!</v>
      </c>
      <c r="T121" s="19" t="s">
        <v>53</v>
      </c>
    </row>
    <row r="122" spans="1:20" x14ac:dyDescent="0.25">
      <c r="A122" s="1">
        <v>45806</v>
      </c>
      <c r="B122" s="1" t="str">
        <f t="shared" si="29"/>
        <v>202505</v>
      </c>
      <c r="C122" s="2">
        <f>C121*(1+((1+VLOOKUP($B122,'IPCA Hist'!$B:$C,2,0))^12 - 1)+$C$2)^(1/252)</f>
        <v>82754444.995645285</v>
      </c>
      <c r="D122" s="2">
        <f>D121*(1+((1+VLOOKUP($B122,'IPCA Hist'!$B:$C,2,0))^12 - 1)+$D$2)^(1/252)</f>
        <v>41641149.017656758</v>
      </c>
      <c r="E122" s="2">
        <f>E121*(1+((1+VLOOKUP($B122,'IPCA Hist'!$B:$C,2,0))^12 - 1)+$E$2)^(1/252)</f>
        <v>41654806.743533902</v>
      </c>
      <c r="F122" s="2">
        <f>F121*(1+((1+VLOOKUP($B122,'IPCA Hist'!$B:$C,2,0))^12 - 1)+$F$2)^(1/252)</f>
        <v>5174983.6040796963</v>
      </c>
      <c r="G122" s="2">
        <f t="shared" si="31"/>
        <v>171225384.36091563</v>
      </c>
      <c r="H122" s="2">
        <v>0</v>
      </c>
      <c r="I122" s="2">
        <v>0</v>
      </c>
      <c r="J122" s="2">
        <f t="shared" si="30"/>
        <v>70665.261783093214</v>
      </c>
      <c r="K122" s="2">
        <f t="shared" si="32"/>
        <v>1408475.3900720775</v>
      </c>
      <c r="L122" s="2">
        <f t="shared" si="33"/>
        <v>9006402.0848879516</v>
      </c>
      <c r="M122" s="11">
        <f t="shared" si="26"/>
        <v>1.0653498249281912</v>
      </c>
      <c r="N122" s="12">
        <f t="shared" si="27"/>
        <v>4.1287358102093386E-4</v>
      </c>
      <c r="O122" s="12">
        <f t="shared" si="34"/>
        <v>8.2940821300303558E-3</v>
      </c>
      <c r="P122" s="12">
        <f t="shared" si="35"/>
        <v>5.5520025822644037E-2</v>
      </c>
      <c r="Q122" s="5">
        <f t="shared" si="28"/>
        <v>6.5349824928191191E-2</v>
      </c>
      <c r="R122" s="19" t="e">
        <f>M122/#REF! - 1</f>
        <v>#REF!</v>
      </c>
      <c r="S122" s="19" t="e">
        <f>M122/#REF! - 1</f>
        <v>#REF!</v>
      </c>
      <c r="T122" s="19" t="s">
        <v>53</v>
      </c>
    </row>
    <row r="123" spans="1:20" x14ac:dyDescent="0.25">
      <c r="A123" s="1">
        <v>45807</v>
      </c>
      <c r="B123" s="1" t="str">
        <f t="shared" si="29"/>
        <v>202505</v>
      </c>
      <c r="C123" s="2">
        <f>C122*(1+((1+VLOOKUP($B123,'IPCA Hist'!$B:$C,2,0))^12 - 1)+$C$2)^(1/252)</f>
        <v>82786838.177045286</v>
      </c>
      <c r="D123" s="2">
        <f>D122*(1+((1+VLOOKUP($B123,'IPCA Hist'!$B:$C,2,0))^12 - 1)+$D$2)^(1/252)</f>
        <v>41659266.277673326</v>
      </c>
      <c r="E123" s="2">
        <f>E122*(1+((1+VLOOKUP($B123,'IPCA Hist'!$B:$C,2,0))^12 - 1)+$E$2)^(1/252)</f>
        <v>41672915.125120468</v>
      </c>
      <c r="F123" s="2">
        <f>F122*(1+((1+VLOOKUP($B123,'IPCA Hist'!$B:$C,2,0))^12 - 1)+$F$2)^(1/252)</f>
        <v>5177059.2978153052</v>
      </c>
      <c r="G123" s="2">
        <f t="shared" si="31"/>
        <v>171296078.87765437</v>
      </c>
      <c r="H123" s="2">
        <v>0</v>
      </c>
      <c r="I123" s="2">
        <v>0</v>
      </c>
      <c r="J123" s="2">
        <f t="shared" si="30"/>
        <v>70694.51673874259</v>
      </c>
      <c r="K123" s="2">
        <f t="shared" si="32"/>
        <v>1479169.9068108201</v>
      </c>
      <c r="L123" s="2">
        <f t="shared" si="33"/>
        <v>9077096.6016266942</v>
      </c>
      <c r="M123" s="11">
        <f t="shared" si="26"/>
        <v>1.0657896802178266</v>
      </c>
      <c r="N123" s="12">
        <f t="shared" si="27"/>
        <v>4.1287404319523269E-4</v>
      </c>
      <c r="O123" s="12">
        <f t="shared" si="34"/>
        <v>8.7103805844492843E-3</v>
      </c>
      <c r="P123" s="12">
        <f t="shared" si="35"/>
        <v>5.595582264337895E-2</v>
      </c>
      <c r="Q123" s="5">
        <f t="shared" si="28"/>
        <v>6.5789680217826607E-2</v>
      </c>
      <c r="R123" s="19" t="e">
        <f>M123/#REF! - 1</f>
        <v>#REF!</v>
      </c>
      <c r="S123" s="19" t="e">
        <f>M123/#REF! - 1</f>
        <v>#REF!</v>
      </c>
      <c r="T123" s="19" t="s">
        <v>53</v>
      </c>
    </row>
    <row r="124" spans="1:20" x14ac:dyDescent="0.25">
      <c r="A124" s="1">
        <v>45810</v>
      </c>
      <c r="B124" s="1" t="str">
        <f t="shared" si="29"/>
        <v>202506</v>
      </c>
      <c r="C124" s="2">
        <f>C123*(1+((1+VLOOKUP($B124,'IPCA Hist'!$B:$C,2,0))^12 - 1)+$C$2)^(1/252)</f>
        <v>82818508.639859661</v>
      </c>
      <c r="D124" s="2">
        <f>D123*(1+((1+VLOOKUP($B124,'IPCA Hist'!$B:$C,2,0))^12 - 1)+$D$2)^(1/252)</f>
        <v>41677025.393892229</v>
      </c>
      <c r="E124" s="2">
        <f>E123*(1+((1+VLOOKUP($B124,'IPCA Hist'!$B:$C,2,0))^12 - 1)+$E$2)^(1/252)</f>
        <v>41690665.199960135</v>
      </c>
      <c r="F124" s="2">
        <f>F123*(1+((1+VLOOKUP($B124,'IPCA Hist'!$B:$C,2,0))^12 - 1)+$F$2)^(1/252)</f>
        <v>5179089.9476075554</v>
      </c>
      <c r="G124" s="2">
        <f t="shared" si="31"/>
        <v>171365289.18131956</v>
      </c>
      <c r="H124" s="2">
        <v>0</v>
      </c>
      <c r="I124" s="2">
        <v>0</v>
      </c>
      <c r="J124" s="2">
        <f t="shared" si="30"/>
        <v>69210.303665190935</v>
      </c>
      <c r="K124" s="2">
        <f t="shared" si="32"/>
        <v>69210.303665190935</v>
      </c>
      <c r="L124" s="2">
        <f t="shared" si="33"/>
        <v>9146306.9052918851</v>
      </c>
      <c r="M124" s="11">
        <f t="shared" si="26"/>
        <v>1.0662203008595508</v>
      </c>
      <c r="N124" s="12">
        <f t="shared" si="27"/>
        <v>4.0403904233343724E-4</v>
      </c>
      <c r="O124" s="12">
        <f t="shared" si="34"/>
        <v>4.0403904233343724E-4</v>
      </c>
      <c r="P124" s="12">
        <f t="shared" si="35"/>
        <v>5.6382470022706244E-2</v>
      </c>
      <c r="Q124" s="5">
        <f t="shared" si="28"/>
        <v>6.6220300859550774E-2</v>
      </c>
      <c r="R124" s="19" t="e">
        <f>M124/#REF! - 1</f>
        <v>#REF!</v>
      </c>
      <c r="S124" s="19" t="e">
        <f>M124/#REF! - 1</f>
        <v>#REF!</v>
      </c>
      <c r="T124" s="19" t="s">
        <v>53</v>
      </c>
    </row>
    <row r="125" spans="1:20" x14ac:dyDescent="0.25">
      <c r="A125" s="1">
        <v>45811</v>
      </c>
      <c r="B125" s="1" t="str">
        <f t="shared" si="29"/>
        <v>202506</v>
      </c>
      <c r="C125" s="2">
        <f>C124*(1+((1+VLOOKUP($B125,'IPCA Hist'!$B:$C,2,0))^12 - 1)+$C$2)^(1/252)</f>
        <v>82850191.218346491</v>
      </c>
      <c r="D125" s="2">
        <f>D124*(1+((1+VLOOKUP($B125,'IPCA Hist'!$B:$C,2,0))^12 - 1)+$D$2)^(1/252)</f>
        <v>41694792.080724753</v>
      </c>
      <c r="E125" s="2">
        <f>E124*(1+((1+VLOOKUP($B125,'IPCA Hist'!$B:$C,2,0))^12 - 1)+$E$2)^(1/252)</f>
        <v>41708422.835229784</v>
      </c>
      <c r="F125" s="2">
        <f>F124*(1+((1+VLOOKUP($B125,'IPCA Hist'!$B:$C,2,0))^12 - 1)+$F$2)^(1/252)</f>
        <v>5181121.3939019013</v>
      </c>
      <c r="G125" s="2">
        <f t="shared" si="31"/>
        <v>171434527.52820295</v>
      </c>
      <c r="H125" s="2">
        <v>0</v>
      </c>
      <c r="I125" s="2">
        <v>0</v>
      </c>
      <c r="J125" s="2">
        <f t="shared" si="30"/>
        <v>69238.346883386374</v>
      </c>
      <c r="K125" s="2">
        <f t="shared" si="32"/>
        <v>138448.65054857731</v>
      </c>
      <c r="L125" s="2">
        <f t="shared" si="33"/>
        <v>9215545.2521752715</v>
      </c>
      <c r="M125" s="11">
        <f t="shared" si="26"/>
        <v>1.0666510959838009</v>
      </c>
      <c r="N125" s="12">
        <f t="shared" si="27"/>
        <v>4.0403950656608956E-4</v>
      </c>
      <c r="O125" s="12">
        <f t="shared" si="34"/>
        <v>8.0824179663485651E-4</v>
      </c>
      <c r="P125" s="12">
        <f t="shared" si="35"/>
        <v>5.6809290274639324E-2</v>
      </c>
      <c r="Q125" s="5">
        <f t="shared" si="28"/>
        <v>6.6651095983800923E-2</v>
      </c>
      <c r="R125" s="19" t="e">
        <f>M125/#REF! - 1</f>
        <v>#REF!</v>
      </c>
      <c r="S125" s="19" t="e">
        <f>M125/#REF! - 1</f>
        <v>#REF!</v>
      </c>
      <c r="T125" s="19" t="s">
        <v>53</v>
      </c>
    </row>
    <row r="126" spans="1:20" x14ac:dyDescent="0.25">
      <c r="A126" s="1">
        <v>45812</v>
      </c>
      <c r="B126" s="1" t="str">
        <f t="shared" si="29"/>
        <v>202506</v>
      </c>
      <c r="C126" s="2">
        <f>C125*(1+((1+VLOOKUP($B126,'IPCA Hist'!$B:$C,2,0))^12 - 1)+$C$2)^(1/252)</f>
        <v>82881885.917140678</v>
      </c>
      <c r="D126" s="2">
        <f>D125*(1+((1+VLOOKUP($B126,'IPCA Hist'!$B:$C,2,0))^12 - 1)+$D$2)^(1/252)</f>
        <v>41712566.341398217</v>
      </c>
      <c r="E126" s="2">
        <f>E125*(1+((1+VLOOKUP($B126,'IPCA Hist'!$B:$C,2,0))^12 - 1)+$E$2)^(1/252)</f>
        <v>41726188.034149684</v>
      </c>
      <c r="F126" s="2">
        <f>F125*(1+((1+VLOOKUP($B126,'IPCA Hist'!$B:$C,2,0))^12 - 1)+$F$2)^(1/252)</f>
        <v>5183153.6370107625</v>
      </c>
      <c r="G126" s="2">
        <f t="shared" si="31"/>
        <v>171503793.92969933</v>
      </c>
      <c r="H126" s="2">
        <v>0</v>
      </c>
      <c r="I126" s="2">
        <v>0</v>
      </c>
      <c r="J126" s="2">
        <f t="shared" si="30"/>
        <v>69266.401496380568</v>
      </c>
      <c r="K126" s="2">
        <f t="shared" si="32"/>
        <v>207715.05204495788</v>
      </c>
      <c r="L126" s="2">
        <f t="shared" si="33"/>
        <v>9284811.6536716521</v>
      </c>
      <c r="M126" s="11">
        <f t="shared" si="26"/>
        <v>1.0670820656614746</v>
      </c>
      <c r="N126" s="12">
        <f t="shared" si="27"/>
        <v>4.0403997079874188E-4</v>
      </c>
      <c r="O126" s="12">
        <f t="shared" si="34"/>
        <v>1.2126083294254908E-3</v>
      </c>
      <c r="P126" s="12">
        <f t="shared" si="35"/>
        <v>5.7236283469421778E-2</v>
      </c>
      <c r="Q126" s="5">
        <f t="shared" si="28"/>
        <v>6.7082065661474566E-2</v>
      </c>
      <c r="R126" s="19" t="e">
        <f>M126/#REF! - 1</f>
        <v>#REF!</v>
      </c>
      <c r="S126" s="19" t="e">
        <f>M126/#REF! - 1</f>
        <v>#REF!</v>
      </c>
      <c r="T126" s="19" t="s">
        <v>53</v>
      </c>
    </row>
    <row r="127" spans="1:20" x14ac:dyDescent="0.25">
      <c r="A127" s="1">
        <v>45813</v>
      </c>
      <c r="B127" s="1" t="str">
        <f t="shared" si="29"/>
        <v>202506</v>
      </c>
      <c r="C127" s="2">
        <f>C126*(1+((1+VLOOKUP($B127,'IPCA Hist'!$B:$C,2,0))^12 - 1)+$C$2)^(1/252)</f>
        <v>82913592.740878895</v>
      </c>
      <c r="D127" s="2">
        <f>D126*(1+((1+VLOOKUP($B127,'IPCA Hist'!$B:$C,2,0))^12 - 1)+$D$2)^(1/252)</f>
        <v>41730348.179141305</v>
      </c>
      <c r="E127" s="2">
        <f>E126*(1+((1+VLOOKUP($B127,'IPCA Hist'!$B:$C,2,0))^12 - 1)+$E$2)^(1/252)</f>
        <v>41743960.79994148</v>
      </c>
      <c r="F127" s="2">
        <f>F126*(1+((1+VLOOKUP($B127,'IPCA Hist'!$B:$C,2,0))^12 - 1)+$F$2)^(1/252)</f>
        <v>5185186.6772466814</v>
      </c>
      <c r="G127" s="2">
        <f t="shared" si="31"/>
        <v>171573088.39720836</v>
      </c>
      <c r="H127" s="2">
        <v>0</v>
      </c>
      <c r="I127" s="2">
        <v>0</v>
      </c>
      <c r="J127" s="2">
        <f t="shared" si="30"/>
        <v>69294.467509031296</v>
      </c>
      <c r="K127" s="2">
        <f t="shared" si="32"/>
        <v>277009.51955398917</v>
      </c>
      <c r="L127" s="2">
        <f t="shared" si="33"/>
        <v>9354106.1211806834</v>
      </c>
      <c r="M127" s="11">
        <f t="shared" si="26"/>
        <v>1.0675132099634996</v>
      </c>
      <c r="N127" s="12">
        <f t="shared" si="27"/>
        <v>4.0404043503228237E-4</v>
      </c>
      <c r="O127" s="12">
        <f t="shared" si="34"/>
        <v>1.6171387072547727E-3</v>
      </c>
      <c r="P127" s="12">
        <f t="shared" si="35"/>
        <v>5.7663449677326728E-2</v>
      </c>
      <c r="Q127" s="5">
        <f t="shared" si="28"/>
        <v>6.7513209963499632E-2</v>
      </c>
      <c r="R127" s="19" t="e">
        <f>M127/#REF! - 1</f>
        <v>#REF!</v>
      </c>
      <c r="S127" s="19" t="e">
        <f>M127/#REF! - 1</f>
        <v>#REF!</v>
      </c>
      <c r="T127" s="19" t="s">
        <v>53</v>
      </c>
    </row>
    <row r="128" spans="1:20" x14ac:dyDescent="0.25">
      <c r="A128" s="1">
        <v>45814</v>
      </c>
      <c r="B128" s="1" t="str">
        <f t="shared" si="29"/>
        <v>202506</v>
      </c>
      <c r="C128" s="2">
        <f>C127*(1+((1+VLOOKUP($B128,'IPCA Hist'!$B:$C,2,0))^12 - 1)+$C$2)^(1/252)</f>
        <v>82945311.694199592</v>
      </c>
      <c r="D128" s="2">
        <f>D127*(1+((1+VLOOKUP($B128,'IPCA Hist'!$B:$C,2,0))^12 - 1)+$D$2)^(1/252)</f>
        <v>41748137.597184077</v>
      </c>
      <c r="E128" s="2">
        <f>E127*(1+((1+VLOOKUP($B128,'IPCA Hist'!$B:$C,2,0))^12 - 1)+$E$2)^(1/252)</f>
        <v>41761741.135828197</v>
      </c>
      <c r="F128" s="2">
        <f>F127*(1+((1+VLOOKUP($B128,'IPCA Hist'!$B:$C,2,0))^12 - 1)+$F$2)^(1/252)</f>
        <v>5187220.5149223236</v>
      </c>
      <c r="G128" s="2">
        <f t="shared" si="31"/>
        <v>171642410.9421342</v>
      </c>
      <c r="H128" s="2">
        <v>0</v>
      </c>
      <c r="I128" s="2">
        <v>0</v>
      </c>
      <c r="J128" s="2">
        <f t="shared" si="30"/>
        <v>69322.544925838709</v>
      </c>
      <c r="K128" s="2">
        <f t="shared" si="32"/>
        <v>346332.06447982788</v>
      </c>
      <c r="L128" s="2">
        <f t="shared" si="33"/>
        <v>9423428.6661065221</v>
      </c>
      <c r="M128" s="11">
        <f t="shared" si="26"/>
        <v>1.0679445289608314</v>
      </c>
      <c r="N128" s="12">
        <f t="shared" si="27"/>
        <v>4.0404089926582287E-4</v>
      </c>
      <c r="O128" s="12">
        <f t="shared" si="34"/>
        <v>2.0218329966981141E-3</v>
      </c>
      <c r="P128" s="12">
        <f t="shared" si="35"/>
        <v>5.8090788968655049E-2</v>
      </c>
      <c r="Q128" s="5">
        <f t="shared" si="28"/>
        <v>6.7944528960831363E-2</v>
      </c>
      <c r="R128" s="19" t="e">
        <f>M128/#REF! - 1</f>
        <v>#REF!</v>
      </c>
      <c r="S128" s="19" t="e">
        <f>M128/#REF! - 1</f>
        <v>#REF!</v>
      </c>
      <c r="T128" s="19" t="s">
        <v>53</v>
      </c>
    </row>
    <row r="129" spans="1:20" x14ac:dyDescent="0.25">
      <c r="A129" s="1">
        <v>45817</v>
      </c>
      <c r="B129" s="1" t="str">
        <f t="shared" si="29"/>
        <v>202506</v>
      </c>
      <c r="C129" s="2">
        <f>C128*(1+((1+VLOOKUP($B129,'IPCA Hist'!$B:$C,2,0))^12 - 1)+$C$2)^(1/252)</f>
        <v>82977042.781743005</v>
      </c>
      <c r="D129" s="2">
        <f>D128*(1+((1+VLOOKUP($B129,'IPCA Hist'!$B:$C,2,0))^12 - 1)+$D$2)^(1/252)</f>
        <v>41765934.598757975</v>
      </c>
      <c r="E129" s="2">
        <f>E128*(1+((1+VLOOKUP($B129,'IPCA Hist'!$B:$C,2,0))^12 - 1)+$E$2)^(1/252)</f>
        <v>41779529.045034215</v>
      </c>
      <c r="F129" s="2">
        <f>F128*(1+((1+VLOOKUP($B129,'IPCA Hist'!$B:$C,2,0))^12 - 1)+$F$2)^(1/252)</f>
        <v>5189255.1503504766</v>
      </c>
      <c r="G129" s="2">
        <f t="shared" si="31"/>
        <v>171711761.57588568</v>
      </c>
      <c r="H129" s="2">
        <v>0</v>
      </c>
      <c r="I129" s="2">
        <v>0</v>
      </c>
      <c r="J129" s="2">
        <f t="shared" si="30"/>
        <v>69350.633751481771</v>
      </c>
      <c r="K129" s="2">
        <f t="shared" si="32"/>
        <v>415682.69823130965</v>
      </c>
      <c r="L129" s="2">
        <f t="shared" si="33"/>
        <v>9492779.2998580039</v>
      </c>
      <c r="M129" s="11">
        <f t="shared" si="26"/>
        <v>1.0683760227244552</v>
      </c>
      <c r="N129" s="12">
        <f t="shared" si="27"/>
        <v>4.040413635000295E-4</v>
      </c>
      <c r="O129" s="12">
        <f t="shared" si="34"/>
        <v>2.4266912643589045E-3</v>
      </c>
      <c r="P129" s="12">
        <f t="shared" si="35"/>
        <v>5.8518301413736706E-2</v>
      </c>
      <c r="Q129" s="5">
        <f t="shared" si="28"/>
        <v>6.8376022724455199E-2</v>
      </c>
      <c r="R129" s="19">
        <f t="shared" ref="R129:R149" si="36">M129/M3 - 1</f>
        <v>6.8376022724455199E-2</v>
      </c>
      <c r="S129" s="19" t="e">
        <f>M129/#REF! - 1</f>
        <v>#REF!</v>
      </c>
      <c r="T129" s="19" t="s">
        <v>53</v>
      </c>
    </row>
    <row r="130" spans="1:20" x14ac:dyDescent="0.25">
      <c r="A130" s="1">
        <v>45818</v>
      </c>
      <c r="B130" s="1" t="str">
        <f t="shared" si="29"/>
        <v>202506</v>
      </c>
      <c r="C130" s="2">
        <f>C129*(1+((1+VLOOKUP($B130,'IPCA Hist'!$B:$C,2,0))^12 - 1)+$C$2)^(1/252)</f>
        <v>83008786.008151129</v>
      </c>
      <c r="D130" s="2">
        <f>D129*(1+((1+VLOOKUP($B130,'IPCA Hist'!$B:$C,2,0))^12 - 1)+$D$2)^(1/252)</f>
        <v>41783739.187095813</v>
      </c>
      <c r="E130" s="2">
        <f>E129*(1+((1+VLOOKUP($B130,'IPCA Hist'!$B:$C,2,0))^12 - 1)+$E$2)^(1/252)</f>
        <v>41797324.530785307</v>
      </c>
      <c r="F130" s="2">
        <f>F129*(1+((1+VLOOKUP($B130,'IPCA Hist'!$B:$C,2,0))^12 - 1)+$F$2)^(1/252)</f>
        <v>5191290.5838440508</v>
      </c>
      <c r="G130" s="2">
        <f t="shared" si="31"/>
        <v>171781140.30987632</v>
      </c>
      <c r="H130" s="2">
        <v>0</v>
      </c>
      <c r="I130" s="2">
        <v>0</v>
      </c>
      <c r="J130" s="2">
        <f t="shared" si="30"/>
        <v>69378.733990639448</v>
      </c>
      <c r="K130" s="2">
        <f t="shared" si="32"/>
        <v>485061.4322219491</v>
      </c>
      <c r="L130" s="2">
        <f t="shared" si="33"/>
        <v>9562158.0338486433</v>
      </c>
      <c r="M130" s="11">
        <f t="shared" si="26"/>
        <v>1.0688076913253846</v>
      </c>
      <c r="N130" s="12">
        <f t="shared" si="27"/>
        <v>4.0404182773445818E-4</v>
      </c>
      <c r="O130" s="12">
        <f t="shared" si="34"/>
        <v>2.8317135768671786E-3</v>
      </c>
      <c r="P130" s="12">
        <f t="shared" si="35"/>
        <v>5.8945987082930307E-2</v>
      </c>
      <c r="Q130" s="5">
        <f t="shared" si="28"/>
        <v>6.8807691325384557E-2</v>
      </c>
      <c r="R130" s="19">
        <f t="shared" si="36"/>
        <v>6.8266200109273534E-2</v>
      </c>
      <c r="S130" s="19" t="e">
        <f>M130/#REF! - 1</f>
        <v>#REF!</v>
      </c>
      <c r="T130" s="19" t="s">
        <v>53</v>
      </c>
    </row>
    <row r="131" spans="1:20" x14ac:dyDescent="0.25">
      <c r="A131" s="1">
        <v>45819</v>
      </c>
      <c r="B131" s="1" t="str">
        <f t="shared" si="29"/>
        <v>202506</v>
      </c>
      <c r="C131" s="2">
        <f>C130*(1+((1+VLOOKUP($B131,'IPCA Hist'!$B:$C,2,0))^12 - 1)+$C$2)^(1/252)</f>
        <v>83040541.378067732</v>
      </c>
      <c r="D131" s="2">
        <f>D130*(1+((1+VLOOKUP($B131,'IPCA Hist'!$B:$C,2,0))^12 - 1)+$D$2)^(1/252)</f>
        <v>41801551.365431793</v>
      </c>
      <c r="E131" s="2">
        <f>E130*(1+((1+VLOOKUP($B131,'IPCA Hist'!$B:$C,2,0))^12 - 1)+$E$2)^(1/252)</f>
        <v>41815127.596308604</v>
      </c>
      <c r="F131" s="2">
        <f>F130*(1+((1+VLOOKUP($B131,'IPCA Hist'!$B:$C,2,0))^12 - 1)+$F$2)^(1/252)</f>
        <v>5193326.8157160794</v>
      </c>
      <c r="G131" s="2">
        <f t="shared" ref="G131:G162" si="37">SUM(C131:F131)</f>
        <v>171850547.15552419</v>
      </c>
      <c r="H131" s="2">
        <v>0</v>
      </c>
      <c r="I131" s="2">
        <v>0</v>
      </c>
      <c r="J131" s="2">
        <f t="shared" si="30"/>
        <v>69406.845647871494</v>
      </c>
      <c r="K131" s="2">
        <f t="shared" si="32"/>
        <v>554468.27786982059</v>
      </c>
      <c r="L131" s="2">
        <f t="shared" si="33"/>
        <v>9631564.8794965148</v>
      </c>
      <c r="M131" s="11">
        <f t="shared" si="26"/>
        <v>1.0692395348346619</v>
      </c>
      <c r="N131" s="12">
        <f t="shared" si="27"/>
        <v>4.040422919691089E-4</v>
      </c>
      <c r="O131" s="12">
        <f t="shared" si="34"/>
        <v>3.2369000008800608E-3</v>
      </c>
      <c r="P131" s="12">
        <f t="shared" si="35"/>
        <v>5.937384604662288E-2</v>
      </c>
      <c r="Q131" s="5">
        <f t="shared" si="28"/>
        <v>6.9239534834661942E-2</v>
      </c>
      <c r="R131" s="19">
        <f t="shared" si="36"/>
        <v>6.8156389278869911E-2</v>
      </c>
      <c r="S131" s="19" t="e">
        <f>M131/#REF! - 1</f>
        <v>#REF!</v>
      </c>
      <c r="T131" s="19" t="s">
        <v>53</v>
      </c>
    </row>
    <row r="132" spans="1:20" x14ac:dyDescent="0.25">
      <c r="A132" s="1">
        <v>45820</v>
      </c>
      <c r="B132" s="1" t="str">
        <f t="shared" si="29"/>
        <v>202506</v>
      </c>
      <c r="C132" s="2">
        <f>C131*(1+((1+VLOOKUP($B132,'IPCA Hist'!$B:$C,2,0))^12 - 1)+$C$2)^(1/252)</f>
        <v>83072308.89613837</v>
      </c>
      <c r="D132" s="2">
        <f>D131*(1+((1+VLOOKUP($B132,'IPCA Hist'!$B:$C,2,0))^12 - 1)+$D$2)^(1/252)</f>
        <v>41819371.137001485</v>
      </c>
      <c r="E132" s="2">
        <f>E131*(1+((1+VLOOKUP($B132,'IPCA Hist'!$B:$C,2,0))^12 - 1)+$E$2)^(1/252)</f>
        <v>41832938.24483262</v>
      </c>
      <c r="F132" s="2">
        <f>F131*(1+((1+VLOOKUP($B132,'IPCA Hist'!$B:$C,2,0))^12 - 1)+$F$2)^(1/252)</f>
        <v>5195363.8462797189</v>
      </c>
      <c r="G132" s="2">
        <f t="shared" si="37"/>
        <v>171919982.12425217</v>
      </c>
      <c r="H132" s="2">
        <v>0</v>
      </c>
      <c r="I132" s="2">
        <v>0</v>
      </c>
      <c r="J132" s="2">
        <f t="shared" si="30"/>
        <v>69434.968727976084</v>
      </c>
      <c r="K132" s="2">
        <f t="shared" ref="K132:K163" si="38">IF(MONTH(A132)=MONTH(A131),J132+K131,J132)</f>
        <v>623903.24659779668</v>
      </c>
      <c r="L132" s="2">
        <f t="shared" ref="L132:L166" si="39">IF(YEAR(A132)=YEAR(A131),J132+L131,J132)</f>
        <v>9700999.8482244909</v>
      </c>
      <c r="M132" s="11">
        <f t="shared" si="26"/>
        <v>1.0696715533233596</v>
      </c>
      <c r="N132" s="12">
        <f t="shared" si="27"/>
        <v>4.040427562046478E-4</v>
      </c>
      <c r="O132" s="12">
        <f t="shared" ref="O132:O163" si="40">IF(MONTH(A132)=MONTH(A131),(1+N132)*(1+O131) - 1,N132)</f>
        <v>3.6422506030826529E-3</v>
      </c>
      <c r="P132" s="12">
        <f t="shared" ref="P132:P166" si="41">IF(YEAR(A132)=YEAR(A131),(1+N132)*(1+P131) - 1,N132)</f>
        <v>5.9801878375230766E-2</v>
      </c>
      <c r="Q132" s="5">
        <f t="shared" si="28"/>
        <v>6.9671553323359614E-2</v>
      </c>
      <c r="R132" s="19">
        <f t="shared" si="36"/>
        <v>6.8046590231931381E-2</v>
      </c>
      <c r="S132" s="19" t="e">
        <f>M132/#REF! - 1</f>
        <v>#REF!</v>
      </c>
      <c r="T132" s="19" t="s">
        <v>53</v>
      </c>
    </row>
    <row r="133" spans="1:20" x14ac:dyDescent="0.25">
      <c r="A133" s="1">
        <v>45821</v>
      </c>
      <c r="B133" s="1" t="str">
        <f t="shared" si="29"/>
        <v>202506</v>
      </c>
      <c r="C133" s="2">
        <f>C132*(1+((1+VLOOKUP($B133,'IPCA Hist'!$B:$C,2,0))^12 - 1)+$C$2)^(1/252)</f>
        <v>83104088.567010358</v>
      </c>
      <c r="D133" s="2">
        <f>D132*(1+((1+VLOOKUP($B133,'IPCA Hist'!$B:$C,2,0))^12 - 1)+$D$2)^(1/252)</f>
        <v>41837198.505041845</v>
      </c>
      <c r="E133" s="2">
        <f>E132*(1+((1+VLOOKUP($B133,'IPCA Hist'!$B:$C,2,0))^12 - 1)+$E$2)^(1/252)</f>
        <v>41850756.479587249</v>
      </c>
      <c r="F133" s="2">
        <f>F132*(1+((1+VLOOKUP($B133,'IPCA Hist'!$B:$C,2,0))^12 - 1)+$F$2)^(1/252)</f>
        <v>5197401.6758482475</v>
      </c>
      <c r="G133" s="2">
        <f t="shared" si="37"/>
        <v>171989445.22748771</v>
      </c>
      <c r="H133" s="2">
        <v>0</v>
      </c>
      <c r="I133" s="2">
        <v>0</v>
      </c>
      <c r="J133" s="2">
        <f t="shared" si="30"/>
        <v>69463.103235542774</v>
      </c>
      <c r="K133" s="2">
        <f t="shared" si="38"/>
        <v>693366.34983333945</v>
      </c>
      <c r="L133" s="2">
        <f t="shared" si="39"/>
        <v>9770462.9514600337</v>
      </c>
      <c r="M133" s="11">
        <f t="shared" si="26"/>
        <v>1.0701037468625778</v>
      </c>
      <c r="N133" s="12">
        <f t="shared" si="27"/>
        <v>4.0404322044040875E-4</v>
      </c>
      <c r="O133" s="12">
        <f t="shared" si="40"/>
        <v>4.0477654501864802E-3</v>
      </c>
      <c r="P133" s="12">
        <f t="shared" si="41"/>
        <v>6.0230084139198281E-2</v>
      </c>
      <c r="Q133" s="5">
        <f t="shared" si="28"/>
        <v>7.0103746862577809E-2</v>
      </c>
      <c r="R133" s="19">
        <f t="shared" si="36"/>
        <v>6.7936802967145438E-2</v>
      </c>
      <c r="S133" s="19" t="e">
        <f>M133/#REF! - 1</f>
        <v>#REF!</v>
      </c>
      <c r="T133" s="19" t="s">
        <v>53</v>
      </c>
    </row>
    <row r="134" spans="1:20" x14ac:dyDescent="0.25">
      <c r="A134" s="1">
        <v>45824</v>
      </c>
      <c r="B134" s="1" t="str">
        <f t="shared" si="29"/>
        <v>202506</v>
      </c>
      <c r="C134" s="2">
        <f>C133*(1+((1+VLOOKUP($B134,'IPCA Hist'!$B:$C,2,0))^12 - 1)+$C$2)^(1/252)</f>
        <v>83135880.395332828</v>
      </c>
      <c r="D134" s="2">
        <f>D133*(1+((1+VLOOKUP($B134,'IPCA Hist'!$B:$C,2,0))^12 - 1)+$D$2)^(1/252)</f>
        <v>41855033.47279121</v>
      </c>
      <c r="E134" s="2">
        <f>E133*(1+((1+VLOOKUP($B134,'IPCA Hist'!$B:$C,2,0))^12 - 1)+$E$2)^(1/252)</f>
        <v>41868582.303803749</v>
      </c>
      <c r="F134" s="2">
        <f>F133*(1+((1+VLOOKUP($B134,'IPCA Hist'!$B:$C,2,0))^12 - 1)+$F$2)^(1/252)</f>
        <v>5199440.3047350673</v>
      </c>
      <c r="G134" s="2">
        <f t="shared" si="37"/>
        <v>172058936.47666284</v>
      </c>
      <c r="H134" s="2">
        <v>0</v>
      </c>
      <c r="I134" s="2">
        <v>0</v>
      </c>
      <c r="J134" s="2">
        <f t="shared" si="30"/>
        <v>69491.249175131321</v>
      </c>
      <c r="K134" s="2">
        <f t="shared" si="38"/>
        <v>762857.59900847077</v>
      </c>
      <c r="L134" s="2">
        <f t="shared" si="39"/>
        <v>9839954.200635165</v>
      </c>
      <c r="M134" s="11">
        <f t="shared" si="26"/>
        <v>1.0705361155234459</v>
      </c>
      <c r="N134" s="12">
        <f t="shared" si="27"/>
        <v>4.0404368467616969E-4</v>
      </c>
      <c r="O134" s="12">
        <f t="shared" si="40"/>
        <v>4.4534446089299351E-3</v>
      </c>
      <c r="P134" s="12">
        <f t="shared" si="41"/>
        <v>6.0658463408998387E-2</v>
      </c>
      <c r="Q134" s="5">
        <f t="shared" si="28"/>
        <v>7.0536115523445853E-2</v>
      </c>
      <c r="R134" s="19">
        <f t="shared" si="36"/>
        <v>6.782702748319891E-2</v>
      </c>
      <c r="S134" s="19" t="e">
        <f>M134/#REF! - 1</f>
        <v>#REF!</v>
      </c>
      <c r="T134" s="19" t="s">
        <v>53</v>
      </c>
    </row>
    <row r="135" spans="1:20" x14ac:dyDescent="0.25">
      <c r="A135" s="1">
        <v>45825</v>
      </c>
      <c r="B135" s="1" t="str">
        <f t="shared" si="29"/>
        <v>202506</v>
      </c>
      <c r="C135" s="2">
        <f>C134*(1+((1+VLOOKUP($B135,'IPCA Hist'!$B:$C,2,0))^12 - 1)+$C$2)^(1/252)</f>
        <v>83167684.385756642</v>
      </c>
      <c r="D135" s="2">
        <f>D134*(1+((1+VLOOKUP($B135,'IPCA Hist'!$B:$C,2,0))^12 - 1)+$D$2)^(1/252)</f>
        <v>41872876.043489285</v>
      </c>
      <c r="E135" s="2">
        <f>E134*(1+((1+VLOOKUP($B135,'IPCA Hist'!$B:$C,2,0))^12 - 1)+$E$2)^(1/252)</f>
        <v>41886415.720714755</v>
      </c>
      <c r="F135" s="2">
        <f>F134*(1+((1+VLOOKUP($B135,'IPCA Hist'!$B:$C,2,0))^12 - 1)+$F$2)^(1/252)</f>
        <v>5201479.7332537025</v>
      </c>
      <c r="G135" s="2">
        <f t="shared" si="37"/>
        <v>172128455.88321435</v>
      </c>
      <c r="H135" s="2">
        <v>0</v>
      </c>
      <c r="I135" s="2">
        <v>0</v>
      </c>
      <c r="J135" s="2">
        <f t="shared" si="30"/>
        <v>69519.406551510096</v>
      </c>
      <c r="K135" s="2">
        <f t="shared" si="38"/>
        <v>832377.00555998087</v>
      </c>
      <c r="L135" s="2">
        <f t="shared" si="39"/>
        <v>9909473.6071866751</v>
      </c>
      <c r="M135" s="11">
        <f t="shared" si="26"/>
        <v>1.0709686593771228</v>
      </c>
      <c r="N135" s="12">
        <f t="shared" si="27"/>
        <v>4.0404414891259677E-4</v>
      </c>
      <c r="O135" s="12">
        <f t="shared" si="40"/>
        <v>4.8592881460791659E-3</v>
      </c>
      <c r="P135" s="12">
        <f t="shared" si="41"/>
        <v>6.1087016255133353E-2</v>
      </c>
      <c r="Q135" s="5">
        <f t="shared" si="28"/>
        <v>7.0968659377122822E-2</v>
      </c>
      <c r="R135" s="19">
        <f t="shared" si="36"/>
        <v>6.7717263778779735E-2</v>
      </c>
      <c r="S135" s="19" t="e">
        <f>M135/#REF! - 1</f>
        <v>#REF!</v>
      </c>
      <c r="T135" s="19" t="s">
        <v>53</v>
      </c>
    </row>
    <row r="136" spans="1:20" x14ac:dyDescent="0.25">
      <c r="A136" s="1">
        <v>45826</v>
      </c>
      <c r="B136" s="1" t="str">
        <f t="shared" si="29"/>
        <v>202506</v>
      </c>
      <c r="C136" s="2">
        <f>C135*(1+((1+VLOOKUP($B136,'IPCA Hist'!$B:$C,2,0))^12 - 1)+$C$2)^(1/252)</f>
        <v>83199500.542934477</v>
      </c>
      <c r="D136" s="2">
        <f>D135*(1+((1+VLOOKUP($B136,'IPCA Hist'!$B:$C,2,0))^12 - 1)+$D$2)^(1/252)</f>
        <v>41890726.22037717</v>
      </c>
      <c r="E136" s="2">
        <f>E135*(1+((1+VLOOKUP($B136,'IPCA Hist'!$B:$C,2,0))^12 - 1)+$E$2)^(1/252)</f>
        <v>41904256.733554289</v>
      </c>
      <c r="F136" s="2">
        <f>F135*(1+((1+VLOOKUP($B136,'IPCA Hist'!$B:$C,2,0))^12 - 1)+$F$2)^(1/252)</f>
        <v>5203519.9617178012</v>
      </c>
      <c r="G136" s="2">
        <f t="shared" si="37"/>
        <v>172198003.45858374</v>
      </c>
      <c r="H136" s="2">
        <v>0</v>
      </c>
      <c r="I136" s="2">
        <v>0</v>
      </c>
      <c r="J136" s="2">
        <f t="shared" si="30"/>
        <v>69547.575369387865</v>
      </c>
      <c r="K136" s="2">
        <f t="shared" si="38"/>
        <v>901924.58092936873</v>
      </c>
      <c r="L136" s="2">
        <f t="shared" si="39"/>
        <v>9979021.1825560629</v>
      </c>
      <c r="M136" s="11">
        <f t="shared" si="26"/>
        <v>1.0714013784947962</v>
      </c>
      <c r="N136" s="12">
        <f t="shared" si="27"/>
        <v>4.0404461314968998E-4</v>
      </c>
      <c r="O136" s="12">
        <f t="shared" si="40"/>
        <v>5.2652961284280764E-3</v>
      </c>
      <c r="P136" s="12">
        <f t="shared" si="41"/>
        <v>6.1515742748134317E-2</v>
      </c>
      <c r="Q136" s="5">
        <f t="shared" si="28"/>
        <v>7.1401378494796219E-2</v>
      </c>
      <c r="R136" s="19">
        <f t="shared" si="36"/>
        <v>6.7607511852575852E-2</v>
      </c>
      <c r="S136" s="19" t="e">
        <f>M136/#REF! - 1</f>
        <v>#REF!</v>
      </c>
      <c r="T136" s="19" t="s">
        <v>53</v>
      </c>
    </row>
    <row r="137" spans="1:20" x14ac:dyDescent="0.25">
      <c r="A137" s="1">
        <v>45828</v>
      </c>
      <c r="B137" s="1" t="str">
        <f t="shared" si="29"/>
        <v>202506</v>
      </c>
      <c r="C137" s="2">
        <f>C136*(1+((1+VLOOKUP($B137,'IPCA Hist'!$B:$C,2,0))^12 - 1)+$C$2)^(1/252)</f>
        <v>83231328.871520773</v>
      </c>
      <c r="D137" s="2">
        <f>D136*(1+((1+VLOOKUP($B137,'IPCA Hist'!$B:$C,2,0))^12 - 1)+$D$2)^(1/252)</f>
        <v>41908584.006697342</v>
      </c>
      <c r="E137" s="2">
        <f>E136*(1+((1+VLOOKUP($B137,'IPCA Hist'!$B:$C,2,0))^12 - 1)+$E$2)^(1/252)</f>
        <v>41922105.345557749</v>
      </c>
      <c r="F137" s="2">
        <f>F136*(1+((1+VLOOKUP($B137,'IPCA Hist'!$B:$C,2,0))^12 - 1)+$F$2)^(1/252)</f>
        <v>5205560.9904411333</v>
      </c>
      <c r="G137" s="2">
        <f t="shared" si="37"/>
        <v>172267579.21421701</v>
      </c>
      <c r="H137" s="2">
        <v>0</v>
      </c>
      <c r="I137" s="2">
        <v>0</v>
      </c>
      <c r="J137" s="2">
        <f t="shared" si="30"/>
        <v>69575.75563326478</v>
      </c>
      <c r="K137" s="2">
        <f t="shared" si="38"/>
        <v>971500.33656263351</v>
      </c>
      <c r="L137" s="2">
        <f t="shared" si="39"/>
        <v>10048596.938189328</v>
      </c>
      <c r="M137" s="11">
        <f t="shared" si="26"/>
        <v>1.0718342729476824</v>
      </c>
      <c r="N137" s="12">
        <f t="shared" si="27"/>
        <v>4.0404507738678319E-4</v>
      </c>
      <c r="O137" s="12">
        <f t="shared" si="40"/>
        <v>5.6714686227965494E-3</v>
      </c>
      <c r="P137" s="12">
        <f t="shared" si="41"/>
        <v>6.194464295856017E-2</v>
      </c>
      <c r="Q137" s="5">
        <f t="shared" si="28"/>
        <v>7.1834272947682409E-2</v>
      </c>
      <c r="R137" s="19">
        <f t="shared" si="36"/>
        <v>6.7497771703274756E-2</v>
      </c>
      <c r="S137" s="19" t="e">
        <f>M137/#REF! - 1</f>
        <v>#REF!</v>
      </c>
      <c r="T137" s="19" t="s">
        <v>53</v>
      </c>
    </row>
    <row r="138" spans="1:20" x14ac:dyDescent="0.25">
      <c r="A138" s="1">
        <v>45831</v>
      </c>
      <c r="B138" s="1" t="str">
        <f t="shared" si="29"/>
        <v>202506</v>
      </c>
      <c r="C138" s="2">
        <f>C137*(1+((1+VLOOKUP($B138,'IPCA Hist'!$B:$C,2,0))^12 - 1)+$C$2)^(1/252)</f>
        <v>83263169.376171753</v>
      </c>
      <c r="D138" s="2">
        <f>D137*(1+((1+VLOOKUP($B138,'IPCA Hist'!$B:$C,2,0))^12 - 1)+$D$2)^(1/252)</f>
        <v>41926449.405693665</v>
      </c>
      <c r="E138" s="2">
        <f>E137*(1+((1+VLOOKUP($B138,'IPCA Hist'!$B:$C,2,0))^12 - 1)+$E$2)^(1/252)</f>
        <v>41939961.5599619</v>
      </c>
      <c r="F138" s="2">
        <f>F137*(1+((1+VLOOKUP($B138,'IPCA Hist'!$B:$C,2,0))^12 - 1)+$F$2)^(1/252)</f>
        <v>5207602.8197375927</v>
      </c>
      <c r="G138" s="2">
        <f t="shared" si="37"/>
        <v>172337183.16156492</v>
      </c>
      <c r="H138" s="2">
        <v>0</v>
      </c>
      <c r="I138" s="2">
        <v>0</v>
      </c>
      <c r="J138" s="2">
        <f t="shared" si="30"/>
        <v>69603.947347909212</v>
      </c>
      <c r="K138" s="2">
        <f t="shared" si="38"/>
        <v>1041104.2839105427</v>
      </c>
      <c r="L138" s="2">
        <f t="shared" si="39"/>
        <v>10118200.885537237</v>
      </c>
      <c r="M138" s="11">
        <f t="shared" si="26"/>
        <v>1.0722673428070271</v>
      </c>
      <c r="N138" s="12">
        <f t="shared" si="27"/>
        <v>4.0404554162432049E-4</v>
      </c>
      <c r="O138" s="12">
        <f t="shared" si="40"/>
        <v>6.0778056960324456E-3</v>
      </c>
      <c r="P138" s="12">
        <f t="shared" si="41"/>
        <v>6.2373716956999337E-2</v>
      </c>
      <c r="Q138" s="5">
        <f t="shared" si="28"/>
        <v>7.2267342807027068E-2</v>
      </c>
      <c r="R138" s="19">
        <f t="shared" si="36"/>
        <v>6.7388043329564828E-2</v>
      </c>
      <c r="S138" s="19" t="e">
        <f>M138/#REF! - 1</f>
        <v>#REF!</v>
      </c>
      <c r="T138" s="19" t="s">
        <v>53</v>
      </c>
    </row>
    <row r="139" spans="1:20" x14ac:dyDescent="0.25">
      <c r="A139" s="1">
        <v>45832</v>
      </c>
      <c r="B139" s="1" t="str">
        <f t="shared" si="29"/>
        <v>202506</v>
      </c>
      <c r="C139" s="2">
        <f>C138*(1+((1+VLOOKUP($B139,'IPCA Hist'!$B:$C,2,0))^12 - 1)+$C$2)^(1/252)</f>
        <v>83295022.061545432</v>
      </c>
      <c r="D139" s="2">
        <f>D138*(1+((1+VLOOKUP($B139,'IPCA Hist'!$B:$C,2,0))^12 - 1)+$D$2)^(1/252)</f>
        <v>41944322.420611374</v>
      </c>
      <c r="E139" s="2">
        <f>E138*(1+((1+VLOOKUP($B139,'IPCA Hist'!$B:$C,2,0))^12 - 1)+$E$2)^(1/252)</f>
        <v>41957825.380004898</v>
      </c>
      <c r="F139" s="2">
        <f>F138*(1+((1+VLOOKUP($B139,'IPCA Hist'!$B:$C,2,0))^12 - 1)+$F$2)^(1/252)</f>
        <v>5209645.4499211963</v>
      </c>
      <c r="G139" s="2">
        <f t="shared" si="37"/>
        <v>172406815.31208289</v>
      </c>
      <c r="H139" s="2">
        <v>0</v>
      </c>
      <c r="I139" s="2">
        <v>0</v>
      </c>
      <c r="J139" s="2">
        <f t="shared" si="30"/>
        <v>69632.150517970324</v>
      </c>
      <c r="K139" s="2">
        <f t="shared" si="38"/>
        <v>1110736.4344285131</v>
      </c>
      <c r="L139" s="2">
        <f t="shared" si="39"/>
        <v>10187833.036055207</v>
      </c>
      <c r="M139" s="11">
        <f t="shared" si="26"/>
        <v>1.0727005881441045</v>
      </c>
      <c r="N139" s="12">
        <f t="shared" si="27"/>
        <v>4.0404600586207984E-4</v>
      </c>
      <c r="O139" s="12">
        <f t="shared" si="40"/>
        <v>6.4843074150104929E-3</v>
      </c>
      <c r="P139" s="12">
        <f t="shared" si="41"/>
        <v>6.2802964814068662E-2</v>
      </c>
      <c r="Q139" s="5">
        <f t="shared" si="28"/>
        <v>7.2700588144104517E-2</v>
      </c>
      <c r="R139" s="19">
        <f t="shared" si="36"/>
        <v>6.7278326730133786E-2</v>
      </c>
      <c r="S139" s="19" t="e">
        <f>M139/#REF! - 1</f>
        <v>#REF!</v>
      </c>
      <c r="T139" s="19" t="s">
        <v>53</v>
      </c>
    </row>
    <row r="140" spans="1:20" x14ac:dyDescent="0.25">
      <c r="A140" s="1">
        <v>45833</v>
      </c>
      <c r="B140" s="1" t="str">
        <f t="shared" si="29"/>
        <v>202506</v>
      </c>
      <c r="C140" s="2">
        <f>C139*(1+((1+VLOOKUP($B140,'IPCA Hist'!$B:$C,2,0))^12 - 1)+$C$2)^(1/252)</f>
        <v>83326886.932301596</v>
      </c>
      <c r="D140" s="2">
        <f>D139*(1+((1+VLOOKUP($B140,'IPCA Hist'!$B:$C,2,0))^12 - 1)+$D$2)^(1/252)</f>
        <v>41962203.054697096</v>
      </c>
      <c r="E140" s="2">
        <f>E139*(1+((1+VLOOKUP($B140,'IPCA Hist'!$B:$C,2,0))^12 - 1)+$E$2)^(1/252)</f>
        <v>41975696.808926269</v>
      </c>
      <c r="F140" s="2">
        <f>F139*(1+((1+VLOOKUP($B140,'IPCA Hist'!$B:$C,2,0))^12 - 1)+$F$2)^(1/252)</f>
        <v>5211688.8813060839</v>
      </c>
      <c r="G140" s="2">
        <f t="shared" si="37"/>
        <v>172476475.67723104</v>
      </c>
      <c r="H140" s="2">
        <v>0</v>
      </c>
      <c r="I140" s="2">
        <v>0</v>
      </c>
      <c r="J140" s="2">
        <f t="shared" si="30"/>
        <v>69660.365148156881</v>
      </c>
      <c r="K140" s="2">
        <f t="shared" si="38"/>
        <v>1180396.7995766699</v>
      </c>
      <c r="L140" s="2">
        <f t="shared" si="39"/>
        <v>10257493.401203364</v>
      </c>
      <c r="M140" s="11">
        <f t="shared" si="26"/>
        <v>1.073134009030219</v>
      </c>
      <c r="N140" s="12">
        <f t="shared" si="27"/>
        <v>4.0404647010072736E-4</v>
      </c>
      <c r="O140" s="12">
        <f t="shared" si="40"/>
        <v>6.890973846633397E-3</v>
      </c>
      <c r="P140" s="12">
        <f t="shared" si="41"/>
        <v>6.3232386600414303E-2</v>
      </c>
      <c r="Q140" s="5">
        <f t="shared" si="28"/>
        <v>7.3134009030219049E-2</v>
      </c>
      <c r="R140" s="19">
        <f t="shared" si="36"/>
        <v>6.7168621903670234E-2</v>
      </c>
      <c r="S140" s="19" t="e">
        <f>M140/#REF! - 1</f>
        <v>#REF!</v>
      </c>
      <c r="T140" s="19" t="s">
        <v>53</v>
      </c>
    </row>
    <row r="141" spans="1:20" x14ac:dyDescent="0.25">
      <c r="A141" s="1">
        <v>45834</v>
      </c>
      <c r="B141" s="1" t="str">
        <f t="shared" si="29"/>
        <v>202506</v>
      </c>
      <c r="C141" s="2">
        <f>C140*(1+((1+VLOOKUP($B141,'IPCA Hist'!$B:$C,2,0))^12 - 1)+$C$2)^(1/252)</f>
        <v>83358763.993101805</v>
      </c>
      <c r="D141" s="2">
        <f>D140*(1+((1+VLOOKUP($B141,'IPCA Hist'!$B:$C,2,0))^12 - 1)+$D$2)^(1/252)</f>
        <v>41980091.311198846</v>
      </c>
      <c r="E141" s="2">
        <f>E140*(1+((1+VLOOKUP($B141,'IPCA Hist'!$B:$C,2,0))^12 - 1)+$E$2)^(1/252)</f>
        <v>41993575.849966921</v>
      </c>
      <c r="F141" s="2">
        <f>F140*(1+((1+VLOOKUP($B141,'IPCA Hist'!$B:$C,2,0))^12 - 1)+$F$2)^(1/252)</f>
        <v>5213733.114206519</v>
      </c>
      <c r="G141" s="2">
        <f t="shared" si="37"/>
        <v>172546164.2684741</v>
      </c>
      <c r="H141" s="2">
        <v>0</v>
      </c>
      <c r="I141" s="2">
        <v>0</v>
      </c>
      <c r="J141" s="2">
        <f t="shared" si="30"/>
        <v>69688.591243058443</v>
      </c>
      <c r="K141" s="2">
        <f t="shared" si="38"/>
        <v>1250085.3908197284</v>
      </c>
      <c r="L141" s="2">
        <f t="shared" si="39"/>
        <v>10327181.992446423</v>
      </c>
      <c r="M141" s="11">
        <f t="shared" si="26"/>
        <v>1.0735676055367029</v>
      </c>
      <c r="N141" s="12">
        <f t="shared" si="27"/>
        <v>4.0404693433937489E-4</v>
      </c>
      <c r="O141" s="12">
        <f t="shared" si="40"/>
        <v>7.2978050578300646E-3</v>
      </c>
      <c r="P141" s="12">
        <f t="shared" si="41"/>
        <v>6.3661982386710614E-2</v>
      </c>
      <c r="Q141" s="5">
        <f t="shared" si="28"/>
        <v>7.356760553670294E-2</v>
      </c>
      <c r="R141" s="19">
        <f t="shared" si="36"/>
        <v>6.703637170940735E-2</v>
      </c>
      <c r="S141" s="19" t="e">
        <f>M141/#REF! - 1</f>
        <v>#REF!</v>
      </c>
      <c r="T141" s="19" t="s">
        <v>53</v>
      </c>
    </row>
    <row r="142" spans="1:20" x14ac:dyDescent="0.25">
      <c r="A142" s="1">
        <v>45835</v>
      </c>
      <c r="B142" s="1" t="str">
        <f t="shared" si="29"/>
        <v>202506</v>
      </c>
      <c r="C142" s="2">
        <f>C141*(1+((1+VLOOKUP($B142,'IPCA Hist'!$B:$C,2,0))^12 - 1)+$C$2)^(1/252)</f>
        <v>83390653.248609424</v>
      </c>
      <c r="D142" s="2">
        <f>D141*(1+((1+VLOOKUP($B142,'IPCA Hist'!$B:$C,2,0))^12 - 1)+$D$2)^(1/252)</f>
        <v>41997987.193366006</v>
      </c>
      <c r="E142" s="2">
        <f>E141*(1+((1+VLOOKUP($B142,'IPCA Hist'!$B:$C,2,0))^12 - 1)+$E$2)^(1/252)</f>
        <v>42011462.506369151</v>
      </c>
      <c r="F142" s="2">
        <f>F141*(1+((1+VLOOKUP($B142,'IPCA Hist'!$B:$C,2,0))^12 - 1)+$F$2)^(1/252)</f>
        <v>5215778.1489368882</v>
      </c>
      <c r="G142" s="2">
        <f t="shared" si="37"/>
        <v>172615881.09728149</v>
      </c>
      <c r="H142" s="2">
        <v>0</v>
      </c>
      <c r="I142" s="2">
        <v>0</v>
      </c>
      <c r="J142" s="2">
        <f t="shared" si="30"/>
        <v>69716.828807383776</v>
      </c>
      <c r="K142" s="2">
        <f t="shared" si="38"/>
        <v>1319802.2196271122</v>
      </c>
      <c r="L142" s="2">
        <f t="shared" si="39"/>
        <v>10396898.821253806</v>
      </c>
      <c r="M142" s="11">
        <f t="shared" si="26"/>
        <v>1.0740013777349182</v>
      </c>
      <c r="N142" s="12">
        <f t="shared" si="27"/>
        <v>4.040473985784665E-4</v>
      </c>
      <c r="O142" s="12">
        <f t="shared" si="40"/>
        <v>7.7048011155573803E-3</v>
      </c>
      <c r="P142" s="12">
        <f t="shared" si="41"/>
        <v>6.4091752243660816E-2</v>
      </c>
      <c r="Q142" s="5">
        <f t="shared" si="28"/>
        <v>7.4001377734918217E-2</v>
      </c>
      <c r="R142" s="19">
        <f t="shared" si="36"/>
        <v>6.6904137924304052E-2</v>
      </c>
      <c r="S142" s="19" t="e">
        <f>M142/#REF! - 1</f>
        <v>#REF!</v>
      </c>
      <c r="T142" s="19" t="s">
        <v>53</v>
      </c>
    </row>
    <row r="143" spans="1:20" s="23" customFormat="1" x14ac:dyDescent="0.25">
      <c r="A143" s="37">
        <v>45838</v>
      </c>
      <c r="B143" s="23" t="str">
        <f t="shared" si="29"/>
        <v>202506</v>
      </c>
      <c r="C143" s="22">
        <f>C142*(1+((1+VLOOKUP($B143,'IPCA Hist'!$B:$C,2,0))^12 - 1)+$C$2)^(1/252)</f>
        <v>83422554.703489587</v>
      </c>
      <c r="D143" s="22">
        <f>D142*(1+((1+VLOOKUP($B143,'IPCA Hist'!$B:$C,2,0))^12 - 1)+$D$2)^(1/252)</f>
        <v>42015890.704449363</v>
      </c>
      <c r="E143" s="22">
        <f>E142*(1+((1+VLOOKUP($B143,'IPCA Hist'!$B:$C,2,0))^12 - 1)+$E$2)^(1/252)</f>
        <v>42029356.781376623</v>
      </c>
      <c r="F143" s="22">
        <f>F142*(1+((1+VLOOKUP($B143,'IPCA Hist'!$B:$C,2,0))^12 - 1)+$F$2)^(1/252)</f>
        <v>5217823.985811701</v>
      </c>
      <c r="G143" s="22">
        <f t="shared" si="37"/>
        <v>172685626.1751273</v>
      </c>
      <c r="H143" s="2">
        <v>0</v>
      </c>
      <c r="I143" s="2">
        <v>0</v>
      </c>
      <c r="J143" s="22">
        <f t="shared" si="30"/>
        <v>69745.077845811844</v>
      </c>
      <c r="K143" s="22">
        <f t="shared" si="38"/>
        <v>1389547.297472924</v>
      </c>
      <c r="L143" s="22">
        <f t="shared" si="39"/>
        <v>10466643.899099618</v>
      </c>
      <c r="M143" s="38">
        <f t="shared" si="26"/>
        <v>1.0744353256962555</v>
      </c>
      <c r="N143" s="39">
        <f t="shared" si="27"/>
        <v>4.040478628180022E-4</v>
      </c>
      <c r="O143" s="39">
        <f t="shared" si="40"/>
        <v>8.1119620867995401E-3</v>
      </c>
      <c r="P143" s="39">
        <f t="shared" si="41"/>
        <v>6.4521696241997217E-2</v>
      </c>
      <c r="Q143" s="40">
        <f t="shared" si="28"/>
        <v>7.443532569625555E-2</v>
      </c>
      <c r="R143" s="41">
        <f t="shared" si="36"/>
        <v>6.6771920546321972E-2</v>
      </c>
      <c r="S143" s="41" t="e">
        <f>M143/#REF! - 1</f>
        <v>#REF!</v>
      </c>
      <c r="T143" s="41" t="e">
        <f>M143/#REF! - 1</f>
        <v>#REF!</v>
      </c>
    </row>
    <row r="144" spans="1:20" x14ac:dyDescent="0.25">
      <c r="A144" s="1">
        <v>45839</v>
      </c>
      <c r="B144" s="1" t="str">
        <f t="shared" si="29"/>
        <v>202507</v>
      </c>
      <c r="C144" s="24">
        <f>C143*(1+((1+VLOOKUP($B144,'IPCA Hist'!$B:$C,2,0))^12 - 1)+$C$2)^(1/252)</f>
        <v>83455209.407989189</v>
      </c>
      <c r="D144" s="24">
        <f>D143*(1+((1+VLOOKUP($B144,'IPCA Hist'!$B:$C,2,0))^12 - 1)+$D$2)^(1/252)</f>
        <v>42034171.00733912</v>
      </c>
      <c r="E144" s="24">
        <f>E143*(1+((1+VLOOKUP($B144,'IPCA Hist'!$B:$C,2,0))^12 - 1)+$E$2)^(1/252)</f>
        <v>42047627.989189953</v>
      </c>
      <c r="F144" s="24">
        <f>F143*(1+((1+VLOOKUP($B144,'IPCA Hist'!$B:$C,2,0))^12 - 1)+$F$2)^(1/252)</f>
        <v>5219916.8628890933</v>
      </c>
      <c r="G144" s="24">
        <f t="shared" si="37"/>
        <v>172756925.26740733</v>
      </c>
      <c r="H144" s="2">
        <v>0</v>
      </c>
      <c r="I144" s="2">
        <v>0</v>
      </c>
      <c r="J144" s="24">
        <f t="shared" si="30"/>
        <v>71299.092280030251</v>
      </c>
      <c r="K144" s="24">
        <f t="shared" si="38"/>
        <v>71299.092280030251</v>
      </c>
      <c r="L144" s="24">
        <f t="shared" si="39"/>
        <v>10537942.991379648</v>
      </c>
      <c r="M144" s="46">
        <f t="shared" si="26"/>
        <v>1.0748789426036527</v>
      </c>
      <c r="N144" s="47">
        <f t="shared" si="27"/>
        <v>4.1288376953696471E-4</v>
      </c>
      <c r="O144" s="47">
        <f t="shared" si="40"/>
        <v>4.1288376953696471E-4</v>
      </c>
      <c r="P144" s="47">
        <f t="shared" si="41"/>
        <v>6.4961219972695439E-2</v>
      </c>
      <c r="Q144" s="48">
        <f t="shared" si="28"/>
        <v>7.4878942603652687E-2</v>
      </c>
      <c r="R144" s="49">
        <f t="shared" si="36"/>
        <v>6.6649140001003415E-2</v>
      </c>
      <c r="S144" s="49" t="e">
        <f>M144/#REF! - 1</f>
        <v>#REF!</v>
      </c>
      <c r="T144" s="49" t="e">
        <f>M144/#REF! - 1</f>
        <v>#REF!</v>
      </c>
    </row>
    <row r="145" spans="1:20" x14ac:dyDescent="0.25">
      <c r="A145" s="1">
        <v>45840</v>
      </c>
      <c r="B145" s="1" t="str">
        <f t="shared" si="29"/>
        <v>202507</v>
      </c>
      <c r="C145" s="24">
        <f>C144*(1+((1+VLOOKUP($B145,'IPCA Hist'!$B:$C,2,0))^12 - 1)+$C$2)^(1/252)</f>
        <v>83487876.894760087</v>
      </c>
      <c r="D145" s="24">
        <f>D144*(1+((1+VLOOKUP($B145,'IPCA Hist'!$B:$C,2,0))^12 - 1)+$D$2)^(1/252)</f>
        <v>42052459.263635747</v>
      </c>
      <c r="E145" s="24">
        <f>E144*(1+((1+VLOOKUP($B145,'IPCA Hist'!$B:$C,2,0))^12 - 1)+$E$2)^(1/252)</f>
        <v>42065907.13995222</v>
      </c>
      <c r="F145" s="24">
        <f>F144*(1+((1+VLOOKUP($B145,'IPCA Hist'!$B:$C,2,0))^12 - 1)+$F$2)^(1/252)</f>
        <v>5222010.5794226406</v>
      </c>
      <c r="G145" s="24">
        <f t="shared" si="37"/>
        <v>172828253.87777069</v>
      </c>
      <c r="H145" s="2">
        <v>0</v>
      </c>
      <c r="I145" s="2">
        <v>0</v>
      </c>
      <c r="J145" s="24">
        <f t="shared" si="30"/>
        <v>71328.61036336422</v>
      </c>
      <c r="K145" s="24">
        <f t="shared" si="38"/>
        <v>142627.70264339447</v>
      </c>
      <c r="L145" s="24">
        <f t="shared" si="39"/>
        <v>10609271.601743013</v>
      </c>
      <c r="M145" s="46">
        <f t="shared" si="26"/>
        <v>1.0753227431700618</v>
      </c>
      <c r="N145" s="47">
        <f t="shared" si="27"/>
        <v>4.1288423172014532E-4</v>
      </c>
      <c r="O145" s="47">
        <f t="shared" si="40"/>
        <v>8.2593847445511237E-4</v>
      </c>
      <c r="P145" s="47">
        <f t="shared" si="41"/>
        <v>6.5400925667815635E-2</v>
      </c>
      <c r="Q145" s="48">
        <f t="shared" si="28"/>
        <v>7.5322743170061823E-2</v>
      </c>
      <c r="R145" s="49">
        <f t="shared" si="36"/>
        <v>6.6526373604848699E-2</v>
      </c>
      <c r="S145" s="49" t="e">
        <f>M145/#REF! - 1</f>
        <v>#REF!</v>
      </c>
      <c r="T145" s="49" t="e">
        <f>M145/#REF! - 1</f>
        <v>#REF!</v>
      </c>
    </row>
    <row r="146" spans="1:20" x14ac:dyDescent="0.25">
      <c r="A146" s="1">
        <v>45841</v>
      </c>
      <c r="B146" s="1" t="str">
        <f t="shared" si="29"/>
        <v>202507</v>
      </c>
      <c r="C146" s="24">
        <f>C145*(1+((1+VLOOKUP($B146,'IPCA Hist'!$B:$C,2,0))^12 - 1)+$C$2)^(1/252)</f>
        <v>83520557.168805733</v>
      </c>
      <c r="D146" s="24">
        <f>D145*(1+((1+VLOOKUP($B146,'IPCA Hist'!$B:$C,2,0))^12 - 1)+$D$2)^(1/252)</f>
        <v>42070755.476799615</v>
      </c>
      <c r="E146" s="24">
        <f>E145*(1+((1+VLOOKUP($B146,'IPCA Hist'!$B:$C,2,0))^12 - 1)+$E$2)^(1/252)</f>
        <v>42084194.237116426</v>
      </c>
      <c r="F146" s="24">
        <f>F145*(1+((1+VLOOKUP($B146,'IPCA Hist'!$B:$C,2,0))^12 - 1)+$F$2)^(1/252)</f>
        <v>5224105.1357490504</v>
      </c>
      <c r="G146" s="24">
        <f t="shared" si="37"/>
        <v>172899612.01847082</v>
      </c>
      <c r="H146" s="2">
        <v>0</v>
      </c>
      <c r="I146" s="2">
        <v>0</v>
      </c>
      <c r="J146" s="24">
        <f t="shared" si="30"/>
        <v>71358.140700131655</v>
      </c>
      <c r="K146" s="24">
        <f t="shared" si="38"/>
        <v>213985.84334352612</v>
      </c>
      <c r="L146" s="24">
        <f t="shared" si="39"/>
        <v>10680629.742443144</v>
      </c>
      <c r="M146" s="46">
        <f t="shared" si="26"/>
        <v>1.0757667274717226</v>
      </c>
      <c r="N146" s="47">
        <f t="shared" si="27"/>
        <v>4.1288469390310389E-4</v>
      </c>
      <c r="O146" s="47">
        <f t="shared" si="40"/>
        <v>1.2391641857123492E-3</v>
      </c>
      <c r="P146" s="47">
        <f t="shared" si="41"/>
        <v>6.5840813402894049E-2</v>
      </c>
      <c r="Q146" s="48">
        <f t="shared" si="28"/>
        <v>7.5766727471722639E-2</v>
      </c>
      <c r="R146" s="49">
        <f t="shared" si="36"/>
        <v>6.6403621356224463E-2</v>
      </c>
      <c r="S146" s="49" t="e">
        <f>M146/#REF! - 1</f>
        <v>#REF!</v>
      </c>
      <c r="T146" s="49" t="e">
        <f>M146/#REF! - 1</f>
        <v>#REF!</v>
      </c>
    </row>
    <row r="147" spans="1:20" x14ac:dyDescent="0.25">
      <c r="A147" s="1">
        <v>45842</v>
      </c>
      <c r="B147" s="1" t="str">
        <f t="shared" si="29"/>
        <v>202507</v>
      </c>
      <c r="C147" s="24">
        <f>C146*(1+((1+VLOOKUP($B147,'IPCA Hist'!$B:$C,2,0))^12 - 1)+$C$2)^(1/252)</f>
        <v>83553250.235131547</v>
      </c>
      <c r="D147" s="24">
        <f>D146*(1+((1+VLOOKUP($B147,'IPCA Hist'!$B:$C,2,0))^12 - 1)+$D$2)^(1/252)</f>
        <v>42089059.650292605</v>
      </c>
      <c r="E147" s="24">
        <f>E146*(1+((1+VLOOKUP($B147,'IPCA Hist'!$B:$C,2,0))^12 - 1)+$E$2)^(1/252)</f>
        <v>42102489.28413707</v>
      </c>
      <c r="F147" s="24">
        <f>F146*(1+((1+VLOOKUP($B147,'IPCA Hist'!$B:$C,2,0))^12 - 1)+$F$2)^(1/252)</f>
        <v>5226200.5322051644</v>
      </c>
      <c r="G147" s="24">
        <f t="shared" si="37"/>
        <v>172970999.70176637</v>
      </c>
      <c r="H147" s="2">
        <v>0</v>
      </c>
      <c r="I147" s="2">
        <v>0</v>
      </c>
      <c r="J147" s="24">
        <f t="shared" si="30"/>
        <v>71387.683295547962</v>
      </c>
      <c r="K147" s="24">
        <f t="shared" si="38"/>
        <v>285373.52663907409</v>
      </c>
      <c r="L147" s="24">
        <f t="shared" si="39"/>
        <v>10752017.425738692</v>
      </c>
      <c r="M147" s="46">
        <f t="shared" si="26"/>
        <v>1.0762108955849075</v>
      </c>
      <c r="N147" s="47">
        <f t="shared" si="27"/>
        <v>4.1288515608650656E-4</v>
      </c>
      <c r="O147" s="47">
        <f t="shared" si="40"/>
        <v>1.6525609742970016E-3</v>
      </c>
      <c r="P147" s="47">
        <f t="shared" si="41"/>
        <v>6.6280883253499345E-2</v>
      </c>
      <c r="Q147" s="48">
        <f t="shared" si="28"/>
        <v>7.6210895584907457E-2</v>
      </c>
      <c r="R147" s="49">
        <f t="shared" si="36"/>
        <v>6.6280883253498679E-2</v>
      </c>
      <c r="S147" s="49" t="e">
        <f>M147/#REF! - 1</f>
        <v>#REF!</v>
      </c>
      <c r="T147" s="49" t="e">
        <f>M147/#REF! - 1</f>
        <v>#REF!</v>
      </c>
    </row>
    <row r="148" spans="1:20" x14ac:dyDescent="0.25">
      <c r="A148" s="1">
        <v>45845</v>
      </c>
      <c r="B148" s="1" t="str">
        <f t="shared" si="29"/>
        <v>202507</v>
      </c>
      <c r="C148" s="24">
        <f>C147*(1+((1+VLOOKUP($B148,'IPCA Hist'!$B:$C,2,0))^12 - 1)+$C$2)^(1/252)</f>
        <v>83585956.098744899</v>
      </c>
      <c r="D148" s="24">
        <f>D147*(1+((1+VLOOKUP($B148,'IPCA Hist'!$B:$C,2,0))^12 - 1)+$D$2)^(1/252)</f>
        <v>42107371.787578106</v>
      </c>
      <c r="E148" s="24">
        <f>E147*(1+((1+VLOOKUP($B148,'IPCA Hist'!$B:$C,2,0))^12 - 1)+$E$2)^(1/252)</f>
        <v>42120792.284470156</v>
      </c>
      <c r="F148" s="24">
        <f>F147*(1+((1+VLOOKUP($B148,'IPCA Hist'!$B:$C,2,0))^12 - 1)+$F$2)^(1/252)</f>
        <v>5228296.7691279603</v>
      </c>
      <c r="G148" s="24">
        <f t="shared" si="37"/>
        <v>173042416.93992114</v>
      </c>
      <c r="H148" s="2">
        <v>0</v>
      </c>
      <c r="I148" s="2">
        <v>0</v>
      </c>
      <c r="J148" s="24">
        <f t="shared" si="30"/>
        <v>71417.238154768944</v>
      </c>
      <c r="K148" s="24">
        <f t="shared" si="38"/>
        <v>356790.76479384303</v>
      </c>
      <c r="L148" s="24">
        <f t="shared" si="39"/>
        <v>10823434.663893461</v>
      </c>
      <c r="M148" s="46">
        <f t="shared" si="26"/>
        <v>1.0766552475859208</v>
      </c>
      <c r="N148" s="47">
        <f t="shared" si="27"/>
        <v>4.1288561827079739E-4</v>
      </c>
      <c r="O148" s="47">
        <f t="shared" si="40"/>
        <v>2.0661289112273717E-3</v>
      </c>
      <c r="P148" s="47">
        <f t="shared" si="41"/>
        <v>6.6721135295231715E-2</v>
      </c>
      <c r="Q148" s="48">
        <f t="shared" si="28"/>
        <v>7.6655247585920794E-2</v>
      </c>
      <c r="R148" s="49">
        <f t="shared" si="36"/>
        <v>6.6327624194528978E-2</v>
      </c>
      <c r="S148" s="49" t="e">
        <f>M148/#REF! - 1</f>
        <v>#REF!</v>
      </c>
      <c r="T148" s="49" t="e">
        <f>M148/#REF! - 1</f>
        <v>#REF!</v>
      </c>
    </row>
    <row r="149" spans="1:20" x14ac:dyDescent="0.25">
      <c r="A149" s="1">
        <v>45846</v>
      </c>
      <c r="B149" s="1" t="str">
        <f t="shared" si="29"/>
        <v>202507</v>
      </c>
      <c r="C149" s="24">
        <f>C148*(1+((1+VLOOKUP($B149,'IPCA Hist'!$B:$C,2,0))^12 - 1)+$C$2)^(1/252)</f>
        <v>83618674.764655128</v>
      </c>
      <c r="D149" s="24">
        <f>D148*(1+((1+VLOOKUP($B149,'IPCA Hist'!$B:$C,2,0))^12 - 1)+$D$2)^(1/252)</f>
        <v>42125691.892121002</v>
      </c>
      <c r="E149" s="24">
        <f>E148*(1+((1+VLOOKUP($B149,'IPCA Hist'!$B:$C,2,0))^12 - 1)+$E$2)^(1/252)</f>
        <v>42139103.241573185</v>
      </c>
      <c r="F149" s="24">
        <f>F148*(1+((1+VLOOKUP($B149,'IPCA Hist'!$B:$C,2,0))^12 - 1)+$F$2)^(1/252)</f>
        <v>5230393.8468545498</v>
      </c>
      <c r="G149" s="24">
        <f t="shared" si="37"/>
        <v>173113863.74520385</v>
      </c>
      <c r="H149" s="2">
        <v>0</v>
      </c>
      <c r="I149" s="2">
        <v>0</v>
      </c>
      <c r="J149" s="24">
        <f t="shared" si="30"/>
        <v>71446.805282711983</v>
      </c>
      <c r="K149" s="24">
        <f t="shared" si="38"/>
        <v>428237.57007655501</v>
      </c>
      <c r="L149" s="24">
        <f t="shared" si="39"/>
        <v>10894881.469176173</v>
      </c>
      <c r="M149" s="46">
        <f t="shared" si="26"/>
        <v>1.0770997835510974</v>
      </c>
      <c r="N149" s="47">
        <f t="shared" si="27"/>
        <v>4.1288608045464414E-4</v>
      </c>
      <c r="O149" s="47">
        <f t="shared" si="40"/>
        <v>2.4798680675499618E-3</v>
      </c>
      <c r="P149" s="47">
        <f t="shared" si="41"/>
        <v>6.7161569603721993E-2</v>
      </c>
      <c r="Q149" s="48">
        <f t="shared" si="28"/>
        <v>7.7099783551097367E-2</v>
      </c>
      <c r="R149" s="49">
        <f t="shared" si="36"/>
        <v>6.6374367162543635E-2</v>
      </c>
      <c r="S149" s="49" t="e">
        <f>M149/#REF! - 1</f>
        <v>#REF!</v>
      </c>
      <c r="T149" s="49" t="e">
        <f>M149/#REF! - 1</f>
        <v>#REF!</v>
      </c>
    </row>
    <row r="150" spans="1:20" x14ac:dyDescent="0.25">
      <c r="A150" s="1">
        <v>45847</v>
      </c>
      <c r="B150" s="1" t="str">
        <f t="shared" si="29"/>
        <v>202507</v>
      </c>
      <c r="C150" s="24">
        <f>C149*(1+((1+VLOOKUP($B150,'IPCA Hist'!$B:$C,2,0))^12 - 1)+$C$2)^(1/252)</f>
        <v>83651406.237873539</v>
      </c>
      <c r="D150" s="24">
        <f>D149*(1+((1+VLOOKUP($B150,'IPCA Hist'!$B:$C,2,0))^12 - 1)+$D$2)^(1/252)</f>
        <v>42144019.967387699</v>
      </c>
      <c r="E150" s="24">
        <f>E149*(1+((1+VLOOKUP($B150,'IPCA Hist'!$B:$C,2,0))^12 - 1)+$E$2)^(1/252)</f>
        <v>42157422.158905156</v>
      </c>
      <c r="F150" s="24">
        <f>F149*(1+((1+VLOOKUP($B150,'IPCA Hist'!$B:$C,2,0))^12 - 1)+$F$2)^(1/252)</f>
        <v>5232491.7657221816</v>
      </c>
      <c r="G150" s="24">
        <f t="shared" si="37"/>
        <v>173185340.12988856</v>
      </c>
      <c r="H150" s="2">
        <v>0</v>
      </c>
      <c r="I150" s="2">
        <v>0</v>
      </c>
      <c r="J150" s="24">
        <f t="shared" si="30"/>
        <v>71476.384684711695</v>
      </c>
      <c r="K150" s="24">
        <f t="shared" si="38"/>
        <v>499713.95476126671</v>
      </c>
      <c r="L150" s="24">
        <f t="shared" si="39"/>
        <v>10966357.853860885</v>
      </c>
      <c r="M150" s="46">
        <f t="shared" si="26"/>
        <v>1.0775445035568054</v>
      </c>
      <c r="N150" s="47">
        <f t="shared" si="27"/>
        <v>4.1288654263937907E-4</v>
      </c>
      <c r="O150" s="47">
        <f t="shared" si="40"/>
        <v>2.8937785143419159E-3</v>
      </c>
      <c r="P150" s="47">
        <f t="shared" si="41"/>
        <v>6.7602186254633212E-2</v>
      </c>
      <c r="Q150" s="48">
        <f t="shared" si="28"/>
        <v>7.7544503556805422E-2</v>
      </c>
      <c r="R150" s="49">
        <f t="shared" ref="R150:R166" si="42">M150/M24 - 1</f>
        <v>6.6421112157631468E-2</v>
      </c>
      <c r="S150" s="49" t="e">
        <f>M150/#REF! - 1</f>
        <v>#REF!</v>
      </c>
      <c r="T150" s="49" t="e">
        <f>M150/#REF! - 1</f>
        <v>#REF!</v>
      </c>
    </row>
    <row r="151" spans="1:20" x14ac:dyDescent="0.25">
      <c r="A151" s="1">
        <v>45848</v>
      </c>
      <c r="B151" s="1" t="str">
        <f t="shared" si="29"/>
        <v>202507</v>
      </c>
      <c r="C151" s="24">
        <f>C150*(1+((1+VLOOKUP($B151,'IPCA Hist'!$B:$C,2,0))^12 - 1)+$C$2)^(1/252)</f>
        <v>83684150.52341339</v>
      </c>
      <c r="D151" s="24">
        <f>D150*(1+((1+VLOOKUP($B151,'IPCA Hist'!$B:$C,2,0))^12 - 1)+$D$2)^(1/252)</f>
        <v>42162356.016846105</v>
      </c>
      <c r="E151" s="24">
        <f>E150*(1+((1+VLOOKUP($B151,'IPCA Hist'!$B:$C,2,0))^12 - 1)+$E$2)^(1/252)</f>
        <v>42175749.039926589</v>
      </c>
      <c r="F151" s="24">
        <f>F150*(1+((1+VLOOKUP($B151,'IPCA Hist'!$B:$C,2,0))^12 - 1)+$F$2)^(1/252)</f>
        <v>5234590.5260682376</v>
      </c>
      <c r="G151" s="24">
        <f t="shared" si="37"/>
        <v>173256846.10625431</v>
      </c>
      <c r="H151" s="2">
        <v>0</v>
      </c>
      <c r="I151" s="2">
        <v>0</v>
      </c>
      <c r="J151" s="24">
        <f t="shared" si="30"/>
        <v>71505.976365745068</v>
      </c>
      <c r="K151" s="24">
        <f t="shared" si="38"/>
        <v>571219.93112701178</v>
      </c>
      <c r="L151" s="24">
        <f t="shared" si="39"/>
        <v>11037863.83022663</v>
      </c>
      <c r="M151" s="46">
        <f t="shared" si="26"/>
        <v>1.0779894076794441</v>
      </c>
      <c r="N151" s="47">
        <f t="shared" si="27"/>
        <v>4.1288700482455809E-4</v>
      </c>
      <c r="O151" s="47">
        <f t="shared" si="40"/>
        <v>3.3078603227099102E-3</v>
      </c>
      <c r="P151" s="47">
        <f t="shared" si="41"/>
        <v>6.8042985323659932E-2</v>
      </c>
      <c r="Q151" s="48">
        <f t="shared" si="28"/>
        <v>7.7989407679444067E-2</v>
      </c>
      <c r="R151" s="49">
        <f t="shared" si="42"/>
        <v>6.6467859179878852E-2</v>
      </c>
      <c r="S151" s="49" t="e">
        <f>M151/#REF! - 1</f>
        <v>#REF!</v>
      </c>
      <c r="T151" s="49" t="e">
        <f>M151/#REF! - 1</f>
        <v>#REF!</v>
      </c>
    </row>
    <row r="152" spans="1:20" x14ac:dyDescent="0.25">
      <c r="A152" s="1">
        <v>45849</v>
      </c>
      <c r="B152" s="1" t="str">
        <f t="shared" si="29"/>
        <v>202507</v>
      </c>
      <c r="C152" s="24">
        <f>C151*(1+((1+VLOOKUP($B152,'IPCA Hist'!$B:$C,2,0))^12 - 1)+$C$2)^(1/252)</f>
        <v>83716907.626289889</v>
      </c>
      <c r="D152" s="24">
        <f>D151*(1+((1+VLOOKUP($B152,'IPCA Hist'!$B:$C,2,0))^12 - 1)+$D$2)^(1/252)</f>
        <v>42180700.043965638</v>
      </c>
      <c r="E152" s="24">
        <f>E151*(1+((1+VLOOKUP($B152,'IPCA Hist'!$B:$C,2,0))^12 - 1)+$E$2)^(1/252)</f>
        <v>42194083.888099492</v>
      </c>
      <c r="F152" s="24">
        <f>F151*(1+((1+VLOOKUP($B152,'IPCA Hist'!$B:$C,2,0))^12 - 1)+$F$2)^(1/252)</f>
        <v>5236690.1282302374</v>
      </c>
      <c r="G152" s="24">
        <f t="shared" si="37"/>
        <v>173328381.68658528</v>
      </c>
      <c r="H152" s="2">
        <v>0</v>
      </c>
      <c r="I152" s="2">
        <v>0</v>
      </c>
      <c r="J152" s="24">
        <f t="shared" si="30"/>
        <v>71535.580330967903</v>
      </c>
      <c r="K152" s="24">
        <f t="shared" si="38"/>
        <v>642755.51145797968</v>
      </c>
      <c r="L152" s="24">
        <f t="shared" si="39"/>
        <v>11109399.410557598</v>
      </c>
      <c r="M152" s="46">
        <f t="shared" si="26"/>
        <v>1.0784344959954446</v>
      </c>
      <c r="N152" s="47">
        <f t="shared" si="27"/>
        <v>4.128874670101812E-4</v>
      </c>
      <c r="O152" s="47">
        <f t="shared" si="40"/>
        <v>3.7221135637899305E-3</v>
      </c>
      <c r="P152" s="47">
        <f t="shared" si="41"/>
        <v>6.8483966886528247E-2</v>
      </c>
      <c r="Q152" s="48">
        <f t="shared" si="28"/>
        <v>7.8434495995444609E-2</v>
      </c>
      <c r="R152" s="49">
        <f t="shared" si="42"/>
        <v>6.6514608229373495E-2</v>
      </c>
      <c r="S152" s="49" t="e">
        <f>M152/#REF! - 1</f>
        <v>#REF!</v>
      </c>
      <c r="T152" s="49" t="e">
        <f>M152/#REF! - 1</f>
        <v>#REF!</v>
      </c>
    </row>
    <row r="153" spans="1:20" x14ac:dyDescent="0.25">
      <c r="A153" s="1">
        <v>45852</v>
      </c>
      <c r="B153" s="1" t="str">
        <f t="shared" si="29"/>
        <v>202507</v>
      </c>
      <c r="C153" s="24">
        <f>C152*(1+((1+VLOOKUP($B153,'IPCA Hist'!$B:$C,2,0))^12 - 1)+$C$2)^(1/252)</f>
        <v>83749677.551520228</v>
      </c>
      <c r="D153" s="24">
        <f>D152*(1+((1+VLOOKUP($B153,'IPCA Hist'!$B:$C,2,0))^12 - 1)+$D$2)^(1/252)</f>
        <v>42199052.052217223</v>
      </c>
      <c r="E153" s="24">
        <f>E152*(1+((1+VLOOKUP($B153,'IPCA Hist'!$B:$C,2,0))^12 - 1)+$E$2)^(1/252)</f>
        <v>42212426.706887387</v>
      </c>
      <c r="F153" s="24">
        <f>F152*(1+((1+VLOOKUP($B153,'IPCA Hist'!$B:$C,2,0))^12 - 1)+$F$2)^(1/252)</f>
        <v>5238790.5725458339</v>
      </c>
      <c r="G153" s="24">
        <f t="shared" si="37"/>
        <v>173399946.88317066</v>
      </c>
      <c r="H153" s="2">
        <v>0</v>
      </c>
      <c r="I153" s="2">
        <v>0</v>
      </c>
      <c r="J153" s="24">
        <f t="shared" si="30"/>
        <v>71565.196585386992</v>
      </c>
      <c r="K153" s="24">
        <f t="shared" si="38"/>
        <v>714320.70804336667</v>
      </c>
      <c r="L153" s="24">
        <f t="shared" si="39"/>
        <v>11180964.607142985</v>
      </c>
      <c r="M153" s="46">
        <f t="shared" ref="M153:M166" si="43">(1+(G153-G152-H153+I153)/G152)*M152</f>
        <v>1.0788797685812692</v>
      </c>
      <c r="N153" s="47">
        <f t="shared" ref="N153:N166" si="44">M153/M152 - 1</f>
        <v>4.1288792919558226E-4</v>
      </c>
      <c r="O153" s="47">
        <f t="shared" si="40"/>
        <v>4.1365383087470509E-3</v>
      </c>
      <c r="P153" s="47">
        <f t="shared" si="41"/>
        <v>6.8925131018994668E-2</v>
      </c>
      <c r="Q153" s="48">
        <f t="shared" ref="Q153:Q166" si="45">(1+N153)*(1+Q152) - 1</f>
        <v>7.8879768581269216E-2</v>
      </c>
      <c r="R153" s="49">
        <f t="shared" si="42"/>
        <v>6.6561359306202661E-2</v>
      </c>
      <c r="S153" s="49" t="e">
        <f>M153/#REF! - 1</f>
        <v>#REF!</v>
      </c>
      <c r="T153" s="49" t="e">
        <f>M153/#REF! - 1</f>
        <v>#REF!</v>
      </c>
    </row>
    <row r="154" spans="1:20" x14ac:dyDescent="0.25">
      <c r="A154" s="1">
        <v>45853</v>
      </c>
      <c r="B154" s="1" t="str">
        <f t="shared" si="29"/>
        <v>202507</v>
      </c>
      <c r="C154" s="24">
        <f>C153*(1+((1+VLOOKUP($B154,'IPCA Hist'!$B:$C,2,0))^12 - 1)+$C$2)^(1/252)</f>
        <v>83782460.304123566</v>
      </c>
      <c r="D154" s="24">
        <f>D153*(1+((1+VLOOKUP($B154,'IPCA Hist'!$B:$C,2,0))^12 - 1)+$D$2)^(1/252)</f>
        <v>42217412.045073293</v>
      </c>
      <c r="E154" s="24">
        <f>E153*(1+((1+VLOOKUP($B154,'IPCA Hist'!$B:$C,2,0))^12 - 1)+$E$2)^(1/252)</f>
        <v>42230777.499755293</v>
      </c>
      <c r="F154" s="24">
        <f>F153*(1+((1+VLOOKUP($B154,'IPCA Hist'!$B:$C,2,0))^12 - 1)+$F$2)^(1/252)</f>
        <v>5240891.8593528159</v>
      </c>
      <c r="G154" s="24">
        <f t="shared" si="37"/>
        <v>173471541.70830497</v>
      </c>
      <c r="H154" s="2">
        <v>0</v>
      </c>
      <c r="I154" s="2">
        <v>0</v>
      </c>
      <c r="J154" s="24">
        <f t="shared" si="30"/>
        <v>71594.825134307146</v>
      </c>
      <c r="K154" s="24">
        <f t="shared" si="38"/>
        <v>785915.53317767382</v>
      </c>
      <c r="L154" s="24">
        <f t="shared" si="39"/>
        <v>11252559.432277292</v>
      </c>
      <c r="M154" s="46">
        <f t="shared" si="43"/>
        <v>1.0793252255134131</v>
      </c>
      <c r="N154" s="47">
        <f t="shared" si="44"/>
        <v>4.128883913818715E-4</v>
      </c>
      <c r="O154" s="47">
        <f t="shared" si="40"/>
        <v>4.5511346287772092E-3</v>
      </c>
      <c r="P154" s="47">
        <f t="shared" si="41"/>
        <v>6.9366477796848791E-2</v>
      </c>
      <c r="Q154" s="48">
        <f t="shared" si="45"/>
        <v>7.9325225513413145E-2</v>
      </c>
      <c r="R154" s="49">
        <f t="shared" si="42"/>
        <v>6.6608112410453391E-2</v>
      </c>
      <c r="S154" s="49" t="e">
        <f>M154/#REF! - 1</f>
        <v>#REF!</v>
      </c>
      <c r="T154" s="49" t="e">
        <f>M154/#REF! - 1</f>
        <v>#REF!</v>
      </c>
    </row>
    <row r="155" spans="1:20" x14ac:dyDescent="0.25">
      <c r="A155" s="1">
        <v>45854</v>
      </c>
      <c r="B155" s="1" t="str">
        <f t="shared" si="29"/>
        <v>202507</v>
      </c>
      <c r="C155" s="24">
        <f>C154*(1+((1+VLOOKUP($B155,'IPCA Hist'!$B:$C,2,0))^12 - 1)+$C$2)^(1/252)</f>
        <v>83815255.889120996</v>
      </c>
      <c r="D155" s="24">
        <f>D154*(1+((1+VLOOKUP($B155,'IPCA Hist'!$B:$C,2,0))^12 - 1)+$D$2)^(1/252)</f>
        <v>42235780.026007801</v>
      </c>
      <c r="E155" s="24">
        <f>E154*(1+((1+VLOOKUP($B155,'IPCA Hist'!$B:$C,2,0))^12 - 1)+$E$2)^(1/252)</f>
        <v>42249136.27016975</v>
      </c>
      <c r="F155" s="24">
        <f>F154*(1+((1+VLOOKUP($B155,'IPCA Hist'!$B:$C,2,0))^12 - 1)+$F$2)^(1/252)</f>
        <v>5242993.9889891082</v>
      </c>
      <c r="G155" s="24">
        <f t="shared" si="37"/>
        <v>173543166.17428768</v>
      </c>
      <c r="H155" s="2">
        <v>0</v>
      </c>
      <c r="I155" s="2">
        <v>0</v>
      </c>
      <c r="J155" s="24">
        <f t="shared" si="30"/>
        <v>71624.465982705355</v>
      </c>
      <c r="K155" s="24">
        <f t="shared" si="38"/>
        <v>857539.99916037917</v>
      </c>
      <c r="L155" s="24">
        <f t="shared" si="39"/>
        <v>11324183.898259997</v>
      </c>
      <c r="M155" s="46">
        <f t="shared" si="43"/>
        <v>1.079770866868403</v>
      </c>
      <c r="N155" s="47">
        <f t="shared" si="44"/>
        <v>4.1288885356860483E-4</v>
      </c>
      <c r="O155" s="47">
        <f t="shared" si="40"/>
        <v>4.9659025951052094E-3</v>
      </c>
      <c r="P155" s="47">
        <f t="shared" si="41"/>
        <v>6.9808007295911079E-2</v>
      </c>
      <c r="Q155" s="48">
        <f t="shared" si="45"/>
        <v>7.9770866868402956E-2</v>
      </c>
      <c r="R155" s="49">
        <f t="shared" si="42"/>
        <v>6.6654867542214058E-2</v>
      </c>
      <c r="S155" s="49" t="e">
        <f>M155/#REF! - 1</f>
        <v>#REF!</v>
      </c>
      <c r="T155" s="49" t="e">
        <f>M155/#REF! - 1</f>
        <v>#REF!</v>
      </c>
    </row>
    <row r="156" spans="1:20" x14ac:dyDescent="0.25">
      <c r="A156" s="1">
        <v>45855</v>
      </c>
      <c r="B156" s="1" t="str">
        <f t="shared" ref="B156:B166" si="46">_xlfn.CONCAT(TEXT(YEAR(A156),"0000"),TEXT(MONTH(A156),"00"))</f>
        <v>202507</v>
      </c>
      <c r="C156" s="24">
        <f>C155*(1+((1+VLOOKUP($B156,'IPCA Hist'!$B:$C,2,0))^12 - 1)+$C$2)^(1/252)</f>
        <v>83848064.311535612</v>
      </c>
      <c r="D156" s="24">
        <f>D155*(1+((1+VLOOKUP($B156,'IPCA Hist'!$B:$C,2,0))^12 - 1)+$D$2)^(1/252)</f>
        <v>42254155.998496197</v>
      </c>
      <c r="E156" s="24">
        <f>E155*(1+((1+VLOOKUP($B156,'IPCA Hist'!$B:$C,2,0))^12 - 1)+$E$2)^(1/252)</f>
        <v>42267503.021598786</v>
      </c>
      <c r="F156" s="24">
        <f>F155*(1+((1+VLOOKUP($B156,'IPCA Hist'!$B:$C,2,0))^12 - 1)+$F$2)^(1/252)</f>
        <v>5245096.9617927708</v>
      </c>
      <c r="G156" s="24">
        <f t="shared" si="37"/>
        <v>173614820.29342335</v>
      </c>
      <c r="H156" s="2">
        <v>0</v>
      </c>
      <c r="I156" s="2">
        <v>0</v>
      </c>
      <c r="J156" s="24">
        <f t="shared" si="30"/>
        <v>71654.119135677814</v>
      </c>
      <c r="K156" s="24">
        <f t="shared" si="38"/>
        <v>929194.11829605699</v>
      </c>
      <c r="L156" s="24">
        <f t="shared" si="39"/>
        <v>11395838.017395675</v>
      </c>
      <c r="M156" s="46">
        <f t="shared" si="43"/>
        <v>1.0802166927227965</v>
      </c>
      <c r="N156" s="47">
        <f t="shared" si="44"/>
        <v>4.1288931575511612E-4</v>
      </c>
      <c r="O156" s="47">
        <f t="shared" si="40"/>
        <v>5.3808422789849431E-3</v>
      </c>
      <c r="P156" s="47">
        <f t="shared" si="41"/>
        <v>7.0249719592032855E-2</v>
      </c>
      <c r="Q156" s="48">
        <f t="shared" si="45"/>
        <v>8.0216692722796523E-2</v>
      </c>
      <c r="R156" s="49">
        <f t="shared" si="42"/>
        <v>6.6701624701571038E-2</v>
      </c>
      <c r="S156" s="49" t="e">
        <f>M156/#REF! - 1</f>
        <v>#REF!</v>
      </c>
      <c r="T156" s="49" t="e">
        <f>M156/#REF! - 1</f>
        <v>#REF!</v>
      </c>
    </row>
    <row r="157" spans="1:20" x14ac:dyDescent="0.25">
      <c r="A157" s="1">
        <v>45856</v>
      </c>
      <c r="B157" s="1" t="str">
        <f t="shared" si="46"/>
        <v>202507</v>
      </c>
      <c r="C157" s="24">
        <f>C156*(1+((1+VLOOKUP($B157,'IPCA Hist'!$B:$C,2,0))^12 - 1)+$C$2)^(1/252)</f>
        <v>83880885.576392457</v>
      </c>
      <c r="D157" s="24">
        <f>D156*(1+((1+VLOOKUP($B157,'IPCA Hist'!$B:$C,2,0))^12 - 1)+$D$2)^(1/252)</f>
        <v>42272539.966015458</v>
      </c>
      <c r="E157" s="24">
        <f>E156*(1+((1+VLOOKUP($B157,'IPCA Hist'!$B:$C,2,0))^12 - 1)+$E$2)^(1/252)</f>
        <v>42285877.757511951</v>
      </c>
      <c r="F157" s="24">
        <f>F156*(1+((1+VLOOKUP($B157,'IPCA Hist'!$B:$C,2,0))^12 - 1)+$F$2)^(1/252)</f>
        <v>5247200.7781019993</v>
      </c>
      <c r="G157" s="24">
        <f t="shared" si="37"/>
        <v>173686504.07802188</v>
      </c>
      <c r="H157" s="2">
        <v>0</v>
      </c>
      <c r="I157" s="2">
        <v>0</v>
      </c>
      <c r="J157" s="24">
        <f t="shared" ref="J157:J166" si="47">G157-G156-H157+I157</f>
        <v>71683.784598529339</v>
      </c>
      <c r="K157" s="24">
        <f t="shared" si="38"/>
        <v>1000877.9028945863</v>
      </c>
      <c r="L157" s="24">
        <f t="shared" si="39"/>
        <v>11467521.801994205</v>
      </c>
      <c r="M157" s="46">
        <f t="shared" si="43"/>
        <v>1.0806627031531848</v>
      </c>
      <c r="N157" s="47">
        <f t="shared" si="44"/>
        <v>4.1288977794273762E-4</v>
      </c>
      <c r="O157" s="47">
        <f t="shared" si="40"/>
        <v>5.7959537517013882E-3</v>
      </c>
      <c r="P157" s="47">
        <f t="shared" si="41"/>
        <v>7.0691614761098531E-2</v>
      </c>
      <c r="Q157" s="48">
        <f t="shared" si="45"/>
        <v>8.06627031531848E-2</v>
      </c>
      <c r="R157" s="49">
        <f t="shared" si="42"/>
        <v>6.6748383888612262E-2</v>
      </c>
      <c r="S157" s="49" t="e">
        <f>M157/#REF! - 1</f>
        <v>#REF!</v>
      </c>
      <c r="T157" s="49" t="e">
        <f>M157/#REF! - 1</f>
        <v>#REF!</v>
      </c>
    </row>
    <row r="158" spans="1:20" x14ac:dyDescent="0.25">
      <c r="A158" s="1">
        <v>45859</v>
      </c>
      <c r="B158" s="1" t="str">
        <f t="shared" si="46"/>
        <v>202507</v>
      </c>
      <c r="C158" s="24">
        <f>C157*(1+((1+VLOOKUP($B158,'IPCA Hist'!$B:$C,2,0))^12 - 1)+$C$2)^(1/252)</f>
        <v>83913719.688718528</v>
      </c>
      <c r="D158" s="24">
        <f>D157*(1+((1+VLOOKUP($B158,'IPCA Hist'!$B:$C,2,0))^12 - 1)+$D$2)^(1/252)</f>
        <v>42290931.932044066</v>
      </c>
      <c r="E158" s="24">
        <f>E157*(1+((1+VLOOKUP($B158,'IPCA Hist'!$B:$C,2,0))^12 - 1)+$E$2)^(1/252)</f>
        <v>42304260.481380306</v>
      </c>
      <c r="F158" s="24">
        <f>F157*(1+((1+VLOOKUP($B158,'IPCA Hist'!$B:$C,2,0))^12 - 1)+$F$2)^(1/252)</f>
        <v>5249305.4382551257</v>
      </c>
      <c r="G158" s="24">
        <f t="shared" si="37"/>
        <v>173758217.54039803</v>
      </c>
      <c r="H158" s="2">
        <v>0</v>
      </c>
      <c r="I158" s="2">
        <v>0</v>
      </c>
      <c r="J158" s="24">
        <f t="shared" si="47"/>
        <v>71713.462376147509</v>
      </c>
      <c r="K158" s="24">
        <f t="shared" si="38"/>
        <v>1072591.3652707338</v>
      </c>
      <c r="L158" s="24">
        <f t="shared" si="39"/>
        <v>11539235.264370352</v>
      </c>
      <c r="M158" s="46">
        <f t="shared" si="43"/>
        <v>1.0811088982361894</v>
      </c>
      <c r="N158" s="47">
        <f t="shared" si="44"/>
        <v>4.1289024013013709E-4</v>
      </c>
      <c r="O158" s="47">
        <f t="shared" si="40"/>
        <v>6.2112370845679443E-3</v>
      </c>
      <c r="P158" s="47">
        <f t="shared" si="41"/>
        <v>7.1133692879022492E-2</v>
      </c>
      <c r="Q158" s="48">
        <f t="shared" si="45"/>
        <v>8.1108898236189386E-2</v>
      </c>
      <c r="R158" s="49">
        <f t="shared" si="42"/>
        <v>6.6795145103424769E-2</v>
      </c>
      <c r="S158" s="49" t="e">
        <f>M158/#REF! - 1</f>
        <v>#REF!</v>
      </c>
      <c r="T158" s="49" t="e">
        <f>M158/#REF! - 1</f>
        <v>#REF!</v>
      </c>
    </row>
    <row r="159" spans="1:20" x14ac:dyDescent="0.25">
      <c r="A159" s="1">
        <v>45860</v>
      </c>
      <c r="B159" s="1" t="str">
        <f t="shared" si="46"/>
        <v>202507</v>
      </c>
      <c r="C159" s="24">
        <f>C158*(1+((1+VLOOKUP($B159,'IPCA Hist'!$B:$C,2,0))^12 - 1)+$C$2)^(1/252)</f>
        <v>83946566.653542817</v>
      </c>
      <c r="D159" s="24">
        <f>D158*(1+((1+VLOOKUP($B159,'IPCA Hist'!$B:$C,2,0))^12 - 1)+$D$2)^(1/252)</f>
        <v>42309331.900062025</v>
      </c>
      <c r="E159" s="24">
        <f>E158*(1+((1+VLOOKUP($B159,'IPCA Hist'!$B:$C,2,0))^12 - 1)+$E$2)^(1/252)</f>
        <v>42322651.196676403</v>
      </c>
      <c r="F159" s="24">
        <f>F158*(1+((1+VLOOKUP($B159,'IPCA Hist'!$B:$C,2,0))^12 - 1)+$F$2)^(1/252)</f>
        <v>5251410.9425906166</v>
      </c>
      <c r="G159" s="24">
        <f t="shared" si="37"/>
        <v>173829960.69287187</v>
      </c>
      <c r="H159" s="2">
        <v>0</v>
      </c>
      <c r="I159" s="2">
        <v>0</v>
      </c>
      <c r="J159" s="24">
        <f t="shared" si="47"/>
        <v>71743.152473837137</v>
      </c>
      <c r="K159" s="24">
        <f t="shared" si="38"/>
        <v>1144334.517744571</v>
      </c>
      <c r="L159" s="24">
        <f t="shared" si="39"/>
        <v>11610978.416844189</v>
      </c>
      <c r="M159" s="46">
        <f t="shared" si="43"/>
        <v>1.0815552780484647</v>
      </c>
      <c r="N159" s="47">
        <f t="shared" si="44"/>
        <v>4.1289070231842473E-4</v>
      </c>
      <c r="O159" s="47">
        <f t="shared" si="40"/>
        <v>6.6266923489284313E-3</v>
      </c>
      <c r="P159" s="47">
        <f t="shared" si="41"/>
        <v>7.1575954021752208E-2</v>
      </c>
      <c r="Q159" s="48">
        <f t="shared" si="45"/>
        <v>8.1555278048464741E-2</v>
      </c>
      <c r="R159" s="49">
        <f t="shared" si="42"/>
        <v>6.6841908346096712E-2</v>
      </c>
      <c r="S159" s="49" t="e">
        <f>M159/#REF! - 1</f>
        <v>#REF!</v>
      </c>
      <c r="T159" s="49" t="e">
        <f>M159/#REF! - 1</f>
        <v>#REF!</v>
      </c>
    </row>
    <row r="160" spans="1:20" x14ac:dyDescent="0.25">
      <c r="A160" s="1">
        <v>45861</v>
      </c>
      <c r="B160" s="1" t="str">
        <f t="shared" si="46"/>
        <v>202507</v>
      </c>
      <c r="C160" s="24">
        <f>C159*(1+((1+VLOOKUP($B160,'IPCA Hist'!$B:$C,2,0))^12 - 1)+$C$2)^(1/252)</f>
        <v>83979426.475896269</v>
      </c>
      <c r="D160" s="24">
        <f>D159*(1+((1+VLOOKUP($B160,'IPCA Hist'!$B:$C,2,0))^12 - 1)+$D$2)^(1/252)</f>
        <v>42327739.87355084</v>
      </c>
      <c r="E160" s="24">
        <f>E159*(1+((1+VLOOKUP($B160,'IPCA Hist'!$B:$C,2,0))^12 - 1)+$E$2)^(1/252)</f>
        <v>42341049.906874321</v>
      </c>
      <c r="F160" s="24">
        <f>F159*(1+((1+VLOOKUP($B160,'IPCA Hist'!$B:$C,2,0))^12 - 1)+$F$2)^(1/252)</f>
        <v>5253517.2914470751</v>
      </c>
      <c r="G160" s="24">
        <f t="shared" si="37"/>
        <v>173901733.5477685</v>
      </c>
      <c r="H160" s="2">
        <v>0</v>
      </c>
      <c r="I160" s="2">
        <v>0</v>
      </c>
      <c r="J160" s="24">
        <f t="shared" si="47"/>
        <v>71772.854896634817</v>
      </c>
      <c r="K160" s="24">
        <f t="shared" si="38"/>
        <v>1216107.3726412058</v>
      </c>
      <c r="L160" s="24">
        <f t="shared" si="39"/>
        <v>11682751.271740824</v>
      </c>
      <c r="M160" s="46">
        <f t="shared" si="43"/>
        <v>1.0820018426666966</v>
      </c>
      <c r="N160" s="47">
        <f t="shared" si="44"/>
        <v>4.1289116450671237E-4</v>
      </c>
      <c r="O160" s="47">
        <f t="shared" si="40"/>
        <v>7.0423196161559787E-3</v>
      </c>
      <c r="P160" s="47">
        <f t="shared" si="41"/>
        <v>7.2018398265265571E-2</v>
      </c>
      <c r="Q160" s="48">
        <f t="shared" si="45"/>
        <v>8.2001842666696634E-2</v>
      </c>
      <c r="R160" s="49">
        <f t="shared" si="42"/>
        <v>6.6888673616715133E-2</v>
      </c>
      <c r="S160" s="49" t="e">
        <f>M160/#REF! - 1</f>
        <v>#REF!</v>
      </c>
      <c r="T160" s="49" t="e">
        <f>M160/#REF! - 1</f>
        <v>#REF!</v>
      </c>
    </row>
    <row r="161" spans="1:20" x14ac:dyDescent="0.25">
      <c r="A161" s="1">
        <v>45862</v>
      </c>
      <c r="B161" s="1" t="str">
        <f t="shared" si="46"/>
        <v>202507</v>
      </c>
      <c r="C161" s="24">
        <f>C160*(1+((1+VLOOKUP($B161,'IPCA Hist'!$B:$C,2,0))^12 - 1)+$C$2)^(1/252)</f>
        <v>84012299.160811812</v>
      </c>
      <c r="D161" s="24">
        <f>D160*(1+((1+VLOOKUP($B161,'IPCA Hist'!$B:$C,2,0))^12 - 1)+$D$2)^(1/252)</f>
        <v>42346155.855993532</v>
      </c>
      <c r="E161" s="24">
        <f>E160*(1+((1+VLOOKUP($B161,'IPCA Hist'!$B:$C,2,0))^12 - 1)+$E$2)^(1/252)</f>
        <v>42359456.615449645</v>
      </c>
      <c r="F161" s="24">
        <f>F160*(1+((1+VLOOKUP($B161,'IPCA Hist'!$B:$C,2,0))^12 - 1)+$F$2)^(1/252)</f>
        <v>5255624.4851632388</v>
      </c>
      <c r="G161" s="24">
        <f t="shared" si="37"/>
        <v>173973536.11741823</v>
      </c>
      <c r="H161" s="2">
        <v>0</v>
      </c>
      <c r="I161" s="2">
        <v>0</v>
      </c>
      <c r="J161" s="24">
        <f t="shared" si="47"/>
        <v>71802.569649726152</v>
      </c>
      <c r="K161" s="24">
        <f t="shared" si="38"/>
        <v>1287909.9422909319</v>
      </c>
      <c r="L161" s="24">
        <f t="shared" si="39"/>
        <v>11754553.84139055</v>
      </c>
      <c r="M161" s="46">
        <f t="shared" si="43"/>
        <v>1.082448592167603</v>
      </c>
      <c r="N161" s="47">
        <f t="shared" si="44"/>
        <v>4.1289162669566615E-4</v>
      </c>
      <c r="O161" s="47">
        <f t="shared" si="40"/>
        <v>7.4581189576536921E-3</v>
      </c>
      <c r="P161" s="47">
        <f t="shared" si="41"/>
        <v>7.2461025685572888E-2</v>
      </c>
      <c r="Q161" s="48">
        <f t="shared" si="45"/>
        <v>8.244859216760303E-2</v>
      </c>
      <c r="R161" s="49">
        <f t="shared" si="42"/>
        <v>6.6935440915367295E-2</v>
      </c>
      <c r="S161" s="49" t="e">
        <f>M161/#REF! - 1</f>
        <v>#REF!</v>
      </c>
      <c r="T161" s="49" t="e">
        <f>M161/#REF! - 1</f>
        <v>#REF!</v>
      </c>
    </row>
    <row r="162" spans="1:20" x14ac:dyDescent="0.25">
      <c r="A162" s="1">
        <v>45863</v>
      </c>
      <c r="B162" s="1" t="str">
        <f t="shared" si="46"/>
        <v>202507</v>
      </c>
      <c r="C162" s="24">
        <f>C161*(1+((1+VLOOKUP($B162,'IPCA Hist'!$B:$C,2,0))^12 - 1)+$C$2)^(1/252)</f>
        <v>84045184.713324323</v>
      </c>
      <c r="D162" s="24">
        <f>D161*(1+((1+VLOOKUP($B162,'IPCA Hist'!$B:$C,2,0))^12 - 1)+$D$2)^(1/252)</f>
        <v>42364579.850874647</v>
      </c>
      <c r="E162" s="24">
        <f>E161*(1+((1+VLOOKUP($B162,'IPCA Hist'!$B:$C,2,0))^12 - 1)+$E$2)^(1/252)</f>
        <v>42377871.325879462</v>
      </c>
      <c r="F162" s="24">
        <f>F161*(1+((1+VLOOKUP($B162,'IPCA Hist'!$B:$C,2,0))^12 - 1)+$F$2)^(1/252)</f>
        <v>5257732.5240779836</v>
      </c>
      <c r="G162" s="24">
        <f t="shared" si="37"/>
        <v>174045368.41415641</v>
      </c>
      <c r="H162" s="2">
        <v>0</v>
      </c>
      <c r="I162" s="2">
        <v>0</v>
      </c>
      <c r="J162" s="24">
        <f t="shared" si="47"/>
        <v>71832.296738177538</v>
      </c>
      <c r="K162" s="24">
        <f t="shared" si="38"/>
        <v>1359742.2390291095</v>
      </c>
      <c r="L162" s="24">
        <f t="shared" si="39"/>
        <v>11826386.138128728</v>
      </c>
      <c r="M162" s="46">
        <f t="shared" si="43"/>
        <v>1.0828955266279334</v>
      </c>
      <c r="N162" s="47">
        <f t="shared" si="44"/>
        <v>4.1289208888461992E-4</v>
      </c>
      <c r="O162" s="47">
        <f t="shared" si="40"/>
        <v>7.8740904448539872E-3</v>
      </c>
      <c r="P162" s="47">
        <f t="shared" si="41"/>
        <v>7.2903836358715557E-2</v>
      </c>
      <c r="Q162" s="48">
        <f t="shared" si="45"/>
        <v>8.2895526627933425E-2</v>
      </c>
      <c r="R162" s="49">
        <f t="shared" si="42"/>
        <v>6.6982210242140239E-2</v>
      </c>
      <c r="S162" s="49" t="e">
        <f>M162/#REF! - 1</f>
        <v>#REF!</v>
      </c>
      <c r="T162" s="49" t="e">
        <f>M162/#REF! - 1</f>
        <v>#REF!</v>
      </c>
    </row>
    <row r="163" spans="1:20" x14ac:dyDescent="0.25">
      <c r="A163" s="1">
        <v>45866</v>
      </c>
      <c r="B163" s="1" t="str">
        <f t="shared" si="46"/>
        <v>202507</v>
      </c>
      <c r="C163" s="24">
        <f>C162*(1+((1+VLOOKUP($B163,'IPCA Hist'!$B:$C,2,0))^12 - 1)+$C$2)^(1/252)</f>
        <v>84078083.13847065</v>
      </c>
      <c r="D163" s="24">
        <f>D162*(1+((1+VLOOKUP($B163,'IPCA Hist'!$B:$C,2,0))^12 - 1)+$D$2)^(1/252)</f>
        <v>42383011.861680247</v>
      </c>
      <c r="E163" s="24">
        <f>E162*(1+((1+VLOOKUP($B163,'IPCA Hist'!$B:$C,2,0))^12 - 1)+$E$2)^(1/252)</f>
        <v>42396294.041642383</v>
      </c>
      <c r="F163" s="24">
        <f>F162*(1+((1+VLOOKUP($B163,'IPCA Hist'!$B:$C,2,0))^12 - 1)+$F$2)^(1/252)</f>
        <v>5259841.4085303191</v>
      </c>
      <c r="G163" s="24">
        <f t="shared" ref="G163:G166" si="48">SUM(C163:F163)</f>
        <v>174117230.45032361</v>
      </c>
      <c r="H163" s="2">
        <v>0</v>
      </c>
      <c r="I163" s="2">
        <v>0</v>
      </c>
      <c r="J163" s="24">
        <f t="shared" si="47"/>
        <v>71862.03616720438</v>
      </c>
      <c r="K163" s="24">
        <f t="shared" si="38"/>
        <v>1431604.2751963139</v>
      </c>
      <c r="L163" s="24">
        <f t="shared" si="39"/>
        <v>11898248.174295932</v>
      </c>
      <c r="M163" s="46">
        <f t="shared" si="43"/>
        <v>1.08334264612447</v>
      </c>
      <c r="N163" s="47">
        <f t="shared" si="44"/>
        <v>4.1289255107446188E-4</v>
      </c>
      <c r="O163" s="47">
        <f t="shared" si="40"/>
        <v>8.2902341492196996E-3</v>
      </c>
      <c r="P163" s="47">
        <f t="shared" si="41"/>
        <v>7.334683036076739E-2</v>
      </c>
      <c r="Q163" s="48">
        <f t="shared" si="45"/>
        <v>8.3342646124469955E-2</v>
      </c>
      <c r="R163" s="49">
        <f t="shared" si="42"/>
        <v>6.7028981597122339E-2</v>
      </c>
      <c r="S163" s="49" t="e">
        <f>M163/#REF! - 1</f>
        <v>#REF!</v>
      </c>
      <c r="T163" s="49" t="e">
        <f>M163/#REF! - 1</f>
        <v>#REF!</v>
      </c>
    </row>
    <row r="164" spans="1:20" x14ac:dyDescent="0.25">
      <c r="A164" s="1">
        <v>45867</v>
      </c>
      <c r="B164" s="1" t="str">
        <f t="shared" si="46"/>
        <v>202507</v>
      </c>
      <c r="C164" s="24">
        <f>C163*(1+((1+VLOOKUP($B164,'IPCA Hist'!$B:$C,2,0))^12 - 1)+$C$2)^(1/252)</f>
        <v>84110994.441289634</v>
      </c>
      <c r="D164" s="24">
        <f>D163*(1+((1+VLOOKUP($B164,'IPCA Hist'!$B:$C,2,0))^12 - 1)+$D$2)^(1/252)</f>
        <v>42401451.891897902</v>
      </c>
      <c r="E164" s="24">
        <f>E163*(1+((1+VLOOKUP($B164,'IPCA Hist'!$B:$C,2,0))^12 - 1)+$E$2)^(1/252)</f>
        <v>42414724.766218521</v>
      </c>
      <c r="F164" s="24">
        <f>F163*(1+((1+VLOOKUP($B164,'IPCA Hist'!$B:$C,2,0))^12 - 1)+$F$2)^(1/252)</f>
        <v>5261951.1388593921</v>
      </c>
      <c r="G164" s="24">
        <f t="shared" si="48"/>
        <v>174189122.23826545</v>
      </c>
      <c r="H164" s="2">
        <v>0</v>
      </c>
      <c r="I164" s="2">
        <v>0</v>
      </c>
      <c r="J164" s="24">
        <f t="shared" si="47"/>
        <v>71891.787941843271</v>
      </c>
      <c r="K164" s="24">
        <f t="shared" ref="K164:K166" si="49">IF(MONTH(A164)=MONTH(A163),J164+K163,J164)</f>
        <v>1503496.0631381571</v>
      </c>
      <c r="L164" s="24">
        <f t="shared" si="39"/>
        <v>11970139.962237775</v>
      </c>
      <c r="M164" s="46">
        <f t="shared" si="43"/>
        <v>1.0837899507340258</v>
      </c>
      <c r="N164" s="47">
        <f t="shared" si="44"/>
        <v>4.1289301326408179E-4</v>
      </c>
      <c r="O164" s="47">
        <f t="shared" ref="O164:O166" si="50">IF(MONTH(A164)=MONTH(A163),(1+N164)*(1+O163) - 1,N164)</f>
        <v>8.7065501422423086E-3</v>
      </c>
      <c r="P164" s="47">
        <f t="shared" si="41"/>
        <v>7.37900077678324E-2</v>
      </c>
      <c r="Q164" s="48">
        <f t="shared" si="45"/>
        <v>8.3789950734025842E-2</v>
      </c>
      <c r="R164" s="49">
        <f t="shared" si="42"/>
        <v>6.7075754980400415E-2</v>
      </c>
      <c r="S164" s="49" t="e">
        <f>M164/#REF! - 1</f>
        <v>#REF!</v>
      </c>
      <c r="T164" s="49" t="e">
        <f>M164/#REF! - 1</f>
        <v>#REF!</v>
      </c>
    </row>
    <row r="165" spans="1:20" x14ac:dyDescent="0.25">
      <c r="A165" s="1">
        <v>45868</v>
      </c>
      <c r="B165" s="1" t="str">
        <f t="shared" si="46"/>
        <v>202507</v>
      </c>
      <c r="C165" s="24">
        <f>C164*(1+((1+VLOOKUP($B165,'IPCA Hist'!$B:$C,2,0))^12 - 1)+$C$2)^(1/252)</f>
        <v>84143918.626822084</v>
      </c>
      <c r="D165" s="24">
        <f>D164*(1+((1+VLOOKUP($B165,'IPCA Hist'!$B:$C,2,0))^12 - 1)+$D$2)^(1/252)</f>
        <v>42419899.945016704</v>
      </c>
      <c r="E165" s="24">
        <f>E164*(1+((1+VLOOKUP($B165,'IPCA Hist'!$B:$C,2,0))^12 - 1)+$E$2)^(1/252)</f>
        <v>42433163.50308951</v>
      </c>
      <c r="F165" s="24">
        <f>F164*(1+((1+VLOOKUP($B165,'IPCA Hist'!$B:$C,2,0))^12 - 1)+$F$2)^(1/252)</f>
        <v>5264061.7154044844</v>
      </c>
      <c r="G165" s="24">
        <f t="shared" si="48"/>
        <v>174261043.79033279</v>
      </c>
      <c r="H165" s="2">
        <v>0</v>
      </c>
      <c r="I165" s="2">
        <v>0</v>
      </c>
      <c r="J165" s="24">
        <f t="shared" si="47"/>
        <v>71921.55206733942</v>
      </c>
      <c r="K165" s="24">
        <f t="shared" si="49"/>
        <v>1575417.6152054965</v>
      </c>
      <c r="L165" s="24">
        <f t="shared" si="39"/>
        <v>12042061.514305115</v>
      </c>
      <c r="M165" s="46">
        <f t="shared" si="43"/>
        <v>1.0842374405334472</v>
      </c>
      <c r="N165" s="47">
        <f t="shared" si="44"/>
        <v>4.1289347545458988E-4</v>
      </c>
      <c r="O165" s="47">
        <f t="shared" si="50"/>
        <v>9.1230384954443799E-3</v>
      </c>
      <c r="P165" s="47">
        <f t="shared" si="41"/>
        <v>7.4233368656048127E-2</v>
      </c>
      <c r="Q165" s="48">
        <f t="shared" si="45"/>
        <v>8.4237440533447172E-2</v>
      </c>
      <c r="R165" s="49">
        <f t="shared" si="42"/>
        <v>6.7122530392062174E-2</v>
      </c>
      <c r="S165" s="49" t="e">
        <f>M165/#REF! - 1</f>
        <v>#REF!</v>
      </c>
      <c r="T165" s="49" t="e">
        <f>M165/#REF! - 1</f>
        <v>#REF!</v>
      </c>
    </row>
    <row r="166" spans="1:20" x14ac:dyDescent="0.25">
      <c r="A166" s="1">
        <v>45869</v>
      </c>
      <c r="B166" s="1" t="str">
        <f t="shared" si="46"/>
        <v>202507</v>
      </c>
      <c r="C166" s="24">
        <f>C165*(1+((1+VLOOKUP($B166,'IPCA Hist'!$B:$C,2,0))^12 - 1)+$C$2)^(1/252)</f>
        <v>84176855.700110763</v>
      </c>
      <c r="D166" s="24">
        <f>D165*(1+((1+VLOOKUP($B166,'IPCA Hist'!$B:$C,2,0))^12 - 1)+$D$2)^(1/252)</f>
        <v>42438356.024527259</v>
      </c>
      <c r="E166" s="24">
        <f>E165*(1+((1+VLOOKUP($B166,'IPCA Hist'!$B:$C,2,0))^12 - 1)+$E$2)^(1/252)</f>
        <v>42451610.255738489</v>
      </c>
      <c r="F166" s="24">
        <f>F165*(1+((1+VLOOKUP($B166,'IPCA Hist'!$B:$C,2,0))^12 - 1)+$F$2)^(1/252)</f>
        <v>5266173.1385050155</v>
      </c>
      <c r="G166" s="24">
        <f t="shared" si="48"/>
        <v>174332995.11888152</v>
      </c>
      <c r="H166" s="2">
        <v>0</v>
      </c>
      <c r="I166" s="2">
        <v>0</v>
      </c>
      <c r="J166" s="24">
        <f t="shared" si="47"/>
        <v>71951.32854872942</v>
      </c>
      <c r="K166" s="24">
        <f t="shared" si="49"/>
        <v>1647368.943754226</v>
      </c>
      <c r="L166" s="24">
        <f t="shared" si="39"/>
        <v>12114012.842853844</v>
      </c>
      <c r="M166" s="46">
        <f t="shared" si="43"/>
        <v>1.0846851155996113</v>
      </c>
      <c r="N166" s="47">
        <f t="shared" si="44"/>
        <v>4.1289393764509796E-4</v>
      </c>
      <c r="O166" s="47">
        <f t="shared" si="50"/>
        <v>9.539699280377123E-3</v>
      </c>
      <c r="P166" s="47">
        <f t="shared" si="41"/>
        <v>7.467691310158231E-2</v>
      </c>
      <c r="Q166" s="48">
        <f t="shared" si="45"/>
        <v>8.4685115599611338E-2</v>
      </c>
      <c r="R166" s="49">
        <f t="shared" si="42"/>
        <v>6.7169307832194214E-2</v>
      </c>
      <c r="S166" s="49" t="e">
        <f>M166/#REF! - 1</f>
        <v>#REF!</v>
      </c>
      <c r="T166" s="49" t="e">
        <f>M166/#REF! - 1</f>
        <v>#REF!</v>
      </c>
    </row>
  </sheetData>
  <mergeCells count="15">
    <mergeCell ref="S1:S2"/>
    <mergeCell ref="T1:T2"/>
    <mergeCell ref="M1:M2"/>
    <mergeCell ref="N1:N2"/>
    <mergeCell ref="O1:O2"/>
    <mergeCell ref="P1:P2"/>
    <mergeCell ref="Q1:Q2"/>
    <mergeCell ref="R1:R2"/>
    <mergeCell ref="L1:L2"/>
    <mergeCell ref="A1:A2"/>
    <mergeCell ref="G1:G2"/>
    <mergeCell ref="H1:H2"/>
    <mergeCell ref="I1:I2"/>
    <mergeCell ref="J1:J2"/>
    <mergeCell ref="K1:K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DF85-FEF4-455E-9593-C420C6505591}">
  <dimension ref="A1:B410"/>
  <sheetViews>
    <sheetView topLeftCell="A238" workbookViewId="0">
      <selection activeCell="E12" sqref="E12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14</v>
      </c>
      <c r="B1" t="s">
        <v>40</v>
      </c>
    </row>
    <row r="2" spans="1:2" x14ac:dyDescent="0.25">
      <c r="A2" s="1">
        <v>45103</v>
      </c>
      <c r="B2">
        <v>31.024581000000001</v>
      </c>
    </row>
    <row r="3" spans="1:2" x14ac:dyDescent="0.25">
      <c r="A3" s="1">
        <v>45104</v>
      </c>
      <c r="B3">
        <v>31.246359000000002</v>
      </c>
    </row>
    <row r="4" spans="1:2" x14ac:dyDescent="0.25">
      <c r="A4" s="1">
        <v>45105</v>
      </c>
      <c r="B4">
        <v>31.613629</v>
      </c>
    </row>
    <row r="5" spans="1:2" x14ac:dyDescent="0.25">
      <c r="A5" s="1">
        <v>45106</v>
      </c>
      <c r="B5">
        <v>31.412291</v>
      </c>
    </row>
    <row r="6" spans="1:2" x14ac:dyDescent="0.25">
      <c r="A6" s="1">
        <v>45107</v>
      </c>
      <c r="B6">
        <v>31.740943000000001</v>
      </c>
    </row>
    <row r="7" spans="1:2" x14ac:dyDescent="0.25">
      <c r="A7" s="1">
        <v>45110</v>
      </c>
      <c r="B7">
        <v>30.651769999999999</v>
      </c>
    </row>
    <row r="8" spans="1:2" x14ac:dyDescent="0.25">
      <c r="A8" s="1">
        <v>45111</v>
      </c>
      <c r="B8">
        <v>30.647416</v>
      </c>
    </row>
    <row r="9" spans="1:2" x14ac:dyDescent="0.25">
      <c r="A9" s="1">
        <v>45112</v>
      </c>
      <c r="B9">
        <v>31.109926999999999</v>
      </c>
    </row>
    <row r="10" spans="1:2" x14ac:dyDescent="0.25">
      <c r="A10" s="1">
        <v>45113</v>
      </c>
      <c r="B10">
        <v>30.3</v>
      </c>
    </row>
    <row r="11" spans="1:2" x14ac:dyDescent="0.25">
      <c r="A11" s="1">
        <v>45114</v>
      </c>
      <c r="B11">
        <v>30.816358999999999</v>
      </c>
    </row>
    <row r="12" spans="1:2" x14ac:dyDescent="0.25">
      <c r="A12" s="1">
        <v>45117</v>
      </c>
      <c r="B12">
        <v>31.156390999999999</v>
      </c>
    </row>
    <row r="13" spans="1:2" x14ac:dyDescent="0.25">
      <c r="A13" s="1">
        <v>45118</v>
      </c>
      <c r="B13">
        <v>30.867934999999999</v>
      </c>
    </row>
    <row r="14" spans="1:2" x14ac:dyDescent="0.25">
      <c r="A14" s="1">
        <v>45119</v>
      </c>
      <c r="B14">
        <v>30.692057999999999</v>
      </c>
    </row>
    <row r="15" spans="1:2" x14ac:dyDescent="0.25">
      <c r="A15" s="1">
        <v>45120</v>
      </c>
      <c r="B15">
        <v>30.326416999999999</v>
      </c>
    </row>
    <row r="16" spans="1:2" x14ac:dyDescent="0.25">
      <c r="A16" s="1">
        <v>45121</v>
      </c>
      <c r="B16">
        <v>30.468776999999999</v>
      </c>
    </row>
    <row r="17" spans="1:2" x14ac:dyDescent="0.25">
      <c r="A17" s="1">
        <v>45124</v>
      </c>
      <c r="B17">
        <v>31.486180000000001</v>
      </c>
    </row>
    <row r="18" spans="1:2" x14ac:dyDescent="0.25">
      <c r="A18" s="1">
        <v>45125</v>
      </c>
      <c r="B18">
        <v>30.7744</v>
      </c>
    </row>
    <row r="19" spans="1:2" x14ac:dyDescent="0.25">
      <c r="A19" s="1">
        <v>45126</v>
      </c>
      <c r="B19">
        <v>32.486221999999998</v>
      </c>
    </row>
    <row r="20" spans="1:2" x14ac:dyDescent="0.25">
      <c r="A20" s="1">
        <v>45127</v>
      </c>
      <c r="B20">
        <v>32.614106999999997</v>
      </c>
    </row>
    <row r="21" spans="1:2" x14ac:dyDescent="0.25">
      <c r="A21" s="1">
        <v>45128</v>
      </c>
      <c r="B21">
        <v>31.318089000000001</v>
      </c>
    </row>
    <row r="22" spans="1:2" x14ac:dyDescent="0.25">
      <c r="A22" s="1">
        <v>45131</v>
      </c>
      <c r="B22">
        <v>30.797901</v>
      </c>
    </row>
    <row r="23" spans="1:2" x14ac:dyDescent="0.25">
      <c r="A23" s="1">
        <v>45132</v>
      </c>
      <c r="B23">
        <v>29.978659</v>
      </c>
    </row>
    <row r="24" spans="1:2" x14ac:dyDescent="0.25">
      <c r="A24" s="1">
        <v>45133</v>
      </c>
      <c r="B24">
        <v>30.869039000000001</v>
      </c>
    </row>
    <row r="25" spans="1:2" x14ac:dyDescent="0.25">
      <c r="A25" s="1">
        <v>45134</v>
      </c>
      <c r="B25">
        <v>30.976711000000002</v>
      </c>
    </row>
    <row r="26" spans="1:2" x14ac:dyDescent="0.25">
      <c r="A26" s="1">
        <v>45135</v>
      </c>
      <c r="B26">
        <v>31.664439999999999</v>
      </c>
    </row>
    <row r="27" spans="1:2" x14ac:dyDescent="0.25">
      <c r="A27" s="1">
        <v>45138</v>
      </c>
      <c r="B27">
        <v>30.746538999999999</v>
      </c>
    </row>
    <row r="28" spans="1:2" x14ac:dyDescent="0.25">
      <c r="A28" s="1">
        <v>45139</v>
      </c>
      <c r="B28">
        <v>30.895557</v>
      </c>
    </row>
    <row r="29" spans="1:2" x14ac:dyDescent="0.25">
      <c r="A29" s="1">
        <v>45140</v>
      </c>
      <c r="B29">
        <v>31.399198999999999</v>
      </c>
    </row>
    <row r="30" spans="1:2" x14ac:dyDescent="0.25">
      <c r="A30" s="1">
        <v>45141</v>
      </c>
      <c r="B30">
        <v>30.2</v>
      </c>
    </row>
    <row r="31" spans="1:2" x14ac:dyDescent="0.25">
      <c r="A31" s="1">
        <v>45142</v>
      </c>
      <c r="B31">
        <v>29.744128</v>
      </c>
    </row>
    <row r="32" spans="1:2" x14ac:dyDescent="0.25">
      <c r="A32" s="1">
        <v>45145</v>
      </c>
      <c r="B32">
        <v>29.834641000000001</v>
      </c>
    </row>
    <row r="33" spans="1:2" x14ac:dyDescent="0.25">
      <c r="A33" s="1">
        <v>45146</v>
      </c>
      <c r="B33">
        <v>29.942271999999999</v>
      </c>
    </row>
    <row r="34" spans="1:2" x14ac:dyDescent="0.25">
      <c r="A34" s="1">
        <v>45147</v>
      </c>
      <c r="B34">
        <v>28.082187000000001</v>
      </c>
    </row>
    <row r="35" spans="1:2" x14ac:dyDescent="0.25">
      <c r="A35" s="1">
        <v>45148</v>
      </c>
      <c r="B35">
        <v>28.340544000000001</v>
      </c>
    </row>
    <row r="36" spans="1:2" x14ac:dyDescent="0.25">
      <c r="A36" s="1">
        <v>45149</v>
      </c>
      <c r="B36">
        <v>29.473998000000002</v>
      </c>
    </row>
    <row r="37" spans="1:2" x14ac:dyDescent="0.25">
      <c r="A37" s="1">
        <v>45152</v>
      </c>
      <c r="B37">
        <v>28.590433999999998</v>
      </c>
    </row>
    <row r="38" spans="1:2" x14ac:dyDescent="0.25">
      <c r="A38" s="1">
        <v>45153</v>
      </c>
      <c r="B38">
        <v>29.278334000000001</v>
      </c>
    </row>
    <row r="39" spans="1:2" x14ac:dyDescent="0.25">
      <c r="A39" s="1">
        <v>45154</v>
      </c>
      <c r="B39">
        <v>28.974081000000002</v>
      </c>
    </row>
    <row r="40" spans="1:2" x14ac:dyDescent="0.25">
      <c r="A40" s="1">
        <v>45155</v>
      </c>
      <c r="B40">
        <v>29.401990000000001</v>
      </c>
    </row>
    <row r="41" spans="1:2" x14ac:dyDescent="0.25">
      <c r="A41" s="1">
        <v>45156</v>
      </c>
      <c r="B41">
        <v>29.643865999999999</v>
      </c>
    </row>
    <row r="42" spans="1:2" x14ac:dyDescent="0.25">
      <c r="A42" s="1">
        <v>45159</v>
      </c>
      <c r="B42">
        <v>29.310970999999999</v>
      </c>
    </row>
    <row r="43" spans="1:2" x14ac:dyDescent="0.25">
      <c r="A43" s="1">
        <v>45160</v>
      </c>
      <c r="B43">
        <v>29.192271999999999</v>
      </c>
    </row>
    <row r="44" spans="1:2" x14ac:dyDescent="0.25">
      <c r="A44" s="1">
        <v>45161</v>
      </c>
      <c r="B44">
        <v>28.851065999999999</v>
      </c>
    </row>
    <row r="45" spans="1:2" x14ac:dyDescent="0.25">
      <c r="A45" s="1">
        <v>45162</v>
      </c>
      <c r="B45">
        <v>29.635382</v>
      </c>
    </row>
    <row r="46" spans="1:2" x14ac:dyDescent="0.25">
      <c r="A46" s="1">
        <v>45163</v>
      </c>
      <c r="B46">
        <v>29.021066000000001</v>
      </c>
    </row>
    <row r="47" spans="1:2" x14ac:dyDescent="0.25">
      <c r="A47" s="1">
        <v>45166</v>
      </c>
      <c r="B47">
        <v>28.6</v>
      </c>
    </row>
    <row r="48" spans="1:2" x14ac:dyDescent="0.25">
      <c r="A48" s="1">
        <v>45167</v>
      </c>
      <c r="B48">
        <v>29.151411</v>
      </c>
    </row>
    <row r="49" spans="1:2" x14ac:dyDescent="0.25">
      <c r="A49" s="1">
        <v>45168</v>
      </c>
      <c r="B49">
        <v>30.235899</v>
      </c>
    </row>
    <row r="50" spans="1:2" x14ac:dyDescent="0.25">
      <c r="A50" s="1">
        <v>45169</v>
      </c>
      <c r="B50">
        <v>28.991315</v>
      </c>
    </row>
    <row r="51" spans="1:2" x14ac:dyDescent="0.25">
      <c r="A51" s="1">
        <v>45170</v>
      </c>
      <c r="B51">
        <v>29.620498999999999</v>
      </c>
    </row>
    <row r="52" spans="1:2" x14ac:dyDescent="0.25">
      <c r="A52" s="1">
        <v>45173</v>
      </c>
      <c r="B52">
        <v>30.251207000000001</v>
      </c>
    </row>
    <row r="53" spans="1:2" x14ac:dyDescent="0.25">
      <c r="A53" s="1">
        <v>45174</v>
      </c>
      <c r="B53">
        <v>30.730422999999998</v>
      </c>
    </row>
    <row r="54" spans="1:2" x14ac:dyDescent="0.25">
      <c r="A54" s="1">
        <v>45175</v>
      </c>
      <c r="B54">
        <v>30.503053999999999</v>
      </c>
    </row>
    <row r="55" spans="1:2" x14ac:dyDescent="0.25">
      <c r="A55" s="1">
        <v>45177</v>
      </c>
      <c r="B55">
        <v>29.918766999999999</v>
      </c>
    </row>
    <row r="56" spans="1:2" x14ac:dyDescent="0.25">
      <c r="A56" s="1">
        <v>45180</v>
      </c>
      <c r="B56">
        <v>29.8</v>
      </c>
    </row>
    <row r="57" spans="1:2" x14ac:dyDescent="0.25">
      <c r="A57" s="1">
        <v>45181</v>
      </c>
      <c r="B57">
        <v>30.912298</v>
      </c>
    </row>
    <row r="58" spans="1:2" x14ac:dyDescent="0.25">
      <c r="A58" s="1">
        <v>45182</v>
      </c>
      <c r="B58">
        <v>31.140519999999999</v>
      </c>
    </row>
    <row r="59" spans="1:2" x14ac:dyDescent="0.25">
      <c r="A59" s="1">
        <v>45183</v>
      </c>
      <c r="B59">
        <v>31.233374000000001</v>
      </c>
    </row>
    <row r="60" spans="1:2" x14ac:dyDescent="0.25">
      <c r="A60" s="1">
        <v>45184</v>
      </c>
      <c r="B60">
        <v>31.416191999999999</v>
      </c>
    </row>
    <row r="61" spans="1:2" x14ac:dyDescent="0.25">
      <c r="A61" s="1">
        <v>45187</v>
      </c>
      <c r="B61">
        <v>31.150352000000002</v>
      </c>
    </row>
    <row r="62" spans="1:2" x14ac:dyDescent="0.25">
      <c r="A62" s="1">
        <v>45188</v>
      </c>
      <c r="B62">
        <v>31.705138999999999</v>
      </c>
    </row>
    <row r="63" spans="1:2" x14ac:dyDescent="0.25">
      <c r="A63" s="1">
        <v>45189</v>
      </c>
      <c r="B63">
        <v>31.6</v>
      </c>
    </row>
    <row r="64" spans="1:2" x14ac:dyDescent="0.25">
      <c r="A64" s="1">
        <v>45190</v>
      </c>
      <c r="B64">
        <v>30.740006999999999</v>
      </c>
    </row>
    <row r="65" spans="1:2" x14ac:dyDescent="0.25">
      <c r="A65" s="1">
        <v>45191</v>
      </c>
      <c r="B65">
        <v>31.728991000000001</v>
      </c>
    </row>
    <row r="66" spans="1:2" x14ac:dyDescent="0.25">
      <c r="A66" s="1">
        <v>45194</v>
      </c>
      <c r="B66">
        <v>31.278853999999999</v>
      </c>
    </row>
    <row r="67" spans="1:2" x14ac:dyDescent="0.25">
      <c r="A67" s="1">
        <v>45195</v>
      </c>
      <c r="B67">
        <v>31.496646999999999</v>
      </c>
    </row>
    <row r="68" spans="1:2" x14ac:dyDescent="0.25">
      <c r="A68" s="1">
        <v>45196</v>
      </c>
      <c r="B68">
        <v>31.174969999999998</v>
      </c>
    </row>
    <row r="69" spans="1:2" x14ac:dyDescent="0.25">
      <c r="A69" s="1">
        <v>45197</v>
      </c>
      <c r="B69">
        <v>31.736943</v>
      </c>
    </row>
    <row r="70" spans="1:2" x14ac:dyDescent="0.25">
      <c r="A70" s="1">
        <v>45198</v>
      </c>
      <c r="B70">
        <v>30.734677999999999</v>
      </c>
    </row>
    <row r="71" spans="1:2" x14ac:dyDescent="0.25">
      <c r="A71" s="1">
        <v>45201</v>
      </c>
      <c r="B71">
        <v>30.640252</v>
      </c>
    </row>
    <row r="72" spans="1:2" x14ac:dyDescent="0.25">
      <c r="A72" s="1">
        <v>45202</v>
      </c>
      <c r="B72">
        <v>30.218488000000001</v>
      </c>
    </row>
    <row r="73" spans="1:2" x14ac:dyDescent="0.25">
      <c r="A73" s="1">
        <v>45203</v>
      </c>
      <c r="B73">
        <v>30.177029000000001</v>
      </c>
    </row>
    <row r="74" spans="1:2" x14ac:dyDescent="0.25">
      <c r="A74" s="1">
        <v>45204</v>
      </c>
      <c r="B74">
        <v>30.386921000000001</v>
      </c>
    </row>
    <row r="75" spans="1:2" x14ac:dyDescent="0.25">
      <c r="A75" s="1">
        <v>45205</v>
      </c>
      <c r="B75">
        <v>30.449293999999998</v>
      </c>
    </row>
    <row r="76" spans="1:2" x14ac:dyDescent="0.25">
      <c r="A76" s="1">
        <v>45208</v>
      </c>
      <c r="B76">
        <v>30.955563999999999</v>
      </c>
    </row>
    <row r="77" spans="1:2" x14ac:dyDescent="0.25">
      <c r="A77" s="1">
        <v>45209</v>
      </c>
      <c r="B77">
        <v>30.181636999999998</v>
      </c>
    </row>
    <row r="78" spans="1:2" x14ac:dyDescent="0.25">
      <c r="A78" s="1">
        <v>45210</v>
      </c>
      <c r="B78">
        <v>30.428788000000001</v>
      </c>
    </row>
    <row r="79" spans="1:2" x14ac:dyDescent="0.25">
      <c r="A79" s="1">
        <v>45212</v>
      </c>
      <c r="B79">
        <v>30.602482999999999</v>
      </c>
    </row>
    <row r="80" spans="1:2" x14ac:dyDescent="0.25">
      <c r="A80" s="1">
        <v>45215</v>
      </c>
      <c r="B80">
        <v>30.604423000000001</v>
      </c>
    </row>
    <row r="81" spans="1:2" x14ac:dyDescent="0.25">
      <c r="A81" s="1">
        <v>45216</v>
      </c>
      <c r="B81">
        <v>31.119392999999999</v>
      </c>
    </row>
    <row r="82" spans="1:2" x14ac:dyDescent="0.25">
      <c r="A82" s="1">
        <v>45217</v>
      </c>
      <c r="B82">
        <v>31.181944999999999</v>
      </c>
    </row>
    <row r="83" spans="1:2" x14ac:dyDescent="0.25">
      <c r="A83" s="1">
        <v>45218</v>
      </c>
      <c r="B83">
        <v>31.096509000000001</v>
      </c>
    </row>
    <row r="84" spans="1:2" x14ac:dyDescent="0.25">
      <c r="A84" s="1">
        <v>45219</v>
      </c>
      <c r="B84">
        <v>30.691215</v>
      </c>
    </row>
    <row r="85" spans="1:2" x14ac:dyDescent="0.25">
      <c r="A85" s="1">
        <v>45222</v>
      </c>
      <c r="B85">
        <v>30.976040999999999</v>
      </c>
    </row>
    <row r="86" spans="1:2" x14ac:dyDescent="0.25">
      <c r="A86" s="1">
        <v>45223</v>
      </c>
      <c r="B86">
        <v>31.017299999999999</v>
      </c>
    </row>
    <row r="87" spans="1:2" x14ac:dyDescent="0.25">
      <c r="A87" s="1">
        <v>45224</v>
      </c>
      <c r="B87">
        <v>31.118857999999999</v>
      </c>
    </row>
    <row r="88" spans="1:2" x14ac:dyDescent="0.25">
      <c r="A88" s="1">
        <v>45225</v>
      </c>
      <c r="B88">
        <v>31.189859999999999</v>
      </c>
    </row>
    <row r="89" spans="1:2" x14ac:dyDescent="0.25">
      <c r="A89" s="1">
        <v>45226</v>
      </c>
      <c r="B89">
        <v>31.142423999999998</v>
      </c>
    </row>
    <row r="90" spans="1:2" x14ac:dyDescent="0.25">
      <c r="A90" s="1">
        <v>45229</v>
      </c>
      <c r="B90">
        <v>31.645136999999998</v>
      </c>
    </row>
    <row r="91" spans="1:2" x14ac:dyDescent="0.25">
      <c r="A91" s="1">
        <v>45230</v>
      </c>
      <c r="B91">
        <v>31.787459999999999</v>
      </c>
    </row>
    <row r="92" spans="1:2" x14ac:dyDescent="0.25">
      <c r="A92" s="1">
        <v>45231</v>
      </c>
      <c r="B92">
        <v>31.918416000000001</v>
      </c>
    </row>
    <row r="93" spans="1:2" x14ac:dyDescent="0.25">
      <c r="A93" s="1">
        <v>45233</v>
      </c>
      <c r="B93">
        <v>32.044234000000003</v>
      </c>
    </row>
    <row r="94" spans="1:2" x14ac:dyDescent="0.25">
      <c r="A94" s="1">
        <v>45236</v>
      </c>
      <c r="B94">
        <v>32.049787000000002</v>
      </c>
    </row>
    <row r="95" spans="1:2" x14ac:dyDescent="0.25">
      <c r="A95" s="1">
        <v>45237</v>
      </c>
      <c r="B95">
        <v>32.046900999999998</v>
      </c>
    </row>
    <row r="96" spans="1:2" x14ac:dyDescent="0.25">
      <c r="A96" s="1">
        <v>45238</v>
      </c>
      <c r="B96">
        <v>32.486865000000002</v>
      </c>
    </row>
    <row r="97" spans="1:2" x14ac:dyDescent="0.25">
      <c r="A97" s="1">
        <v>45239</v>
      </c>
      <c r="B97">
        <v>32.453577000000003</v>
      </c>
    </row>
    <row r="98" spans="1:2" x14ac:dyDescent="0.25">
      <c r="A98" s="1">
        <v>45240</v>
      </c>
      <c r="B98">
        <v>32.643523000000002</v>
      </c>
    </row>
    <row r="99" spans="1:2" x14ac:dyDescent="0.25">
      <c r="A99" s="1">
        <v>45243</v>
      </c>
      <c r="B99">
        <v>32.821514999999998</v>
      </c>
    </row>
    <row r="100" spans="1:2" x14ac:dyDescent="0.25">
      <c r="A100" s="1">
        <v>45244</v>
      </c>
      <c r="B100">
        <v>33.111182999999997</v>
      </c>
    </row>
    <row r="101" spans="1:2" x14ac:dyDescent="0.25">
      <c r="A101" s="1">
        <v>45246</v>
      </c>
      <c r="B101">
        <v>33.756476999999997</v>
      </c>
    </row>
    <row r="102" spans="1:2" x14ac:dyDescent="0.25">
      <c r="A102" s="1">
        <v>45247</v>
      </c>
      <c r="B102">
        <v>34.144762999999998</v>
      </c>
    </row>
    <row r="103" spans="1:2" x14ac:dyDescent="0.25">
      <c r="A103" s="1">
        <v>45250</v>
      </c>
      <c r="B103">
        <v>34.284222999999997</v>
      </c>
    </row>
    <row r="104" spans="1:2" x14ac:dyDescent="0.25">
      <c r="A104" s="1">
        <v>45251</v>
      </c>
      <c r="B104">
        <v>34.291468999999999</v>
      </c>
    </row>
    <row r="105" spans="1:2" x14ac:dyDescent="0.25">
      <c r="A105" s="1">
        <v>45252</v>
      </c>
      <c r="B105">
        <v>35.193499000000003</v>
      </c>
    </row>
    <row r="106" spans="1:2" x14ac:dyDescent="0.25">
      <c r="A106" s="1">
        <v>45253</v>
      </c>
      <c r="B106">
        <v>35.320999</v>
      </c>
    </row>
    <row r="107" spans="1:2" x14ac:dyDescent="0.25">
      <c r="A107" s="1">
        <v>45254</v>
      </c>
      <c r="B107">
        <v>35.300320999999997</v>
      </c>
    </row>
    <row r="108" spans="1:2" x14ac:dyDescent="0.25">
      <c r="A108" s="1">
        <v>45257</v>
      </c>
      <c r="B108">
        <v>35.010998999999998</v>
      </c>
    </row>
    <row r="109" spans="1:2" x14ac:dyDescent="0.25">
      <c r="A109" s="1">
        <v>45258</v>
      </c>
      <c r="B109">
        <v>34.939734000000001</v>
      </c>
    </row>
    <row r="110" spans="1:2" x14ac:dyDescent="0.25">
      <c r="A110" s="1">
        <v>45259</v>
      </c>
      <c r="B110">
        <v>34.812733999999999</v>
      </c>
    </row>
    <row r="111" spans="1:2" x14ac:dyDescent="0.25">
      <c r="A111" s="1">
        <v>45260</v>
      </c>
      <c r="B111">
        <v>31.799348999999999</v>
      </c>
    </row>
    <row r="112" spans="1:2" x14ac:dyDescent="0.25">
      <c r="A112" s="1">
        <v>45261</v>
      </c>
      <c r="B112">
        <v>34.143484999999998</v>
      </c>
    </row>
    <row r="113" spans="1:2" x14ac:dyDescent="0.25">
      <c r="A113" s="1">
        <v>45264</v>
      </c>
      <c r="B113">
        <v>34.299999999999997</v>
      </c>
    </row>
    <row r="114" spans="1:2" x14ac:dyDescent="0.25">
      <c r="A114" s="1">
        <v>45265</v>
      </c>
      <c r="B114">
        <v>34.260714999999998</v>
      </c>
    </row>
    <row r="115" spans="1:2" x14ac:dyDescent="0.25">
      <c r="A115" s="1">
        <v>45266</v>
      </c>
      <c r="B115">
        <v>34.028561000000003</v>
      </c>
    </row>
    <row r="116" spans="1:2" x14ac:dyDescent="0.25">
      <c r="A116" s="1">
        <v>45267</v>
      </c>
      <c r="B116">
        <v>34.172161000000003</v>
      </c>
    </row>
    <row r="117" spans="1:2" x14ac:dyDescent="0.25">
      <c r="A117" s="1">
        <v>45268</v>
      </c>
      <c r="B117">
        <v>34.619753000000003</v>
      </c>
    </row>
    <row r="118" spans="1:2" x14ac:dyDescent="0.25">
      <c r="A118" s="1">
        <v>45271</v>
      </c>
      <c r="B118">
        <v>35.065004000000002</v>
      </c>
    </row>
    <row r="119" spans="1:2" x14ac:dyDescent="0.25">
      <c r="A119" s="1">
        <v>45272</v>
      </c>
      <c r="B119">
        <v>35.138756000000001</v>
      </c>
    </row>
    <row r="120" spans="1:2" x14ac:dyDescent="0.25">
      <c r="A120" s="1">
        <v>45273</v>
      </c>
      <c r="B120">
        <v>34.929433000000003</v>
      </c>
    </row>
    <row r="121" spans="1:2" x14ac:dyDescent="0.25">
      <c r="A121" s="1">
        <v>45274</v>
      </c>
      <c r="B121">
        <v>35.013387000000002</v>
      </c>
    </row>
    <row r="122" spans="1:2" x14ac:dyDescent="0.25">
      <c r="A122" s="1">
        <v>45275</v>
      </c>
      <c r="B122">
        <v>34.867547000000002</v>
      </c>
    </row>
    <row r="123" spans="1:2" x14ac:dyDescent="0.25">
      <c r="A123" s="1">
        <v>45278</v>
      </c>
      <c r="B123">
        <v>34.235858999999998</v>
      </c>
    </row>
    <row r="124" spans="1:2" x14ac:dyDescent="0.25">
      <c r="A124" s="1">
        <v>45279</v>
      </c>
      <c r="B124">
        <v>34.808349</v>
      </c>
    </row>
    <row r="125" spans="1:2" x14ac:dyDescent="0.25">
      <c r="A125" s="1">
        <v>45280</v>
      </c>
      <c r="B125">
        <v>35.020440999999998</v>
      </c>
    </row>
    <row r="126" spans="1:2" x14ac:dyDescent="0.25">
      <c r="A126" s="1">
        <v>45281</v>
      </c>
      <c r="B126">
        <v>35.025844999999997</v>
      </c>
    </row>
    <row r="127" spans="1:2" x14ac:dyDescent="0.25">
      <c r="A127" s="1">
        <v>45282</v>
      </c>
      <c r="B127">
        <v>35.527526000000002</v>
      </c>
    </row>
    <row r="128" spans="1:2" x14ac:dyDescent="0.25">
      <c r="A128" s="1">
        <v>45286</v>
      </c>
      <c r="B128">
        <v>35.399146000000002</v>
      </c>
    </row>
    <row r="129" spans="1:2" x14ac:dyDescent="0.25">
      <c r="A129" s="1">
        <v>45287</v>
      </c>
      <c r="B129">
        <v>36.045723000000002</v>
      </c>
    </row>
    <row r="130" spans="1:2" x14ac:dyDescent="0.25">
      <c r="A130" s="1">
        <v>45288</v>
      </c>
      <c r="B130">
        <v>36.16901</v>
      </c>
    </row>
    <row r="131" spans="1:2" x14ac:dyDescent="0.25">
      <c r="A131" s="1">
        <v>45289</v>
      </c>
      <c r="B131">
        <v>36.16901</v>
      </c>
    </row>
    <row r="132" spans="1:2" x14ac:dyDescent="0.25">
      <c r="A132" s="1">
        <v>45293</v>
      </c>
      <c r="B132">
        <v>36.137501999999998</v>
      </c>
    </row>
    <row r="133" spans="1:2" x14ac:dyDescent="0.25">
      <c r="A133" s="1">
        <v>45294</v>
      </c>
      <c r="B133">
        <v>36.054718000000001</v>
      </c>
    </row>
    <row r="134" spans="1:2" x14ac:dyDescent="0.25">
      <c r="A134" s="1">
        <v>45295</v>
      </c>
      <c r="B134">
        <v>36.852027999999997</v>
      </c>
    </row>
    <row r="135" spans="1:2" x14ac:dyDescent="0.25">
      <c r="A135" s="1">
        <v>45296</v>
      </c>
      <c r="B135">
        <v>36.372256999999998</v>
      </c>
    </row>
    <row r="136" spans="1:2" x14ac:dyDescent="0.25">
      <c r="A136" s="1">
        <v>45299</v>
      </c>
      <c r="B136">
        <v>36.048253000000003</v>
      </c>
    </row>
    <row r="137" spans="1:2" x14ac:dyDescent="0.25">
      <c r="A137" s="1">
        <v>45300</v>
      </c>
      <c r="B137">
        <v>36.412816999999997</v>
      </c>
    </row>
    <row r="138" spans="1:2" x14ac:dyDescent="0.25">
      <c r="A138" s="1">
        <v>45301</v>
      </c>
      <c r="B138">
        <v>36.295707</v>
      </c>
    </row>
    <row r="139" spans="1:2" x14ac:dyDescent="0.25">
      <c r="A139" s="1">
        <v>45302</v>
      </c>
      <c r="B139">
        <v>35.832619000000001</v>
      </c>
    </row>
    <row r="140" spans="1:2" x14ac:dyDescent="0.25">
      <c r="A140" s="1">
        <v>45303</v>
      </c>
      <c r="B140">
        <v>35.412377999999997</v>
      </c>
    </row>
    <row r="141" spans="1:2" x14ac:dyDescent="0.25">
      <c r="A141" s="1">
        <v>45306</v>
      </c>
      <c r="B141">
        <v>35.213500000000003</v>
      </c>
    </row>
    <row r="142" spans="1:2" x14ac:dyDescent="0.25">
      <c r="A142" s="1">
        <v>45307</v>
      </c>
      <c r="B142">
        <v>35.883096999999999</v>
      </c>
    </row>
    <row r="143" spans="1:2" x14ac:dyDescent="0.25">
      <c r="A143" s="1">
        <v>45308</v>
      </c>
      <c r="B143">
        <v>35.752716999999997</v>
      </c>
    </row>
    <row r="144" spans="1:2" x14ac:dyDescent="0.25">
      <c r="A144" s="1">
        <v>45309</v>
      </c>
      <c r="B144">
        <v>35.889158000000002</v>
      </c>
    </row>
    <row r="145" spans="1:2" x14ac:dyDescent="0.25">
      <c r="A145" s="1">
        <v>45310</v>
      </c>
      <c r="B145">
        <v>35.680491000000004</v>
      </c>
    </row>
    <row r="146" spans="1:2" x14ac:dyDescent="0.25">
      <c r="A146" s="1">
        <v>45313</v>
      </c>
      <c r="B146">
        <v>35.475676</v>
      </c>
    </row>
    <row r="147" spans="1:2" x14ac:dyDescent="0.25">
      <c r="A147" s="1">
        <v>45314</v>
      </c>
      <c r="B147">
        <v>35.650796</v>
      </c>
    </row>
    <row r="148" spans="1:2" x14ac:dyDescent="0.25">
      <c r="A148" s="1">
        <v>45315</v>
      </c>
      <c r="B148">
        <v>35.570706000000001</v>
      </c>
    </row>
    <row r="149" spans="1:2" x14ac:dyDescent="0.25">
      <c r="A149" s="1">
        <v>45316</v>
      </c>
      <c r="B149">
        <v>35.431348999999997</v>
      </c>
    </row>
    <row r="150" spans="1:2" x14ac:dyDescent="0.25">
      <c r="A150" s="1">
        <v>45317</v>
      </c>
      <c r="B150">
        <v>35.509497000000003</v>
      </c>
    </row>
    <row r="151" spans="1:2" x14ac:dyDescent="0.25">
      <c r="A151" s="1">
        <v>45320</v>
      </c>
      <c r="B151">
        <v>35.734406</v>
      </c>
    </row>
    <row r="152" spans="1:2" x14ac:dyDescent="0.25">
      <c r="A152" s="1">
        <v>45321</v>
      </c>
      <c r="B152">
        <v>35.833647999999997</v>
      </c>
    </row>
    <row r="153" spans="1:2" x14ac:dyDescent="0.25">
      <c r="A153" s="1">
        <v>45322</v>
      </c>
      <c r="B153">
        <v>35.586410999999998</v>
      </c>
    </row>
    <row r="154" spans="1:2" x14ac:dyDescent="0.25">
      <c r="A154" s="1">
        <v>45323</v>
      </c>
      <c r="B154">
        <v>34.966064000000003</v>
      </c>
    </row>
    <row r="155" spans="1:2" x14ac:dyDescent="0.25">
      <c r="A155" s="1">
        <v>45324</v>
      </c>
      <c r="B155">
        <v>35.104058000000002</v>
      </c>
    </row>
    <row r="156" spans="1:2" x14ac:dyDescent="0.25">
      <c r="A156" s="1">
        <v>45327</v>
      </c>
      <c r="B156">
        <v>34.726889</v>
      </c>
    </row>
    <row r="157" spans="1:2" x14ac:dyDescent="0.25">
      <c r="A157" s="1">
        <v>45328</v>
      </c>
      <c r="B157">
        <v>34.784219</v>
      </c>
    </row>
    <row r="158" spans="1:2" x14ac:dyDescent="0.25">
      <c r="A158" s="1">
        <v>45329</v>
      </c>
      <c r="B158">
        <v>33.795124000000001</v>
      </c>
    </row>
    <row r="159" spans="1:2" x14ac:dyDescent="0.25">
      <c r="A159" s="1">
        <v>45330</v>
      </c>
      <c r="B159">
        <v>34.182426</v>
      </c>
    </row>
    <row r="160" spans="1:2" x14ac:dyDescent="0.25">
      <c r="A160" s="1">
        <v>45331</v>
      </c>
      <c r="B160">
        <v>34.223570000000002</v>
      </c>
    </row>
    <row r="161" spans="1:2" x14ac:dyDescent="0.25">
      <c r="A161" s="1">
        <v>45336</v>
      </c>
      <c r="B161">
        <v>34.443798000000001</v>
      </c>
    </row>
    <row r="162" spans="1:2" x14ac:dyDescent="0.25">
      <c r="A162" s="1">
        <v>45337</v>
      </c>
      <c r="B162">
        <v>34.070748000000002</v>
      </c>
    </row>
    <row r="163" spans="1:2" x14ac:dyDescent="0.25">
      <c r="A163" s="1">
        <v>45338</v>
      </c>
      <c r="B163">
        <v>34.007897</v>
      </c>
    </row>
    <row r="164" spans="1:2" x14ac:dyDescent="0.25">
      <c r="A164" s="1">
        <v>45341</v>
      </c>
      <c r="B164">
        <v>34.165987999999999</v>
      </c>
    </row>
    <row r="165" spans="1:2" x14ac:dyDescent="0.25">
      <c r="A165" s="1">
        <v>45342</v>
      </c>
      <c r="B165">
        <v>34.982002000000001</v>
      </c>
    </row>
    <row r="166" spans="1:2" x14ac:dyDescent="0.25">
      <c r="A166" s="1">
        <v>45343</v>
      </c>
      <c r="B166">
        <v>34.286380999999999</v>
      </c>
    </row>
    <row r="167" spans="1:2" x14ac:dyDescent="0.25">
      <c r="A167" s="1">
        <v>45344</v>
      </c>
      <c r="B167">
        <v>33.795414999999998</v>
      </c>
    </row>
    <row r="168" spans="1:2" x14ac:dyDescent="0.25">
      <c r="A168" s="1">
        <v>45345</v>
      </c>
      <c r="B168">
        <v>33.797038000000001</v>
      </c>
    </row>
    <row r="169" spans="1:2" x14ac:dyDescent="0.25">
      <c r="A169" s="1">
        <v>45348</v>
      </c>
      <c r="B169">
        <v>34.402093999999998</v>
      </c>
    </row>
    <row r="170" spans="1:2" x14ac:dyDescent="0.25">
      <c r="A170" s="1">
        <v>45349</v>
      </c>
      <c r="B170">
        <v>34.011933999999997</v>
      </c>
    </row>
    <row r="171" spans="1:2" x14ac:dyDescent="0.25">
      <c r="A171" s="1">
        <v>45350</v>
      </c>
      <c r="B171">
        <v>32.799999999999997</v>
      </c>
    </row>
    <row r="172" spans="1:2" x14ac:dyDescent="0.25">
      <c r="A172" s="1">
        <v>45351</v>
      </c>
      <c r="B172">
        <v>34.030265999999997</v>
      </c>
    </row>
    <row r="173" spans="1:2" x14ac:dyDescent="0.25">
      <c r="A173" s="1">
        <v>45352</v>
      </c>
      <c r="B173">
        <v>33.386113000000002</v>
      </c>
    </row>
    <row r="174" spans="1:2" x14ac:dyDescent="0.25">
      <c r="A174" s="1">
        <v>45355</v>
      </c>
      <c r="B174">
        <v>31.885763000000001</v>
      </c>
    </row>
    <row r="175" spans="1:2" x14ac:dyDescent="0.25">
      <c r="A175" s="1">
        <v>45356</v>
      </c>
      <c r="B175">
        <v>33.51605</v>
      </c>
    </row>
    <row r="176" spans="1:2" x14ac:dyDescent="0.25">
      <c r="A176" s="1">
        <v>45357</v>
      </c>
      <c r="B176">
        <v>34.024002000000003</v>
      </c>
    </row>
    <row r="177" spans="1:2" x14ac:dyDescent="0.25">
      <c r="A177" s="1">
        <v>45358</v>
      </c>
      <c r="B177">
        <v>34.733522999999998</v>
      </c>
    </row>
    <row r="178" spans="1:2" x14ac:dyDescent="0.25">
      <c r="A178" s="1">
        <v>45359</v>
      </c>
      <c r="B178">
        <v>33.330610999999998</v>
      </c>
    </row>
    <row r="179" spans="1:2" x14ac:dyDescent="0.25">
      <c r="A179" s="1">
        <v>45362</v>
      </c>
      <c r="B179">
        <v>33.877782000000003</v>
      </c>
    </row>
    <row r="180" spans="1:2" x14ac:dyDescent="0.25">
      <c r="A180" s="1">
        <v>45363</v>
      </c>
      <c r="B180">
        <v>33.134044000000003</v>
      </c>
    </row>
    <row r="181" spans="1:2" x14ac:dyDescent="0.25">
      <c r="A181" s="1">
        <v>45364</v>
      </c>
      <c r="B181">
        <v>33.956482999999999</v>
      </c>
    </row>
    <row r="182" spans="1:2" x14ac:dyDescent="0.25">
      <c r="A182" s="1">
        <v>45365</v>
      </c>
      <c r="B182">
        <v>34.175288000000002</v>
      </c>
    </row>
    <row r="183" spans="1:2" x14ac:dyDescent="0.25">
      <c r="A183" s="1">
        <v>45366</v>
      </c>
      <c r="B183">
        <v>32.980317999999997</v>
      </c>
    </row>
    <row r="184" spans="1:2" x14ac:dyDescent="0.25">
      <c r="A184" s="1">
        <v>45369</v>
      </c>
      <c r="B184">
        <v>32.812961000000001</v>
      </c>
    </row>
    <row r="185" spans="1:2" x14ac:dyDescent="0.25">
      <c r="A185" s="1">
        <v>45370</v>
      </c>
      <c r="B185">
        <v>33.579276</v>
      </c>
    </row>
    <row r="186" spans="1:2" x14ac:dyDescent="0.25">
      <c r="A186" s="1">
        <v>45371</v>
      </c>
      <c r="B186">
        <v>33.416024</v>
      </c>
    </row>
    <row r="187" spans="1:2" x14ac:dyDescent="0.25">
      <c r="A187" s="1">
        <v>45372</v>
      </c>
      <c r="B187">
        <v>33.455061000000001</v>
      </c>
    </row>
    <row r="188" spans="1:2" x14ac:dyDescent="0.25">
      <c r="A188" s="1">
        <v>45373</v>
      </c>
      <c r="B188">
        <v>33.607393999999999</v>
      </c>
    </row>
    <row r="189" spans="1:2" x14ac:dyDescent="0.25">
      <c r="A189" s="1">
        <v>45376</v>
      </c>
      <c r="B189">
        <v>33.779338000000003</v>
      </c>
    </row>
    <row r="190" spans="1:2" x14ac:dyDescent="0.25">
      <c r="A190" s="1">
        <v>45377</v>
      </c>
      <c r="B190">
        <v>33.561131000000003</v>
      </c>
    </row>
    <row r="191" spans="1:2" x14ac:dyDescent="0.25">
      <c r="A191" s="1">
        <v>45378</v>
      </c>
      <c r="B191">
        <v>33.080047999999998</v>
      </c>
    </row>
    <row r="192" spans="1:2" x14ac:dyDescent="0.25">
      <c r="A192" s="1">
        <v>45379</v>
      </c>
      <c r="B192">
        <v>33.351733000000003</v>
      </c>
    </row>
    <row r="193" spans="1:2" x14ac:dyDescent="0.25">
      <c r="A193" s="1">
        <v>45383</v>
      </c>
      <c r="B193">
        <v>30.55</v>
      </c>
    </row>
    <row r="194" spans="1:2" x14ac:dyDescent="0.25">
      <c r="A194" s="1">
        <v>45384</v>
      </c>
      <c r="B194">
        <v>31.335170000000002</v>
      </c>
    </row>
    <row r="195" spans="1:2" x14ac:dyDescent="0.25">
      <c r="A195" s="1">
        <v>45385</v>
      </c>
      <c r="B195">
        <v>31.413581000000001</v>
      </c>
    </row>
    <row r="196" spans="1:2" x14ac:dyDescent="0.25">
      <c r="A196" s="1">
        <v>45386</v>
      </c>
      <c r="B196">
        <v>31.507141000000001</v>
      </c>
    </row>
    <row r="197" spans="1:2" x14ac:dyDescent="0.25">
      <c r="A197" s="1">
        <v>45387</v>
      </c>
      <c r="B197">
        <v>30.990917</v>
      </c>
    </row>
    <row r="198" spans="1:2" x14ac:dyDescent="0.25">
      <c r="A198" s="1">
        <v>45390</v>
      </c>
      <c r="B198">
        <v>30.972173000000002</v>
      </c>
    </row>
    <row r="199" spans="1:2" x14ac:dyDescent="0.25">
      <c r="A199" s="1">
        <v>45391</v>
      </c>
      <c r="B199">
        <v>31.737257</v>
      </c>
    </row>
    <row r="200" spans="1:2" x14ac:dyDescent="0.25">
      <c r="A200" s="1">
        <v>45392</v>
      </c>
      <c r="B200">
        <v>31.678131</v>
      </c>
    </row>
    <row r="201" spans="1:2" x14ac:dyDescent="0.25">
      <c r="A201" s="1">
        <v>45393</v>
      </c>
      <c r="B201">
        <v>31.305121</v>
      </c>
    </row>
    <row r="202" spans="1:2" x14ac:dyDescent="0.25">
      <c r="A202" s="1">
        <v>45394</v>
      </c>
      <c r="B202">
        <v>33.280859999999997</v>
      </c>
    </row>
    <row r="203" spans="1:2" x14ac:dyDescent="0.25">
      <c r="A203" s="1">
        <v>45397</v>
      </c>
      <c r="B203">
        <v>32.966262999999998</v>
      </c>
    </row>
    <row r="204" spans="1:2" x14ac:dyDescent="0.25">
      <c r="A204" s="1">
        <v>45398</v>
      </c>
      <c r="B204">
        <v>33.454095000000002</v>
      </c>
    </row>
    <row r="205" spans="1:2" x14ac:dyDescent="0.25">
      <c r="A205" s="1">
        <v>45399</v>
      </c>
      <c r="B205">
        <v>33.505941999999997</v>
      </c>
    </row>
    <row r="206" spans="1:2" x14ac:dyDescent="0.25">
      <c r="A206" s="1">
        <v>45400</v>
      </c>
      <c r="B206">
        <v>33.370080000000002</v>
      </c>
    </row>
    <row r="207" spans="1:2" x14ac:dyDescent="0.25">
      <c r="A207" s="1">
        <v>45401</v>
      </c>
      <c r="B207">
        <v>33.324742999999998</v>
      </c>
    </row>
    <row r="208" spans="1:2" x14ac:dyDescent="0.25">
      <c r="A208" s="1">
        <v>45404</v>
      </c>
      <c r="B208">
        <v>34.173470000000002</v>
      </c>
    </row>
    <row r="209" spans="1:2" x14ac:dyDescent="0.25">
      <c r="A209" s="1">
        <v>45405</v>
      </c>
      <c r="B209">
        <v>32.506551000000002</v>
      </c>
    </row>
    <row r="210" spans="1:2" x14ac:dyDescent="0.25">
      <c r="A210" s="1">
        <v>45406</v>
      </c>
      <c r="B210">
        <v>33.439618000000003</v>
      </c>
    </row>
    <row r="211" spans="1:2" x14ac:dyDescent="0.25">
      <c r="A211" s="1">
        <v>45407</v>
      </c>
      <c r="B211">
        <v>32.934514999999998</v>
      </c>
    </row>
    <row r="212" spans="1:2" x14ac:dyDescent="0.25">
      <c r="A212" s="1">
        <v>45408</v>
      </c>
      <c r="B212">
        <v>33.762630000000001</v>
      </c>
    </row>
    <row r="213" spans="1:2" x14ac:dyDescent="0.25">
      <c r="A213" s="1">
        <v>45411</v>
      </c>
      <c r="B213">
        <v>33.995527000000003</v>
      </c>
    </row>
    <row r="214" spans="1:2" x14ac:dyDescent="0.25">
      <c r="A214" s="1">
        <v>45412</v>
      </c>
      <c r="B214">
        <v>34.198514000000003</v>
      </c>
    </row>
    <row r="215" spans="1:2" x14ac:dyDescent="0.25">
      <c r="A215" s="1">
        <v>45414</v>
      </c>
      <c r="B215">
        <v>33.381577</v>
      </c>
    </row>
    <row r="216" spans="1:2" x14ac:dyDescent="0.25">
      <c r="A216" s="1">
        <v>45415</v>
      </c>
      <c r="B216">
        <v>34.419404</v>
      </c>
    </row>
    <row r="217" spans="1:2" x14ac:dyDescent="0.25">
      <c r="A217" s="1">
        <v>45418</v>
      </c>
      <c r="B217">
        <v>33.973168000000001</v>
      </c>
    </row>
    <row r="218" spans="1:2" x14ac:dyDescent="0.25">
      <c r="A218" s="1">
        <v>45419</v>
      </c>
      <c r="B218">
        <v>34.169558000000002</v>
      </c>
    </row>
    <row r="219" spans="1:2" x14ac:dyDescent="0.25">
      <c r="A219" s="1">
        <v>45420</v>
      </c>
      <c r="B219">
        <v>34.038283</v>
      </c>
    </row>
    <row r="220" spans="1:2" x14ac:dyDescent="0.25">
      <c r="A220" s="1">
        <v>45421</v>
      </c>
      <c r="B220">
        <v>33.89922</v>
      </c>
    </row>
    <row r="221" spans="1:2" x14ac:dyDescent="0.25">
      <c r="A221" s="1">
        <v>45422</v>
      </c>
      <c r="B221">
        <v>33.113022999999998</v>
      </c>
    </row>
    <row r="222" spans="1:2" x14ac:dyDescent="0.25">
      <c r="A222" s="1">
        <v>45425</v>
      </c>
      <c r="B222">
        <v>34.693235000000001</v>
      </c>
    </row>
    <row r="223" spans="1:2" x14ac:dyDescent="0.25">
      <c r="A223" s="1">
        <v>45426</v>
      </c>
      <c r="B223">
        <v>34.271594999999998</v>
      </c>
    </row>
    <row r="224" spans="1:2" x14ac:dyDescent="0.25">
      <c r="A224" s="1">
        <v>45427</v>
      </c>
      <c r="B224">
        <v>34.138573999999998</v>
      </c>
    </row>
    <row r="225" spans="1:2" x14ac:dyDescent="0.25">
      <c r="A225" s="1">
        <v>45428</v>
      </c>
      <c r="B225">
        <v>34.406055000000002</v>
      </c>
    </row>
    <row r="226" spans="1:2" x14ac:dyDescent="0.25">
      <c r="A226" s="1">
        <v>45429</v>
      </c>
      <c r="B226">
        <v>34.508032999999998</v>
      </c>
    </row>
    <row r="227" spans="1:2" x14ac:dyDescent="0.25">
      <c r="A227" s="1">
        <v>45432</v>
      </c>
      <c r="B227">
        <v>34.433532</v>
      </c>
    </row>
    <row r="228" spans="1:2" x14ac:dyDescent="0.25">
      <c r="A228" s="1">
        <v>45433</v>
      </c>
      <c r="B228">
        <v>34.576681000000001</v>
      </c>
    </row>
    <row r="229" spans="1:2" x14ac:dyDescent="0.25">
      <c r="A229" s="1">
        <v>45434</v>
      </c>
      <c r="B229">
        <v>34.642136000000001</v>
      </c>
    </row>
    <row r="230" spans="1:2" x14ac:dyDescent="0.25">
      <c r="A230" s="1">
        <v>45435</v>
      </c>
      <c r="B230">
        <v>34.936658000000001</v>
      </c>
    </row>
    <row r="231" spans="1:2" x14ac:dyDescent="0.25">
      <c r="A231" s="1">
        <v>45436</v>
      </c>
      <c r="B231">
        <v>34.678745999999997</v>
      </c>
    </row>
    <row r="232" spans="1:2" x14ac:dyDescent="0.25">
      <c r="A232" s="1">
        <v>45439</v>
      </c>
      <c r="B232">
        <v>34.761544999999998</v>
      </c>
    </row>
    <row r="233" spans="1:2" x14ac:dyDescent="0.25">
      <c r="A233" s="1">
        <v>45440</v>
      </c>
      <c r="B233">
        <v>34.735829000000003</v>
      </c>
    </row>
    <row r="234" spans="1:2" x14ac:dyDescent="0.25">
      <c r="A234" s="1">
        <v>45441</v>
      </c>
      <c r="B234">
        <v>34.984295000000003</v>
      </c>
    </row>
    <row r="235" spans="1:2" x14ac:dyDescent="0.25">
      <c r="A235" s="1">
        <v>45443</v>
      </c>
      <c r="B235">
        <v>35.571294999999999</v>
      </c>
    </row>
    <row r="236" spans="1:2" x14ac:dyDescent="0.25">
      <c r="A236" s="1">
        <v>45446</v>
      </c>
      <c r="B236">
        <v>34.049999999999997</v>
      </c>
    </row>
    <row r="237" spans="1:2" x14ac:dyDescent="0.25">
      <c r="A237" s="1">
        <v>45447</v>
      </c>
      <c r="B237">
        <v>34.836984999999999</v>
      </c>
    </row>
    <row r="238" spans="1:2" x14ac:dyDescent="0.25">
      <c r="A238" s="1">
        <v>45448</v>
      </c>
      <c r="B238">
        <v>34.814507999999996</v>
      </c>
    </row>
    <row r="239" spans="1:2" x14ac:dyDescent="0.25">
      <c r="A239" s="1">
        <v>45449</v>
      </c>
      <c r="B239">
        <v>34.990108999999997</v>
      </c>
    </row>
    <row r="240" spans="1:2" x14ac:dyDescent="0.25">
      <c r="A240" s="1">
        <v>45450</v>
      </c>
      <c r="B240">
        <v>35.168911000000001</v>
      </c>
    </row>
    <row r="241" spans="1:2" x14ac:dyDescent="0.25">
      <c r="A241" s="1">
        <v>45453</v>
      </c>
      <c r="B241">
        <v>35.075676999999999</v>
      </c>
    </row>
    <row r="242" spans="1:2" x14ac:dyDescent="0.25">
      <c r="A242" s="1">
        <v>45454</v>
      </c>
      <c r="B242">
        <v>35.340462000000002</v>
      </c>
    </row>
    <row r="243" spans="1:2" x14ac:dyDescent="0.25">
      <c r="A243" s="1">
        <v>45455</v>
      </c>
      <c r="B243">
        <v>34.940649000000001</v>
      </c>
    </row>
    <row r="244" spans="1:2" x14ac:dyDescent="0.25">
      <c r="A244" s="1">
        <v>45456</v>
      </c>
      <c r="B244">
        <v>34.615685999999997</v>
      </c>
    </row>
    <row r="245" spans="1:2" x14ac:dyDescent="0.25">
      <c r="A245" s="1">
        <v>45457</v>
      </c>
      <c r="B245">
        <v>34.471338000000003</v>
      </c>
    </row>
    <row r="246" spans="1:2" x14ac:dyDescent="0.25">
      <c r="A246" s="1">
        <v>45460</v>
      </c>
      <c r="B246">
        <v>34.369950000000003</v>
      </c>
    </row>
    <row r="247" spans="1:2" x14ac:dyDescent="0.25">
      <c r="A247" s="1">
        <v>45461</v>
      </c>
      <c r="B247">
        <v>35.117440000000002</v>
      </c>
    </row>
    <row r="248" spans="1:2" x14ac:dyDescent="0.25">
      <c r="A248" s="1">
        <v>45462</v>
      </c>
      <c r="B248">
        <v>35.016123999999998</v>
      </c>
    </row>
    <row r="249" spans="1:2" x14ac:dyDescent="0.25">
      <c r="A249" s="1">
        <v>45463</v>
      </c>
      <c r="B249">
        <v>34.873851999999999</v>
      </c>
    </row>
    <row r="250" spans="1:2" x14ac:dyDescent="0.25">
      <c r="A250" s="1">
        <v>45464</v>
      </c>
      <c r="B250">
        <v>35.502994999999999</v>
      </c>
    </row>
    <row r="251" spans="1:2" x14ac:dyDescent="0.25">
      <c r="A251" s="1">
        <v>45467</v>
      </c>
      <c r="B251">
        <v>34.5</v>
      </c>
    </row>
    <row r="252" spans="1:2" x14ac:dyDescent="0.25">
      <c r="A252" s="1">
        <v>45468</v>
      </c>
      <c r="B252">
        <v>34.866236999999998</v>
      </c>
    </row>
    <row r="253" spans="1:2" x14ac:dyDescent="0.25">
      <c r="A253" s="1">
        <v>45469</v>
      </c>
      <c r="B253">
        <v>34.846476000000003</v>
      </c>
    </row>
    <row r="254" spans="1:2" x14ac:dyDescent="0.25">
      <c r="A254" s="1">
        <v>45470</v>
      </c>
      <c r="B254">
        <v>34.977640000000001</v>
      </c>
    </row>
    <row r="255" spans="1:2" x14ac:dyDescent="0.25">
      <c r="A255" s="1">
        <v>45471</v>
      </c>
      <c r="B255">
        <v>34.999395</v>
      </c>
    </row>
    <row r="256" spans="1:2" x14ac:dyDescent="0.25">
      <c r="A256" s="1">
        <v>45474</v>
      </c>
      <c r="B256">
        <v>35.269832999999998</v>
      </c>
    </row>
    <row r="257" spans="1:2" x14ac:dyDescent="0.25">
      <c r="A257" s="1">
        <v>45475</v>
      </c>
      <c r="B257">
        <v>35.155318000000001</v>
      </c>
    </row>
    <row r="258" spans="1:2" x14ac:dyDescent="0.25">
      <c r="A258" s="1">
        <v>45476</v>
      </c>
      <c r="B258">
        <v>34.475800999999997</v>
      </c>
    </row>
    <row r="259" spans="1:2" x14ac:dyDescent="0.25">
      <c r="A259" s="1">
        <v>45477</v>
      </c>
      <c r="B259">
        <v>35.294280000000001</v>
      </c>
    </row>
    <row r="260" spans="1:2" x14ac:dyDescent="0.25">
      <c r="A260" s="1">
        <v>45478</v>
      </c>
      <c r="B260">
        <v>35.122416000000001</v>
      </c>
    </row>
    <row r="261" spans="1:2" x14ac:dyDescent="0.25">
      <c r="A261" s="1">
        <v>45481</v>
      </c>
      <c r="B261">
        <v>35.200353</v>
      </c>
    </row>
    <row r="262" spans="1:2" x14ac:dyDescent="0.25">
      <c r="A262" s="1">
        <v>45482</v>
      </c>
      <c r="B262">
        <v>34.451050000000002</v>
      </c>
    </row>
    <row r="263" spans="1:2" x14ac:dyDescent="0.25">
      <c r="A263" s="1">
        <v>45483</v>
      </c>
      <c r="B263">
        <v>34.299999999999997</v>
      </c>
    </row>
    <row r="264" spans="1:2" x14ac:dyDescent="0.25">
      <c r="A264" s="1">
        <v>45484</v>
      </c>
      <c r="B264">
        <v>34.299999999999997</v>
      </c>
    </row>
    <row r="265" spans="1:2" x14ac:dyDescent="0.25">
      <c r="A265" s="1">
        <v>45485</v>
      </c>
      <c r="B265">
        <v>34.861916000000001</v>
      </c>
    </row>
    <row r="266" spans="1:2" x14ac:dyDescent="0.25">
      <c r="A266" s="1">
        <v>45488</v>
      </c>
      <c r="B266">
        <v>34.692199000000002</v>
      </c>
    </row>
    <row r="267" spans="1:2" x14ac:dyDescent="0.25">
      <c r="A267" s="1">
        <v>45489</v>
      </c>
      <c r="B267">
        <v>35.226239999999997</v>
      </c>
    </row>
    <row r="268" spans="1:2" x14ac:dyDescent="0.25">
      <c r="A268" s="1">
        <v>45490</v>
      </c>
      <c r="B268">
        <v>34.956726000000003</v>
      </c>
    </row>
    <row r="269" spans="1:2" x14ac:dyDescent="0.25">
      <c r="A269" s="1">
        <v>45491</v>
      </c>
      <c r="B269">
        <v>34.863871000000003</v>
      </c>
    </row>
    <row r="270" spans="1:2" x14ac:dyDescent="0.25">
      <c r="A270" s="1">
        <v>45492</v>
      </c>
      <c r="B270">
        <v>34.844372</v>
      </c>
    </row>
    <row r="271" spans="1:2" x14ac:dyDescent="0.25">
      <c r="A271" s="1">
        <v>45495</v>
      </c>
      <c r="B271">
        <v>35.435755999999998</v>
      </c>
    </row>
    <row r="272" spans="1:2" x14ac:dyDescent="0.25">
      <c r="A272" s="1">
        <v>45496</v>
      </c>
      <c r="B272">
        <v>35.424655000000001</v>
      </c>
    </row>
    <row r="273" spans="1:2" x14ac:dyDescent="0.25">
      <c r="A273" s="1">
        <v>45497</v>
      </c>
      <c r="B273">
        <v>35.027225999999999</v>
      </c>
    </row>
    <row r="274" spans="1:2" x14ac:dyDescent="0.25">
      <c r="A274" s="1">
        <v>45498</v>
      </c>
      <c r="B274">
        <v>35.453476999999999</v>
      </c>
    </row>
    <row r="275" spans="1:2" x14ac:dyDescent="0.25">
      <c r="A275" s="1">
        <v>45499</v>
      </c>
      <c r="B275">
        <v>34.535809999999998</v>
      </c>
    </row>
    <row r="276" spans="1:2" x14ac:dyDescent="0.25">
      <c r="A276" s="1">
        <v>45502</v>
      </c>
      <c r="B276">
        <v>35.345274000000003</v>
      </c>
    </row>
    <row r="277" spans="1:2" x14ac:dyDescent="0.25">
      <c r="A277" s="1">
        <v>45503</v>
      </c>
      <c r="B277">
        <v>35.121138999999999</v>
      </c>
    </row>
    <row r="278" spans="1:2" x14ac:dyDescent="0.25">
      <c r="A278" s="1">
        <v>45504</v>
      </c>
      <c r="B278">
        <v>34.549131000000003</v>
      </c>
    </row>
    <row r="279" spans="1:2" x14ac:dyDescent="0.25">
      <c r="A279" s="1">
        <v>45505</v>
      </c>
      <c r="B279">
        <v>35.366259999999997</v>
      </c>
    </row>
    <row r="280" spans="1:2" x14ac:dyDescent="0.25">
      <c r="A280" s="1">
        <v>45506</v>
      </c>
      <c r="B280">
        <v>35.128487999999997</v>
      </c>
    </row>
    <row r="281" spans="1:2" x14ac:dyDescent="0.25">
      <c r="A281" s="1">
        <v>45509</v>
      </c>
      <c r="B281">
        <v>35.268414</v>
      </c>
    </row>
    <row r="282" spans="1:2" x14ac:dyDescent="0.25">
      <c r="A282" s="1">
        <v>45510</v>
      </c>
      <c r="B282">
        <v>35.555774</v>
      </c>
    </row>
    <row r="283" spans="1:2" x14ac:dyDescent="0.25">
      <c r="A283" s="1">
        <v>45511</v>
      </c>
      <c r="B283">
        <v>35.582369</v>
      </c>
    </row>
    <row r="284" spans="1:2" x14ac:dyDescent="0.25">
      <c r="A284" s="1">
        <v>45512</v>
      </c>
      <c r="B284">
        <v>35.564937</v>
      </c>
    </row>
    <row r="285" spans="1:2" x14ac:dyDescent="0.25">
      <c r="A285" s="1">
        <v>45513</v>
      </c>
      <c r="B285">
        <v>35.146424000000003</v>
      </c>
    </row>
    <row r="286" spans="1:2" x14ac:dyDescent="0.25">
      <c r="A286" s="1">
        <v>45516</v>
      </c>
      <c r="B286">
        <v>34.757803000000003</v>
      </c>
    </row>
    <row r="287" spans="1:2" x14ac:dyDescent="0.25">
      <c r="A287" s="1">
        <v>45517</v>
      </c>
      <c r="B287">
        <v>35.557493999999998</v>
      </c>
    </row>
    <row r="288" spans="1:2" x14ac:dyDescent="0.25">
      <c r="A288" s="1">
        <v>45518</v>
      </c>
      <c r="B288">
        <v>35.639988000000002</v>
      </c>
    </row>
    <row r="289" spans="1:2" x14ac:dyDescent="0.25">
      <c r="A289" s="1">
        <v>45519</v>
      </c>
      <c r="B289">
        <v>35.307336999999997</v>
      </c>
    </row>
    <row r="290" spans="1:2" x14ac:dyDescent="0.25">
      <c r="A290" s="1">
        <v>45520</v>
      </c>
      <c r="B290">
        <v>34.299999999999997</v>
      </c>
    </row>
    <row r="291" spans="1:2" x14ac:dyDescent="0.25">
      <c r="A291" s="1">
        <v>45523</v>
      </c>
      <c r="B291">
        <v>34.514463999999997</v>
      </c>
    </row>
    <row r="292" spans="1:2" x14ac:dyDescent="0.25">
      <c r="A292" s="1">
        <v>45524</v>
      </c>
      <c r="B292">
        <v>34.479129999999998</v>
      </c>
    </row>
    <row r="293" spans="1:2" x14ac:dyDescent="0.25">
      <c r="A293" s="1">
        <v>45525</v>
      </c>
      <c r="B293">
        <v>34.471553</v>
      </c>
    </row>
    <row r="294" spans="1:2" x14ac:dyDescent="0.25">
      <c r="A294" s="1">
        <v>45526</v>
      </c>
      <c r="B294">
        <v>34.723922000000002</v>
      </c>
    </row>
    <row r="295" spans="1:2" x14ac:dyDescent="0.25">
      <c r="A295" s="1">
        <v>45527</v>
      </c>
      <c r="B295">
        <v>34.33211</v>
      </c>
    </row>
    <row r="296" spans="1:2" x14ac:dyDescent="0.25">
      <c r="A296" s="1">
        <v>45530</v>
      </c>
      <c r="B296">
        <v>33.361172000000003</v>
      </c>
    </row>
    <row r="297" spans="1:2" x14ac:dyDescent="0.25">
      <c r="A297" s="1">
        <v>45531</v>
      </c>
      <c r="B297">
        <v>32.767924999999998</v>
      </c>
    </row>
    <row r="298" spans="1:2" x14ac:dyDescent="0.25">
      <c r="A298" s="1">
        <v>45532</v>
      </c>
      <c r="B298">
        <v>33.660395999999999</v>
      </c>
    </row>
    <row r="299" spans="1:2" x14ac:dyDescent="0.25">
      <c r="A299" s="1">
        <v>45533</v>
      </c>
      <c r="B299">
        <v>33.750357999999999</v>
      </c>
    </row>
    <row r="300" spans="1:2" x14ac:dyDescent="0.25">
      <c r="A300" s="1">
        <v>45534</v>
      </c>
      <c r="B300">
        <v>33.799258000000002</v>
      </c>
    </row>
    <row r="301" spans="1:2" x14ac:dyDescent="0.25">
      <c r="A301" s="1">
        <v>45537</v>
      </c>
      <c r="B301">
        <v>33.115167999999997</v>
      </c>
    </row>
    <row r="302" spans="1:2" x14ac:dyDescent="0.25">
      <c r="A302" s="1">
        <v>45538</v>
      </c>
      <c r="B302">
        <v>33.443544000000003</v>
      </c>
    </row>
    <row r="303" spans="1:2" x14ac:dyDescent="0.25">
      <c r="A303" s="1">
        <v>45539</v>
      </c>
      <c r="B303">
        <v>32.997858000000001</v>
      </c>
    </row>
    <row r="304" spans="1:2" x14ac:dyDescent="0.25">
      <c r="A304" s="1">
        <v>45540</v>
      </c>
      <c r="B304">
        <v>33.472783</v>
      </c>
    </row>
    <row r="305" spans="1:2" x14ac:dyDescent="0.25">
      <c r="A305" s="1">
        <v>45541</v>
      </c>
      <c r="B305">
        <v>33.348742000000001</v>
      </c>
    </row>
    <row r="306" spans="1:2" x14ac:dyDescent="0.25">
      <c r="A306" s="1">
        <v>45544</v>
      </c>
      <c r="B306">
        <v>33.651978999999997</v>
      </c>
    </row>
    <row r="307" spans="1:2" x14ac:dyDescent="0.25">
      <c r="A307" s="1">
        <v>45545</v>
      </c>
      <c r="B307">
        <v>33.608947000000001</v>
      </c>
    </row>
    <row r="308" spans="1:2" x14ac:dyDescent="0.25">
      <c r="A308" s="1">
        <v>45546</v>
      </c>
      <c r="B308">
        <v>31.299030999999999</v>
      </c>
    </row>
    <row r="309" spans="1:2" x14ac:dyDescent="0.25">
      <c r="A309" s="1">
        <v>45547</v>
      </c>
      <c r="B309">
        <v>34.089664999999997</v>
      </c>
    </row>
    <row r="310" spans="1:2" x14ac:dyDescent="0.25">
      <c r="A310" s="1">
        <v>45548</v>
      </c>
      <c r="B310">
        <v>33.389184</v>
      </c>
    </row>
    <row r="311" spans="1:2" x14ac:dyDescent="0.25">
      <c r="A311" s="1">
        <v>45551</v>
      </c>
      <c r="B311">
        <v>33.490122999999997</v>
      </c>
    </row>
    <row r="312" spans="1:2" x14ac:dyDescent="0.25">
      <c r="A312" s="1">
        <v>45552</v>
      </c>
      <c r="B312">
        <v>33.718997999999999</v>
      </c>
    </row>
    <row r="313" spans="1:2" x14ac:dyDescent="0.25">
      <c r="A313" s="1">
        <v>45553</v>
      </c>
      <c r="B313">
        <v>33.667985000000002</v>
      </c>
    </row>
    <row r="314" spans="1:2" x14ac:dyDescent="0.25">
      <c r="A314" s="1">
        <v>45554</v>
      </c>
      <c r="B314">
        <v>33.408147999999997</v>
      </c>
    </row>
    <row r="315" spans="1:2" x14ac:dyDescent="0.25">
      <c r="A315" s="1">
        <v>45555</v>
      </c>
      <c r="B315">
        <v>33.743153</v>
      </c>
    </row>
    <row r="316" spans="1:2" x14ac:dyDescent="0.25">
      <c r="A316" s="1">
        <v>45558</v>
      </c>
      <c r="B316">
        <v>33.481261000000003</v>
      </c>
    </row>
    <row r="317" spans="1:2" x14ac:dyDescent="0.25">
      <c r="A317" s="1">
        <v>45559</v>
      </c>
      <c r="B317">
        <v>33.297908</v>
      </c>
    </row>
    <row r="318" spans="1:2" x14ac:dyDescent="0.25">
      <c r="A318" s="1">
        <v>45560</v>
      </c>
      <c r="B318">
        <v>33.682343000000003</v>
      </c>
    </row>
    <row r="319" spans="1:2" x14ac:dyDescent="0.25">
      <c r="A319" s="1">
        <v>45561</v>
      </c>
      <c r="B319">
        <v>34.439568999999999</v>
      </c>
    </row>
    <row r="320" spans="1:2" x14ac:dyDescent="0.25">
      <c r="A320" s="1">
        <v>45562</v>
      </c>
      <c r="B320">
        <v>34.174827999999998</v>
      </c>
    </row>
    <row r="321" spans="1:2" x14ac:dyDescent="0.25">
      <c r="A321" s="1">
        <v>45565</v>
      </c>
      <c r="B321">
        <v>34.291296000000003</v>
      </c>
    </row>
    <row r="322" spans="1:2" x14ac:dyDescent="0.25">
      <c r="A322" s="1">
        <v>45566</v>
      </c>
      <c r="B322">
        <v>34.108986999999999</v>
      </c>
    </row>
    <row r="323" spans="1:2" x14ac:dyDescent="0.25">
      <c r="A323" s="1">
        <v>45567</v>
      </c>
      <c r="B323">
        <v>33.918709999999997</v>
      </c>
    </row>
    <row r="324" spans="1:2" x14ac:dyDescent="0.25">
      <c r="A324" s="1">
        <v>45568</v>
      </c>
      <c r="B324">
        <v>33.787827</v>
      </c>
    </row>
    <row r="325" spans="1:2" x14ac:dyDescent="0.25">
      <c r="A325" s="1">
        <v>45569</v>
      </c>
      <c r="B325">
        <v>33.501497000000001</v>
      </c>
    </row>
    <row r="326" spans="1:2" x14ac:dyDescent="0.25">
      <c r="A326" s="1">
        <v>45572</v>
      </c>
      <c r="B326">
        <v>33.491222</v>
      </c>
    </row>
    <row r="327" spans="1:2" x14ac:dyDescent="0.25">
      <c r="A327" s="1">
        <v>45573</v>
      </c>
      <c r="B327">
        <v>33.44746</v>
      </c>
    </row>
    <row r="328" spans="1:2" x14ac:dyDescent="0.25">
      <c r="A328" s="1">
        <v>45574</v>
      </c>
      <c r="B328">
        <v>32.776040000000002</v>
      </c>
    </row>
    <row r="329" spans="1:2" x14ac:dyDescent="0.25">
      <c r="A329" s="1">
        <v>45575</v>
      </c>
      <c r="B329">
        <v>32.338236999999999</v>
      </c>
    </row>
    <row r="330" spans="1:2" x14ac:dyDescent="0.25">
      <c r="A330" s="1">
        <v>45576</v>
      </c>
      <c r="B330">
        <v>32.165388</v>
      </c>
    </row>
    <row r="331" spans="1:2" x14ac:dyDescent="0.25">
      <c r="A331" s="1">
        <v>45579</v>
      </c>
      <c r="B331">
        <v>31.774884</v>
      </c>
    </row>
    <row r="332" spans="1:2" x14ac:dyDescent="0.25">
      <c r="A332" s="1">
        <v>45580</v>
      </c>
      <c r="B332">
        <v>32.187697</v>
      </c>
    </row>
    <row r="333" spans="1:2" x14ac:dyDescent="0.25">
      <c r="A333" s="1">
        <v>45581</v>
      </c>
      <c r="B333">
        <v>32.727986000000001</v>
      </c>
    </row>
    <row r="334" spans="1:2" x14ac:dyDescent="0.25">
      <c r="A334" s="1">
        <v>45582</v>
      </c>
      <c r="B334">
        <v>31.798988999999999</v>
      </c>
    </row>
    <row r="335" spans="1:2" x14ac:dyDescent="0.25">
      <c r="A335" s="1">
        <v>45583</v>
      </c>
      <c r="B335">
        <v>31.492425000000001</v>
      </c>
    </row>
    <row r="336" spans="1:2" x14ac:dyDescent="0.25">
      <c r="A336" s="1">
        <v>45586</v>
      </c>
      <c r="B336">
        <v>31.803062000000001</v>
      </c>
    </row>
    <row r="337" spans="1:2" x14ac:dyDescent="0.25">
      <c r="A337" s="1">
        <v>45587</v>
      </c>
      <c r="B337">
        <v>31.585784</v>
      </c>
    </row>
    <row r="338" spans="1:2" x14ac:dyDescent="0.25">
      <c r="A338" s="1">
        <v>45588</v>
      </c>
      <c r="B338">
        <v>32.213099</v>
      </c>
    </row>
    <row r="339" spans="1:2" x14ac:dyDescent="0.25">
      <c r="A339" s="1">
        <v>45589</v>
      </c>
      <c r="B339">
        <v>32.381554999999999</v>
      </c>
    </row>
    <row r="340" spans="1:2" x14ac:dyDescent="0.25">
      <c r="A340" s="1">
        <v>45590</v>
      </c>
      <c r="B340">
        <v>31.880934</v>
      </c>
    </row>
    <row r="341" spans="1:2" x14ac:dyDescent="0.25">
      <c r="A341" s="1">
        <v>45593</v>
      </c>
      <c r="B341">
        <v>33.425393999999997</v>
      </c>
    </row>
    <row r="342" spans="1:2" x14ac:dyDescent="0.25">
      <c r="A342" s="1">
        <v>45594</v>
      </c>
      <c r="B342">
        <v>32.065916999999999</v>
      </c>
    </row>
    <row r="343" spans="1:2" x14ac:dyDescent="0.25">
      <c r="A343" s="1">
        <v>45595</v>
      </c>
      <c r="B343">
        <v>33.248868999999999</v>
      </c>
    </row>
    <row r="344" spans="1:2" x14ac:dyDescent="0.25">
      <c r="A344" s="1">
        <v>45596</v>
      </c>
      <c r="B344">
        <v>32.667077999999997</v>
      </c>
    </row>
    <row r="345" spans="1:2" x14ac:dyDescent="0.25">
      <c r="A345" s="1">
        <v>45597</v>
      </c>
      <c r="B345">
        <v>32.812538000000004</v>
      </c>
    </row>
    <row r="346" spans="1:2" x14ac:dyDescent="0.25">
      <c r="A346" s="1">
        <v>45600</v>
      </c>
      <c r="B346">
        <v>32.668218000000003</v>
      </c>
    </row>
    <row r="347" spans="1:2" x14ac:dyDescent="0.25">
      <c r="A347" s="1">
        <v>45601</v>
      </c>
      <c r="B347">
        <v>33.136263</v>
      </c>
    </row>
    <row r="348" spans="1:2" x14ac:dyDescent="0.25">
      <c r="A348" s="1">
        <v>45602</v>
      </c>
      <c r="B348">
        <v>33.819085000000001</v>
      </c>
    </row>
    <row r="349" spans="1:2" x14ac:dyDescent="0.25">
      <c r="A349" s="1">
        <v>45603</v>
      </c>
      <c r="B349">
        <v>33.630267000000003</v>
      </c>
    </row>
    <row r="350" spans="1:2" x14ac:dyDescent="0.25">
      <c r="A350" s="1">
        <v>45604</v>
      </c>
      <c r="B350">
        <v>33.960867</v>
      </c>
    </row>
    <row r="351" spans="1:2" x14ac:dyDescent="0.25">
      <c r="A351" s="1">
        <v>45607</v>
      </c>
      <c r="B351">
        <v>33.700761</v>
      </c>
    </row>
    <row r="352" spans="1:2" x14ac:dyDescent="0.25">
      <c r="A352" s="1">
        <v>45608</v>
      </c>
      <c r="B352">
        <v>34.031764000000003</v>
      </c>
    </row>
    <row r="353" spans="1:2" x14ac:dyDescent="0.25">
      <c r="A353" s="1">
        <v>45609</v>
      </c>
      <c r="B353">
        <v>33.909694999999999</v>
      </c>
    </row>
    <row r="354" spans="1:2" x14ac:dyDescent="0.25">
      <c r="A354" s="1">
        <v>45610</v>
      </c>
      <c r="B354">
        <v>33.977735000000003</v>
      </c>
    </row>
    <row r="355" spans="1:2" x14ac:dyDescent="0.25">
      <c r="A355" s="1">
        <v>45614</v>
      </c>
      <c r="B355">
        <v>33.942214999999997</v>
      </c>
    </row>
    <row r="356" spans="1:2" x14ac:dyDescent="0.25">
      <c r="A356" s="1">
        <v>45615</v>
      </c>
      <c r="B356">
        <v>34.101300999999999</v>
      </c>
    </row>
    <row r="357" spans="1:2" x14ac:dyDescent="0.25">
      <c r="A357" s="1">
        <v>45617</v>
      </c>
      <c r="B357">
        <v>34.109428000000001</v>
      </c>
    </row>
    <row r="358" spans="1:2" x14ac:dyDescent="0.25">
      <c r="A358" s="1">
        <v>45618</v>
      </c>
      <c r="B358">
        <v>34.110193000000002</v>
      </c>
    </row>
    <row r="359" spans="1:2" x14ac:dyDescent="0.25">
      <c r="A359" s="1">
        <v>45621</v>
      </c>
      <c r="B359">
        <v>34.472268</v>
      </c>
    </row>
    <row r="360" spans="1:2" x14ac:dyDescent="0.25">
      <c r="A360" s="1">
        <v>45622</v>
      </c>
      <c r="B360">
        <v>34.088197000000001</v>
      </c>
    </row>
    <row r="361" spans="1:2" x14ac:dyDescent="0.25">
      <c r="A361" s="1">
        <v>45623</v>
      </c>
      <c r="B361">
        <v>34.133366000000002</v>
      </c>
    </row>
    <row r="362" spans="1:2" x14ac:dyDescent="0.25">
      <c r="A362" s="1">
        <v>45624</v>
      </c>
      <c r="B362">
        <v>34.136645000000001</v>
      </c>
    </row>
    <row r="363" spans="1:2" x14ac:dyDescent="0.25">
      <c r="A363" s="1">
        <v>45625</v>
      </c>
      <c r="B363">
        <v>34.164546000000001</v>
      </c>
    </row>
    <row r="364" spans="1:2" x14ac:dyDescent="0.25">
      <c r="A364" s="1">
        <v>45628</v>
      </c>
      <c r="B364">
        <v>34.141306</v>
      </c>
    </row>
    <row r="365" spans="1:2" x14ac:dyDescent="0.25">
      <c r="A365" s="1">
        <v>45629</v>
      </c>
      <c r="B365">
        <v>34.346891999999997</v>
      </c>
    </row>
    <row r="366" spans="1:2" x14ac:dyDescent="0.25">
      <c r="A366" s="1">
        <v>45630</v>
      </c>
      <c r="B366">
        <v>34.369928000000002</v>
      </c>
    </row>
    <row r="367" spans="1:2" x14ac:dyDescent="0.25">
      <c r="A367" s="1">
        <v>45631</v>
      </c>
      <c r="B367">
        <v>34.387656</v>
      </c>
    </row>
    <row r="368" spans="1:2" x14ac:dyDescent="0.25">
      <c r="A368" s="1">
        <v>45632</v>
      </c>
      <c r="B368">
        <v>34.609253000000002</v>
      </c>
    </row>
    <row r="369" spans="1:2" x14ac:dyDescent="0.25">
      <c r="A369" s="1">
        <v>45635</v>
      </c>
      <c r="B369">
        <v>34.829552999999997</v>
      </c>
    </row>
    <row r="370" spans="1:2" x14ac:dyDescent="0.25">
      <c r="A370" s="1">
        <v>45636</v>
      </c>
      <c r="B370">
        <v>35.240951000000003</v>
      </c>
    </row>
    <row r="371" spans="1:2" x14ac:dyDescent="0.25">
      <c r="A371" s="1">
        <v>45637</v>
      </c>
      <c r="B371">
        <v>35.287578000000003</v>
      </c>
    </row>
    <row r="372" spans="1:2" x14ac:dyDescent="0.25">
      <c r="A372" s="1">
        <v>45638</v>
      </c>
      <c r="B372">
        <v>35.953823999999997</v>
      </c>
    </row>
    <row r="373" spans="1:2" x14ac:dyDescent="0.25">
      <c r="A373" s="1">
        <v>45639</v>
      </c>
      <c r="B373">
        <v>35.686433999999998</v>
      </c>
    </row>
    <row r="374" spans="1:2" x14ac:dyDescent="0.25">
      <c r="A374" s="1">
        <v>45642</v>
      </c>
      <c r="B374">
        <v>35.995328999999998</v>
      </c>
    </row>
    <row r="375" spans="1:2" x14ac:dyDescent="0.25">
      <c r="A375" s="1">
        <v>45643</v>
      </c>
      <c r="B375">
        <v>35.710638000000003</v>
      </c>
    </row>
    <row r="376" spans="1:2" x14ac:dyDescent="0.25">
      <c r="A376" s="1">
        <v>45644</v>
      </c>
      <c r="B376">
        <v>35.788356999999998</v>
      </c>
    </row>
    <row r="377" spans="1:2" x14ac:dyDescent="0.25">
      <c r="A377" s="1">
        <v>45645</v>
      </c>
      <c r="B377">
        <v>36.562542000000001</v>
      </c>
    </row>
    <row r="378" spans="1:2" x14ac:dyDescent="0.25">
      <c r="A378" s="1">
        <v>45646</v>
      </c>
      <c r="B378">
        <v>36.236381999999999</v>
      </c>
    </row>
    <row r="379" spans="1:2" x14ac:dyDescent="0.25">
      <c r="A379" s="1">
        <v>45649</v>
      </c>
      <c r="B379">
        <v>35.82273</v>
      </c>
    </row>
    <row r="380" spans="1:2" x14ac:dyDescent="0.25">
      <c r="A380" s="1">
        <v>45650</v>
      </c>
      <c r="B380">
        <v>35.82273</v>
      </c>
    </row>
    <row r="381" spans="1:2" x14ac:dyDescent="0.25">
      <c r="A381" s="1">
        <v>45652</v>
      </c>
      <c r="B381">
        <v>34.782708</v>
      </c>
    </row>
    <row r="382" spans="1:2" x14ac:dyDescent="0.25">
      <c r="A382" s="1">
        <v>45653</v>
      </c>
      <c r="B382">
        <v>35.900410000000001</v>
      </c>
    </row>
    <row r="383" spans="1:2" x14ac:dyDescent="0.25">
      <c r="A383" s="1">
        <v>45656</v>
      </c>
      <c r="B383">
        <v>35.830489</v>
      </c>
    </row>
    <row r="384" spans="1:2" x14ac:dyDescent="0.25">
      <c r="A384" s="1">
        <v>45657</v>
      </c>
      <c r="B384">
        <v>35.830489</v>
      </c>
    </row>
    <row r="385" spans="1:2" x14ac:dyDescent="0.25">
      <c r="A385" s="1">
        <v>45659</v>
      </c>
      <c r="B385">
        <v>35.037472000000001</v>
      </c>
    </row>
    <row r="386" spans="1:2" x14ac:dyDescent="0.25">
      <c r="A386" s="1">
        <v>45660</v>
      </c>
      <c r="B386">
        <v>35.876626999999999</v>
      </c>
    </row>
    <row r="387" spans="1:2" x14ac:dyDescent="0.25">
      <c r="A387" s="1">
        <v>45663</v>
      </c>
      <c r="B387">
        <v>34.35904</v>
      </c>
    </row>
    <row r="388" spans="1:2" x14ac:dyDescent="0.25">
      <c r="A388" s="1">
        <v>45664</v>
      </c>
      <c r="B388">
        <v>34.284517000000001</v>
      </c>
    </row>
    <row r="389" spans="1:2" x14ac:dyDescent="0.25">
      <c r="A389" s="1">
        <v>45665</v>
      </c>
      <c r="B389">
        <v>35.773443</v>
      </c>
    </row>
    <row r="390" spans="1:2" x14ac:dyDescent="0.25">
      <c r="A390" s="1">
        <v>45666</v>
      </c>
      <c r="B390">
        <v>34.849172000000003</v>
      </c>
    </row>
    <row r="391" spans="1:2" x14ac:dyDescent="0.25">
      <c r="A391" s="1">
        <v>45667</v>
      </c>
      <c r="B391">
        <v>34.870477000000001</v>
      </c>
    </row>
    <row r="392" spans="1:2" x14ac:dyDescent="0.25">
      <c r="A392" s="1">
        <v>45304</v>
      </c>
      <c r="B392">
        <v>34.870477000000001</v>
      </c>
    </row>
    <row r="393" spans="1:2" x14ac:dyDescent="0.25">
      <c r="A393" s="1">
        <v>45305</v>
      </c>
      <c r="B393">
        <v>34.870477000000001</v>
      </c>
    </row>
    <row r="394" spans="1:2" x14ac:dyDescent="0.25">
      <c r="A394" s="1">
        <v>45306</v>
      </c>
      <c r="B394">
        <v>35.213500000000003</v>
      </c>
    </row>
    <row r="395" spans="1:2" x14ac:dyDescent="0.25">
      <c r="A395" s="1">
        <v>45307</v>
      </c>
      <c r="B395">
        <v>35.883096999999999</v>
      </c>
    </row>
    <row r="396" spans="1:2" x14ac:dyDescent="0.25">
      <c r="A396" s="1">
        <v>45308</v>
      </c>
      <c r="B396">
        <v>35.752716999999997</v>
      </c>
    </row>
    <row r="397" spans="1:2" x14ac:dyDescent="0.25">
      <c r="A397" s="1">
        <v>45311</v>
      </c>
      <c r="B397">
        <v>35.752716999999997</v>
      </c>
    </row>
    <row r="398" spans="1:2" x14ac:dyDescent="0.25">
      <c r="A398" s="1">
        <v>45312</v>
      </c>
      <c r="B398">
        <v>35.752716999999997</v>
      </c>
    </row>
    <row r="399" spans="1:2" x14ac:dyDescent="0.25">
      <c r="A399" s="1">
        <v>45313</v>
      </c>
      <c r="B399">
        <v>35.475676</v>
      </c>
    </row>
    <row r="400" spans="1:2" x14ac:dyDescent="0.25">
      <c r="A400" s="1">
        <v>45314</v>
      </c>
      <c r="B400">
        <v>35.650796</v>
      </c>
    </row>
    <row r="401" spans="1:2" x14ac:dyDescent="0.25">
      <c r="A401" s="1">
        <v>45315</v>
      </c>
      <c r="B401">
        <v>35.570706000000001</v>
      </c>
    </row>
    <row r="402" spans="1:2" x14ac:dyDescent="0.25">
      <c r="A402" s="1">
        <v>45318</v>
      </c>
      <c r="B402">
        <v>35.570706000000001</v>
      </c>
    </row>
    <row r="403" spans="1:2" x14ac:dyDescent="0.25">
      <c r="A403" s="1">
        <v>45319</v>
      </c>
      <c r="B403">
        <v>35.570706000000001</v>
      </c>
    </row>
    <row r="404" spans="1:2" x14ac:dyDescent="0.25">
      <c r="A404" s="1">
        <v>45320</v>
      </c>
      <c r="B404">
        <v>35.734406</v>
      </c>
    </row>
    <row r="405" spans="1:2" x14ac:dyDescent="0.25">
      <c r="A405" s="1">
        <v>45321</v>
      </c>
      <c r="B405">
        <v>35.833647999999997</v>
      </c>
    </row>
    <row r="406" spans="1:2" x14ac:dyDescent="0.25">
      <c r="A406" s="1">
        <v>45322</v>
      </c>
      <c r="B406">
        <v>35.586410999999998</v>
      </c>
    </row>
    <row r="407" spans="1:2" x14ac:dyDescent="0.25">
      <c r="A407" s="1">
        <v>45691</v>
      </c>
      <c r="B407">
        <v>34.331249999999997</v>
      </c>
    </row>
    <row r="408" spans="1:2" x14ac:dyDescent="0.25">
      <c r="A408" s="1">
        <v>45692</v>
      </c>
      <c r="B408">
        <v>34.218384</v>
      </c>
    </row>
    <row r="409" spans="1:2" x14ac:dyDescent="0.25">
      <c r="A409" s="1">
        <v>45693</v>
      </c>
      <c r="B409">
        <v>34.037537999999998</v>
      </c>
    </row>
    <row r="410" spans="1:2" x14ac:dyDescent="0.25">
      <c r="A410" s="1">
        <v>45694</v>
      </c>
      <c r="B410">
        <v>33.814199000000002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AACC-5C12-4815-8914-F2689D4A9F8F}">
  <dimension ref="A1:E382"/>
  <sheetViews>
    <sheetView topLeftCell="A367" workbookViewId="0">
      <selection activeCell="C383" sqref="C383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10.8554687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>
        <v>199401</v>
      </c>
      <c r="B2" t="str">
        <f t="shared" ref="B2:B65" si="0">TEXT(A2,"000000")</f>
        <v>199401</v>
      </c>
      <c r="C2" s="5">
        <v>0.41310000000000002</v>
      </c>
    </row>
    <row r="3" spans="1:3" x14ac:dyDescent="0.25">
      <c r="A3">
        <v>199402</v>
      </c>
      <c r="B3" t="str">
        <f t="shared" si="0"/>
        <v>199402</v>
      </c>
      <c r="C3" s="5">
        <v>0.40270000000000006</v>
      </c>
    </row>
    <row r="4" spans="1:3" x14ac:dyDescent="0.25">
      <c r="A4">
        <v>199403</v>
      </c>
      <c r="B4" t="str">
        <f t="shared" si="0"/>
        <v>199403</v>
      </c>
      <c r="C4" s="5">
        <v>0.42749999999999999</v>
      </c>
    </row>
    <row r="5" spans="1:3" x14ac:dyDescent="0.25">
      <c r="A5">
        <v>199404</v>
      </c>
      <c r="B5" t="str">
        <f t="shared" si="0"/>
        <v>199404</v>
      </c>
      <c r="C5" s="5">
        <v>0.42680000000000001</v>
      </c>
    </row>
    <row r="6" spans="1:3" x14ac:dyDescent="0.25">
      <c r="A6">
        <v>199405</v>
      </c>
      <c r="B6" t="str">
        <f t="shared" si="0"/>
        <v>199405</v>
      </c>
      <c r="C6" s="5">
        <v>0.44030000000000002</v>
      </c>
    </row>
    <row r="7" spans="1:3" x14ac:dyDescent="0.25">
      <c r="A7">
        <v>199406</v>
      </c>
      <c r="B7" t="str">
        <f t="shared" si="0"/>
        <v>199406</v>
      </c>
      <c r="C7" s="5">
        <v>0.4743</v>
      </c>
    </row>
    <row r="8" spans="1:3" x14ac:dyDescent="0.25">
      <c r="A8">
        <v>199407</v>
      </c>
      <c r="B8" t="str">
        <f t="shared" si="0"/>
        <v>199407</v>
      </c>
      <c r="C8" s="5">
        <v>6.8400000000000002E-2</v>
      </c>
    </row>
    <row r="9" spans="1:3" x14ac:dyDescent="0.25">
      <c r="A9">
        <v>199408</v>
      </c>
      <c r="B9" t="str">
        <f t="shared" si="0"/>
        <v>199408</v>
      </c>
      <c r="C9" s="5">
        <v>1.8600000000000002E-2</v>
      </c>
    </row>
    <row r="10" spans="1:3" x14ac:dyDescent="0.25">
      <c r="A10">
        <v>199409</v>
      </c>
      <c r="B10" t="str">
        <f t="shared" si="0"/>
        <v>199409</v>
      </c>
      <c r="C10" s="5">
        <v>1.5300000000000001E-2</v>
      </c>
    </row>
    <row r="11" spans="1:3" x14ac:dyDescent="0.25">
      <c r="A11">
        <v>199410</v>
      </c>
      <c r="B11" t="str">
        <f t="shared" si="0"/>
        <v>199410</v>
      </c>
      <c r="C11" s="5">
        <v>2.6200000000000001E-2</v>
      </c>
    </row>
    <row r="12" spans="1:3" x14ac:dyDescent="0.25">
      <c r="A12">
        <v>199411</v>
      </c>
      <c r="B12" t="str">
        <f t="shared" si="0"/>
        <v>199411</v>
      </c>
      <c r="C12" s="5">
        <v>2.81E-2</v>
      </c>
    </row>
    <row r="13" spans="1:3" x14ac:dyDescent="0.25">
      <c r="A13">
        <v>199412</v>
      </c>
      <c r="B13" t="str">
        <f t="shared" si="0"/>
        <v>199412</v>
      </c>
      <c r="C13" s="5">
        <v>1.7100000000000001E-2</v>
      </c>
    </row>
    <row r="14" spans="1:3" x14ac:dyDescent="0.25">
      <c r="A14">
        <v>199501</v>
      </c>
      <c r="B14" t="str">
        <f t="shared" si="0"/>
        <v>199501</v>
      </c>
      <c r="C14" s="5">
        <v>1.7000000000000001E-2</v>
      </c>
    </row>
    <row r="15" spans="1:3" x14ac:dyDescent="0.25">
      <c r="A15">
        <v>199502</v>
      </c>
      <c r="B15" t="str">
        <f t="shared" si="0"/>
        <v>199502</v>
      </c>
      <c r="C15" s="5">
        <v>1.0200000000000001E-2</v>
      </c>
    </row>
    <row r="16" spans="1:3" x14ac:dyDescent="0.25">
      <c r="A16">
        <v>199503</v>
      </c>
      <c r="B16" t="str">
        <f t="shared" si="0"/>
        <v>199503</v>
      </c>
      <c r="C16" s="5">
        <v>1.55E-2</v>
      </c>
    </row>
    <row r="17" spans="1:3" x14ac:dyDescent="0.25">
      <c r="A17">
        <v>199504</v>
      </c>
      <c r="B17" t="str">
        <f t="shared" si="0"/>
        <v>199504</v>
      </c>
      <c r="C17" s="5">
        <v>2.4300000000000002E-2</v>
      </c>
    </row>
    <row r="18" spans="1:3" x14ac:dyDescent="0.25">
      <c r="A18">
        <v>199505</v>
      </c>
      <c r="B18" t="str">
        <f t="shared" si="0"/>
        <v>199505</v>
      </c>
      <c r="C18" s="5">
        <v>2.6699999999999998E-2</v>
      </c>
    </row>
    <row r="19" spans="1:3" x14ac:dyDescent="0.25">
      <c r="A19">
        <v>199506</v>
      </c>
      <c r="B19" t="str">
        <f t="shared" si="0"/>
        <v>199506</v>
      </c>
      <c r="C19" s="5">
        <v>2.2599999999999999E-2</v>
      </c>
    </row>
    <row r="20" spans="1:3" x14ac:dyDescent="0.25">
      <c r="A20">
        <v>199507</v>
      </c>
      <c r="B20" t="str">
        <f t="shared" si="0"/>
        <v>199507</v>
      </c>
      <c r="C20" s="5">
        <v>2.3599999999999999E-2</v>
      </c>
    </row>
    <row r="21" spans="1:3" x14ac:dyDescent="0.25">
      <c r="A21">
        <v>199508</v>
      </c>
      <c r="B21" t="str">
        <f t="shared" si="0"/>
        <v>199508</v>
      </c>
      <c r="C21" s="5">
        <v>9.8999999999999991E-3</v>
      </c>
    </row>
    <row r="22" spans="1:3" x14ac:dyDescent="0.25">
      <c r="A22">
        <v>199509</v>
      </c>
      <c r="B22" t="str">
        <f t="shared" si="0"/>
        <v>199509</v>
      </c>
      <c r="C22" s="5">
        <v>9.8999999999999991E-3</v>
      </c>
    </row>
    <row r="23" spans="1:3" x14ac:dyDescent="0.25">
      <c r="A23">
        <v>199510</v>
      </c>
      <c r="B23" t="str">
        <f t="shared" si="0"/>
        <v>199510</v>
      </c>
      <c r="C23" s="5">
        <v>1.41E-2</v>
      </c>
    </row>
    <row r="24" spans="1:3" x14ac:dyDescent="0.25">
      <c r="A24">
        <v>199511</v>
      </c>
      <c r="B24" t="str">
        <f t="shared" si="0"/>
        <v>199511</v>
      </c>
      <c r="C24" s="5">
        <v>1.47E-2</v>
      </c>
    </row>
    <row r="25" spans="1:3" x14ac:dyDescent="0.25">
      <c r="A25">
        <v>199512</v>
      </c>
      <c r="B25" t="str">
        <f t="shared" si="0"/>
        <v>199512</v>
      </c>
      <c r="C25" s="5">
        <v>1.5600000000000001E-2</v>
      </c>
    </row>
    <row r="26" spans="1:3" x14ac:dyDescent="0.25">
      <c r="A26">
        <v>199601</v>
      </c>
      <c r="B26" t="str">
        <f t="shared" si="0"/>
        <v>199601</v>
      </c>
      <c r="C26" s="5">
        <v>1.34E-2</v>
      </c>
    </row>
    <row r="27" spans="1:3" x14ac:dyDescent="0.25">
      <c r="A27">
        <v>199602</v>
      </c>
      <c r="B27" t="str">
        <f t="shared" si="0"/>
        <v>199602</v>
      </c>
      <c r="C27" s="5">
        <v>1.03E-2</v>
      </c>
    </row>
    <row r="28" spans="1:3" x14ac:dyDescent="0.25">
      <c r="A28">
        <v>199603</v>
      </c>
      <c r="B28" t="str">
        <f t="shared" si="0"/>
        <v>199603</v>
      </c>
      <c r="C28" s="5">
        <v>3.4999999999999996E-3</v>
      </c>
    </row>
    <row r="29" spans="1:3" x14ac:dyDescent="0.25">
      <c r="A29">
        <v>199604</v>
      </c>
      <c r="B29" t="str">
        <f t="shared" si="0"/>
        <v>199604</v>
      </c>
      <c r="C29" s="5">
        <v>1.26E-2</v>
      </c>
    </row>
    <row r="30" spans="1:3" x14ac:dyDescent="0.25">
      <c r="A30">
        <v>199605</v>
      </c>
      <c r="B30" t="str">
        <f t="shared" si="0"/>
        <v>199605</v>
      </c>
      <c r="C30" s="5">
        <v>1.2199999999999999E-2</v>
      </c>
    </row>
    <row r="31" spans="1:3" x14ac:dyDescent="0.25">
      <c r="A31">
        <v>199606</v>
      </c>
      <c r="B31" t="str">
        <f t="shared" si="0"/>
        <v>199606</v>
      </c>
      <c r="C31" s="5">
        <v>1.1899999999999999E-2</v>
      </c>
    </row>
    <row r="32" spans="1:3" x14ac:dyDescent="0.25">
      <c r="A32">
        <v>199607</v>
      </c>
      <c r="B32" t="str">
        <f t="shared" si="0"/>
        <v>199607</v>
      </c>
      <c r="C32" s="5">
        <v>1.11E-2</v>
      </c>
    </row>
    <row r="33" spans="1:3" x14ac:dyDescent="0.25">
      <c r="A33">
        <v>199608</v>
      </c>
      <c r="B33" t="str">
        <f t="shared" si="0"/>
        <v>199608</v>
      </c>
      <c r="C33" s="5">
        <v>4.4000000000000003E-3</v>
      </c>
    </row>
    <row r="34" spans="1:3" x14ac:dyDescent="0.25">
      <c r="A34">
        <v>199609</v>
      </c>
      <c r="B34" t="str">
        <f t="shared" si="0"/>
        <v>199609</v>
      </c>
      <c r="C34" s="5">
        <v>1.5E-3</v>
      </c>
    </row>
    <row r="35" spans="1:3" x14ac:dyDescent="0.25">
      <c r="A35">
        <v>199610</v>
      </c>
      <c r="B35" t="str">
        <f t="shared" si="0"/>
        <v>199610</v>
      </c>
      <c r="C35" s="5">
        <v>3.0000000000000001E-3</v>
      </c>
    </row>
    <row r="36" spans="1:3" x14ac:dyDescent="0.25">
      <c r="A36">
        <v>199611</v>
      </c>
      <c r="B36" t="str">
        <f t="shared" si="0"/>
        <v>199611</v>
      </c>
      <c r="C36" s="5">
        <v>3.2000000000000002E-3</v>
      </c>
    </row>
    <row r="37" spans="1:3" x14ac:dyDescent="0.25">
      <c r="A37">
        <v>199612</v>
      </c>
      <c r="B37" t="str">
        <f t="shared" si="0"/>
        <v>199612</v>
      </c>
      <c r="C37" s="5">
        <v>4.6999999999999993E-3</v>
      </c>
    </row>
    <row r="38" spans="1:3" x14ac:dyDescent="0.25">
      <c r="A38">
        <v>199701</v>
      </c>
      <c r="B38" t="str">
        <f t="shared" si="0"/>
        <v>199701</v>
      </c>
      <c r="C38" s="5">
        <v>1.18E-2</v>
      </c>
    </row>
    <row r="39" spans="1:3" x14ac:dyDescent="0.25">
      <c r="A39">
        <v>199702</v>
      </c>
      <c r="B39" t="str">
        <f t="shared" si="0"/>
        <v>199702</v>
      </c>
      <c r="C39" s="5">
        <v>5.0000000000000001E-3</v>
      </c>
    </row>
    <row r="40" spans="1:3" x14ac:dyDescent="0.25">
      <c r="A40">
        <v>199703</v>
      </c>
      <c r="B40" t="str">
        <f t="shared" si="0"/>
        <v>199703</v>
      </c>
      <c r="C40" s="5">
        <v>5.1000000000000004E-3</v>
      </c>
    </row>
    <row r="41" spans="1:3" x14ac:dyDescent="0.25">
      <c r="A41">
        <v>199704</v>
      </c>
      <c r="B41" t="str">
        <f t="shared" si="0"/>
        <v>199704</v>
      </c>
      <c r="C41" s="5">
        <v>8.8000000000000005E-3</v>
      </c>
    </row>
    <row r="42" spans="1:3" x14ac:dyDescent="0.25">
      <c r="A42">
        <v>199705</v>
      </c>
      <c r="B42" t="str">
        <f t="shared" si="0"/>
        <v>199705</v>
      </c>
      <c r="C42" s="5">
        <v>4.0999999999999995E-3</v>
      </c>
    </row>
    <row r="43" spans="1:3" x14ac:dyDescent="0.25">
      <c r="A43">
        <v>199706</v>
      </c>
      <c r="B43" t="str">
        <f t="shared" si="0"/>
        <v>199706</v>
      </c>
      <c r="C43" s="5">
        <v>5.4000000000000003E-3</v>
      </c>
    </row>
    <row r="44" spans="1:3" x14ac:dyDescent="0.25">
      <c r="A44">
        <v>199707</v>
      </c>
      <c r="B44" t="str">
        <f t="shared" si="0"/>
        <v>199707</v>
      </c>
      <c r="C44" s="5">
        <v>2.2000000000000001E-3</v>
      </c>
    </row>
    <row r="45" spans="1:3" x14ac:dyDescent="0.25">
      <c r="A45">
        <v>199708</v>
      </c>
      <c r="B45" t="str">
        <f t="shared" si="0"/>
        <v>199708</v>
      </c>
      <c r="C45" s="5">
        <v>-2.0000000000000001E-4</v>
      </c>
    </row>
    <row r="46" spans="1:3" x14ac:dyDescent="0.25">
      <c r="A46">
        <v>199709</v>
      </c>
      <c r="B46" t="str">
        <f t="shared" si="0"/>
        <v>199709</v>
      </c>
      <c r="C46" s="5">
        <v>5.9999999999999995E-4</v>
      </c>
    </row>
    <row r="47" spans="1:3" x14ac:dyDescent="0.25">
      <c r="A47">
        <v>199710</v>
      </c>
      <c r="B47" t="str">
        <f t="shared" si="0"/>
        <v>199710</v>
      </c>
      <c r="C47" s="5">
        <v>2.3E-3</v>
      </c>
    </row>
    <row r="48" spans="1:3" x14ac:dyDescent="0.25">
      <c r="A48">
        <v>199711</v>
      </c>
      <c r="B48" t="str">
        <f t="shared" si="0"/>
        <v>199711</v>
      </c>
      <c r="C48" s="5">
        <v>1.7000000000000001E-3</v>
      </c>
    </row>
    <row r="49" spans="1:3" x14ac:dyDescent="0.25">
      <c r="A49">
        <v>199712</v>
      </c>
      <c r="B49" t="str">
        <f t="shared" si="0"/>
        <v>199712</v>
      </c>
      <c r="C49" s="5">
        <v>4.3E-3</v>
      </c>
    </row>
    <row r="50" spans="1:3" x14ac:dyDescent="0.25">
      <c r="A50">
        <v>199801</v>
      </c>
      <c r="B50" t="str">
        <f t="shared" si="0"/>
        <v>199801</v>
      </c>
      <c r="C50" s="5">
        <v>7.0999999999999995E-3</v>
      </c>
    </row>
    <row r="51" spans="1:3" x14ac:dyDescent="0.25">
      <c r="A51">
        <v>199802</v>
      </c>
      <c r="B51" t="str">
        <f t="shared" si="0"/>
        <v>199802</v>
      </c>
      <c r="C51" s="5">
        <v>4.5999999999999999E-3</v>
      </c>
    </row>
    <row r="52" spans="1:3" x14ac:dyDescent="0.25">
      <c r="A52">
        <v>199803</v>
      </c>
      <c r="B52" t="str">
        <f t="shared" si="0"/>
        <v>199803</v>
      </c>
      <c r="C52" s="5">
        <v>3.4000000000000002E-3</v>
      </c>
    </row>
    <row r="53" spans="1:3" x14ac:dyDescent="0.25">
      <c r="A53">
        <v>199804</v>
      </c>
      <c r="B53" t="str">
        <f t="shared" si="0"/>
        <v>199804</v>
      </c>
      <c r="C53" s="5">
        <v>2.3999999999999998E-3</v>
      </c>
    </row>
    <row r="54" spans="1:3" x14ac:dyDescent="0.25">
      <c r="A54">
        <v>199805</v>
      </c>
      <c r="B54" t="str">
        <f t="shared" si="0"/>
        <v>199805</v>
      </c>
      <c r="C54" s="5">
        <v>5.0000000000000001E-3</v>
      </c>
    </row>
    <row r="55" spans="1:3" x14ac:dyDescent="0.25">
      <c r="A55">
        <v>199806</v>
      </c>
      <c r="B55" t="str">
        <f t="shared" si="0"/>
        <v>199806</v>
      </c>
      <c r="C55" s="5">
        <v>2.0000000000000001E-4</v>
      </c>
    </row>
    <row r="56" spans="1:3" x14ac:dyDescent="0.25">
      <c r="A56">
        <v>199807</v>
      </c>
      <c r="B56" t="str">
        <f t="shared" si="0"/>
        <v>199807</v>
      </c>
      <c r="C56" s="5">
        <v>-1.1999999999999999E-3</v>
      </c>
    </row>
    <row r="57" spans="1:3" x14ac:dyDescent="0.25">
      <c r="A57">
        <v>199808</v>
      </c>
      <c r="B57" t="str">
        <f t="shared" si="0"/>
        <v>199808</v>
      </c>
      <c r="C57" s="5">
        <v>-5.1000000000000004E-3</v>
      </c>
    </row>
    <row r="58" spans="1:3" x14ac:dyDescent="0.25">
      <c r="A58">
        <v>199809</v>
      </c>
      <c r="B58" t="str">
        <f t="shared" si="0"/>
        <v>199809</v>
      </c>
      <c r="C58" s="5">
        <v>-2.2000000000000001E-3</v>
      </c>
    </row>
    <row r="59" spans="1:3" x14ac:dyDescent="0.25">
      <c r="A59">
        <v>199810</v>
      </c>
      <c r="B59" t="str">
        <f t="shared" si="0"/>
        <v>199810</v>
      </c>
      <c r="C59" s="5">
        <v>2.0000000000000001E-4</v>
      </c>
    </row>
    <row r="60" spans="1:3" x14ac:dyDescent="0.25">
      <c r="A60">
        <v>199811</v>
      </c>
      <c r="B60" t="str">
        <f t="shared" si="0"/>
        <v>199811</v>
      </c>
      <c r="C60" s="5">
        <v>-1.1999999999999999E-3</v>
      </c>
    </row>
    <row r="61" spans="1:3" x14ac:dyDescent="0.25">
      <c r="A61">
        <v>199812</v>
      </c>
      <c r="B61" t="str">
        <f t="shared" si="0"/>
        <v>199812</v>
      </c>
      <c r="C61" s="5">
        <v>3.3E-3</v>
      </c>
    </row>
    <row r="62" spans="1:3" x14ac:dyDescent="0.25">
      <c r="A62">
        <v>199901</v>
      </c>
      <c r="B62" t="str">
        <f t="shared" si="0"/>
        <v>199901</v>
      </c>
      <c r="C62" s="5">
        <v>6.9999999999999993E-3</v>
      </c>
    </row>
    <row r="63" spans="1:3" x14ac:dyDescent="0.25">
      <c r="A63">
        <v>199902</v>
      </c>
      <c r="B63" t="str">
        <f t="shared" si="0"/>
        <v>199902</v>
      </c>
      <c r="C63" s="5">
        <v>1.0500000000000001E-2</v>
      </c>
    </row>
    <row r="64" spans="1:3" x14ac:dyDescent="0.25">
      <c r="A64">
        <v>199903</v>
      </c>
      <c r="B64" t="str">
        <f t="shared" si="0"/>
        <v>199903</v>
      </c>
      <c r="C64" s="5">
        <v>1.1000000000000001E-2</v>
      </c>
    </row>
    <row r="65" spans="1:3" x14ac:dyDescent="0.25">
      <c r="A65">
        <v>199904</v>
      </c>
      <c r="B65" t="str">
        <f t="shared" si="0"/>
        <v>199904</v>
      </c>
      <c r="C65" s="5">
        <v>5.6000000000000008E-3</v>
      </c>
    </row>
    <row r="66" spans="1:3" x14ac:dyDescent="0.25">
      <c r="A66">
        <v>199905</v>
      </c>
      <c r="B66" t="str">
        <f t="shared" ref="B66:B129" si="1">TEXT(A66,"000000")</f>
        <v>199905</v>
      </c>
      <c r="C66" s="5">
        <v>3.0000000000000001E-3</v>
      </c>
    </row>
    <row r="67" spans="1:3" x14ac:dyDescent="0.25">
      <c r="A67">
        <v>199906</v>
      </c>
      <c r="B67" t="str">
        <f t="shared" si="1"/>
        <v>199906</v>
      </c>
      <c r="C67" s="5">
        <v>1.9E-3</v>
      </c>
    </row>
    <row r="68" spans="1:3" x14ac:dyDescent="0.25">
      <c r="A68">
        <v>199907</v>
      </c>
      <c r="B68" t="str">
        <f t="shared" si="1"/>
        <v>199907</v>
      </c>
      <c r="C68" s="5">
        <v>1.09E-2</v>
      </c>
    </row>
    <row r="69" spans="1:3" x14ac:dyDescent="0.25">
      <c r="A69">
        <v>199908</v>
      </c>
      <c r="B69" t="str">
        <f t="shared" si="1"/>
        <v>199908</v>
      </c>
      <c r="C69" s="5">
        <v>5.6000000000000008E-3</v>
      </c>
    </row>
    <row r="70" spans="1:3" x14ac:dyDescent="0.25">
      <c r="A70">
        <v>199909</v>
      </c>
      <c r="B70" t="str">
        <f t="shared" si="1"/>
        <v>199909</v>
      </c>
      <c r="C70" s="5">
        <v>3.0999999999999999E-3</v>
      </c>
    </row>
    <row r="71" spans="1:3" x14ac:dyDescent="0.25">
      <c r="A71">
        <v>199910</v>
      </c>
      <c r="B71" t="str">
        <f t="shared" si="1"/>
        <v>199910</v>
      </c>
      <c r="C71" s="5">
        <v>1.1899999999999999E-2</v>
      </c>
    </row>
    <row r="72" spans="1:3" x14ac:dyDescent="0.25">
      <c r="A72">
        <v>199911</v>
      </c>
      <c r="B72" t="str">
        <f t="shared" si="1"/>
        <v>199911</v>
      </c>
      <c r="C72" s="5">
        <v>9.4999999999999998E-3</v>
      </c>
    </row>
    <row r="73" spans="1:3" x14ac:dyDescent="0.25">
      <c r="A73">
        <v>199912</v>
      </c>
      <c r="B73" t="str">
        <f t="shared" si="1"/>
        <v>199912</v>
      </c>
      <c r="C73" s="5">
        <v>6.0000000000000001E-3</v>
      </c>
    </row>
    <row r="74" spans="1:3" x14ac:dyDescent="0.25">
      <c r="A74">
        <v>200001</v>
      </c>
      <c r="B74" t="str">
        <f t="shared" si="1"/>
        <v>200001</v>
      </c>
      <c r="C74" s="5">
        <v>6.1999999999999998E-3</v>
      </c>
    </row>
    <row r="75" spans="1:3" x14ac:dyDescent="0.25">
      <c r="A75">
        <v>200002</v>
      </c>
      <c r="B75" t="str">
        <f t="shared" si="1"/>
        <v>200002</v>
      </c>
      <c r="C75" s="5">
        <v>1.2999999999999999E-3</v>
      </c>
    </row>
    <row r="76" spans="1:3" x14ac:dyDescent="0.25">
      <c r="A76">
        <v>200003</v>
      </c>
      <c r="B76" t="str">
        <f t="shared" si="1"/>
        <v>200003</v>
      </c>
      <c r="C76" s="5">
        <v>2.2000000000000001E-3</v>
      </c>
    </row>
    <row r="77" spans="1:3" x14ac:dyDescent="0.25">
      <c r="A77">
        <v>200004</v>
      </c>
      <c r="B77" t="str">
        <f t="shared" si="1"/>
        <v>200004</v>
      </c>
      <c r="C77" s="5">
        <v>4.1999999999999997E-3</v>
      </c>
    </row>
    <row r="78" spans="1:3" x14ac:dyDescent="0.25">
      <c r="A78">
        <v>200005</v>
      </c>
      <c r="B78" t="str">
        <f t="shared" si="1"/>
        <v>200005</v>
      </c>
      <c r="C78" s="5">
        <v>1E-4</v>
      </c>
    </row>
    <row r="79" spans="1:3" x14ac:dyDescent="0.25">
      <c r="A79">
        <v>200006</v>
      </c>
      <c r="B79" t="str">
        <f t="shared" si="1"/>
        <v>200006</v>
      </c>
      <c r="C79" s="5">
        <v>2.3E-3</v>
      </c>
    </row>
    <row r="80" spans="1:3" x14ac:dyDescent="0.25">
      <c r="A80">
        <v>200007</v>
      </c>
      <c r="B80" t="str">
        <f t="shared" si="1"/>
        <v>200007</v>
      </c>
      <c r="C80" s="5">
        <v>1.61E-2</v>
      </c>
    </row>
    <row r="81" spans="1:3" x14ac:dyDescent="0.25">
      <c r="A81">
        <v>200008</v>
      </c>
      <c r="B81" t="str">
        <f t="shared" si="1"/>
        <v>200008</v>
      </c>
      <c r="C81" s="5">
        <v>1.3100000000000001E-2</v>
      </c>
    </row>
    <row r="82" spans="1:3" x14ac:dyDescent="0.25">
      <c r="A82">
        <v>200009</v>
      </c>
      <c r="B82" t="str">
        <f t="shared" si="1"/>
        <v>200009</v>
      </c>
      <c r="C82" s="5">
        <v>2.3E-3</v>
      </c>
    </row>
    <row r="83" spans="1:3" x14ac:dyDescent="0.25">
      <c r="A83">
        <v>200010</v>
      </c>
      <c r="B83" t="str">
        <f t="shared" si="1"/>
        <v>200010</v>
      </c>
      <c r="C83" s="5">
        <v>1.4000000000000002E-3</v>
      </c>
    </row>
    <row r="84" spans="1:3" x14ac:dyDescent="0.25">
      <c r="A84">
        <v>200011</v>
      </c>
      <c r="B84" t="str">
        <f t="shared" si="1"/>
        <v>200011</v>
      </c>
      <c r="C84" s="5">
        <v>3.2000000000000002E-3</v>
      </c>
    </row>
    <row r="85" spans="1:3" x14ac:dyDescent="0.25">
      <c r="A85">
        <v>200012</v>
      </c>
      <c r="B85" t="str">
        <f t="shared" si="1"/>
        <v>200012</v>
      </c>
      <c r="C85" s="5">
        <v>5.8999999999999999E-3</v>
      </c>
    </row>
    <row r="86" spans="1:3" x14ac:dyDescent="0.25">
      <c r="A86">
        <v>200101</v>
      </c>
      <c r="B86" t="str">
        <f t="shared" si="1"/>
        <v>200101</v>
      </c>
      <c r="C86" s="5">
        <v>5.6999999999999993E-3</v>
      </c>
    </row>
    <row r="87" spans="1:3" x14ac:dyDescent="0.25">
      <c r="A87">
        <v>200102</v>
      </c>
      <c r="B87" t="str">
        <f t="shared" si="1"/>
        <v>200102</v>
      </c>
      <c r="C87" s="5">
        <v>4.5999999999999999E-3</v>
      </c>
    </row>
    <row r="88" spans="1:3" x14ac:dyDescent="0.25">
      <c r="A88">
        <v>200103</v>
      </c>
      <c r="B88" t="str">
        <f t="shared" si="1"/>
        <v>200103</v>
      </c>
      <c r="C88" s="5">
        <v>3.8E-3</v>
      </c>
    </row>
    <row r="89" spans="1:3" x14ac:dyDescent="0.25">
      <c r="A89">
        <v>200104</v>
      </c>
      <c r="B89" t="str">
        <f t="shared" si="1"/>
        <v>200104</v>
      </c>
      <c r="C89" s="5">
        <v>5.7999999999999996E-3</v>
      </c>
    </row>
    <row r="90" spans="1:3" x14ac:dyDescent="0.25">
      <c r="A90">
        <v>200105</v>
      </c>
      <c r="B90" t="str">
        <f t="shared" si="1"/>
        <v>200105</v>
      </c>
      <c r="C90" s="5">
        <v>4.0999999999999995E-3</v>
      </c>
    </row>
    <row r="91" spans="1:3" x14ac:dyDescent="0.25">
      <c r="A91">
        <v>200106</v>
      </c>
      <c r="B91" t="str">
        <f t="shared" si="1"/>
        <v>200106</v>
      </c>
      <c r="C91" s="5">
        <v>5.1999999999999998E-3</v>
      </c>
    </row>
    <row r="92" spans="1:3" x14ac:dyDescent="0.25">
      <c r="A92">
        <v>200107</v>
      </c>
      <c r="B92" t="str">
        <f t="shared" si="1"/>
        <v>200107</v>
      </c>
      <c r="C92" s="5">
        <v>1.3300000000000001E-2</v>
      </c>
    </row>
    <row r="93" spans="1:3" x14ac:dyDescent="0.25">
      <c r="A93">
        <v>200108</v>
      </c>
      <c r="B93" t="str">
        <f t="shared" si="1"/>
        <v>200108</v>
      </c>
      <c r="C93" s="5">
        <v>6.9999999999999993E-3</v>
      </c>
    </row>
    <row r="94" spans="1:3" x14ac:dyDescent="0.25">
      <c r="A94">
        <v>200109</v>
      </c>
      <c r="B94" t="str">
        <f t="shared" si="1"/>
        <v>200109</v>
      </c>
      <c r="C94" s="5">
        <v>2.8000000000000004E-3</v>
      </c>
    </row>
    <row r="95" spans="1:3" x14ac:dyDescent="0.25">
      <c r="A95">
        <v>200110</v>
      </c>
      <c r="B95" t="str">
        <f t="shared" si="1"/>
        <v>200110</v>
      </c>
      <c r="C95" s="5">
        <v>8.3000000000000001E-3</v>
      </c>
    </row>
    <row r="96" spans="1:3" x14ac:dyDescent="0.25">
      <c r="A96">
        <v>200111</v>
      </c>
      <c r="B96" t="str">
        <f t="shared" si="1"/>
        <v>200111</v>
      </c>
      <c r="C96" s="5">
        <v>7.0999999999999995E-3</v>
      </c>
    </row>
    <row r="97" spans="1:3" x14ac:dyDescent="0.25">
      <c r="A97">
        <v>200112</v>
      </c>
      <c r="B97" t="str">
        <f t="shared" si="1"/>
        <v>200112</v>
      </c>
      <c r="C97" s="5">
        <v>6.5000000000000006E-3</v>
      </c>
    </row>
    <row r="98" spans="1:3" x14ac:dyDescent="0.25">
      <c r="A98">
        <v>200201</v>
      </c>
      <c r="B98" t="str">
        <f t="shared" si="1"/>
        <v>200201</v>
      </c>
      <c r="C98" s="5">
        <v>5.1999999999999998E-3</v>
      </c>
    </row>
    <row r="99" spans="1:3" x14ac:dyDescent="0.25">
      <c r="A99">
        <v>200202</v>
      </c>
      <c r="B99" t="str">
        <f t="shared" si="1"/>
        <v>200202</v>
      </c>
      <c r="C99" s="5">
        <v>3.5999999999999999E-3</v>
      </c>
    </row>
    <row r="100" spans="1:3" x14ac:dyDescent="0.25">
      <c r="A100">
        <v>200203</v>
      </c>
      <c r="B100" t="str">
        <f t="shared" si="1"/>
        <v>200203</v>
      </c>
      <c r="C100" s="5">
        <v>6.0000000000000001E-3</v>
      </c>
    </row>
    <row r="101" spans="1:3" x14ac:dyDescent="0.25">
      <c r="A101">
        <v>200204</v>
      </c>
      <c r="B101" t="str">
        <f t="shared" si="1"/>
        <v>200204</v>
      </c>
      <c r="C101" s="5">
        <v>8.0000000000000002E-3</v>
      </c>
    </row>
    <row r="102" spans="1:3" x14ac:dyDescent="0.25">
      <c r="A102">
        <v>200205</v>
      </c>
      <c r="B102" t="str">
        <f t="shared" si="1"/>
        <v>200205</v>
      </c>
      <c r="C102" s="5">
        <v>2.0999999999999999E-3</v>
      </c>
    </row>
    <row r="103" spans="1:3" x14ac:dyDescent="0.25">
      <c r="A103">
        <v>200206</v>
      </c>
      <c r="B103" t="str">
        <f t="shared" si="1"/>
        <v>200206</v>
      </c>
      <c r="C103" s="5">
        <v>4.1999999999999997E-3</v>
      </c>
    </row>
    <row r="104" spans="1:3" x14ac:dyDescent="0.25">
      <c r="A104">
        <v>200207</v>
      </c>
      <c r="B104" t="str">
        <f t="shared" si="1"/>
        <v>200207</v>
      </c>
      <c r="C104" s="5">
        <v>1.1899999999999999E-2</v>
      </c>
    </row>
    <row r="105" spans="1:3" x14ac:dyDescent="0.25">
      <c r="A105">
        <v>200208</v>
      </c>
      <c r="B105" t="str">
        <f t="shared" si="1"/>
        <v>200208</v>
      </c>
      <c r="C105" s="5">
        <v>6.5000000000000006E-3</v>
      </c>
    </row>
    <row r="106" spans="1:3" x14ac:dyDescent="0.25">
      <c r="A106">
        <v>200209</v>
      </c>
      <c r="B106" t="str">
        <f t="shared" si="1"/>
        <v>200209</v>
      </c>
      <c r="C106" s="5">
        <v>7.1999999999999998E-3</v>
      </c>
    </row>
    <row r="107" spans="1:3" x14ac:dyDescent="0.25">
      <c r="A107">
        <v>200210</v>
      </c>
      <c r="B107" t="str">
        <f t="shared" si="1"/>
        <v>200210</v>
      </c>
      <c r="C107" s="5">
        <v>1.3100000000000001E-2</v>
      </c>
    </row>
    <row r="108" spans="1:3" x14ac:dyDescent="0.25">
      <c r="A108">
        <v>200211</v>
      </c>
      <c r="B108" t="str">
        <f t="shared" si="1"/>
        <v>200211</v>
      </c>
      <c r="C108" s="5">
        <v>3.0200000000000001E-2</v>
      </c>
    </row>
    <row r="109" spans="1:3" x14ac:dyDescent="0.25">
      <c r="A109">
        <v>200212</v>
      </c>
      <c r="B109" t="str">
        <f t="shared" si="1"/>
        <v>200212</v>
      </c>
      <c r="C109" s="5">
        <v>2.1000000000000001E-2</v>
      </c>
    </row>
    <row r="110" spans="1:3" x14ac:dyDescent="0.25">
      <c r="A110">
        <v>200301</v>
      </c>
      <c r="B110" t="str">
        <f t="shared" si="1"/>
        <v>200301</v>
      </c>
      <c r="C110" s="5">
        <v>2.2499999999999999E-2</v>
      </c>
    </row>
    <row r="111" spans="1:3" x14ac:dyDescent="0.25">
      <c r="A111">
        <v>200302</v>
      </c>
      <c r="B111" t="str">
        <f t="shared" si="1"/>
        <v>200302</v>
      </c>
      <c r="C111" s="5">
        <v>1.5700000000000002E-2</v>
      </c>
    </row>
    <row r="112" spans="1:3" x14ac:dyDescent="0.25">
      <c r="A112">
        <v>200303</v>
      </c>
      <c r="B112" t="str">
        <f t="shared" si="1"/>
        <v>200303</v>
      </c>
      <c r="C112" s="5">
        <v>1.23E-2</v>
      </c>
    </row>
    <row r="113" spans="1:3" x14ac:dyDescent="0.25">
      <c r="A113">
        <v>200304</v>
      </c>
      <c r="B113" t="str">
        <f t="shared" si="1"/>
        <v>200304</v>
      </c>
      <c r="C113" s="5">
        <v>9.7000000000000003E-3</v>
      </c>
    </row>
    <row r="114" spans="1:3" x14ac:dyDescent="0.25">
      <c r="A114">
        <v>200305</v>
      </c>
      <c r="B114" t="str">
        <f t="shared" si="1"/>
        <v>200305</v>
      </c>
      <c r="C114" s="5">
        <v>6.0999999999999995E-3</v>
      </c>
    </row>
    <row r="115" spans="1:3" x14ac:dyDescent="0.25">
      <c r="A115">
        <v>200306</v>
      </c>
      <c r="B115" t="str">
        <f t="shared" si="1"/>
        <v>200306</v>
      </c>
      <c r="C115" s="5">
        <v>-1.5E-3</v>
      </c>
    </row>
    <row r="116" spans="1:3" x14ac:dyDescent="0.25">
      <c r="A116">
        <v>200307</v>
      </c>
      <c r="B116" t="str">
        <f t="shared" si="1"/>
        <v>200307</v>
      </c>
      <c r="C116" s="5">
        <v>2E-3</v>
      </c>
    </row>
    <row r="117" spans="1:3" x14ac:dyDescent="0.25">
      <c r="A117">
        <v>200308</v>
      </c>
      <c r="B117" t="str">
        <f t="shared" si="1"/>
        <v>200308</v>
      </c>
      <c r="C117" s="5">
        <v>3.4000000000000002E-3</v>
      </c>
    </row>
    <row r="118" spans="1:3" x14ac:dyDescent="0.25">
      <c r="A118">
        <v>200309</v>
      </c>
      <c r="B118" t="str">
        <f t="shared" si="1"/>
        <v>200309</v>
      </c>
      <c r="C118" s="5">
        <v>7.8000000000000005E-3</v>
      </c>
    </row>
    <row r="119" spans="1:3" x14ac:dyDescent="0.25">
      <c r="A119">
        <v>200310</v>
      </c>
      <c r="B119" t="str">
        <f t="shared" si="1"/>
        <v>200310</v>
      </c>
      <c r="C119" s="5">
        <v>2.8999999999999998E-3</v>
      </c>
    </row>
    <row r="120" spans="1:3" x14ac:dyDescent="0.25">
      <c r="A120">
        <v>200311</v>
      </c>
      <c r="B120" t="str">
        <f t="shared" si="1"/>
        <v>200311</v>
      </c>
      <c r="C120" s="5">
        <v>3.4000000000000002E-3</v>
      </c>
    </row>
    <row r="121" spans="1:3" x14ac:dyDescent="0.25">
      <c r="A121">
        <v>200312</v>
      </c>
      <c r="B121" t="str">
        <f t="shared" si="1"/>
        <v>200312</v>
      </c>
      <c r="C121" s="5">
        <v>5.1999999999999998E-3</v>
      </c>
    </row>
    <row r="122" spans="1:3" x14ac:dyDescent="0.25">
      <c r="A122">
        <v>200401</v>
      </c>
      <c r="B122" t="str">
        <f t="shared" si="1"/>
        <v>200401</v>
      </c>
      <c r="C122" s="5">
        <v>7.6E-3</v>
      </c>
    </row>
    <row r="123" spans="1:3" x14ac:dyDescent="0.25">
      <c r="A123">
        <v>200402</v>
      </c>
      <c r="B123" t="str">
        <f t="shared" si="1"/>
        <v>200402</v>
      </c>
      <c r="C123" s="5">
        <v>6.0999999999999995E-3</v>
      </c>
    </row>
    <row r="124" spans="1:3" x14ac:dyDescent="0.25">
      <c r="A124">
        <v>200403</v>
      </c>
      <c r="B124" t="str">
        <f t="shared" si="1"/>
        <v>200403</v>
      </c>
      <c r="C124" s="5">
        <v>4.6999999999999993E-3</v>
      </c>
    </row>
    <row r="125" spans="1:3" x14ac:dyDescent="0.25">
      <c r="A125">
        <v>200404</v>
      </c>
      <c r="B125" t="str">
        <f t="shared" si="1"/>
        <v>200404</v>
      </c>
      <c r="C125" s="5">
        <v>3.7000000000000002E-3</v>
      </c>
    </row>
    <row r="126" spans="1:3" x14ac:dyDescent="0.25">
      <c r="A126">
        <v>200405</v>
      </c>
      <c r="B126" t="str">
        <f t="shared" si="1"/>
        <v>200405</v>
      </c>
      <c r="C126" s="5">
        <v>5.1000000000000004E-3</v>
      </c>
    </row>
    <row r="127" spans="1:3" x14ac:dyDescent="0.25">
      <c r="A127">
        <v>200406</v>
      </c>
      <c r="B127" t="str">
        <f t="shared" si="1"/>
        <v>200406</v>
      </c>
      <c r="C127" s="5">
        <v>7.0999999999999995E-3</v>
      </c>
    </row>
    <row r="128" spans="1:3" x14ac:dyDescent="0.25">
      <c r="A128">
        <v>200407</v>
      </c>
      <c r="B128" t="str">
        <f t="shared" si="1"/>
        <v>200407</v>
      </c>
      <c r="C128" s="5">
        <v>9.1000000000000004E-3</v>
      </c>
    </row>
    <row r="129" spans="1:3" x14ac:dyDescent="0.25">
      <c r="A129">
        <v>200408</v>
      </c>
      <c r="B129" t="str">
        <f t="shared" si="1"/>
        <v>200408</v>
      </c>
      <c r="C129" s="5">
        <v>6.8999999999999999E-3</v>
      </c>
    </row>
    <row r="130" spans="1:3" x14ac:dyDescent="0.25">
      <c r="A130">
        <v>200409</v>
      </c>
      <c r="B130" t="str">
        <f t="shared" ref="B130:B193" si="2">TEXT(A130,"000000")</f>
        <v>200409</v>
      </c>
      <c r="C130" s="5">
        <v>3.3E-3</v>
      </c>
    </row>
    <row r="131" spans="1:3" x14ac:dyDescent="0.25">
      <c r="A131">
        <v>200410</v>
      </c>
      <c r="B131" t="str">
        <f t="shared" si="2"/>
        <v>200410</v>
      </c>
      <c r="C131" s="5">
        <v>4.4000000000000003E-3</v>
      </c>
    </row>
    <row r="132" spans="1:3" x14ac:dyDescent="0.25">
      <c r="A132">
        <v>200411</v>
      </c>
      <c r="B132" t="str">
        <f t="shared" si="2"/>
        <v>200411</v>
      </c>
      <c r="C132" s="5">
        <v>6.8999999999999999E-3</v>
      </c>
    </row>
    <row r="133" spans="1:3" x14ac:dyDescent="0.25">
      <c r="A133">
        <v>200412</v>
      </c>
      <c r="B133" t="str">
        <f t="shared" si="2"/>
        <v>200412</v>
      </c>
      <c r="C133" s="5">
        <v>8.6E-3</v>
      </c>
    </row>
    <row r="134" spans="1:3" x14ac:dyDescent="0.25">
      <c r="A134">
        <v>200501</v>
      </c>
      <c r="B134" t="str">
        <f t="shared" si="2"/>
        <v>200501</v>
      </c>
      <c r="C134" s="5">
        <v>5.7999999999999996E-3</v>
      </c>
    </row>
    <row r="135" spans="1:3" x14ac:dyDescent="0.25">
      <c r="A135">
        <v>200502</v>
      </c>
      <c r="B135" t="str">
        <f t="shared" si="2"/>
        <v>200502</v>
      </c>
      <c r="C135" s="5">
        <v>5.8999999999999999E-3</v>
      </c>
    </row>
    <row r="136" spans="1:3" x14ac:dyDescent="0.25">
      <c r="A136">
        <v>200503</v>
      </c>
      <c r="B136" t="str">
        <f t="shared" si="2"/>
        <v>200503</v>
      </c>
      <c r="C136" s="5">
        <v>6.0999999999999995E-3</v>
      </c>
    </row>
    <row r="137" spans="1:3" x14ac:dyDescent="0.25">
      <c r="A137">
        <v>200504</v>
      </c>
      <c r="B137" t="str">
        <f t="shared" si="2"/>
        <v>200504</v>
      </c>
      <c r="C137" s="5">
        <v>8.6999999999999994E-3</v>
      </c>
    </row>
    <row r="138" spans="1:3" x14ac:dyDescent="0.25">
      <c r="A138">
        <v>200505</v>
      </c>
      <c r="B138" t="str">
        <f t="shared" si="2"/>
        <v>200505</v>
      </c>
      <c r="C138" s="5">
        <v>4.8999999999999998E-3</v>
      </c>
    </row>
    <row r="139" spans="1:3" x14ac:dyDescent="0.25">
      <c r="A139">
        <v>200506</v>
      </c>
      <c r="B139" t="str">
        <f t="shared" si="2"/>
        <v>200506</v>
      </c>
      <c r="C139" s="5">
        <v>-2.0000000000000001E-4</v>
      </c>
    </row>
    <row r="140" spans="1:3" x14ac:dyDescent="0.25">
      <c r="A140">
        <v>200507</v>
      </c>
      <c r="B140" t="str">
        <f t="shared" si="2"/>
        <v>200507</v>
      </c>
      <c r="C140" s="5">
        <v>2.5000000000000001E-3</v>
      </c>
    </row>
    <row r="141" spans="1:3" x14ac:dyDescent="0.25">
      <c r="A141">
        <v>200508</v>
      </c>
      <c r="B141" t="str">
        <f t="shared" si="2"/>
        <v>200508</v>
      </c>
      <c r="C141" s="5">
        <v>1.7000000000000001E-3</v>
      </c>
    </row>
    <row r="142" spans="1:3" x14ac:dyDescent="0.25">
      <c r="A142">
        <v>200509</v>
      </c>
      <c r="B142" t="str">
        <f t="shared" si="2"/>
        <v>200509</v>
      </c>
      <c r="C142" s="5">
        <v>3.4999999999999996E-3</v>
      </c>
    </row>
    <row r="143" spans="1:3" x14ac:dyDescent="0.25">
      <c r="A143">
        <v>200510</v>
      </c>
      <c r="B143" t="str">
        <f t="shared" si="2"/>
        <v>200510</v>
      </c>
      <c r="C143" s="5">
        <v>7.4999999999999997E-3</v>
      </c>
    </row>
    <row r="144" spans="1:3" x14ac:dyDescent="0.25">
      <c r="A144">
        <v>200511</v>
      </c>
      <c r="B144" t="str">
        <f t="shared" si="2"/>
        <v>200511</v>
      </c>
      <c r="C144" s="5">
        <v>5.5000000000000005E-3</v>
      </c>
    </row>
    <row r="145" spans="1:3" x14ac:dyDescent="0.25">
      <c r="A145">
        <v>200512</v>
      </c>
      <c r="B145" t="str">
        <f t="shared" si="2"/>
        <v>200512</v>
      </c>
      <c r="C145" s="5">
        <v>3.5999999999999999E-3</v>
      </c>
    </row>
    <row r="146" spans="1:3" x14ac:dyDescent="0.25">
      <c r="A146">
        <v>200601</v>
      </c>
      <c r="B146" t="str">
        <f t="shared" si="2"/>
        <v>200601</v>
      </c>
      <c r="C146" s="5">
        <v>5.8999999999999999E-3</v>
      </c>
    </row>
    <row r="147" spans="1:3" x14ac:dyDescent="0.25">
      <c r="A147">
        <v>200602</v>
      </c>
      <c r="B147" t="str">
        <f t="shared" si="2"/>
        <v>200602</v>
      </c>
      <c r="C147" s="5">
        <v>4.0999999999999995E-3</v>
      </c>
    </row>
    <row r="148" spans="1:3" x14ac:dyDescent="0.25">
      <c r="A148">
        <v>200603</v>
      </c>
      <c r="B148" t="str">
        <f t="shared" si="2"/>
        <v>200603</v>
      </c>
      <c r="C148" s="5">
        <v>4.3E-3</v>
      </c>
    </row>
    <row r="149" spans="1:3" x14ac:dyDescent="0.25">
      <c r="A149">
        <v>200604</v>
      </c>
      <c r="B149" t="str">
        <f t="shared" si="2"/>
        <v>200604</v>
      </c>
      <c r="C149" s="5">
        <v>2.0999999999999999E-3</v>
      </c>
    </row>
    <row r="150" spans="1:3" x14ac:dyDescent="0.25">
      <c r="A150">
        <v>200605</v>
      </c>
      <c r="B150" t="str">
        <f t="shared" si="2"/>
        <v>200605</v>
      </c>
      <c r="C150" s="5">
        <v>1E-3</v>
      </c>
    </row>
    <row r="151" spans="1:3" x14ac:dyDescent="0.25">
      <c r="A151">
        <v>200606</v>
      </c>
      <c r="B151" t="str">
        <f t="shared" si="2"/>
        <v>200606</v>
      </c>
      <c r="C151" s="5">
        <v>-2.0999999999999999E-3</v>
      </c>
    </row>
    <row r="152" spans="1:3" x14ac:dyDescent="0.25">
      <c r="A152">
        <v>200607</v>
      </c>
      <c r="B152" t="str">
        <f t="shared" si="2"/>
        <v>200607</v>
      </c>
      <c r="C152" s="5">
        <v>1.9E-3</v>
      </c>
    </row>
    <row r="153" spans="1:3" x14ac:dyDescent="0.25">
      <c r="A153">
        <v>200608</v>
      </c>
      <c r="B153" t="str">
        <f t="shared" si="2"/>
        <v>200608</v>
      </c>
      <c r="C153" s="5">
        <v>5.0000000000000001E-4</v>
      </c>
    </row>
    <row r="154" spans="1:3" x14ac:dyDescent="0.25">
      <c r="A154">
        <v>200609</v>
      </c>
      <c r="B154" t="str">
        <f t="shared" si="2"/>
        <v>200609</v>
      </c>
      <c r="C154" s="5">
        <v>2.0999999999999999E-3</v>
      </c>
    </row>
    <row r="155" spans="1:3" x14ac:dyDescent="0.25">
      <c r="A155">
        <v>200610</v>
      </c>
      <c r="B155" t="str">
        <f t="shared" si="2"/>
        <v>200610</v>
      </c>
      <c r="C155" s="5">
        <v>3.3E-3</v>
      </c>
    </row>
    <row r="156" spans="1:3" x14ac:dyDescent="0.25">
      <c r="A156">
        <v>200611</v>
      </c>
      <c r="B156" t="str">
        <f t="shared" si="2"/>
        <v>200611</v>
      </c>
      <c r="C156" s="5">
        <v>3.0999999999999999E-3</v>
      </c>
    </row>
    <row r="157" spans="1:3" x14ac:dyDescent="0.25">
      <c r="A157">
        <v>200612</v>
      </c>
      <c r="B157" t="str">
        <f t="shared" si="2"/>
        <v>200612</v>
      </c>
      <c r="C157" s="5">
        <v>4.7999999999999996E-3</v>
      </c>
    </row>
    <row r="158" spans="1:3" x14ac:dyDescent="0.25">
      <c r="A158">
        <v>200701</v>
      </c>
      <c r="B158" t="str">
        <f t="shared" si="2"/>
        <v>200701</v>
      </c>
      <c r="C158" s="5">
        <v>4.4000000000000003E-3</v>
      </c>
    </row>
    <row r="159" spans="1:3" x14ac:dyDescent="0.25">
      <c r="A159">
        <v>200702</v>
      </c>
      <c r="B159" t="str">
        <f t="shared" si="2"/>
        <v>200702</v>
      </c>
      <c r="C159" s="5">
        <v>4.4000000000000003E-3</v>
      </c>
    </row>
    <row r="160" spans="1:3" x14ac:dyDescent="0.25">
      <c r="A160">
        <v>200703</v>
      </c>
      <c r="B160" t="str">
        <f t="shared" si="2"/>
        <v>200703</v>
      </c>
      <c r="C160" s="5">
        <v>3.7000000000000002E-3</v>
      </c>
    </row>
    <row r="161" spans="1:3" x14ac:dyDescent="0.25">
      <c r="A161">
        <v>200704</v>
      </c>
      <c r="B161" t="str">
        <f t="shared" si="2"/>
        <v>200704</v>
      </c>
      <c r="C161" s="5">
        <v>2.5000000000000001E-3</v>
      </c>
    </row>
    <row r="162" spans="1:3" x14ac:dyDescent="0.25">
      <c r="A162">
        <v>200705</v>
      </c>
      <c r="B162" t="str">
        <f t="shared" si="2"/>
        <v>200705</v>
      </c>
      <c r="C162" s="5">
        <v>2.8000000000000004E-3</v>
      </c>
    </row>
    <row r="163" spans="1:3" x14ac:dyDescent="0.25">
      <c r="A163">
        <v>200706</v>
      </c>
      <c r="B163" t="str">
        <f t="shared" si="2"/>
        <v>200706</v>
      </c>
      <c r="C163" s="5">
        <v>2.8000000000000004E-3</v>
      </c>
    </row>
    <row r="164" spans="1:3" x14ac:dyDescent="0.25">
      <c r="A164">
        <v>200707</v>
      </c>
      <c r="B164" t="str">
        <f t="shared" si="2"/>
        <v>200707</v>
      </c>
      <c r="C164" s="5">
        <v>2.3999999999999998E-3</v>
      </c>
    </row>
    <row r="165" spans="1:3" x14ac:dyDescent="0.25">
      <c r="A165">
        <v>200708</v>
      </c>
      <c r="B165" t="str">
        <f t="shared" si="2"/>
        <v>200708</v>
      </c>
      <c r="C165" s="5">
        <v>4.6999999999999993E-3</v>
      </c>
    </row>
    <row r="166" spans="1:3" x14ac:dyDescent="0.25">
      <c r="A166">
        <v>200709</v>
      </c>
      <c r="B166" t="str">
        <f t="shared" si="2"/>
        <v>200709</v>
      </c>
      <c r="C166" s="5">
        <v>1.8E-3</v>
      </c>
    </row>
    <row r="167" spans="1:3" x14ac:dyDescent="0.25">
      <c r="A167">
        <v>200710</v>
      </c>
      <c r="B167" t="str">
        <f t="shared" si="2"/>
        <v>200710</v>
      </c>
      <c r="C167" s="5">
        <v>3.0000000000000001E-3</v>
      </c>
    </row>
    <row r="168" spans="1:3" x14ac:dyDescent="0.25">
      <c r="A168">
        <v>200711</v>
      </c>
      <c r="B168" t="str">
        <f t="shared" si="2"/>
        <v>200711</v>
      </c>
      <c r="C168" s="5">
        <v>3.8E-3</v>
      </c>
    </row>
    <row r="169" spans="1:3" x14ac:dyDescent="0.25">
      <c r="A169">
        <v>200712</v>
      </c>
      <c r="B169" t="str">
        <f t="shared" si="2"/>
        <v>200712</v>
      </c>
      <c r="C169" s="5">
        <v>7.4000000000000003E-3</v>
      </c>
    </row>
    <row r="170" spans="1:3" x14ac:dyDescent="0.25">
      <c r="A170">
        <v>200801</v>
      </c>
      <c r="B170" t="str">
        <f t="shared" si="2"/>
        <v>200801</v>
      </c>
      <c r="C170" s="5">
        <v>5.4000000000000003E-3</v>
      </c>
    </row>
    <row r="171" spans="1:3" x14ac:dyDescent="0.25">
      <c r="A171">
        <v>200802</v>
      </c>
      <c r="B171" t="str">
        <f t="shared" si="2"/>
        <v>200802</v>
      </c>
      <c r="C171" s="5">
        <v>4.8999999999999998E-3</v>
      </c>
    </row>
    <row r="172" spans="1:3" x14ac:dyDescent="0.25">
      <c r="A172">
        <v>200803</v>
      </c>
      <c r="B172" t="str">
        <f t="shared" si="2"/>
        <v>200803</v>
      </c>
      <c r="C172" s="5">
        <v>4.7999999999999996E-3</v>
      </c>
    </row>
    <row r="173" spans="1:3" x14ac:dyDescent="0.25">
      <c r="A173">
        <v>200804</v>
      </c>
      <c r="B173" t="str">
        <f t="shared" si="2"/>
        <v>200804</v>
      </c>
      <c r="C173" s="5">
        <v>5.5000000000000005E-3</v>
      </c>
    </row>
    <row r="174" spans="1:3" x14ac:dyDescent="0.25">
      <c r="A174">
        <v>200805</v>
      </c>
      <c r="B174" t="str">
        <f t="shared" si="2"/>
        <v>200805</v>
      </c>
      <c r="C174" s="5">
        <v>7.9000000000000008E-3</v>
      </c>
    </row>
    <row r="175" spans="1:3" x14ac:dyDescent="0.25">
      <c r="A175">
        <v>200806</v>
      </c>
      <c r="B175" t="str">
        <f t="shared" si="2"/>
        <v>200806</v>
      </c>
      <c r="C175" s="5">
        <v>7.4000000000000003E-3</v>
      </c>
    </row>
    <row r="176" spans="1:3" x14ac:dyDescent="0.25">
      <c r="A176">
        <v>200807</v>
      </c>
      <c r="B176" t="str">
        <f t="shared" si="2"/>
        <v>200807</v>
      </c>
      <c r="C176" s="5">
        <v>5.3E-3</v>
      </c>
    </row>
    <row r="177" spans="1:3" x14ac:dyDescent="0.25">
      <c r="A177">
        <v>200808</v>
      </c>
      <c r="B177" t="str">
        <f t="shared" si="2"/>
        <v>200808</v>
      </c>
      <c r="C177" s="5">
        <v>2.8000000000000004E-3</v>
      </c>
    </row>
    <row r="178" spans="1:3" x14ac:dyDescent="0.25">
      <c r="A178">
        <v>200809</v>
      </c>
      <c r="B178" t="str">
        <f t="shared" si="2"/>
        <v>200809</v>
      </c>
      <c r="C178" s="5">
        <v>2.5999999999999999E-3</v>
      </c>
    </row>
    <row r="179" spans="1:3" x14ac:dyDescent="0.25">
      <c r="A179">
        <v>200810</v>
      </c>
      <c r="B179" t="str">
        <f t="shared" si="2"/>
        <v>200810</v>
      </c>
      <c r="C179" s="5">
        <v>4.5000000000000005E-3</v>
      </c>
    </row>
    <row r="180" spans="1:3" x14ac:dyDescent="0.25">
      <c r="A180">
        <v>200811</v>
      </c>
      <c r="B180" t="str">
        <f t="shared" si="2"/>
        <v>200811</v>
      </c>
      <c r="C180" s="5">
        <v>3.5999999999999999E-3</v>
      </c>
    </row>
    <row r="181" spans="1:3" x14ac:dyDescent="0.25">
      <c r="A181">
        <v>200812</v>
      </c>
      <c r="B181" t="str">
        <f t="shared" si="2"/>
        <v>200812</v>
      </c>
      <c r="C181" s="5">
        <v>2.8000000000000004E-3</v>
      </c>
    </row>
    <row r="182" spans="1:3" x14ac:dyDescent="0.25">
      <c r="A182">
        <v>200901</v>
      </c>
      <c r="B182" t="str">
        <f t="shared" si="2"/>
        <v>200901</v>
      </c>
      <c r="C182" s="5">
        <v>4.7999999999999996E-3</v>
      </c>
    </row>
    <row r="183" spans="1:3" x14ac:dyDescent="0.25">
      <c r="A183">
        <v>200902</v>
      </c>
      <c r="B183" t="str">
        <f t="shared" si="2"/>
        <v>200902</v>
      </c>
      <c r="C183" s="5">
        <v>5.5000000000000005E-3</v>
      </c>
    </row>
    <row r="184" spans="1:3" x14ac:dyDescent="0.25">
      <c r="A184">
        <v>200903</v>
      </c>
      <c r="B184" t="str">
        <f t="shared" si="2"/>
        <v>200903</v>
      </c>
      <c r="C184" s="5">
        <v>2E-3</v>
      </c>
    </row>
    <row r="185" spans="1:3" x14ac:dyDescent="0.25">
      <c r="A185">
        <v>200904</v>
      </c>
      <c r="B185" t="str">
        <f t="shared" si="2"/>
        <v>200904</v>
      </c>
      <c r="C185" s="5">
        <v>4.7999999999999996E-3</v>
      </c>
    </row>
    <row r="186" spans="1:3" x14ac:dyDescent="0.25">
      <c r="A186">
        <v>200905</v>
      </c>
      <c r="B186" t="str">
        <f t="shared" si="2"/>
        <v>200905</v>
      </c>
      <c r="C186" s="5">
        <v>4.6999999999999993E-3</v>
      </c>
    </row>
    <row r="187" spans="1:3" x14ac:dyDescent="0.25">
      <c r="A187">
        <v>200906</v>
      </c>
      <c r="B187" t="str">
        <f t="shared" si="2"/>
        <v>200906</v>
      </c>
      <c r="C187" s="5">
        <v>3.5999999999999999E-3</v>
      </c>
    </row>
    <row r="188" spans="1:3" x14ac:dyDescent="0.25">
      <c r="A188">
        <v>200907</v>
      </c>
      <c r="B188" t="str">
        <f t="shared" si="2"/>
        <v>200907</v>
      </c>
      <c r="C188" s="5">
        <v>2.3999999999999998E-3</v>
      </c>
    </row>
    <row r="189" spans="1:3" x14ac:dyDescent="0.25">
      <c r="A189">
        <v>200908</v>
      </c>
      <c r="B189" t="str">
        <f t="shared" si="2"/>
        <v>200908</v>
      </c>
      <c r="C189" s="5">
        <v>1.5E-3</v>
      </c>
    </row>
    <row r="190" spans="1:3" x14ac:dyDescent="0.25">
      <c r="A190">
        <v>200909</v>
      </c>
      <c r="B190" t="str">
        <f t="shared" si="2"/>
        <v>200909</v>
      </c>
      <c r="C190" s="5">
        <v>2.3999999999999998E-3</v>
      </c>
    </row>
    <row r="191" spans="1:3" x14ac:dyDescent="0.25">
      <c r="A191">
        <v>200910</v>
      </c>
      <c r="B191" t="str">
        <f t="shared" si="2"/>
        <v>200910</v>
      </c>
      <c r="C191" s="5">
        <v>2.8000000000000004E-3</v>
      </c>
    </row>
    <row r="192" spans="1:3" x14ac:dyDescent="0.25">
      <c r="A192">
        <v>200911</v>
      </c>
      <c r="B192" t="str">
        <f t="shared" si="2"/>
        <v>200911</v>
      </c>
      <c r="C192" s="5">
        <v>4.0999999999999995E-3</v>
      </c>
    </row>
    <row r="193" spans="1:3" x14ac:dyDescent="0.25">
      <c r="A193">
        <v>200912</v>
      </c>
      <c r="B193" t="str">
        <f t="shared" si="2"/>
        <v>200912</v>
      </c>
      <c r="C193" s="5">
        <v>3.7000000000000002E-3</v>
      </c>
    </row>
    <row r="194" spans="1:3" x14ac:dyDescent="0.25">
      <c r="A194">
        <v>201001</v>
      </c>
      <c r="B194" t="str">
        <f t="shared" ref="B194:B257" si="3">TEXT(A194,"000000")</f>
        <v>201001</v>
      </c>
      <c r="C194" s="5">
        <v>7.4999999999999997E-3</v>
      </c>
    </row>
    <row r="195" spans="1:3" x14ac:dyDescent="0.25">
      <c r="A195">
        <v>201002</v>
      </c>
      <c r="B195" t="str">
        <f t="shared" si="3"/>
        <v>201002</v>
      </c>
      <c r="C195" s="5">
        <v>7.8000000000000005E-3</v>
      </c>
    </row>
    <row r="196" spans="1:3" x14ac:dyDescent="0.25">
      <c r="A196">
        <v>201003</v>
      </c>
      <c r="B196" t="str">
        <f t="shared" si="3"/>
        <v>201003</v>
      </c>
      <c r="C196" s="5">
        <v>5.1999999999999998E-3</v>
      </c>
    </row>
    <row r="197" spans="1:3" x14ac:dyDescent="0.25">
      <c r="A197">
        <v>201004</v>
      </c>
      <c r="B197" t="str">
        <f t="shared" si="3"/>
        <v>201004</v>
      </c>
      <c r="C197" s="5">
        <v>5.6999999999999993E-3</v>
      </c>
    </row>
    <row r="198" spans="1:3" x14ac:dyDescent="0.25">
      <c r="A198">
        <v>201005</v>
      </c>
      <c r="B198" t="str">
        <f t="shared" si="3"/>
        <v>201005</v>
      </c>
      <c r="C198" s="5">
        <v>4.3E-3</v>
      </c>
    </row>
    <row r="199" spans="1:3" x14ac:dyDescent="0.25">
      <c r="A199">
        <v>201006</v>
      </c>
      <c r="B199" t="str">
        <f t="shared" si="3"/>
        <v>201006</v>
      </c>
      <c r="C199" s="5">
        <v>0</v>
      </c>
    </row>
    <row r="200" spans="1:3" x14ac:dyDescent="0.25">
      <c r="A200">
        <v>201007</v>
      </c>
      <c r="B200" t="str">
        <f t="shared" si="3"/>
        <v>201007</v>
      </c>
      <c r="C200" s="5">
        <v>1E-4</v>
      </c>
    </row>
    <row r="201" spans="1:3" x14ac:dyDescent="0.25">
      <c r="A201">
        <v>201008</v>
      </c>
      <c r="B201" t="str">
        <f t="shared" si="3"/>
        <v>201008</v>
      </c>
      <c r="C201" s="5">
        <v>4.0000000000000002E-4</v>
      </c>
    </row>
    <row r="202" spans="1:3" x14ac:dyDescent="0.25">
      <c r="A202">
        <v>201009</v>
      </c>
      <c r="B202" t="str">
        <f t="shared" si="3"/>
        <v>201009</v>
      </c>
      <c r="C202" s="5">
        <v>4.5000000000000005E-3</v>
      </c>
    </row>
    <row r="203" spans="1:3" x14ac:dyDescent="0.25">
      <c r="A203">
        <v>201010</v>
      </c>
      <c r="B203" t="str">
        <f t="shared" si="3"/>
        <v>201010</v>
      </c>
      <c r="C203" s="5">
        <v>7.4999999999999997E-3</v>
      </c>
    </row>
    <row r="204" spans="1:3" x14ac:dyDescent="0.25">
      <c r="A204">
        <v>201011</v>
      </c>
      <c r="B204" t="str">
        <f t="shared" si="3"/>
        <v>201011</v>
      </c>
      <c r="C204" s="5">
        <v>8.3000000000000001E-3</v>
      </c>
    </row>
    <row r="205" spans="1:3" x14ac:dyDescent="0.25">
      <c r="A205">
        <v>201012</v>
      </c>
      <c r="B205" t="str">
        <f t="shared" si="3"/>
        <v>201012</v>
      </c>
      <c r="C205" s="5">
        <v>6.3E-3</v>
      </c>
    </row>
    <row r="206" spans="1:3" x14ac:dyDescent="0.25">
      <c r="A206">
        <v>201101</v>
      </c>
      <c r="B206" t="str">
        <f t="shared" si="3"/>
        <v>201101</v>
      </c>
      <c r="C206" s="5">
        <v>8.3000000000000001E-3</v>
      </c>
    </row>
    <row r="207" spans="1:3" x14ac:dyDescent="0.25">
      <c r="A207">
        <v>201102</v>
      </c>
      <c r="B207" t="str">
        <f t="shared" si="3"/>
        <v>201102</v>
      </c>
      <c r="C207" s="5">
        <v>8.0000000000000002E-3</v>
      </c>
    </row>
    <row r="208" spans="1:3" x14ac:dyDescent="0.25">
      <c r="A208">
        <v>201103</v>
      </c>
      <c r="B208" t="str">
        <f t="shared" si="3"/>
        <v>201103</v>
      </c>
      <c r="C208" s="5">
        <v>7.9000000000000008E-3</v>
      </c>
    </row>
    <row r="209" spans="1:3" x14ac:dyDescent="0.25">
      <c r="A209">
        <v>201104</v>
      </c>
      <c r="B209" t="str">
        <f t="shared" si="3"/>
        <v>201104</v>
      </c>
      <c r="C209" s="5">
        <v>7.7000000000000002E-3</v>
      </c>
    </row>
    <row r="210" spans="1:3" x14ac:dyDescent="0.25">
      <c r="A210">
        <v>201105</v>
      </c>
      <c r="B210" t="str">
        <f t="shared" si="3"/>
        <v>201105</v>
      </c>
      <c r="C210" s="5">
        <v>4.6999999999999993E-3</v>
      </c>
    </row>
    <row r="211" spans="1:3" x14ac:dyDescent="0.25">
      <c r="A211">
        <v>201106</v>
      </c>
      <c r="B211" t="str">
        <f t="shared" si="3"/>
        <v>201106</v>
      </c>
      <c r="C211" s="5">
        <v>1.5E-3</v>
      </c>
    </row>
    <row r="212" spans="1:3" x14ac:dyDescent="0.25">
      <c r="A212">
        <v>201107</v>
      </c>
      <c r="B212" t="str">
        <f t="shared" si="3"/>
        <v>201107</v>
      </c>
      <c r="C212" s="5">
        <v>1.6000000000000001E-3</v>
      </c>
    </row>
    <row r="213" spans="1:3" x14ac:dyDescent="0.25">
      <c r="A213">
        <v>201108</v>
      </c>
      <c r="B213" t="str">
        <f t="shared" si="3"/>
        <v>201108</v>
      </c>
      <c r="C213" s="5">
        <v>3.7000000000000002E-3</v>
      </c>
    </row>
    <row r="214" spans="1:3" x14ac:dyDescent="0.25">
      <c r="A214">
        <v>201109</v>
      </c>
      <c r="B214" t="str">
        <f t="shared" si="3"/>
        <v>201109</v>
      </c>
      <c r="C214" s="5">
        <v>5.3E-3</v>
      </c>
    </row>
    <row r="215" spans="1:3" x14ac:dyDescent="0.25">
      <c r="A215">
        <v>201110</v>
      </c>
      <c r="B215" t="str">
        <f t="shared" si="3"/>
        <v>201110</v>
      </c>
      <c r="C215" s="5">
        <v>4.3E-3</v>
      </c>
    </row>
    <row r="216" spans="1:3" x14ac:dyDescent="0.25">
      <c r="A216">
        <v>201111</v>
      </c>
      <c r="B216" t="str">
        <f t="shared" si="3"/>
        <v>201111</v>
      </c>
      <c r="C216" s="5">
        <v>5.1999999999999998E-3</v>
      </c>
    </row>
    <row r="217" spans="1:3" x14ac:dyDescent="0.25">
      <c r="A217">
        <v>201112</v>
      </c>
      <c r="B217" t="str">
        <f t="shared" si="3"/>
        <v>201112</v>
      </c>
      <c r="C217" s="5">
        <v>5.0000000000000001E-3</v>
      </c>
    </row>
    <row r="218" spans="1:3" x14ac:dyDescent="0.25">
      <c r="A218">
        <v>201201</v>
      </c>
      <c r="B218" t="str">
        <f t="shared" si="3"/>
        <v>201201</v>
      </c>
      <c r="C218" s="5">
        <v>5.6000000000000008E-3</v>
      </c>
    </row>
    <row r="219" spans="1:3" x14ac:dyDescent="0.25">
      <c r="A219">
        <v>201202</v>
      </c>
      <c r="B219" t="str">
        <f t="shared" si="3"/>
        <v>201202</v>
      </c>
      <c r="C219" s="5">
        <v>4.5000000000000005E-3</v>
      </c>
    </row>
    <row r="220" spans="1:3" x14ac:dyDescent="0.25">
      <c r="A220">
        <v>201203</v>
      </c>
      <c r="B220" t="str">
        <f t="shared" si="3"/>
        <v>201203</v>
      </c>
      <c r="C220" s="5">
        <v>2.0999999999999999E-3</v>
      </c>
    </row>
    <row r="221" spans="1:3" x14ac:dyDescent="0.25">
      <c r="A221">
        <v>201204</v>
      </c>
      <c r="B221" t="str">
        <f t="shared" si="3"/>
        <v>201204</v>
      </c>
      <c r="C221" s="5">
        <v>6.4000000000000003E-3</v>
      </c>
    </row>
    <row r="222" spans="1:3" x14ac:dyDescent="0.25">
      <c r="A222">
        <v>201205</v>
      </c>
      <c r="B222" t="str">
        <f t="shared" si="3"/>
        <v>201205</v>
      </c>
      <c r="C222" s="5">
        <v>3.5999999999999999E-3</v>
      </c>
    </row>
    <row r="223" spans="1:3" x14ac:dyDescent="0.25">
      <c r="A223">
        <v>201206</v>
      </c>
      <c r="B223" t="str">
        <f t="shared" si="3"/>
        <v>201206</v>
      </c>
      <c r="C223" s="5">
        <v>8.0000000000000004E-4</v>
      </c>
    </row>
    <row r="224" spans="1:3" x14ac:dyDescent="0.25">
      <c r="A224">
        <v>201207</v>
      </c>
      <c r="B224" t="str">
        <f t="shared" si="3"/>
        <v>201207</v>
      </c>
      <c r="C224" s="5">
        <v>4.3E-3</v>
      </c>
    </row>
    <row r="225" spans="1:3" x14ac:dyDescent="0.25">
      <c r="A225">
        <v>201208</v>
      </c>
      <c r="B225" t="str">
        <f t="shared" si="3"/>
        <v>201208</v>
      </c>
      <c r="C225" s="5">
        <v>4.0999999999999995E-3</v>
      </c>
    </row>
    <row r="226" spans="1:3" x14ac:dyDescent="0.25">
      <c r="A226">
        <v>201209</v>
      </c>
      <c r="B226" t="str">
        <f t="shared" si="3"/>
        <v>201209</v>
      </c>
      <c r="C226" s="5">
        <v>5.6999999999999993E-3</v>
      </c>
    </row>
    <row r="227" spans="1:3" x14ac:dyDescent="0.25">
      <c r="A227">
        <v>201210</v>
      </c>
      <c r="B227" t="str">
        <f t="shared" si="3"/>
        <v>201210</v>
      </c>
      <c r="C227" s="5">
        <v>5.8999999999999999E-3</v>
      </c>
    </row>
    <row r="228" spans="1:3" x14ac:dyDescent="0.25">
      <c r="A228">
        <v>201211</v>
      </c>
      <c r="B228" t="str">
        <f t="shared" si="3"/>
        <v>201211</v>
      </c>
      <c r="C228" s="5">
        <v>6.0000000000000001E-3</v>
      </c>
    </row>
    <row r="229" spans="1:3" x14ac:dyDescent="0.25">
      <c r="A229">
        <v>201212</v>
      </c>
      <c r="B229" t="str">
        <f t="shared" si="3"/>
        <v>201212</v>
      </c>
      <c r="C229" s="5">
        <v>7.9000000000000008E-3</v>
      </c>
    </row>
    <row r="230" spans="1:3" x14ac:dyDescent="0.25">
      <c r="A230">
        <v>201301</v>
      </c>
      <c r="B230" t="str">
        <f t="shared" si="3"/>
        <v>201301</v>
      </c>
      <c r="C230" s="5">
        <v>8.6E-3</v>
      </c>
    </row>
    <row r="231" spans="1:3" x14ac:dyDescent="0.25">
      <c r="A231">
        <v>201302</v>
      </c>
      <c r="B231" t="str">
        <f t="shared" si="3"/>
        <v>201302</v>
      </c>
      <c r="C231" s="5">
        <v>6.0000000000000001E-3</v>
      </c>
    </row>
    <row r="232" spans="1:3" x14ac:dyDescent="0.25">
      <c r="A232">
        <v>201303</v>
      </c>
      <c r="B232" t="str">
        <f t="shared" si="3"/>
        <v>201303</v>
      </c>
      <c r="C232" s="5">
        <v>4.6999999999999993E-3</v>
      </c>
    </row>
    <row r="233" spans="1:3" x14ac:dyDescent="0.25">
      <c r="A233">
        <v>201304</v>
      </c>
      <c r="B233" t="str">
        <f t="shared" si="3"/>
        <v>201304</v>
      </c>
      <c r="C233" s="5">
        <v>5.5000000000000005E-3</v>
      </c>
    </row>
    <row r="234" spans="1:3" x14ac:dyDescent="0.25">
      <c r="A234">
        <v>201305</v>
      </c>
      <c r="B234" t="str">
        <f t="shared" si="3"/>
        <v>201305</v>
      </c>
      <c r="C234" s="5">
        <v>3.7000000000000002E-3</v>
      </c>
    </row>
    <row r="235" spans="1:3" x14ac:dyDescent="0.25">
      <c r="A235">
        <v>201306</v>
      </c>
      <c r="B235" t="str">
        <f t="shared" si="3"/>
        <v>201306</v>
      </c>
      <c r="C235" s="5">
        <v>2.5999999999999999E-3</v>
      </c>
    </row>
    <row r="236" spans="1:3" x14ac:dyDescent="0.25">
      <c r="A236">
        <v>201307</v>
      </c>
      <c r="B236" t="str">
        <f t="shared" si="3"/>
        <v>201307</v>
      </c>
      <c r="C236" s="5">
        <v>2.9999999999999997E-4</v>
      </c>
    </row>
    <row r="237" spans="1:3" x14ac:dyDescent="0.25">
      <c r="A237">
        <v>201308</v>
      </c>
      <c r="B237" t="str">
        <f t="shared" si="3"/>
        <v>201308</v>
      </c>
      <c r="C237" s="5">
        <v>2.3999999999999998E-3</v>
      </c>
    </row>
    <row r="238" spans="1:3" x14ac:dyDescent="0.25">
      <c r="A238">
        <v>201309</v>
      </c>
      <c r="B238" t="str">
        <f t="shared" si="3"/>
        <v>201309</v>
      </c>
      <c r="C238" s="5">
        <v>3.4999999999999996E-3</v>
      </c>
    </row>
    <row r="239" spans="1:3" x14ac:dyDescent="0.25">
      <c r="A239">
        <v>201310</v>
      </c>
      <c r="B239" t="str">
        <f t="shared" si="3"/>
        <v>201310</v>
      </c>
      <c r="C239" s="5">
        <v>5.6999999999999993E-3</v>
      </c>
    </row>
    <row r="240" spans="1:3" x14ac:dyDescent="0.25">
      <c r="A240">
        <v>201311</v>
      </c>
      <c r="B240" t="str">
        <f t="shared" si="3"/>
        <v>201311</v>
      </c>
      <c r="C240" s="5">
        <v>5.4000000000000003E-3</v>
      </c>
    </row>
    <row r="241" spans="1:3" x14ac:dyDescent="0.25">
      <c r="A241">
        <v>201312</v>
      </c>
      <c r="B241" t="str">
        <f t="shared" si="3"/>
        <v>201312</v>
      </c>
      <c r="C241" s="5">
        <v>9.1999999999999998E-3</v>
      </c>
    </row>
    <row r="242" spans="1:3" x14ac:dyDescent="0.25">
      <c r="A242">
        <v>201401</v>
      </c>
      <c r="B242" t="str">
        <f t="shared" si="3"/>
        <v>201401</v>
      </c>
      <c r="C242" s="5">
        <v>5.5000000000000005E-3</v>
      </c>
    </row>
    <row r="243" spans="1:3" x14ac:dyDescent="0.25">
      <c r="A243">
        <v>201402</v>
      </c>
      <c r="B243" t="str">
        <f t="shared" si="3"/>
        <v>201402</v>
      </c>
      <c r="C243" s="5">
        <v>6.8999999999999999E-3</v>
      </c>
    </row>
    <row r="244" spans="1:3" x14ac:dyDescent="0.25">
      <c r="A244">
        <v>201403</v>
      </c>
      <c r="B244" t="str">
        <f t="shared" si="3"/>
        <v>201403</v>
      </c>
      <c r="C244" s="5">
        <v>9.1999999999999998E-3</v>
      </c>
    </row>
    <row r="245" spans="1:3" x14ac:dyDescent="0.25">
      <c r="A245">
        <v>201404</v>
      </c>
      <c r="B245" t="str">
        <f t="shared" si="3"/>
        <v>201404</v>
      </c>
      <c r="C245" s="5">
        <v>6.7000000000000002E-3</v>
      </c>
    </row>
    <row r="246" spans="1:3" x14ac:dyDescent="0.25">
      <c r="A246">
        <v>201405</v>
      </c>
      <c r="B246" t="str">
        <f t="shared" si="3"/>
        <v>201405</v>
      </c>
      <c r="C246" s="5">
        <v>4.5999999999999999E-3</v>
      </c>
    </row>
    <row r="247" spans="1:3" x14ac:dyDescent="0.25">
      <c r="A247">
        <v>201406</v>
      </c>
      <c r="B247" t="str">
        <f t="shared" si="3"/>
        <v>201406</v>
      </c>
      <c r="C247" s="5">
        <v>4.0000000000000001E-3</v>
      </c>
    </row>
    <row r="248" spans="1:3" x14ac:dyDescent="0.25">
      <c r="A248">
        <v>201407</v>
      </c>
      <c r="B248" t="str">
        <f t="shared" si="3"/>
        <v>201407</v>
      </c>
      <c r="C248" s="5">
        <v>1E-4</v>
      </c>
    </row>
    <row r="249" spans="1:3" x14ac:dyDescent="0.25">
      <c r="A249">
        <v>201408</v>
      </c>
      <c r="B249" t="str">
        <f t="shared" si="3"/>
        <v>201408</v>
      </c>
      <c r="C249" s="5">
        <v>2.5000000000000001E-3</v>
      </c>
    </row>
    <row r="250" spans="1:3" x14ac:dyDescent="0.25">
      <c r="A250">
        <v>201409</v>
      </c>
      <c r="B250" t="str">
        <f t="shared" si="3"/>
        <v>201409</v>
      </c>
      <c r="C250" s="5">
        <v>5.6999999999999993E-3</v>
      </c>
    </row>
    <row r="251" spans="1:3" x14ac:dyDescent="0.25">
      <c r="A251">
        <v>201410</v>
      </c>
      <c r="B251" t="str">
        <f t="shared" si="3"/>
        <v>201410</v>
      </c>
      <c r="C251" s="5">
        <v>4.1999999999999997E-3</v>
      </c>
    </row>
    <row r="252" spans="1:3" x14ac:dyDescent="0.25">
      <c r="A252">
        <v>201411</v>
      </c>
      <c r="B252" t="str">
        <f t="shared" si="3"/>
        <v>201411</v>
      </c>
      <c r="C252" s="5">
        <v>5.1000000000000004E-3</v>
      </c>
    </row>
    <row r="253" spans="1:3" x14ac:dyDescent="0.25">
      <c r="A253">
        <v>201412</v>
      </c>
      <c r="B253" t="str">
        <f t="shared" si="3"/>
        <v>201412</v>
      </c>
      <c r="C253" s="5">
        <v>7.8000000000000005E-3</v>
      </c>
    </row>
    <row r="254" spans="1:3" x14ac:dyDescent="0.25">
      <c r="A254">
        <v>201501</v>
      </c>
      <c r="B254" t="str">
        <f t="shared" si="3"/>
        <v>201501</v>
      </c>
      <c r="C254" s="5">
        <v>1.24E-2</v>
      </c>
    </row>
    <row r="255" spans="1:3" x14ac:dyDescent="0.25">
      <c r="A255">
        <v>201502</v>
      </c>
      <c r="B255" t="str">
        <f t="shared" si="3"/>
        <v>201502</v>
      </c>
      <c r="C255" s="5">
        <v>1.2199999999999999E-2</v>
      </c>
    </row>
    <row r="256" spans="1:3" x14ac:dyDescent="0.25">
      <c r="A256">
        <v>201503</v>
      </c>
      <c r="B256" t="str">
        <f t="shared" si="3"/>
        <v>201503</v>
      </c>
      <c r="C256" s="5">
        <v>1.32E-2</v>
      </c>
    </row>
    <row r="257" spans="1:3" x14ac:dyDescent="0.25">
      <c r="A257">
        <v>201504</v>
      </c>
      <c r="B257" t="str">
        <f t="shared" si="3"/>
        <v>201504</v>
      </c>
      <c r="C257" s="5">
        <v>7.0999999999999995E-3</v>
      </c>
    </row>
    <row r="258" spans="1:3" x14ac:dyDescent="0.25">
      <c r="A258">
        <v>201505</v>
      </c>
      <c r="B258" t="str">
        <f t="shared" ref="B258:B321" si="4">TEXT(A258,"000000")</f>
        <v>201505</v>
      </c>
      <c r="C258" s="5">
        <v>7.4000000000000003E-3</v>
      </c>
    </row>
    <row r="259" spans="1:3" x14ac:dyDescent="0.25">
      <c r="A259">
        <v>201506</v>
      </c>
      <c r="B259" t="str">
        <f t="shared" si="4"/>
        <v>201506</v>
      </c>
      <c r="C259" s="5">
        <v>7.9000000000000008E-3</v>
      </c>
    </row>
    <row r="260" spans="1:3" x14ac:dyDescent="0.25">
      <c r="A260">
        <v>201507</v>
      </c>
      <c r="B260" t="str">
        <f t="shared" si="4"/>
        <v>201507</v>
      </c>
      <c r="C260" s="5">
        <v>6.1999999999999998E-3</v>
      </c>
    </row>
    <row r="261" spans="1:3" x14ac:dyDescent="0.25">
      <c r="A261">
        <v>201508</v>
      </c>
      <c r="B261" t="str">
        <f t="shared" si="4"/>
        <v>201508</v>
      </c>
      <c r="C261" s="5">
        <v>2.2000000000000001E-3</v>
      </c>
    </row>
    <row r="262" spans="1:3" x14ac:dyDescent="0.25">
      <c r="A262">
        <v>201509</v>
      </c>
      <c r="B262" t="str">
        <f t="shared" si="4"/>
        <v>201509</v>
      </c>
      <c r="C262" s="5">
        <v>5.4000000000000003E-3</v>
      </c>
    </row>
    <row r="263" spans="1:3" x14ac:dyDescent="0.25">
      <c r="A263">
        <v>201510</v>
      </c>
      <c r="B263" t="str">
        <f t="shared" si="4"/>
        <v>201510</v>
      </c>
      <c r="C263" s="5">
        <v>8.199999999999999E-3</v>
      </c>
    </row>
    <row r="264" spans="1:3" x14ac:dyDescent="0.25">
      <c r="A264">
        <v>201511</v>
      </c>
      <c r="B264" t="str">
        <f t="shared" si="4"/>
        <v>201511</v>
      </c>
      <c r="C264" s="5">
        <v>1.01E-2</v>
      </c>
    </row>
    <row r="265" spans="1:3" x14ac:dyDescent="0.25">
      <c r="A265">
        <v>201512</v>
      </c>
      <c r="B265" t="str">
        <f t="shared" si="4"/>
        <v>201512</v>
      </c>
      <c r="C265" s="5">
        <v>9.5999999999999992E-3</v>
      </c>
    </row>
    <row r="266" spans="1:3" x14ac:dyDescent="0.25">
      <c r="A266">
        <v>201601</v>
      </c>
      <c r="B266" t="str">
        <f t="shared" si="4"/>
        <v>201601</v>
      </c>
      <c r="C266" s="5">
        <v>1.2699999999999999E-2</v>
      </c>
    </row>
    <row r="267" spans="1:3" x14ac:dyDescent="0.25">
      <c r="A267">
        <v>201602</v>
      </c>
      <c r="B267" t="str">
        <f t="shared" si="4"/>
        <v>201602</v>
      </c>
      <c r="C267" s="5">
        <v>9.0000000000000011E-3</v>
      </c>
    </row>
    <row r="268" spans="1:3" x14ac:dyDescent="0.25">
      <c r="A268">
        <v>201603</v>
      </c>
      <c r="B268" t="str">
        <f t="shared" si="4"/>
        <v>201603</v>
      </c>
      <c r="C268" s="5">
        <v>4.3E-3</v>
      </c>
    </row>
    <row r="269" spans="1:3" x14ac:dyDescent="0.25">
      <c r="A269">
        <v>201604</v>
      </c>
      <c r="B269" t="str">
        <f t="shared" si="4"/>
        <v>201604</v>
      </c>
      <c r="C269" s="5">
        <v>6.0999999999999995E-3</v>
      </c>
    </row>
    <row r="270" spans="1:3" x14ac:dyDescent="0.25">
      <c r="A270">
        <v>201605</v>
      </c>
      <c r="B270" t="str">
        <f t="shared" si="4"/>
        <v>201605</v>
      </c>
      <c r="C270" s="5">
        <v>7.8000000000000005E-3</v>
      </c>
    </row>
    <row r="271" spans="1:3" x14ac:dyDescent="0.25">
      <c r="A271">
        <v>201606</v>
      </c>
      <c r="B271" t="str">
        <f t="shared" si="4"/>
        <v>201606</v>
      </c>
      <c r="C271" s="5">
        <v>3.4999999999999996E-3</v>
      </c>
    </row>
    <row r="272" spans="1:3" x14ac:dyDescent="0.25">
      <c r="A272">
        <v>201607</v>
      </c>
      <c r="B272" t="str">
        <f t="shared" si="4"/>
        <v>201607</v>
      </c>
      <c r="C272" s="5">
        <v>5.1999999999999998E-3</v>
      </c>
    </row>
    <row r="273" spans="1:3" x14ac:dyDescent="0.25">
      <c r="A273">
        <v>201608</v>
      </c>
      <c r="B273" t="str">
        <f t="shared" si="4"/>
        <v>201608</v>
      </c>
      <c r="C273" s="5">
        <v>4.4000000000000003E-3</v>
      </c>
    </row>
    <row r="274" spans="1:3" x14ac:dyDescent="0.25">
      <c r="A274">
        <v>201609</v>
      </c>
      <c r="B274" t="str">
        <f t="shared" si="4"/>
        <v>201609</v>
      </c>
      <c r="C274" s="5">
        <v>8.0000000000000004E-4</v>
      </c>
    </row>
    <row r="275" spans="1:3" x14ac:dyDescent="0.25">
      <c r="A275">
        <v>201610</v>
      </c>
      <c r="B275" t="str">
        <f t="shared" si="4"/>
        <v>201610</v>
      </c>
      <c r="C275" s="5">
        <v>2.5999999999999999E-3</v>
      </c>
    </row>
    <row r="276" spans="1:3" x14ac:dyDescent="0.25">
      <c r="A276">
        <v>201611</v>
      </c>
      <c r="B276" t="str">
        <f t="shared" si="4"/>
        <v>201611</v>
      </c>
      <c r="C276" s="5">
        <v>1.8E-3</v>
      </c>
    </row>
    <row r="277" spans="1:3" x14ac:dyDescent="0.25">
      <c r="A277">
        <v>201612</v>
      </c>
      <c r="B277" t="str">
        <f t="shared" si="4"/>
        <v>201612</v>
      </c>
      <c r="C277" s="5">
        <v>3.0000000000000001E-3</v>
      </c>
    </row>
    <row r="278" spans="1:3" x14ac:dyDescent="0.25">
      <c r="A278">
        <v>201701</v>
      </c>
      <c r="B278" t="str">
        <f t="shared" si="4"/>
        <v>201701</v>
      </c>
      <c r="C278" s="5">
        <v>3.8E-3</v>
      </c>
    </row>
    <row r="279" spans="1:3" x14ac:dyDescent="0.25">
      <c r="A279">
        <v>201702</v>
      </c>
      <c r="B279" t="str">
        <f t="shared" si="4"/>
        <v>201702</v>
      </c>
      <c r="C279" s="5">
        <v>3.3E-3</v>
      </c>
    </row>
    <row r="280" spans="1:3" x14ac:dyDescent="0.25">
      <c r="A280">
        <v>201703</v>
      </c>
      <c r="B280" t="str">
        <f t="shared" si="4"/>
        <v>201703</v>
      </c>
      <c r="C280" s="5">
        <v>2.5000000000000001E-3</v>
      </c>
    </row>
    <row r="281" spans="1:3" x14ac:dyDescent="0.25">
      <c r="A281">
        <v>201704</v>
      </c>
      <c r="B281" t="str">
        <f t="shared" si="4"/>
        <v>201704</v>
      </c>
      <c r="C281" s="5">
        <v>1.4000000000000002E-3</v>
      </c>
    </row>
    <row r="282" spans="1:3" x14ac:dyDescent="0.25">
      <c r="A282">
        <v>201705</v>
      </c>
      <c r="B282" t="str">
        <f t="shared" si="4"/>
        <v>201705</v>
      </c>
      <c r="C282" s="5">
        <v>3.0999999999999999E-3</v>
      </c>
    </row>
    <row r="283" spans="1:3" x14ac:dyDescent="0.25">
      <c r="A283">
        <v>201706</v>
      </c>
      <c r="B283" t="str">
        <f t="shared" si="4"/>
        <v>201706</v>
      </c>
      <c r="C283" s="5">
        <v>-2.3E-3</v>
      </c>
    </row>
    <row r="284" spans="1:3" x14ac:dyDescent="0.25">
      <c r="A284">
        <v>201707</v>
      </c>
      <c r="B284" t="str">
        <f t="shared" si="4"/>
        <v>201707</v>
      </c>
      <c r="C284" s="5">
        <v>2.3999999999999998E-3</v>
      </c>
    </row>
    <row r="285" spans="1:3" x14ac:dyDescent="0.25">
      <c r="A285">
        <v>201708</v>
      </c>
      <c r="B285" t="str">
        <f t="shared" si="4"/>
        <v>201708</v>
      </c>
      <c r="C285" s="5">
        <v>1.9E-3</v>
      </c>
    </row>
    <row r="286" spans="1:3" x14ac:dyDescent="0.25">
      <c r="A286">
        <v>201709</v>
      </c>
      <c r="B286" t="str">
        <f t="shared" si="4"/>
        <v>201709</v>
      </c>
      <c r="C286" s="5">
        <v>1.6000000000000001E-3</v>
      </c>
    </row>
    <row r="287" spans="1:3" x14ac:dyDescent="0.25">
      <c r="A287">
        <v>201710</v>
      </c>
      <c r="B287" t="str">
        <f t="shared" si="4"/>
        <v>201710</v>
      </c>
      <c r="C287" s="5">
        <v>4.1999999999999997E-3</v>
      </c>
    </row>
    <row r="288" spans="1:3" x14ac:dyDescent="0.25">
      <c r="A288">
        <v>201711</v>
      </c>
      <c r="B288" t="str">
        <f t="shared" si="4"/>
        <v>201711</v>
      </c>
      <c r="C288" s="5">
        <v>2.8000000000000004E-3</v>
      </c>
    </row>
    <row r="289" spans="1:3" x14ac:dyDescent="0.25">
      <c r="A289">
        <v>201712</v>
      </c>
      <c r="B289" t="str">
        <f t="shared" si="4"/>
        <v>201712</v>
      </c>
      <c r="C289" s="5">
        <v>4.4000000000000003E-3</v>
      </c>
    </row>
    <row r="290" spans="1:3" x14ac:dyDescent="0.25">
      <c r="A290">
        <v>201801</v>
      </c>
      <c r="B290" t="str">
        <f t="shared" si="4"/>
        <v>201801</v>
      </c>
      <c r="C290" s="5">
        <v>2.8999999999999998E-3</v>
      </c>
    </row>
    <row r="291" spans="1:3" x14ac:dyDescent="0.25">
      <c r="A291">
        <v>201802</v>
      </c>
      <c r="B291" t="str">
        <f t="shared" si="4"/>
        <v>201802</v>
      </c>
      <c r="C291" s="5">
        <v>3.2000000000000002E-3</v>
      </c>
    </row>
    <row r="292" spans="1:3" x14ac:dyDescent="0.25">
      <c r="A292">
        <v>201803</v>
      </c>
      <c r="B292" t="str">
        <f t="shared" si="4"/>
        <v>201803</v>
      </c>
      <c r="C292" s="5">
        <v>8.9999999999999998E-4</v>
      </c>
    </row>
    <row r="293" spans="1:3" x14ac:dyDescent="0.25">
      <c r="A293">
        <v>201804</v>
      </c>
      <c r="B293" t="str">
        <f t="shared" si="4"/>
        <v>201804</v>
      </c>
      <c r="C293" s="5">
        <v>2.2000000000000001E-3</v>
      </c>
    </row>
    <row r="294" spans="1:3" x14ac:dyDescent="0.25">
      <c r="A294">
        <v>201805</v>
      </c>
      <c r="B294" t="str">
        <f t="shared" si="4"/>
        <v>201805</v>
      </c>
      <c r="C294" s="5">
        <v>4.0000000000000001E-3</v>
      </c>
    </row>
    <row r="295" spans="1:3" x14ac:dyDescent="0.25">
      <c r="A295">
        <v>201806</v>
      </c>
      <c r="B295" t="str">
        <f t="shared" si="4"/>
        <v>201806</v>
      </c>
      <c r="C295" s="5">
        <v>1.26E-2</v>
      </c>
    </row>
    <row r="296" spans="1:3" x14ac:dyDescent="0.25">
      <c r="A296">
        <v>201807</v>
      </c>
      <c r="B296" t="str">
        <f t="shared" si="4"/>
        <v>201807</v>
      </c>
      <c r="C296" s="5">
        <v>3.3E-3</v>
      </c>
    </row>
    <row r="297" spans="1:3" x14ac:dyDescent="0.25">
      <c r="A297">
        <v>201808</v>
      </c>
      <c r="B297" t="str">
        <f t="shared" si="4"/>
        <v>201808</v>
      </c>
      <c r="C297" s="5">
        <v>-8.9999999999999998E-4</v>
      </c>
    </row>
    <row r="298" spans="1:3" x14ac:dyDescent="0.25">
      <c r="A298">
        <v>201809</v>
      </c>
      <c r="B298" t="str">
        <f t="shared" si="4"/>
        <v>201809</v>
      </c>
      <c r="C298" s="5">
        <v>4.7999999999999996E-3</v>
      </c>
    </row>
    <row r="299" spans="1:3" x14ac:dyDescent="0.25">
      <c r="A299">
        <v>201810</v>
      </c>
      <c r="B299" t="str">
        <f t="shared" si="4"/>
        <v>201810</v>
      </c>
      <c r="C299" s="5">
        <v>4.5000000000000005E-3</v>
      </c>
    </row>
    <row r="300" spans="1:3" x14ac:dyDescent="0.25">
      <c r="A300">
        <v>201811</v>
      </c>
      <c r="B300" t="str">
        <f t="shared" si="4"/>
        <v>201811</v>
      </c>
      <c r="C300" s="5">
        <v>-2.0999999999999999E-3</v>
      </c>
    </row>
    <row r="301" spans="1:3" x14ac:dyDescent="0.25">
      <c r="A301">
        <v>201812</v>
      </c>
      <c r="B301" t="str">
        <f t="shared" si="4"/>
        <v>201812</v>
      </c>
      <c r="C301" s="5">
        <v>1.5E-3</v>
      </c>
    </row>
    <row r="302" spans="1:3" x14ac:dyDescent="0.25">
      <c r="A302">
        <v>201901</v>
      </c>
      <c r="B302" t="str">
        <f t="shared" si="4"/>
        <v>201901</v>
      </c>
      <c r="C302" s="5">
        <v>3.2000000000000002E-3</v>
      </c>
    </row>
    <row r="303" spans="1:3" x14ac:dyDescent="0.25">
      <c r="A303">
        <v>201902</v>
      </c>
      <c r="B303" t="str">
        <f t="shared" si="4"/>
        <v>201902</v>
      </c>
      <c r="C303" s="5">
        <v>4.3E-3</v>
      </c>
    </row>
    <row r="304" spans="1:3" x14ac:dyDescent="0.25">
      <c r="A304">
        <v>201903</v>
      </c>
      <c r="B304" t="str">
        <f t="shared" si="4"/>
        <v>201903</v>
      </c>
      <c r="C304" s="5">
        <v>7.4999999999999997E-3</v>
      </c>
    </row>
    <row r="305" spans="1:3" x14ac:dyDescent="0.25">
      <c r="A305">
        <v>201904</v>
      </c>
      <c r="B305" t="str">
        <f t="shared" si="4"/>
        <v>201904</v>
      </c>
      <c r="C305" s="5">
        <v>5.6999999999999993E-3</v>
      </c>
    </row>
    <row r="306" spans="1:3" x14ac:dyDescent="0.25">
      <c r="A306">
        <v>201905</v>
      </c>
      <c r="B306" t="str">
        <f t="shared" si="4"/>
        <v>201905</v>
      </c>
      <c r="C306" s="5">
        <v>1.2999999999999999E-3</v>
      </c>
    </row>
    <row r="307" spans="1:3" x14ac:dyDescent="0.25">
      <c r="A307">
        <v>201906</v>
      </c>
      <c r="B307" t="str">
        <f t="shared" si="4"/>
        <v>201906</v>
      </c>
      <c r="C307" s="5">
        <v>1E-4</v>
      </c>
    </row>
    <row r="308" spans="1:3" x14ac:dyDescent="0.25">
      <c r="A308">
        <v>201907</v>
      </c>
      <c r="B308" t="str">
        <f t="shared" si="4"/>
        <v>201907</v>
      </c>
      <c r="C308" s="5">
        <v>1.9E-3</v>
      </c>
    </row>
    <row r="309" spans="1:3" x14ac:dyDescent="0.25">
      <c r="A309">
        <v>201908</v>
      </c>
      <c r="B309" t="str">
        <f t="shared" si="4"/>
        <v>201908</v>
      </c>
      <c r="C309" s="5">
        <v>1.1000000000000001E-3</v>
      </c>
    </row>
    <row r="310" spans="1:3" x14ac:dyDescent="0.25">
      <c r="A310">
        <v>201909</v>
      </c>
      <c r="B310" t="str">
        <f t="shared" si="4"/>
        <v>201909</v>
      </c>
      <c r="C310" s="5">
        <v>-4.0000000000000002E-4</v>
      </c>
    </row>
    <row r="311" spans="1:3" x14ac:dyDescent="0.25">
      <c r="A311">
        <v>201910</v>
      </c>
      <c r="B311" t="str">
        <f t="shared" si="4"/>
        <v>201910</v>
      </c>
      <c r="C311" s="5">
        <v>1E-3</v>
      </c>
    </row>
    <row r="312" spans="1:3" x14ac:dyDescent="0.25">
      <c r="A312">
        <v>201911</v>
      </c>
      <c r="B312" t="str">
        <f t="shared" si="4"/>
        <v>201911</v>
      </c>
      <c r="C312" s="5">
        <v>5.1000000000000004E-3</v>
      </c>
    </row>
    <row r="313" spans="1:3" x14ac:dyDescent="0.25">
      <c r="A313">
        <v>201912</v>
      </c>
      <c r="B313" t="str">
        <f t="shared" si="4"/>
        <v>201912</v>
      </c>
      <c r="C313" s="5">
        <v>1.15E-2</v>
      </c>
    </row>
    <row r="314" spans="1:3" x14ac:dyDescent="0.25">
      <c r="A314">
        <v>202001</v>
      </c>
      <c r="B314" t="str">
        <f t="shared" si="4"/>
        <v>202001</v>
      </c>
      <c r="C314" s="5">
        <v>2.0999999999999999E-3</v>
      </c>
    </row>
    <row r="315" spans="1:3" x14ac:dyDescent="0.25">
      <c r="A315">
        <v>202002</v>
      </c>
      <c r="B315" t="str">
        <f t="shared" si="4"/>
        <v>202002</v>
      </c>
      <c r="C315" s="5">
        <v>2.5000000000000001E-3</v>
      </c>
    </row>
    <row r="316" spans="1:3" x14ac:dyDescent="0.25">
      <c r="A316">
        <v>202003</v>
      </c>
      <c r="B316" t="str">
        <f t="shared" si="4"/>
        <v>202003</v>
      </c>
      <c r="C316" s="5">
        <v>7.000000000000001E-4</v>
      </c>
    </row>
    <row r="317" spans="1:3" x14ac:dyDescent="0.25">
      <c r="A317">
        <v>202004</v>
      </c>
      <c r="B317" t="str">
        <f t="shared" si="4"/>
        <v>202004</v>
      </c>
      <c r="C317" s="5">
        <v>-3.0999999999999999E-3</v>
      </c>
    </row>
    <row r="318" spans="1:3" x14ac:dyDescent="0.25">
      <c r="A318">
        <v>202005</v>
      </c>
      <c r="B318" t="str">
        <f t="shared" si="4"/>
        <v>202005</v>
      </c>
      <c r="C318" s="5">
        <v>-3.8E-3</v>
      </c>
    </row>
    <row r="319" spans="1:3" x14ac:dyDescent="0.25">
      <c r="A319">
        <v>202006</v>
      </c>
      <c r="B319" t="str">
        <f t="shared" si="4"/>
        <v>202006</v>
      </c>
      <c r="C319" s="5">
        <v>2.5999999999999999E-3</v>
      </c>
    </row>
    <row r="320" spans="1:3" x14ac:dyDescent="0.25">
      <c r="A320">
        <v>202007</v>
      </c>
      <c r="B320" t="str">
        <f t="shared" si="4"/>
        <v>202007</v>
      </c>
      <c r="C320" s="5">
        <v>3.5999999999999999E-3</v>
      </c>
    </row>
    <row r="321" spans="1:3" x14ac:dyDescent="0.25">
      <c r="A321">
        <v>202008</v>
      </c>
      <c r="B321" t="str">
        <f t="shared" si="4"/>
        <v>202008</v>
      </c>
      <c r="C321" s="5">
        <v>2.3999999999999998E-3</v>
      </c>
    </row>
    <row r="322" spans="1:3" x14ac:dyDescent="0.25">
      <c r="A322">
        <v>202009</v>
      </c>
      <c r="B322" t="str">
        <f t="shared" ref="B322:B378" si="5">TEXT(A322,"000000")</f>
        <v>202009</v>
      </c>
      <c r="C322" s="5">
        <v>6.4000000000000003E-3</v>
      </c>
    </row>
    <row r="323" spans="1:3" x14ac:dyDescent="0.25">
      <c r="A323">
        <v>202010</v>
      </c>
      <c r="B323" t="str">
        <f t="shared" si="5"/>
        <v>202010</v>
      </c>
      <c r="C323" s="5">
        <v>8.6E-3</v>
      </c>
    </row>
    <row r="324" spans="1:3" x14ac:dyDescent="0.25">
      <c r="A324">
        <v>202011</v>
      </c>
      <c r="B324" t="str">
        <f t="shared" si="5"/>
        <v>202011</v>
      </c>
      <c r="C324" s="5">
        <v>8.8999999999999999E-3</v>
      </c>
    </row>
    <row r="325" spans="1:3" x14ac:dyDescent="0.25">
      <c r="A325">
        <v>202012</v>
      </c>
      <c r="B325" t="str">
        <f t="shared" si="5"/>
        <v>202012</v>
      </c>
      <c r="C325" s="5">
        <v>1.3500000000000002E-2</v>
      </c>
    </row>
    <row r="326" spans="1:3" x14ac:dyDescent="0.25">
      <c r="A326">
        <v>202101</v>
      </c>
      <c r="B326" t="str">
        <f t="shared" si="5"/>
        <v>202101</v>
      </c>
      <c r="C326" s="5">
        <v>2.5000000000000001E-3</v>
      </c>
    </row>
    <row r="327" spans="1:3" x14ac:dyDescent="0.25">
      <c r="A327">
        <v>202102</v>
      </c>
      <c r="B327" t="str">
        <f t="shared" si="5"/>
        <v>202102</v>
      </c>
      <c r="C327" s="5">
        <v>8.6E-3</v>
      </c>
    </row>
    <row r="328" spans="1:3" x14ac:dyDescent="0.25">
      <c r="A328">
        <v>202103</v>
      </c>
      <c r="B328" t="str">
        <f t="shared" si="5"/>
        <v>202103</v>
      </c>
      <c r="C328" s="5">
        <v>9.300000000000001E-3</v>
      </c>
    </row>
    <row r="329" spans="1:3" x14ac:dyDescent="0.25">
      <c r="A329">
        <v>202104</v>
      </c>
      <c r="B329" t="str">
        <f t="shared" si="5"/>
        <v>202104</v>
      </c>
      <c r="C329" s="5">
        <v>3.0999999999999999E-3</v>
      </c>
    </row>
    <row r="330" spans="1:3" x14ac:dyDescent="0.25">
      <c r="A330">
        <v>202105</v>
      </c>
      <c r="B330" t="str">
        <f t="shared" si="5"/>
        <v>202105</v>
      </c>
      <c r="C330" s="5">
        <v>8.3000000000000001E-3</v>
      </c>
    </row>
    <row r="331" spans="1:3" x14ac:dyDescent="0.25">
      <c r="A331">
        <v>202106</v>
      </c>
      <c r="B331" t="str">
        <f t="shared" si="5"/>
        <v>202106</v>
      </c>
      <c r="C331" s="5">
        <v>5.3E-3</v>
      </c>
    </row>
    <row r="332" spans="1:3" x14ac:dyDescent="0.25">
      <c r="A332">
        <v>202107</v>
      </c>
      <c r="B332" t="str">
        <f t="shared" si="5"/>
        <v>202107</v>
      </c>
      <c r="C332" s="5">
        <v>9.5999999999999992E-3</v>
      </c>
    </row>
    <row r="333" spans="1:3" x14ac:dyDescent="0.25">
      <c r="A333">
        <v>202108</v>
      </c>
      <c r="B333" t="str">
        <f t="shared" si="5"/>
        <v>202108</v>
      </c>
      <c r="C333" s="5">
        <v>8.6999999999999994E-3</v>
      </c>
    </row>
    <row r="334" spans="1:3" x14ac:dyDescent="0.25">
      <c r="A334">
        <v>202109</v>
      </c>
      <c r="B334" t="str">
        <f t="shared" si="5"/>
        <v>202109</v>
      </c>
      <c r="C334" s="5">
        <v>1.1599999999999999E-2</v>
      </c>
    </row>
    <row r="335" spans="1:3" x14ac:dyDescent="0.25">
      <c r="A335">
        <v>202110</v>
      </c>
      <c r="B335" t="str">
        <f t="shared" si="5"/>
        <v>202110</v>
      </c>
      <c r="C335" s="5">
        <v>1.2500000000000001E-2</v>
      </c>
    </row>
    <row r="336" spans="1:3" x14ac:dyDescent="0.25">
      <c r="A336">
        <v>202111</v>
      </c>
      <c r="B336" t="str">
        <f t="shared" si="5"/>
        <v>202111</v>
      </c>
      <c r="C336" s="5">
        <v>9.4999999999999998E-3</v>
      </c>
    </row>
    <row r="337" spans="1:3" x14ac:dyDescent="0.25">
      <c r="A337">
        <v>202112</v>
      </c>
      <c r="B337" t="str">
        <f t="shared" si="5"/>
        <v>202112</v>
      </c>
      <c r="C337" s="5">
        <v>7.3000000000000001E-3</v>
      </c>
    </row>
    <row r="338" spans="1:3" x14ac:dyDescent="0.25">
      <c r="A338">
        <v>202201</v>
      </c>
      <c r="B338" t="str">
        <f t="shared" si="5"/>
        <v>202201</v>
      </c>
      <c r="C338" s="5">
        <v>5.4000000000000003E-3</v>
      </c>
    </row>
    <row r="339" spans="1:3" x14ac:dyDescent="0.25">
      <c r="A339">
        <v>202202</v>
      </c>
      <c r="B339" t="str">
        <f t="shared" si="5"/>
        <v>202202</v>
      </c>
      <c r="C339" s="5">
        <v>1.01E-2</v>
      </c>
    </row>
    <row r="340" spans="1:3" x14ac:dyDescent="0.25">
      <c r="A340">
        <v>202203</v>
      </c>
      <c r="B340" t="str">
        <f t="shared" si="5"/>
        <v>202203</v>
      </c>
      <c r="C340" s="5">
        <v>1.6200000000000003E-2</v>
      </c>
    </row>
    <row r="341" spans="1:3" x14ac:dyDescent="0.25">
      <c r="A341">
        <v>202204</v>
      </c>
      <c r="B341" t="str">
        <f t="shared" si="5"/>
        <v>202204</v>
      </c>
      <c r="C341" s="5">
        <v>1.06E-2</v>
      </c>
    </row>
    <row r="342" spans="1:3" x14ac:dyDescent="0.25">
      <c r="A342">
        <v>202205</v>
      </c>
      <c r="B342" t="str">
        <f t="shared" si="5"/>
        <v>202205</v>
      </c>
      <c r="C342" s="5">
        <v>4.6999999999999993E-3</v>
      </c>
    </row>
    <row r="343" spans="1:3" x14ac:dyDescent="0.25">
      <c r="A343">
        <v>202206</v>
      </c>
      <c r="B343" t="str">
        <f t="shared" si="5"/>
        <v>202206</v>
      </c>
      <c r="C343" s="5">
        <v>6.7000000000000002E-3</v>
      </c>
    </row>
    <row r="344" spans="1:3" x14ac:dyDescent="0.25">
      <c r="A344">
        <v>202207</v>
      </c>
      <c r="B344" t="str">
        <f t="shared" si="5"/>
        <v>202207</v>
      </c>
      <c r="C344" s="5">
        <v>-6.8000000000000005E-3</v>
      </c>
    </row>
    <row r="345" spans="1:3" x14ac:dyDescent="0.25">
      <c r="A345">
        <v>202208</v>
      </c>
      <c r="B345" t="str">
        <f t="shared" si="5"/>
        <v>202208</v>
      </c>
      <c r="C345" s="5">
        <v>-3.5999999999999999E-3</v>
      </c>
    </row>
    <row r="346" spans="1:3" x14ac:dyDescent="0.25">
      <c r="A346">
        <v>202209</v>
      </c>
      <c r="B346" t="str">
        <f t="shared" si="5"/>
        <v>202209</v>
      </c>
      <c r="C346" s="5">
        <v>-2.8999999999999998E-3</v>
      </c>
    </row>
    <row r="347" spans="1:3" x14ac:dyDescent="0.25">
      <c r="A347">
        <v>202210</v>
      </c>
      <c r="B347" t="str">
        <f t="shared" si="5"/>
        <v>202210</v>
      </c>
      <c r="C347" s="5">
        <v>5.8999999999999999E-3</v>
      </c>
    </row>
    <row r="348" spans="1:3" x14ac:dyDescent="0.25">
      <c r="A348">
        <v>202211</v>
      </c>
      <c r="B348" t="str">
        <f t="shared" si="5"/>
        <v>202211</v>
      </c>
      <c r="C348" s="5">
        <v>4.0999999999999995E-3</v>
      </c>
    </row>
    <row r="349" spans="1:3" x14ac:dyDescent="0.25">
      <c r="A349">
        <v>202212</v>
      </c>
      <c r="B349" t="str">
        <f t="shared" si="5"/>
        <v>202212</v>
      </c>
      <c r="C349" s="5">
        <v>6.1999999999999998E-3</v>
      </c>
    </row>
    <row r="350" spans="1:3" x14ac:dyDescent="0.25">
      <c r="A350">
        <v>202301</v>
      </c>
      <c r="B350" t="str">
        <f t="shared" si="5"/>
        <v>202301</v>
      </c>
      <c r="C350" s="5">
        <v>5.3E-3</v>
      </c>
    </row>
    <row r="351" spans="1:3" x14ac:dyDescent="0.25">
      <c r="A351">
        <v>202302</v>
      </c>
      <c r="B351" t="str">
        <f t="shared" si="5"/>
        <v>202302</v>
      </c>
      <c r="C351" s="5">
        <v>8.3999999999999995E-3</v>
      </c>
    </row>
    <row r="352" spans="1:3" x14ac:dyDescent="0.25">
      <c r="A352">
        <v>202303</v>
      </c>
      <c r="B352" t="str">
        <f t="shared" si="5"/>
        <v>202303</v>
      </c>
      <c r="C352" s="5">
        <v>7.0999999999999995E-3</v>
      </c>
    </row>
    <row r="353" spans="1:3" x14ac:dyDescent="0.25">
      <c r="A353">
        <v>202304</v>
      </c>
      <c r="B353" t="str">
        <f t="shared" si="5"/>
        <v>202304</v>
      </c>
      <c r="C353" s="5">
        <v>6.0999999999999995E-3</v>
      </c>
    </row>
    <row r="354" spans="1:3" x14ac:dyDescent="0.25">
      <c r="A354">
        <v>202305</v>
      </c>
      <c r="B354" t="str">
        <f t="shared" si="5"/>
        <v>202305</v>
      </c>
      <c r="C354" s="5">
        <v>2.3E-3</v>
      </c>
    </row>
    <row r="355" spans="1:3" x14ac:dyDescent="0.25">
      <c r="A355">
        <v>202306</v>
      </c>
      <c r="B355" t="str">
        <f t="shared" si="5"/>
        <v>202306</v>
      </c>
      <c r="C355" s="5">
        <v>-8.0000000000000004E-4</v>
      </c>
    </row>
    <row r="356" spans="1:3" x14ac:dyDescent="0.25">
      <c r="A356">
        <v>202307</v>
      </c>
      <c r="B356" t="str">
        <f t="shared" si="5"/>
        <v>202307</v>
      </c>
      <c r="C356" s="5">
        <v>1.1999999999999999E-3</v>
      </c>
    </row>
    <row r="357" spans="1:3" x14ac:dyDescent="0.25">
      <c r="A357">
        <v>202308</v>
      </c>
      <c r="B357" t="str">
        <f t="shared" si="5"/>
        <v>202308</v>
      </c>
      <c r="C357" s="5">
        <v>2.3E-3</v>
      </c>
    </row>
    <row r="358" spans="1:3" x14ac:dyDescent="0.25">
      <c r="A358">
        <v>202309</v>
      </c>
      <c r="B358" t="str">
        <f t="shared" si="5"/>
        <v>202309</v>
      </c>
      <c r="C358" s="5">
        <v>2.5999999999999999E-3</v>
      </c>
    </row>
    <row r="359" spans="1:3" x14ac:dyDescent="0.25">
      <c r="A359">
        <v>202310</v>
      </c>
      <c r="B359" t="str">
        <f t="shared" si="5"/>
        <v>202310</v>
      </c>
      <c r="C359" s="5">
        <v>2.3999999999999998E-3</v>
      </c>
    </row>
    <row r="360" spans="1:3" x14ac:dyDescent="0.25">
      <c r="A360">
        <v>202311</v>
      </c>
      <c r="B360" t="str">
        <f t="shared" si="5"/>
        <v>202311</v>
      </c>
      <c r="C360" s="5">
        <v>2.8000000000000004E-3</v>
      </c>
    </row>
    <row r="361" spans="1:3" x14ac:dyDescent="0.25">
      <c r="A361">
        <v>202312</v>
      </c>
      <c r="B361" t="str">
        <f t="shared" si="5"/>
        <v>202312</v>
      </c>
      <c r="C361" s="5">
        <v>5.6000000000000008E-3</v>
      </c>
    </row>
    <row r="362" spans="1:3" x14ac:dyDescent="0.25">
      <c r="A362">
        <v>202401</v>
      </c>
      <c r="B362" t="str">
        <f t="shared" si="5"/>
        <v>202401</v>
      </c>
      <c r="C362" s="5">
        <v>4.1999999999999997E-3</v>
      </c>
    </row>
    <row r="363" spans="1:3" x14ac:dyDescent="0.25">
      <c r="A363">
        <v>202402</v>
      </c>
      <c r="B363" t="str">
        <f t="shared" si="5"/>
        <v>202402</v>
      </c>
      <c r="C363" s="5">
        <v>8.3000000000000001E-3</v>
      </c>
    </row>
    <row r="364" spans="1:3" x14ac:dyDescent="0.25">
      <c r="A364">
        <v>202403</v>
      </c>
      <c r="B364" t="str">
        <f t="shared" si="5"/>
        <v>202403</v>
      </c>
      <c r="C364" s="5">
        <v>1.6000000000000001E-3</v>
      </c>
    </row>
    <row r="365" spans="1:3" x14ac:dyDescent="0.25">
      <c r="A365">
        <v>202404</v>
      </c>
      <c r="B365" t="str">
        <f t="shared" si="5"/>
        <v>202404</v>
      </c>
      <c r="C365" s="5">
        <v>3.8E-3</v>
      </c>
    </row>
    <row r="366" spans="1:3" x14ac:dyDescent="0.25">
      <c r="A366">
        <v>202405</v>
      </c>
      <c r="B366" t="str">
        <f t="shared" si="5"/>
        <v>202405</v>
      </c>
      <c r="C366" s="5">
        <v>4.5999999999999999E-3</v>
      </c>
    </row>
    <row r="367" spans="1:3" x14ac:dyDescent="0.25">
      <c r="A367">
        <v>202406</v>
      </c>
      <c r="B367" t="str">
        <f t="shared" si="5"/>
        <v>202406</v>
      </c>
      <c r="C367" s="5">
        <v>2.0999999999999999E-3</v>
      </c>
    </row>
    <row r="368" spans="1:3" x14ac:dyDescent="0.25">
      <c r="A368">
        <v>202407</v>
      </c>
      <c r="B368" t="str">
        <f t="shared" si="5"/>
        <v>202407</v>
      </c>
      <c r="C368" s="5">
        <v>3.8E-3</v>
      </c>
    </row>
    <row r="369" spans="1:5" x14ac:dyDescent="0.25">
      <c r="A369">
        <v>202408</v>
      </c>
      <c r="B369" t="str">
        <f t="shared" si="5"/>
        <v>202408</v>
      </c>
      <c r="C369" s="5">
        <v>-2.0000000000000001E-4</v>
      </c>
    </row>
    <row r="370" spans="1:5" x14ac:dyDescent="0.25">
      <c r="A370">
        <v>202409</v>
      </c>
      <c r="B370" t="str">
        <f t="shared" si="5"/>
        <v>202409</v>
      </c>
      <c r="C370" s="5">
        <v>4.4000000000000003E-3</v>
      </c>
    </row>
    <row r="371" spans="1:5" x14ac:dyDescent="0.25">
      <c r="A371">
        <v>202410</v>
      </c>
      <c r="B371" t="str">
        <f t="shared" si="5"/>
        <v>202410</v>
      </c>
      <c r="C371" s="5">
        <v>5.6000000000000008E-3</v>
      </c>
    </row>
    <row r="372" spans="1:5" x14ac:dyDescent="0.25">
      <c r="A372">
        <v>202411</v>
      </c>
      <c r="B372" t="str">
        <f t="shared" si="5"/>
        <v>202411</v>
      </c>
      <c r="C372" s="5">
        <v>3.9000000000000003E-3</v>
      </c>
    </row>
    <row r="373" spans="1:5" x14ac:dyDescent="0.25">
      <c r="A373">
        <v>202412</v>
      </c>
      <c r="B373" t="str">
        <f t="shared" si="5"/>
        <v>202412</v>
      </c>
      <c r="C373" s="5">
        <v>5.1999999999999998E-3</v>
      </c>
    </row>
    <row r="374" spans="1:5" x14ac:dyDescent="0.25">
      <c r="A374">
        <v>202501</v>
      </c>
      <c r="B374" t="str">
        <f t="shared" si="5"/>
        <v>202501</v>
      </c>
      <c r="C374" s="6">
        <v>1.6000000000000001E-3</v>
      </c>
      <c r="E374" s="6"/>
    </row>
    <row r="375" spans="1:5" x14ac:dyDescent="0.25">
      <c r="A375">
        <v>202502</v>
      </c>
      <c r="B375" t="str">
        <f t="shared" si="5"/>
        <v>202502</v>
      </c>
      <c r="C375" s="6">
        <v>1.3100000000000001E-2</v>
      </c>
      <c r="E375" s="6"/>
    </row>
    <row r="376" spans="1:5" x14ac:dyDescent="0.25">
      <c r="A376">
        <v>202503</v>
      </c>
      <c r="B376" t="str">
        <f t="shared" si="5"/>
        <v>202503</v>
      </c>
      <c r="C376" s="6">
        <v>5.5999999999999999E-3</v>
      </c>
      <c r="E376" s="6"/>
    </row>
    <row r="377" spans="1:5" x14ac:dyDescent="0.25">
      <c r="A377">
        <v>202504</v>
      </c>
      <c r="B377" t="str">
        <f t="shared" si="5"/>
        <v>202504</v>
      </c>
      <c r="C377" s="6">
        <v>4.3E-3</v>
      </c>
      <c r="E377" s="6"/>
    </row>
    <row r="378" spans="1:5" x14ac:dyDescent="0.25">
      <c r="A378">
        <v>202505</v>
      </c>
      <c r="B378" t="str">
        <f t="shared" si="5"/>
        <v>202505</v>
      </c>
      <c r="C378" s="6">
        <v>2.5999999999999999E-3</v>
      </c>
      <c r="E378" s="6"/>
    </row>
    <row r="379" spans="1:5" x14ac:dyDescent="0.25">
      <c r="A379">
        <v>202506</v>
      </c>
      <c r="B379" t="str">
        <f t="shared" ref="B379:B382" si="6">TEXT(A379,"000000")</f>
        <v>202506</v>
      </c>
      <c r="C379" s="6">
        <v>2.3999999999999998E-3</v>
      </c>
      <c r="E379" s="6"/>
    </row>
    <row r="380" spans="1:5" x14ac:dyDescent="0.25">
      <c r="A380">
        <v>202507</v>
      </c>
      <c r="B380" t="str">
        <f t="shared" si="6"/>
        <v>202507</v>
      </c>
      <c r="C380" s="6">
        <v>2.5999999999999999E-3</v>
      </c>
    </row>
    <row r="381" spans="1:5" x14ac:dyDescent="0.25">
      <c r="A381">
        <v>202508</v>
      </c>
      <c r="B381" t="str">
        <f t="shared" si="6"/>
        <v>202508</v>
      </c>
      <c r="C381" s="6">
        <v>-1.1999999999999999E-3</v>
      </c>
    </row>
    <row r="382" spans="1:5" x14ac:dyDescent="0.25">
      <c r="A382">
        <v>202509</v>
      </c>
      <c r="B382" t="str">
        <f t="shared" si="6"/>
        <v>202509</v>
      </c>
      <c r="C382" s="6">
        <v>5.8999999999999999E-3</v>
      </c>
      <c r="E382" s="6"/>
    </row>
  </sheetData>
  <autoFilter ref="A1:C374" xr:uid="{FDB6AACC-5C12-4815-8914-F2689D4A9F8F}">
    <sortState xmlns:xlrd2="http://schemas.microsoft.com/office/spreadsheetml/2017/richdata2" ref="A2:C374">
      <sortCondition ref="A1:A374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DF8A-EF11-47E2-8925-D926B4F0FDE2}">
  <dimension ref="A1:C382"/>
  <sheetViews>
    <sheetView topLeftCell="A370" workbookViewId="0">
      <selection activeCell="F381" sqref="F381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10.85546875" bestFit="1" customWidth="1"/>
  </cols>
  <sheetData>
    <row r="1" spans="1:3" x14ac:dyDescent="0.25">
      <c r="A1" t="s">
        <v>15</v>
      </c>
      <c r="B1" t="s">
        <v>16</v>
      </c>
      <c r="C1" t="s">
        <v>55</v>
      </c>
    </row>
    <row r="2" spans="1:3" x14ac:dyDescent="0.25">
      <c r="A2">
        <v>199401</v>
      </c>
      <c r="B2" t="str">
        <f t="shared" ref="B2:B65" si="0">TEXT(A2,"000000")</f>
        <v>199401</v>
      </c>
      <c r="C2" s="5">
        <v>0.39069843219330003</v>
      </c>
    </row>
    <row r="3" spans="1:3" x14ac:dyDescent="0.25">
      <c r="A3">
        <v>199402</v>
      </c>
      <c r="B3" t="str">
        <f t="shared" si="0"/>
        <v>199402</v>
      </c>
      <c r="C3" s="5">
        <v>0.4077842260831952</v>
      </c>
    </row>
    <row r="4" spans="1:3" x14ac:dyDescent="0.25">
      <c r="A4">
        <v>199403</v>
      </c>
      <c r="B4" t="str">
        <f t="shared" si="0"/>
        <v>199403</v>
      </c>
      <c r="C4" s="5">
        <v>0.4571082902847925</v>
      </c>
    </row>
    <row r="5" spans="1:3" x14ac:dyDescent="0.25">
      <c r="A5">
        <v>199404</v>
      </c>
      <c r="B5" t="str">
        <f t="shared" si="0"/>
        <v>199404</v>
      </c>
      <c r="C5" s="5">
        <v>0.40909290596938863</v>
      </c>
    </row>
    <row r="6" spans="1:3" x14ac:dyDescent="0.25">
      <c r="A6">
        <v>199405</v>
      </c>
      <c r="B6" t="str">
        <f t="shared" si="0"/>
        <v>199405</v>
      </c>
      <c r="C6" s="5">
        <v>0.42577529470084086</v>
      </c>
    </row>
    <row r="7" spans="1:3" x14ac:dyDescent="0.25">
      <c r="A7">
        <v>199406</v>
      </c>
      <c r="B7" t="str">
        <f t="shared" si="0"/>
        <v>199406</v>
      </c>
      <c r="C7" s="5">
        <v>0.45212938099694733</v>
      </c>
    </row>
    <row r="8" spans="1:3" x14ac:dyDescent="0.25">
      <c r="A8">
        <v>199407</v>
      </c>
      <c r="B8" t="str">
        <f t="shared" si="0"/>
        <v>199407</v>
      </c>
      <c r="C8" s="5">
        <v>0.39995362018545921</v>
      </c>
    </row>
    <row r="9" spans="1:3" x14ac:dyDescent="0.25">
      <c r="A9">
        <v>199408</v>
      </c>
      <c r="B9" t="str">
        <f t="shared" si="0"/>
        <v>199408</v>
      </c>
      <c r="C9" s="5">
        <v>7.5634301547622629E-2</v>
      </c>
    </row>
    <row r="10" spans="1:3" x14ac:dyDescent="0.25">
      <c r="A10">
        <v>199409</v>
      </c>
      <c r="B10" t="str">
        <f t="shared" si="0"/>
        <v>199409</v>
      </c>
      <c r="C10" s="5">
        <v>1.7510000000000137E-2</v>
      </c>
    </row>
    <row r="11" spans="1:3" x14ac:dyDescent="0.25">
      <c r="A11">
        <v>199410</v>
      </c>
      <c r="B11" t="str">
        <f t="shared" si="0"/>
        <v>199410</v>
      </c>
      <c r="C11" s="5">
        <v>1.8191467405725747E-2</v>
      </c>
    </row>
    <row r="12" spans="1:3" x14ac:dyDescent="0.25">
      <c r="A12">
        <v>199411</v>
      </c>
      <c r="B12" t="str">
        <f t="shared" si="0"/>
        <v>199411</v>
      </c>
      <c r="C12" s="5">
        <v>2.8484006100268244E-2</v>
      </c>
    </row>
    <row r="13" spans="1:3" x14ac:dyDescent="0.25">
      <c r="A13">
        <v>199412</v>
      </c>
      <c r="B13" t="str">
        <f t="shared" si="0"/>
        <v>199412</v>
      </c>
      <c r="C13" s="5">
        <v>8.4183457997428768E-3</v>
      </c>
    </row>
    <row r="14" spans="1:3" x14ac:dyDescent="0.25">
      <c r="A14">
        <v>199501</v>
      </c>
      <c r="B14" t="str">
        <f t="shared" si="0"/>
        <v>199501</v>
      </c>
      <c r="C14" s="5">
        <v>9.2322010237317897E-3</v>
      </c>
    </row>
    <row r="15" spans="1:3" x14ac:dyDescent="0.25">
      <c r="A15">
        <v>199502</v>
      </c>
      <c r="B15" t="str">
        <f t="shared" si="0"/>
        <v>199502</v>
      </c>
      <c r="C15" s="5">
        <v>1.3859943564301647E-2</v>
      </c>
    </row>
    <row r="16" spans="1:3" x14ac:dyDescent="0.25">
      <c r="A16">
        <v>199503</v>
      </c>
      <c r="B16" t="str">
        <f t="shared" si="0"/>
        <v>199503</v>
      </c>
      <c r="C16" s="5">
        <v>1.1214698258219968E-2</v>
      </c>
    </row>
    <row r="17" spans="1:3" x14ac:dyDescent="0.25">
      <c r="A17">
        <v>199504</v>
      </c>
      <c r="B17" t="str">
        <f t="shared" si="0"/>
        <v>199504</v>
      </c>
      <c r="C17" s="5">
        <v>2.1047329507636325E-2</v>
      </c>
    </row>
    <row r="18" spans="1:3" x14ac:dyDescent="0.25">
      <c r="A18">
        <v>199505</v>
      </c>
      <c r="B18" t="str">
        <f t="shared" si="0"/>
        <v>199505</v>
      </c>
      <c r="C18" s="5">
        <v>5.7523916911856876E-3</v>
      </c>
    </row>
    <row r="19" spans="1:3" x14ac:dyDescent="0.25">
      <c r="A19">
        <v>199506</v>
      </c>
      <c r="B19" t="str">
        <f t="shared" si="0"/>
        <v>199506</v>
      </c>
      <c r="C19" s="5">
        <v>2.4638480875178281E-2</v>
      </c>
    </row>
    <row r="20" spans="1:3" x14ac:dyDescent="0.25">
      <c r="A20">
        <v>199507</v>
      </c>
      <c r="B20" t="str">
        <f t="shared" si="0"/>
        <v>199507</v>
      </c>
      <c r="C20" s="5">
        <v>1.8207618135813508E-2</v>
      </c>
    </row>
    <row r="21" spans="1:3" x14ac:dyDescent="0.25">
      <c r="A21">
        <v>199508</v>
      </c>
      <c r="B21" t="str">
        <f t="shared" si="0"/>
        <v>199508</v>
      </c>
      <c r="C21" s="5">
        <v>2.1953758584213334E-2</v>
      </c>
    </row>
    <row r="22" spans="1:3" x14ac:dyDescent="0.25">
      <c r="A22">
        <v>199509</v>
      </c>
      <c r="B22" t="str">
        <f t="shared" si="0"/>
        <v>199509</v>
      </c>
      <c r="C22" s="5">
        <v>-7.0648736126970313E-3</v>
      </c>
    </row>
    <row r="23" spans="1:3" x14ac:dyDescent="0.25">
      <c r="A23">
        <v>199510</v>
      </c>
      <c r="B23" t="str">
        <f t="shared" si="0"/>
        <v>199510</v>
      </c>
      <c r="C23" s="5">
        <v>5.2453482696142029E-3</v>
      </c>
    </row>
    <row r="24" spans="1:3" x14ac:dyDescent="0.25">
      <c r="A24">
        <v>199511</v>
      </c>
      <c r="B24" t="str">
        <f t="shared" si="0"/>
        <v>199511</v>
      </c>
      <c r="C24" s="5">
        <v>1.1950322214266285E-2</v>
      </c>
    </row>
    <row r="25" spans="1:3" x14ac:dyDescent="0.25">
      <c r="A25">
        <v>199512</v>
      </c>
      <c r="B25" t="str">
        <f t="shared" si="0"/>
        <v>199512</v>
      </c>
      <c r="C25" s="5">
        <v>7.1408238786547784E-3</v>
      </c>
    </row>
    <row r="26" spans="1:3" x14ac:dyDescent="0.25">
      <c r="A26">
        <v>199601</v>
      </c>
      <c r="B26" t="str">
        <f t="shared" si="0"/>
        <v>199601</v>
      </c>
      <c r="C26" s="5">
        <v>1.7313640144388076E-2</v>
      </c>
    </row>
    <row r="27" spans="1:3" x14ac:dyDescent="0.25">
      <c r="A27">
        <v>199602</v>
      </c>
      <c r="B27" t="str">
        <f t="shared" si="0"/>
        <v>199602</v>
      </c>
      <c r="C27" s="5">
        <v>9.7239972375908756E-3</v>
      </c>
    </row>
    <row r="28" spans="1:3" x14ac:dyDescent="0.25">
      <c r="A28">
        <v>199603</v>
      </c>
      <c r="B28" t="str">
        <f t="shared" si="0"/>
        <v>199603</v>
      </c>
      <c r="C28" s="5">
        <v>4.0329554566751469E-3</v>
      </c>
    </row>
    <row r="29" spans="1:3" x14ac:dyDescent="0.25">
      <c r="A29">
        <v>199604</v>
      </c>
      <c r="B29" t="str">
        <f t="shared" si="0"/>
        <v>199604</v>
      </c>
      <c r="C29" s="5">
        <v>3.2494225423793655E-3</v>
      </c>
    </row>
    <row r="30" spans="1:3" x14ac:dyDescent="0.25">
      <c r="A30">
        <v>199605</v>
      </c>
      <c r="B30" t="str">
        <f t="shared" si="0"/>
        <v>199605</v>
      </c>
      <c r="C30" s="5">
        <v>1.5538905798798242E-2</v>
      </c>
    </row>
    <row r="31" spans="1:3" x14ac:dyDescent="0.25">
      <c r="A31">
        <v>199606</v>
      </c>
      <c r="B31" t="str">
        <f t="shared" si="0"/>
        <v>199606</v>
      </c>
      <c r="C31" s="5">
        <v>1.017514467303493E-2</v>
      </c>
    </row>
    <row r="32" spans="1:3" x14ac:dyDescent="0.25">
      <c r="A32">
        <v>199607</v>
      </c>
      <c r="B32" t="str">
        <f t="shared" si="0"/>
        <v>199607</v>
      </c>
      <c r="C32" s="5">
        <v>1.3450492601468245E-2</v>
      </c>
    </row>
    <row r="33" spans="1:3" x14ac:dyDescent="0.25">
      <c r="A33">
        <v>199608</v>
      </c>
      <c r="B33" t="str">
        <f t="shared" si="0"/>
        <v>199608</v>
      </c>
      <c r="C33" s="5">
        <v>2.807533799253692E-3</v>
      </c>
    </row>
    <row r="34" spans="1:3" x14ac:dyDescent="0.25">
      <c r="A34">
        <v>199609</v>
      </c>
      <c r="B34" t="str">
        <f t="shared" si="0"/>
        <v>199609</v>
      </c>
      <c r="C34" s="5">
        <v>1.0105773765411996E-3</v>
      </c>
    </row>
    <row r="35" spans="1:3" x14ac:dyDescent="0.25">
      <c r="A35">
        <v>199610</v>
      </c>
      <c r="B35" t="str">
        <f t="shared" si="0"/>
        <v>199610</v>
      </c>
      <c r="C35" s="5">
        <v>1.9144194672529036E-3</v>
      </c>
    </row>
    <row r="36" spans="1:3" x14ac:dyDescent="0.25">
      <c r="A36">
        <v>199611</v>
      </c>
      <c r="B36" t="str">
        <f t="shared" si="0"/>
        <v>199611</v>
      </c>
      <c r="C36" s="5">
        <v>1.9704727641849384E-3</v>
      </c>
    </row>
    <row r="37" spans="1:3" x14ac:dyDescent="0.25">
      <c r="A37">
        <v>199612</v>
      </c>
      <c r="B37" t="str">
        <f t="shared" si="0"/>
        <v>199612</v>
      </c>
      <c r="C37" s="5">
        <v>7.3225965048195896E-3</v>
      </c>
    </row>
    <row r="38" spans="1:3" x14ac:dyDescent="0.25">
      <c r="A38">
        <v>199701</v>
      </c>
      <c r="B38" t="str">
        <f t="shared" si="0"/>
        <v>199701</v>
      </c>
      <c r="C38" s="5">
        <v>1.7659456461453171E-2</v>
      </c>
    </row>
    <row r="39" spans="1:3" x14ac:dyDescent="0.25">
      <c r="A39">
        <v>199702</v>
      </c>
      <c r="B39" t="str">
        <f t="shared" si="0"/>
        <v>199702</v>
      </c>
      <c r="C39" s="5">
        <v>4.2946523947593462E-3</v>
      </c>
    </row>
    <row r="40" spans="1:3" x14ac:dyDescent="0.25">
      <c r="A40">
        <v>199703</v>
      </c>
      <c r="B40" t="str">
        <f t="shared" si="0"/>
        <v>199703</v>
      </c>
      <c r="C40" s="5">
        <v>1.1511967815692525E-2</v>
      </c>
    </row>
    <row r="41" spans="1:3" x14ac:dyDescent="0.25">
      <c r="A41">
        <v>199704</v>
      </c>
      <c r="B41" t="str">
        <f t="shared" si="0"/>
        <v>199704</v>
      </c>
      <c r="C41" s="5">
        <v>6.7742050860188918E-3</v>
      </c>
    </row>
    <row r="42" spans="1:3" x14ac:dyDescent="0.25">
      <c r="A42">
        <v>199705</v>
      </c>
      <c r="B42" t="str">
        <f t="shared" si="0"/>
        <v>199705</v>
      </c>
      <c r="C42" s="5">
        <v>2.117349476346897E-3</v>
      </c>
    </row>
    <row r="43" spans="1:3" x14ac:dyDescent="0.25">
      <c r="A43">
        <v>199706</v>
      </c>
      <c r="B43" t="str">
        <f t="shared" si="0"/>
        <v>199706</v>
      </c>
      <c r="C43" s="5">
        <v>7.4446965399888043E-3</v>
      </c>
    </row>
    <row r="44" spans="1:3" x14ac:dyDescent="0.25">
      <c r="A44">
        <v>199707</v>
      </c>
      <c r="B44" t="str">
        <f t="shared" si="0"/>
        <v>199707</v>
      </c>
      <c r="C44" s="5">
        <v>9.2195087620527971E-4</v>
      </c>
    </row>
    <row r="45" spans="1:3" x14ac:dyDescent="0.25">
      <c r="A45">
        <v>199708</v>
      </c>
      <c r="B45" t="str">
        <f t="shared" si="0"/>
        <v>199708</v>
      </c>
      <c r="C45" s="5">
        <v>9.2813297614280366E-4</v>
      </c>
    </row>
    <row r="46" spans="1:3" x14ac:dyDescent="0.25">
      <c r="A46">
        <v>199709</v>
      </c>
      <c r="B46" t="str">
        <f t="shared" si="0"/>
        <v>199709</v>
      </c>
      <c r="C46" s="5">
        <v>4.8400806445947353E-3</v>
      </c>
    </row>
    <row r="47" spans="1:3" x14ac:dyDescent="0.25">
      <c r="A47">
        <v>199710</v>
      </c>
      <c r="B47" t="str">
        <f t="shared" si="0"/>
        <v>199710</v>
      </c>
      <c r="C47" s="5">
        <v>3.670250695599897E-3</v>
      </c>
    </row>
    <row r="48" spans="1:3" x14ac:dyDescent="0.25">
      <c r="A48">
        <v>199711</v>
      </c>
      <c r="B48" t="str">
        <f t="shared" si="0"/>
        <v>199711</v>
      </c>
      <c r="C48" s="5">
        <v>6.3663655296828381E-3</v>
      </c>
    </row>
    <row r="49" spans="1:3" x14ac:dyDescent="0.25">
      <c r="A49">
        <v>199712</v>
      </c>
      <c r="B49" t="str">
        <f t="shared" si="0"/>
        <v>199712</v>
      </c>
      <c r="C49" s="5">
        <v>8.402488908576311E-3</v>
      </c>
    </row>
    <row r="50" spans="1:3" x14ac:dyDescent="0.25">
      <c r="A50">
        <v>199801</v>
      </c>
      <c r="B50" t="str">
        <f t="shared" si="0"/>
        <v>199801</v>
      </c>
      <c r="C50" s="5">
        <v>9.5816603177871773E-3</v>
      </c>
    </row>
    <row r="51" spans="1:3" x14ac:dyDescent="0.25">
      <c r="A51">
        <v>199802</v>
      </c>
      <c r="B51" t="str">
        <f t="shared" si="0"/>
        <v>199802</v>
      </c>
      <c r="C51" s="5">
        <v>1.801605808648965E-3</v>
      </c>
    </row>
    <row r="52" spans="1:3" x14ac:dyDescent="0.25">
      <c r="A52">
        <v>199803</v>
      </c>
      <c r="B52" t="str">
        <f t="shared" si="0"/>
        <v>199803</v>
      </c>
      <c r="C52" s="5">
        <v>1.8933738700832592E-3</v>
      </c>
    </row>
    <row r="53" spans="1:3" x14ac:dyDescent="0.25">
      <c r="A53">
        <v>199804</v>
      </c>
      <c r="B53" t="str">
        <f t="shared" si="0"/>
        <v>199804</v>
      </c>
      <c r="C53" s="5">
        <v>1.2598638534222495E-3</v>
      </c>
    </row>
    <row r="54" spans="1:3" x14ac:dyDescent="0.25">
      <c r="A54">
        <v>199805</v>
      </c>
      <c r="B54" t="str">
        <f t="shared" si="0"/>
        <v>199805</v>
      </c>
      <c r="C54" s="5">
        <v>1.3529877351661224E-3</v>
      </c>
    </row>
    <row r="55" spans="1:3" x14ac:dyDescent="0.25">
      <c r="A55">
        <v>199806</v>
      </c>
      <c r="B55" t="str">
        <f t="shared" si="0"/>
        <v>199806</v>
      </c>
      <c r="C55" s="5">
        <v>3.83053755885987E-3</v>
      </c>
    </row>
    <row r="56" spans="1:3" x14ac:dyDescent="0.25">
      <c r="A56">
        <v>199807</v>
      </c>
      <c r="B56" t="str">
        <f t="shared" si="0"/>
        <v>199807</v>
      </c>
      <c r="C56" s="5">
        <v>-1.6757746251379046E-3</v>
      </c>
    </row>
    <row r="57" spans="1:3" x14ac:dyDescent="0.25">
      <c r="A57">
        <v>199808</v>
      </c>
      <c r="B57" t="str">
        <f t="shared" si="0"/>
        <v>199808</v>
      </c>
      <c r="C57" s="5">
        <v>-1.5505025650704995E-3</v>
      </c>
    </row>
    <row r="58" spans="1:3" x14ac:dyDescent="0.25">
      <c r="A58">
        <v>199809</v>
      </c>
      <c r="B58" t="str">
        <f t="shared" si="0"/>
        <v>199809</v>
      </c>
      <c r="C58" s="5">
        <v>-8.43973019870492E-4</v>
      </c>
    </row>
    <row r="59" spans="1:3" x14ac:dyDescent="0.25">
      <c r="A59">
        <v>199810</v>
      </c>
      <c r="B59" t="str">
        <f t="shared" si="0"/>
        <v>199810</v>
      </c>
      <c r="C59" s="5">
        <v>7.8386852632705839E-4</v>
      </c>
    </row>
    <row r="60" spans="1:3" x14ac:dyDescent="0.25">
      <c r="A60">
        <v>199811</v>
      </c>
      <c r="B60" t="str">
        <f t="shared" si="0"/>
        <v>199811</v>
      </c>
      <c r="C60" s="5">
        <v>-3.1870357866307097E-3</v>
      </c>
    </row>
    <row r="61" spans="1:3" x14ac:dyDescent="0.25">
      <c r="A61">
        <v>199812</v>
      </c>
      <c r="B61" t="str">
        <f t="shared" si="0"/>
        <v>199812</v>
      </c>
      <c r="C61" s="5">
        <v>4.4910179640720305E-3</v>
      </c>
    </row>
    <row r="62" spans="1:3" x14ac:dyDescent="0.25">
      <c r="A62">
        <v>199901</v>
      </c>
      <c r="B62" t="str">
        <f t="shared" si="0"/>
        <v>199901</v>
      </c>
      <c r="C62" s="5">
        <v>8.375423997410536E-3</v>
      </c>
    </row>
    <row r="63" spans="1:3" x14ac:dyDescent="0.25">
      <c r="A63">
        <v>199902</v>
      </c>
      <c r="B63" t="str">
        <f t="shared" si="0"/>
        <v>199902</v>
      </c>
      <c r="C63" s="5">
        <v>3.6112430032166909E-2</v>
      </c>
    </row>
    <row r="64" spans="1:3" x14ac:dyDescent="0.25">
      <c r="A64">
        <v>199903</v>
      </c>
      <c r="B64" t="str">
        <f t="shared" si="0"/>
        <v>199903</v>
      </c>
      <c r="C64" s="5">
        <v>2.8347737409073481E-2</v>
      </c>
    </row>
    <row r="65" spans="1:3" x14ac:dyDescent="0.25">
      <c r="A65">
        <v>199904</v>
      </c>
      <c r="B65" t="str">
        <f t="shared" si="0"/>
        <v>199904</v>
      </c>
      <c r="C65" s="5">
        <v>7.1175270673153879E-3</v>
      </c>
    </row>
    <row r="66" spans="1:3" x14ac:dyDescent="0.25">
      <c r="A66">
        <v>199905</v>
      </c>
      <c r="B66" t="str">
        <f t="shared" ref="B66:B129" si="1">TEXT(A66,"000000")</f>
        <v>199905</v>
      </c>
      <c r="C66" s="5">
        <v>-2.8854723013355121E-3</v>
      </c>
    </row>
    <row r="67" spans="1:3" x14ac:dyDescent="0.25">
      <c r="A67">
        <v>199906</v>
      </c>
      <c r="B67" t="str">
        <f t="shared" si="1"/>
        <v>199906</v>
      </c>
      <c r="C67" s="5">
        <v>3.6063401585040289E-3</v>
      </c>
    </row>
    <row r="68" spans="1:3" x14ac:dyDescent="0.25">
      <c r="A68">
        <v>199907</v>
      </c>
      <c r="B68" t="str">
        <f t="shared" si="1"/>
        <v>199907</v>
      </c>
      <c r="C68" s="5">
        <v>1.548828258798185E-2</v>
      </c>
    </row>
    <row r="69" spans="1:3" x14ac:dyDescent="0.25">
      <c r="A69">
        <v>199908</v>
      </c>
      <c r="B69" t="str">
        <f t="shared" si="1"/>
        <v>199908</v>
      </c>
      <c r="C69" s="5">
        <v>1.559548632405261E-2</v>
      </c>
    </row>
    <row r="70" spans="1:3" x14ac:dyDescent="0.25">
      <c r="A70">
        <v>199909</v>
      </c>
      <c r="B70" t="str">
        <f t="shared" si="1"/>
        <v>199909</v>
      </c>
      <c r="C70" s="5">
        <v>1.4456259850365027E-2</v>
      </c>
    </row>
    <row r="71" spans="1:3" x14ac:dyDescent="0.25">
      <c r="A71">
        <v>199910</v>
      </c>
      <c r="B71" t="str">
        <f t="shared" si="1"/>
        <v>199910</v>
      </c>
      <c r="C71" s="5">
        <v>1.7047923474823756E-2</v>
      </c>
    </row>
    <row r="72" spans="1:3" x14ac:dyDescent="0.25">
      <c r="A72">
        <v>199911</v>
      </c>
      <c r="B72" t="str">
        <f t="shared" si="1"/>
        <v>199911</v>
      </c>
      <c r="C72" s="5">
        <v>2.3867354165081567E-2</v>
      </c>
    </row>
    <row r="73" spans="1:3" x14ac:dyDescent="0.25">
      <c r="A73">
        <v>199912</v>
      </c>
      <c r="B73" t="str">
        <f t="shared" si="1"/>
        <v>199912</v>
      </c>
      <c r="C73" s="5">
        <v>1.8063439255969094E-2</v>
      </c>
    </row>
    <row r="74" spans="1:3" x14ac:dyDescent="0.25">
      <c r="A74">
        <v>200001</v>
      </c>
      <c r="B74" t="str">
        <f t="shared" si="1"/>
        <v>200001</v>
      </c>
      <c r="C74" s="5">
        <v>1.2363909960190655E-2</v>
      </c>
    </row>
    <row r="75" spans="1:3" x14ac:dyDescent="0.25">
      <c r="A75">
        <v>200002</v>
      </c>
      <c r="B75" t="str">
        <f t="shared" si="1"/>
        <v>200002</v>
      </c>
      <c r="C75" s="5">
        <v>3.516342116793636E-3</v>
      </c>
    </row>
    <row r="76" spans="1:3" x14ac:dyDescent="0.25">
      <c r="A76">
        <v>200003</v>
      </c>
      <c r="B76" t="str">
        <f t="shared" si="1"/>
        <v>200003</v>
      </c>
      <c r="C76" s="5">
        <v>1.5419902174813593E-3</v>
      </c>
    </row>
    <row r="77" spans="1:3" x14ac:dyDescent="0.25">
      <c r="A77">
        <v>200004</v>
      </c>
      <c r="B77" t="str">
        <f t="shared" si="1"/>
        <v>200004</v>
      </c>
      <c r="C77" s="5">
        <v>2.3232200602603115E-3</v>
      </c>
    </row>
    <row r="78" spans="1:3" x14ac:dyDescent="0.25">
      <c r="A78">
        <v>200005</v>
      </c>
      <c r="B78" t="str">
        <f t="shared" si="1"/>
        <v>200005</v>
      </c>
      <c r="C78" s="5">
        <v>3.0500729484956857E-3</v>
      </c>
    </row>
    <row r="79" spans="1:3" x14ac:dyDescent="0.25">
      <c r="A79">
        <v>200006</v>
      </c>
      <c r="B79" t="str">
        <f t="shared" si="1"/>
        <v>200006</v>
      </c>
      <c r="C79" s="5">
        <v>8.5405814840633365E-3</v>
      </c>
    </row>
    <row r="80" spans="1:3" x14ac:dyDescent="0.25">
      <c r="A80">
        <v>200007</v>
      </c>
      <c r="B80" t="str">
        <f t="shared" si="1"/>
        <v>200007</v>
      </c>
      <c r="C80" s="5">
        <v>1.5722876812974462E-2</v>
      </c>
    </row>
    <row r="81" spans="1:3" x14ac:dyDescent="0.25">
      <c r="A81">
        <v>200008</v>
      </c>
      <c r="B81" t="str">
        <f t="shared" si="1"/>
        <v>200008</v>
      </c>
      <c r="C81" s="5">
        <v>2.385953256105533E-2</v>
      </c>
    </row>
    <row r="82" spans="1:3" x14ac:dyDescent="0.25">
      <c r="A82">
        <v>200009</v>
      </c>
      <c r="B82" t="str">
        <f t="shared" si="1"/>
        <v>200009</v>
      </c>
      <c r="C82" s="5">
        <v>1.1565412613103065E-2</v>
      </c>
    </row>
    <row r="83" spans="1:3" x14ac:dyDescent="0.25">
      <c r="A83">
        <v>200010</v>
      </c>
      <c r="B83" t="str">
        <f t="shared" si="1"/>
        <v>200010</v>
      </c>
      <c r="C83" s="5">
        <v>3.8438258224389177E-3</v>
      </c>
    </row>
    <row r="84" spans="1:3" x14ac:dyDescent="0.25">
      <c r="A84">
        <v>200011</v>
      </c>
      <c r="B84" t="str">
        <f t="shared" si="1"/>
        <v>200011</v>
      </c>
      <c r="C84" s="5">
        <v>2.8808493094207854E-3</v>
      </c>
    </row>
    <row r="85" spans="1:3" x14ac:dyDescent="0.25">
      <c r="A85">
        <v>200012</v>
      </c>
      <c r="B85" t="str">
        <f t="shared" si="1"/>
        <v>200012</v>
      </c>
      <c r="C85" s="5">
        <v>6.3104126948236861E-3</v>
      </c>
    </row>
    <row r="86" spans="1:3" x14ac:dyDescent="0.25">
      <c r="A86">
        <v>200101</v>
      </c>
      <c r="B86" t="str">
        <f t="shared" si="1"/>
        <v>200101</v>
      </c>
      <c r="C86" s="5">
        <v>6.2197756182753583E-3</v>
      </c>
    </row>
    <row r="87" spans="1:3" x14ac:dyDescent="0.25">
      <c r="A87">
        <v>200102</v>
      </c>
      <c r="B87" t="str">
        <f t="shared" si="1"/>
        <v>200102</v>
      </c>
      <c r="C87" s="5">
        <v>2.2634423608822729E-3</v>
      </c>
    </row>
    <row r="88" spans="1:3" x14ac:dyDescent="0.25">
      <c r="A88">
        <v>200103</v>
      </c>
      <c r="B88" t="str">
        <f t="shared" si="1"/>
        <v>200103</v>
      </c>
      <c r="C88" s="5">
        <v>5.6458268984409532E-3</v>
      </c>
    </row>
    <row r="89" spans="1:3" x14ac:dyDescent="0.25">
      <c r="A89">
        <v>200104</v>
      </c>
      <c r="B89" t="str">
        <f t="shared" si="1"/>
        <v>200104</v>
      </c>
      <c r="C89" s="5">
        <v>9.9946627997140602E-3</v>
      </c>
    </row>
    <row r="90" spans="1:3" x14ac:dyDescent="0.25">
      <c r="A90">
        <v>200105</v>
      </c>
      <c r="B90" t="str">
        <f t="shared" si="1"/>
        <v>200105</v>
      </c>
      <c r="C90" s="5">
        <v>8.6394703650711779E-3</v>
      </c>
    </row>
    <row r="91" spans="1:3" x14ac:dyDescent="0.25">
      <c r="A91">
        <v>200106</v>
      </c>
      <c r="B91" t="str">
        <f t="shared" si="1"/>
        <v>200106</v>
      </c>
      <c r="C91" s="5">
        <v>9.8159387912457596E-3</v>
      </c>
    </row>
    <row r="92" spans="1:3" x14ac:dyDescent="0.25">
      <c r="A92">
        <v>200107</v>
      </c>
      <c r="B92" t="str">
        <f t="shared" si="1"/>
        <v>200107</v>
      </c>
      <c r="C92" s="5">
        <v>1.4835299300083316E-2</v>
      </c>
    </row>
    <row r="93" spans="1:3" x14ac:dyDescent="0.25">
      <c r="A93">
        <v>200108</v>
      </c>
      <c r="B93" t="str">
        <f t="shared" si="1"/>
        <v>200108</v>
      </c>
      <c r="C93" s="5">
        <v>1.3841931889978287E-2</v>
      </c>
    </row>
    <row r="94" spans="1:3" x14ac:dyDescent="0.25">
      <c r="A94">
        <v>200109</v>
      </c>
      <c r="B94" t="str">
        <f t="shared" si="1"/>
        <v>200109</v>
      </c>
      <c r="C94" s="5">
        <v>3.0540742396925058E-3</v>
      </c>
    </row>
    <row r="95" spans="1:3" x14ac:dyDescent="0.25">
      <c r="A95">
        <v>200110</v>
      </c>
      <c r="B95" t="str">
        <f t="shared" si="1"/>
        <v>200110</v>
      </c>
      <c r="C95" s="5">
        <v>1.1790204550089278E-2</v>
      </c>
    </row>
    <row r="96" spans="1:3" x14ac:dyDescent="0.25">
      <c r="A96">
        <v>200111</v>
      </c>
      <c r="B96" t="str">
        <f t="shared" si="1"/>
        <v>200111</v>
      </c>
      <c r="C96" s="5">
        <v>1.099658290326655E-2</v>
      </c>
    </row>
    <row r="97" spans="1:3" x14ac:dyDescent="0.25">
      <c r="A97">
        <v>200112</v>
      </c>
      <c r="B97" t="str">
        <f t="shared" si="1"/>
        <v>200112</v>
      </c>
      <c r="C97" s="5">
        <v>2.2161949138790327E-3</v>
      </c>
    </row>
    <row r="98" spans="1:3" x14ac:dyDescent="0.25">
      <c r="A98">
        <v>200201</v>
      </c>
      <c r="B98" t="str">
        <f t="shared" si="1"/>
        <v>200201</v>
      </c>
      <c r="C98" s="5">
        <v>3.6130142531329845E-3</v>
      </c>
    </row>
    <row r="99" spans="1:3" x14ac:dyDescent="0.25">
      <c r="A99">
        <v>200202</v>
      </c>
      <c r="B99" t="str">
        <f t="shared" si="1"/>
        <v>200202</v>
      </c>
      <c r="C99" s="5">
        <v>5.9923298178343742E-4</v>
      </c>
    </row>
    <row r="100" spans="1:3" x14ac:dyDescent="0.25">
      <c r="A100">
        <v>200203</v>
      </c>
      <c r="B100" t="str">
        <f t="shared" si="1"/>
        <v>200203</v>
      </c>
      <c r="C100" s="5">
        <v>9.3055824281118582E-4</v>
      </c>
    </row>
    <row r="101" spans="1:3" x14ac:dyDescent="0.25">
      <c r="A101">
        <v>200204</v>
      </c>
      <c r="B101" t="str">
        <f t="shared" si="1"/>
        <v>200204</v>
      </c>
      <c r="C101" s="5">
        <v>5.5689537730811978E-3</v>
      </c>
    </row>
    <row r="102" spans="1:3" x14ac:dyDescent="0.25">
      <c r="A102">
        <v>200205</v>
      </c>
      <c r="B102" t="str">
        <f t="shared" si="1"/>
        <v>200205</v>
      </c>
      <c r="C102" s="5">
        <v>8.2659758519996185E-3</v>
      </c>
    </row>
    <row r="103" spans="1:3" x14ac:dyDescent="0.25">
      <c r="A103">
        <v>200206</v>
      </c>
      <c r="B103" t="str">
        <f t="shared" si="1"/>
        <v>200206</v>
      </c>
      <c r="C103" s="5">
        <v>1.5415902529370085E-2</v>
      </c>
    </row>
    <row r="104" spans="1:3" x14ac:dyDescent="0.25">
      <c r="A104">
        <v>200207</v>
      </c>
      <c r="B104" t="str">
        <f t="shared" si="1"/>
        <v>200207</v>
      </c>
      <c r="C104" s="5">
        <v>1.9531669110546934E-2</v>
      </c>
    </row>
    <row r="105" spans="1:3" x14ac:dyDescent="0.25">
      <c r="A105">
        <v>200208</v>
      </c>
      <c r="B105" t="str">
        <f t="shared" si="1"/>
        <v>200208</v>
      </c>
      <c r="C105" s="5">
        <v>2.3200340265810748E-2</v>
      </c>
    </row>
    <row r="106" spans="1:3" x14ac:dyDescent="0.25">
      <c r="A106">
        <v>200209</v>
      </c>
      <c r="B106" t="str">
        <f t="shared" si="1"/>
        <v>200209</v>
      </c>
      <c r="C106" s="5">
        <v>2.397706429881552E-2</v>
      </c>
    </row>
    <row r="107" spans="1:3" x14ac:dyDescent="0.25">
      <c r="A107">
        <v>200210</v>
      </c>
      <c r="B107" t="str">
        <f t="shared" si="1"/>
        <v>200210</v>
      </c>
      <c r="C107" s="5">
        <v>3.8737272069070849E-2</v>
      </c>
    </row>
    <row r="108" spans="1:3" x14ac:dyDescent="0.25">
      <c r="A108">
        <v>200211</v>
      </c>
      <c r="B108" t="str">
        <f t="shared" si="1"/>
        <v>200211</v>
      </c>
      <c r="C108" s="5">
        <v>5.1897872271846168E-2</v>
      </c>
    </row>
    <row r="109" spans="1:3" x14ac:dyDescent="0.25">
      <c r="A109">
        <v>200212</v>
      </c>
      <c r="B109" t="str">
        <f t="shared" si="1"/>
        <v>200212</v>
      </c>
      <c r="C109" s="5">
        <v>3.7486594147387864E-2</v>
      </c>
    </row>
    <row r="110" spans="1:3" x14ac:dyDescent="0.25">
      <c r="A110">
        <v>200301</v>
      </c>
      <c r="B110" t="str">
        <f t="shared" si="1"/>
        <v>200301</v>
      </c>
      <c r="C110" s="5">
        <v>2.3280798325377328E-2</v>
      </c>
    </row>
    <row r="111" spans="1:3" x14ac:dyDescent="0.25">
      <c r="A111">
        <v>200302</v>
      </c>
      <c r="B111" t="str">
        <f t="shared" si="1"/>
        <v>200302</v>
      </c>
      <c r="C111" s="5">
        <v>2.2848545854033286E-2</v>
      </c>
    </row>
    <row r="112" spans="1:3" x14ac:dyDescent="0.25">
      <c r="A112">
        <v>200303</v>
      </c>
      <c r="B112" t="str">
        <f t="shared" si="1"/>
        <v>200303</v>
      </c>
      <c r="C112" s="5">
        <v>1.5340063349629451E-2</v>
      </c>
    </row>
    <row r="113" spans="1:3" x14ac:dyDescent="0.25">
      <c r="A113">
        <v>200304</v>
      </c>
      <c r="B113" t="str">
        <f t="shared" si="1"/>
        <v>200304</v>
      </c>
      <c r="C113" s="5">
        <v>9.2303416650743042E-3</v>
      </c>
    </row>
    <row r="114" spans="1:3" x14ac:dyDescent="0.25">
      <c r="A114">
        <v>200305</v>
      </c>
      <c r="B114" t="str">
        <f t="shared" si="1"/>
        <v>200305</v>
      </c>
      <c r="C114" s="5">
        <v>-2.6332819298341414E-3</v>
      </c>
    </row>
    <row r="115" spans="1:3" x14ac:dyDescent="0.25">
      <c r="A115">
        <v>200306</v>
      </c>
      <c r="B115" t="str">
        <f t="shared" si="1"/>
        <v>200306</v>
      </c>
      <c r="C115" s="5">
        <v>-1.0022536902884238E-2</v>
      </c>
    </row>
    <row r="116" spans="1:3" x14ac:dyDescent="0.25">
      <c r="A116">
        <v>200307</v>
      </c>
      <c r="B116" t="str">
        <f t="shared" si="1"/>
        <v>200307</v>
      </c>
      <c r="C116" s="5">
        <v>-4.1625558232204485E-3</v>
      </c>
    </row>
    <row r="117" spans="1:3" x14ac:dyDescent="0.25">
      <c r="A117">
        <v>200308</v>
      </c>
      <c r="B117" t="str">
        <f t="shared" si="1"/>
        <v>200308</v>
      </c>
      <c r="C117" s="5">
        <v>3.8018687270040541E-3</v>
      </c>
    </row>
    <row r="118" spans="1:3" x14ac:dyDescent="0.25">
      <c r="A118">
        <v>200309</v>
      </c>
      <c r="B118" t="str">
        <f t="shared" si="1"/>
        <v>200309</v>
      </c>
      <c r="C118" s="5">
        <v>1.1829738260065836E-2</v>
      </c>
    </row>
    <row r="119" spans="1:3" x14ac:dyDescent="0.25">
      <c r="A119">
        <v>200310</v>
      </c>
      <c r="B119" t="str">
        <f t="shared" si="1"/>
        <v>200310</v>
      </c>
      <c r="C119" s="5">
        <v>3.798336590527418E-3</v>
      </c>
    </row>
    <row r="120" spans="1:3" x14ac:dyDescent="0.25">
      <c r="A120">
        <v>200311</v>
      </c>
      <c r="B120" t="str">
        <f t="shared" si="1"/>
        <v>200311</v>
      </c>
      <c r="C120" s="5">
        <v>4.9033578386767918E-3</v>
      </c>
    </row>
    <row r="121" spans="1:3" x14ac:dyDescent="0.25">
      <c r="A121">
        <v>200312</v>
      </c>
      <c r="B121" t="str">
        <f t="shared" si="1"/>
        <v>200312</v>
      </c>
      <c r="C121" s="5">
        <v>6.1437108970570087E-3</v>
      </c>
    </row>
    <row r="122" spans="1:3" x14ac:dyDescent="0.25">
      <c r="A122">
        <v>200401</v>
      </c>
      <c r="B122" t="str">
        <f t="shared" si="1"/>
        <v>200401</v>
      </c>
      <c r="C122" s="5">
        <v>8.775534461972212E-3</v>
      </c>
    </row>
    <row r="123" spans="1:3" x14ac:dyDescent="0.25">
      <c r="A123">
        <v>200402</v>
      </c>
      <c r="B123" t="str">
        <f t="shared" si="1"/>
        <v>200402</v>
      </c>
      <c r="C123" s="5">
        <v>6.9283831416075969E-3</v>
      </c>
    </row>
    <row r="124" spans="1:3" x14ac:dyDescent="0.25">
      <c r="A124">
        <v>200403</v>
      </c>
      <c r="B124" t="str">
        <f t="shared" si="1"/>
        <v>200403</v>
      </c>
      <c r="C124" s="5">
        <v>1.1324085497347092E-2</v>
      </c>
    </row>
    <row r="125" spans="1:3" x14ac:dyDescent="0.25">
      <c r="A125">
        <v>200404</v>
      </c>
      <c r="B125" t="str">
        <f t="shared" si="1"/>
        <v>200404</v>
      </c>
      <c r="C125" s="5">
        <v>1.2122955263749624E-2</v>
      </c>
    </row>
    <row r="126" spans="1:3" x14ac:dyDescent="0.25">
      <c r="A126">
        <v>200405</v>
      </c>
      <c r="B126" t="str">
        <f t="shared" si="1"/>
        <v>200405</v>
      </c>
      <c r="C126" s="5">
        <v>1.3068714457898256E-2</v>
      </c>
    </row>
    <row r="127" spans="1:3" x14ac:dyDescent="0.25">
      <c r="A127">
        <v>200406</v>
      </c>
      <c r="B127" t="str">
        <f t="shared" si="1"/>
        <v>200406</v>
      </c>
      <c r="C127" s="5">
        <v>1.3757770383553858E-2</v>
      </c>
    </row>
    <row r="128" spans="1:3" x14ac:dyDescent="0.25">
      <c r="A128">
        <v>200407</v>
      </c>
      <c r="B128" t="str">
        <f t="shared" si="1"/>
        <v>200407</v>
      </c>
      <c r="C128" s="5">
        <v>1.3081270533905398E-2</v>
      </c>
    </row>
    <row r="129" spans="1:3" x14ac:dyDescent="0.25">
      <c r="A129">
        <v>200408</v>
      </c>
      <c r="B129" t="str">
        <f t="shared" si="1"/>
        <v>200408</v>
      </c>
      <c r="C129" s="5">
        <v>1.2180879786018339E-2</v>
      </c>
    </row>
    <row r="130" spans="1:3" x14ac:dyDescent="0.25">
      <c r="A130">
        <v>200409</v>
      </c>
      <c r="B130" t="str">
        <f t="shared" ref="B130:B193" si="2">TEXT(A130,"000000")</f>
        <v>200409</v>
      </c>
      <c r="C130" s="5">
        <v>6.9445306005981866E-3</v>
      </c>
    </row>
    <row r="131" spans="1:3" x14ac:dyDescent="0.25">
      <c r="A131">
        <v>200410</v>
      </c>
      <c r="B131" t="str">
        <f t="shared" si="2"/>
        <v>200410</v>
      </c>
      <c r="C131" s="5">
        <v>3.9242140021129579E-3</v>
      </c>
    </row>
    <row r="132" spans="1:3" x14ac:dyDescent="0.25">
      <c r="A132">
        <v>200411</v>
      </c>
      <c r="B132" t="str">
        <f t="shared" si="2"/>
        <v>200411</v>
      </c>
      <c r="C132" s="5">
        <v>8.170591393725557E-3</v>
      </c>
    </row>
    <row r="133" spans="1:3" x14ac:dyDescent="0.25">
      <c r="A133">
        <v>200412</v>
      </c>
      <c r="B133" t="str">
        <f t="shared" si="2"/>
        <v>200412</v>
      </c>
      <c r="C133" s="5">
        <v>7.3557159725856636E-3</v>
      </c>
    </row>
    <row r="134" spans="1:3" x14ac:dyDescent="0.25">
      <c r="A134">
        <v>200501</v>
      </c>
      <c r="B134" t="str">
        <f t="shared" si="2"/>
        <v>200501</v>
      </c>
      <c r="C134" s="5">
        <v>3.9062854035438743E-3</v>
      </c>
    </row>
    <row r="135" spans="1:3" x14ac:dyDescent="0.25">
      <c r="A135">
        <v>200502</v>
      </c>
      <c r="B135" t="str">
        <f t="shared" si="2"/>
        <v>200502</v>
      </c>
      <c r="C135" s="5">
        <v>2.9792535615622562E-3</v>
      </c>
    </row>
    <row r="136" spans="1:3" x14ac:dyDescent="0.25">
      <c r="A136">
        <v>200503</v>
      </c>
      <c r="B136" t="str">
        <f t="shared" si="2"/>
        <v>200503</v>
      </c>
      <c r="C136" s="5">
        <v>8.5061568373299146E-3</v>
      </c>
    </row>
    <row r="137" spans="1:3" x14ac:dyDescent="0.25">
      <c r="A137">
        <v>200504</v>
      </c>
      <c r="B137" t="str">
        <f t="shared" si="2"/>
        <v>200504</v>
      </c>
      <c r="C137" s="5">
        <v>8.6486197017163757E-3</v>
      </c>
    </row>
    <row r="138" spans="1:3" x14ac:dyDescent="0.25">
      <c r="A138">
        <v>200505</v>
      </c>
      <c r="B138" t="str">
        <f t="shared" si="2"/>
        <v>200505</v>
      </c>
      <c r="C138" s="5">
        <v>-2.1561513730348203E-3</v>
      </c>
    </row>
    <row r="139" spans="1:3" x14ac:dyDescent="0.25">
      <c r="A139">
        <v>200506</v>
      </c>
      <c r="B139" t="str">
        <f t="shared" si="2"/>
        <v>200506</v>
      </c>
      <c r="C139" s="5">
        <v>-4.4280355543468986E-3</v>
      </c>
    </row>
    <row r="140" spans="1:3" x14ac:dyDescent="0.25">
      <c r="A140">
        <v>200507</v>
      </c>
      <c r="B140" t="str">
        <f t="shared" si="2"/>
        <v>200507</v>
      </c>
      <c r="C140" s="5">
        <v>-3.3788498252677046E-3</v>
      </c>
    </row>
    <row r="141" spans="1:3" x14ac:dyDescent="0.25">
      <c r="A141">
        <v>200508</v>
      </c>
      <c r="B141" t="str">
        <f t="shared" si="2"/>
        <v>200508</v>
      </c>
      <c r="C141" s="5">
        <v>-6.5214217831576216E-3</v>
      </c>
    </row>
    <row r="142" spans="1:3" x14ac:dyDescent="0.25">
      <c r="A142">
        <v>200509</v>
      </c>
      <c r="B142" t="str">
        <f t="shared" si="2"/>
        <v>200509</v>
      </c>
      <c r="C142" s="5">
        <v>-5.3497424087034506E-3</v>
      </c>
    </row>
    <row r="143" spans="1:3" x14ac:dyDescent="0.25">
      <c r="A143">
        <v>200510</v>
      </c>
      <c r="B143" t="str">
        <f t="shared" si="2"/>
        <v>200510</v>
      </c>
      <c r="C143" s="5">
        <v>6.0417860050048233E-3</v>
      </c>
    </row>
    <row r="144" spans="1:3" x14ac:dyDescent="0.25">
      <c r="A144">
        <v>200511</v>
      </c>
      <c r="B144" t="str">
        <f t="shared" si="2"/>
        <v>200511</v>
      </c>
      <c r="C144" s="5">
        <v>4.012658303715444E-3</v>
      </c>
    </row>
    <row r="145" spans="1:3" x14ac:dyDescent="0.25">
      <c r="A145">
        <v>200512</v>
      </c>
      <c r="B145" t="str">
        <f t="shared" si="2"/>
        <v>200512</v>
      </c>
      <c r="C145" s="5">
        <v>-8.058907630004164E-5</v>
      </c>
    </row>
    <row r="146" spans="1:3" x14ac:dyDescent="0.25">
      <c r="A146">
        <v>200601</v>
      </c>
      <c r="B146" t="str">
        <f t="shared" si="2"/>
        <v>200601</v>
      </c>
      <c r="C146" s="5">
        <v>9.184910121012857E-3</v>
      </c>
    </row>
    <row r="147" spans="1:3" x14ac:dyDescent="0.25">
      <c r="A147">
        <v>200602</v>
      </c>
      <c r="B147" t="str">
        <f t="shared" si="2"/>
        <v>200602</v>
      </c>
      <c r="C147" s="5">
        <v>1.3310340951755428E-4</v>
      </c>
    </row>
    <row r="148" spans="1:3" x14ac:dyDescent="0.25">
      <c r="A148">
        <v>200603</v>
      </c>
      <c r="B148" t="str">
        <f t="shared" si="2"/>
        <v>200603</v>
      </c>
      <c r="C148" s="5">
        <v>-2.3334358586096782E-3</v>
      </c>
    </row>
    <row r="149" spans="1:3" x14ac:dyDescent="0.25">
      <c r="A149">
        <v>200604</v>
      </c>
      <c r="B149" t="str">
        <f t="shared" si="2"/>
        <v>200604</v>
      </c>
      <c r="C149" s="5">
        <v>-4.2034867003222232E-3</v>
      </c>
    </row>
    <row r="150" spans="1:3" x14ac:dyDescent="0.25">
      <c r="A150">
        <v>200605</v>
      </c>
      <c r="B150" t="str">
        <f t="shared" si="2"/>
        <v>200605</v>
      </c>
      <c r="C150" s="5">
        <v>3.762789465380223E-3</v>
      </c>
    </row>
    <row r="151" spans="1:3" x14ac:dyDescent="0.25">
      <c r="A151">
        <v>200606</v>
      </c>
      <c r="B151" t="str">
        <f t="shared" si="2"/>
        <v>200606</v>
      </c>
      <c r="C151" s="5">
        <v>7.4944021827778595E-3</v>
      </c>
    </row>
    <row r="152" spans="1:3" x14ac:dyDescent="0.25">
      <c r="A152">
        <v>200607</v>
      </c>
      <c r="B152" t="str">
        <f t="shared" si="2"/>
        <v>200607</v>
      </c>
      <c r="C152" s="5">
        <v>1.7662019593067679E-3</v>
      </c>
    </row>
    <row r="153" spans="1:3" x14ac:dyDescent="0.25">
      <c r="A153">
        <v>200608</v>
      </c>
      <c r="B153" t="str">
        <f t="shared" si="2"/>
        <v>200608</v>
      </c>
      <c r="C153" s="5">
        <v>3.7083617386397538E-3</v>
      </c>
    </row>
    <row r="154" spans="1:3" x14ac:dyDescent="0.25">
      <c r="A154">
        <v>200609</v>
      </c>
      <c r="B154" t="str">
        <f t="shared" si="2"/>
        <v>200609</v>
      </c>
      <c r="C154" s="5">
        <v>2.889564193995886E-3</v>
      </c>
    </row>
    <row r="155" spans="1:3" x14ac:dyDescent="0.25">
      <c r="A155">
        <v>200610</v>
      </c>
      <c r="B155" t="str">
        <f t="shared" si="2"/>
        <v>200610</v>
      </c>
      <c r="C155" s="5">
        <v>4.6531858559497596E-3</v>
      </c>
    </row>
    <row r="156" spans="1:3" x14ac:dyDescent="0.25">
      <c r="A156">
        <v>200611</v>
      </c>
      <c r="B156" t="str">
        <f t="shared" si="2"/>
        <v>200611</v>
      </c>
      <c r="C156" s="5">
        <v>7.5285845040751198E-3</v>
      </c>
    </row>
    <row r="157" spans="1:3" x14ac:dyDescent="0.25">
      <c r="A157">
        <v>200612</v>
      </c>
      <c r="B157" t="str">
        <f t="shared" si="2"/>
        <v>200612</v>
      </c>
      <c r="C157" s="5">
        <v>3.1608151211550695E-3</v>
      </c>
    </row>
    <row r="158" spans="1:3" x14ac:dyDescent="0.25">
      <c r="A158">
        <v>200701</v>
      </c>
      <c r="B158" t="str">
        <f t="shared" si="2"/>
        <v>200701</v>
      </c>
      <c r="C158" s="5">
        <v>5.033894699317587E-3</v>
      </c>
    </row>
    <row r="159" spans="1:3" x14ac:dyDescent="0.25">
      <c r="A159">
        <v>200702</v>
      </c>
      <c r="B159" t="str">
        <f t="shared" si="2"/>
        <v>200702</v>
      </c>
      <c r="C159" s="5">
        <v>2.6630968011371881E-3</v>
      </c>
    </row>
    <row r="160" spans="1:3" x14ac:dyDescent="0.25">
      <c r="A160">
        <v>200703</v>
      </c>
      <c r="B160" t="str">
        <f t="shared" si="2"/>
        <v>200703</v>
      </c>
      <c r="C160" s="5">
        <v>3.4034759388801294E-3</v>
      </c>
    </row>
    <row r="161" spans="1:3" x14ac:dyDescent="0.25">
      <c r="A161">
        <v>200704</v>
      </c>
      <c r="B161" t="str">
        <f t="shared" si="2"/>
        <v>200704</v>
      </c>
      <c r="C161" s="5">
        <v>4.3216563316539336E-4</v>
      </c>
    </row>
    <row r="162" spans="1:3" x14ac:dyDescent="0.25">
      <c r="A162">
        <v>200705</v>
      </c>
      <c r="B162" t="str">
        <f t="shared" si="2"/>
        <v>200705</v>
      </c>
      <c r="C162" s="5">
        <v>4.2913697995539124E-4</v>
      </c>
    </row>
    <row r="163" spans="1:3" x14ac:dyDescent="0.25">
      <c r="A163">
        <v>200706</v>
      </c>
      <c r="B163" t="str">
        <f t="shared" si="2"/>
        <v>200706</v>
      </c>
      <c r="C163" s="5">
        <v>2.6021248792682528E-3</v>
      </c>
    </row>
    <row r="164" spans="1:3" x14ac:dyDescent="0.25">
      <c r="A164">
        <v>200707</v>
      </c>
      <c r="B164" t="str">
        <f t="shared" si="2"/>
        <v>200707</v>
      </c>
      <c r="C164" s="5">
        <v>2.7880408912666077E-3</v>
      </c>
    </row>
    <row r="165" spans="1:3" x14ac:dyDescent="0.25">
      <c r="A165">
        <v>200708</v>
      </c>
      <c r="B165" t="str">
        <f t="shared" si="2"/>
        <v>200708</v>
      </c>
      <c r="C165" s="5">
        <v>9.844032549728654E-3</v>
      </c>
    </row>
    <row r="166" spans="1:3" x14ac:dyDescent="0.25">
      <c r="A166">
        <v>200709</v>
      </c>
      <c r="B166" t="str">
        <f t="shared" si="2"/>
        <v>200709</v>
      </c>
      <c r="C166" s="5">
        <v>1.285100334635314E-2</v>
      </c>
    </row>
    <row r="167" spans="1:3" x14ac:dyDescent="0.25">
      <c r="A167">
        <v>200710</v>
      </c>
      <c r="B167" t="str">
        <f t="shared" si="2"/>
        <v>200710</v>
      </c>
      <c r="C167" s="5">
        <v>1.0489037201965701E-2</v>
      </c>
    </row>
    <row r="168" spans="1:3" x14ac:dyDescent="0.25">
      <c r="A168">
        <v>200711</v>
      </c>
      <c r="B168" t="str">
        <f t="shared" si="2"/>
        <v>200711</v>
      </c>
      <c r="C168" s="5">
        <v>6.9437989688185819E-3</v>
      </c>
    </row>
    <row r="169" spans="1:3" x14ac:dyDescent="0.25">
      <c r="A169">
        <v>200712</v>
      </c>
      <c r="B169" t="str">
        <f t="shared" si="2"/>
        <v>200712</v>
      </c>
      <c r="C169" s="5">
        <v>1.7595443266166022E-2</v>
      </c>
    </row>
    <row r="170" spans="1:3" x14ac:dyDescent="0.25">
      <c r="A170">
        <v>200801</v>
      </c>
      <c r="B170" t="str">
        <f t="shared" si="2"/>
        <v>200801</v>
      </c>
      <c r="C170" s="5">
        <v>1.0898710030281533E-2</v>
      </c>
    </row>
    <row r="171" spans="1:3" x14ac:dyDescent="0.25">
      <c r="A171">
        <v>200802</v>
      </c>
      <c r="B171" t="str">
        <f t="shared" si="2"/>
        <v>200802</v>
      </c>
      <c r="C171" s="5">
        <v>5.2942728952229956E-3</v>
      </c>
    </row>
    <row r="172" spans="1:3" x14ac:dyDescent="0.25">
      <c r="A172">
        <v>200803</v>
      </c>
      <c r="B172" t="str">
        <f t="shared" si="2"/>
        <v>200803</v>
      </c>
      <c r="C172" s="5">
        <v>7.4165279622793179E-3</v>
      </c>
    </row>
    <row r="173" spans="1:3" x14ac:dyDescent="0.25">
      <c r="A173">
        <v>200804</v>
      </c>
      <c r="B173" t="str">
        <f t="shared" si="2"/>
        <v>200804</v>
      </c>
      <c r="C173" s="5">
        <v>6.9032733868257257E-3</v>
      </c>
    </row>
    <row r="174" spans="1:3" x14ac:dyDescent="0.25">
      <c r="A174">
        <v>200805</v>
      </c>
      <c r="B174" t="str">
        <f t="shared" si="2"/>
        <v>200805</v>
      </c>
      <c r="C174" s="5">
        <v>1.6077436720327132E-2</v>
      </c>
    </row>
    <row r="175" spans="1:3" x14ac:dyDescent="0.25">
      <c r="A175">
        <v>200806</v>
      </c>
      <c r="B175" t="str">
        <f t="shared" si="2"/>
        <v>200806</v>
      </c>
      <c r="C175" s="5">
        <v>1.9842482781106119E-2</v>
      </c>
    </row>
    <row r="176" spans="1:3" x14ac:dyDescent="0.25">
      <c r="A176">
        <v>200807</v>
      </c>
      <c r="B176" t="str">
        <f t="shared" si="2"/>
        <v>200807</v>
      </c>
      <c r="C176" s="5">
        <v>1.7643150790994655E-2</v>
      </c>
    </row>
    <row r="177" spans="1:3" x14ac:dyDescent="0.25">
      <c r="A177">
        <v>200808</v>
      </c>
      <c r="B177" t="str">
        <f t="shared" si="2"/>
        <v>200808</v>
      </c>
      <c r="C177" s="5">
        <v>-3.2372387997428032E-3</v>
      </c>
    </row>
    <row r="178" spans="1:3" x14ac:dyDescent="0.25">
      <c r="A178">
        <v>200809</v>
      </c>
      <c r="B178" t="str">
        <f t="shared" si="2"/>
        <v>200809</v>
      </c>
      <c r="C178" s="5">
        <v>1.0587821051051272E-3</v>
      </c>
    </row>
    <row r="179" spans="1:3" x14ac:dyDescent="0.25">
      <c r="A179">
        <v>200810</v>
      </c>
      <c r="B179" t="str">
        <f t="shared" si="2"/>
        <v>200810</v>
      </c>
      <c r="C179" s="5">
        <v>9.7575493719208595E-3</v>
      </c>
    </row>
    <row r="180" spans="1:3" x14ac:dyDescent="0.25">
      <c r="A180">
        <v>200811</v>
      </c>
      <c r="B180" t="str">
        <f t="shared" si="2"/>
        <v>200811</v>
      </c>
      <c r="C180" s="5">
        <v>3.84873965955701E-3</v>
      </c>
    </row>
    <row r="181" spans="1:3" x14ac:dyDescent="0.25">
      <c r="A181">
        <v>200812</v>
      </c>
      <c r="B181" t="str">
        <f t="shared" si="2"/>
        <v>200812</v>
      </c>
      <c r="C181" s="5">
        <v>-1.2836565527147847E-3</v>
      </c>
    </row>
    <row r="182" spans="1:3" x14ac:dyDescent="0.25">
      <c r="A182">
        <v>200901</v>
      </c>
      <c r="B182" t="str">
        <f t="shared" si="2"/>
        <v>200901</v>
      </c>
      <c r="C182" s="5">
        <v>-4.3564356435643603E-3</v>
      </c>
    </row>
    <row r="183" spans="1:3" x14ac:dyDescent="0.25">
      <c r="A183">
        <v>200902</v>
      </c>
      <c r="B183" t="str">
        <f t="shared" si="2"/>
        <v>200902</v>
      </c>
      <c r="C183" s="5">
        <v>2.6038234963956519E-3</v>
      </c>
    </row>
    <row r="184" spans="1:3" x14ac:dyDescent="0.25">
      <c r="A184">
        <v>200903</v>
      </c>
      <c r="B184" t="str">
        <f t="shared" si="2"/>
        <v>200903</v>
      </c>
      <c r="C184" s="5">
        <v>-7.4017461403094176E-3</v>
      </c>
    </row>
    <row r="185" spans="1:3" x14ac:dyDescent="0.25">
      <c r="A185">
        <v>200904</v>
      </c>
      <c r="B185" t="str">
        <f t="shared" si="2"/>
        <v>200904</v>
      </c>
      <c r="C185" s="5">
        <v>-1.5374882297551906E-3</v>
      </c>
    </row>
    <row r="186" spans="1:3" x14ac:dyDescent="0.25">
      <c r="A186">
        <v>200905</v>
      </c>
      <c r="B186" t="str">
        <f t="shared" si="2"/>
        <v>200905</v>
      </c>
      <c r="C186" s="5">
        <v>-7.2694944017526186E-4</v>
      </c>
    </row>
    <row r="187" spans="1:3" x14ac:dyDescent="0.25">
      <c r="A187">
        <v>200906</v>
      </c>
      <c r="B187" t="str">
        <f t="shared" si="2"/>
        <v>200906</v>
      </c>
      <c r="C187" s="5">
        <v>-9.8062106000462723E-4</v>
      </c>
    </row>
    <row r="188" spans="1:3" x14ac:dyDescent="0.25">
      <c r="A188">
        <v>200907</v>
      </c>
      <c r="B188" t="str">
        <f t="shared" si="2"/>
        <v>200907</v>
      </c>
      <c r="C188" s="5">
        <v>-4.3494732905929867E-3</v>
      </c>
    </row>
    <row r="189" spans="1:3" x14ac:dyDescent="0.25">
      <c r="A189">
        <v>200908</v>
      </c>
      <c r="B189" t="str">
        <f t="shared" si="2"/>
        <v>200908</v>
      </c>
      <c r="C189" s="5">
        <v>-3.6198044070192559E-3</v>
      </c>
    </row>
    <row r="190" spans="1:3" x14ac:dyDescent="0.25">
      <c r="A190">
        <v>200909</v>
      </c>
      <c r="B190" t="str">
        <f t="shared" si="2"/>
        <v>200909</v>
      </c>
      <c r="C190" s="5">
        <v>4.1958770300531967E-3</v>
      </c>
    </row>
    <row r="191" spans="1:3" x14ac:dyDescent="0.25">
      <c r="A191">
        <v>200910</v>
      </c>
      <c r="B191" t="str">
        <f t="shared" si="2"/>
        <v>200910</v>
      </c>
      <c r="C191" s="5">
        <v>4.5438269394626474E-4</v>
      </c>
    </row>
    <row r="192" spans="1:3" x14ac:dyDescent="0.25">
      <c r="A192">
        <v>200911</v>
      </c>
      <c r="B192" t="str">
        <f t="shared" si="2"/>
        <v>200911</v>
      </c>
      <c r="C192" s="5">
        <v>1.0342384771269142E-3</v>
      </c>
    </row>
    <row r="193" spans="1:3" x14ac:dyDescent="0.25">
      <c r="A193">
        <v>200912</v>
      </c>
      <c r="B193" t="str">
        <f t="shared" si="2"/>
        <v>200912</v>
      </c>
      <c r="C193" s="5">
        <v>-2.5866235316164277E-3</v>
      </c>
    </row>
    <row r="194" spans="1:3" x14ac:dyDescent="0.25">
      <c r="A194">
        <v>201001</v>
      </c>
      <c r="B194" t="str">
        <f t="shared" ref="B194:B257" si="3">TEXT(A194,"000000")</f>
        <v>201001</v>
      </c>
      <c r="C194" s="5">
        <v>6.3040946949188825E-3</v>
      </c>
    </row>
    <row r="195" spans="1:3" x14ac:dyDescent="0.25">
      <c r="A195">
        <v>201002</v>
      </c>
      <c r="B195" t="str">
        <f t="shared" si="3"/>
        <v>201002</v>
      </c>
      <c r="C195" s="5">
        <v>1.1777451854690701E-2</v>
      </c>
    </row>
    <row r="196" spans="1:3" x14ac:dyDescent="0.25">
      <c r="A196">
        <v>201003</v>
      </c>
      <c r="B196" t="str">
        <f t="shared" si="3"/>
        <v>201003</v>
      </c>
      <c r="C196" s="5">
        <v>9.4477750016388473E-3</v>
      </c>
    </row>
    <row r="197" spans="1:3" x14ac:dyDescent="0.25">
      <c r="A197">
        <v>201004</v>
      </c>
      <c r="B197" t="str">
        <f t="shared" si="3"/>
        <v>201004</v>
      </c>
      <c r="C197" s="5">
        <v>7.6563379468601589E-3</v>
      </c>
    </row>
    <row r="198" spans="1:3" x14ac:dyDescent="0.25">
      <c r="A198">
        <v>201005</v>
      </c>
      <c r="B198" t="str">
        <f t="shared" si="3"/>
        <v>201005</v>
      </c>
      <c r="C198" s="5">
        <v>1.1859151096756726E-2</v>
      </c>
    </row>
    <row r="199" spans="1:3" x14ac:dyDescent="0.25">
      <c r="A199">
        <v>201006</v>
      </c>
      <c r="B199" t="str">
        <f t="shared" si="3"/>
        <v>201006</v>
      </c>
      <c r="C199" s="5">
        <v>8.5023060499900271E-3</v>
      </c>
    </row>
    <row r="200" spans="1:3" x14ac:dyDescent="0.25">
      <c r="A200">
        <v>201007</v>
      </c>
      <c r="B200" t="str">
        <f t="shared" si="3"/>
        <v>201007</v>
      </c>
      <c r="C200" s="5">
        <v>1.5462386166662512E-3</v>
      </c>
    </row>
    <row r="201" spans="1:3" x14ac:dyDescent="0.25">
      <c r="A201">
        <v>201008</v>
      </c>
      <c r="B201" t="str">
        <f t="shared" si="3"/>
        <v>201008</v>
      </c>
      <c r="C201" s="5">
        <v>7.6959009692865177E-3</v>
      </c>
    </row>
    <row r="202" spans="1:3" x14ac:dyDescent="0.25">
      <c r="A202">
        <v>201009</v>
      </c>
      <c r="B202" t="str">
        <f t="shared" si="3"/>
        <v>201009</v>
      </c>
      <c r="C202" s="5">
        <v>1.1537971236194711E-2</v>
      </c>
    </row>
    <row r="203" spans="1:3" x14ac:dyDescent="0.25">
      <c r="A203">
        <v>201010</v>
      </c>
      <c r="B203" t="str">
        <f t="shared" si="3"/>
        <v>201010</v>
      </c>
      <c r="C203" s="5">
        <v>1.0095709896132954E-2</v>
      </c>
    </row>
    <row r="204" spans="1:3" x14ac:dyDescent="0.25">
      <c r="A204">
        <v>201011</v>
      </c>
      <c r="B204" t="str">
        <f t="shared" si="3"/>
        <v>201011</v>
      </c>
      <c r="C204" s="5">
        <v>1.4465926697200038E-2</v>
      </c>
    </row>
    <row r="205" spans="1:3" x14ac:dyDescent="0.25">
      <c r="A205">
        <v>201012</v>
      </c>
      <c r="B205" t="str">
        <f t="shared" si="3"/>
        <v>201012</v>
      </c>
      <c r="C205" s="5">
        <v>6.9207479327200172E-3</v>
      </c>
    </row>
    <row r="206" spans="1:3" x14ac:dyDescent="0.25">
      <c r="A206">
        <v>201101</v>
      </c>
      <c r="B206" t="str">
        <f t="shared" si="3"/>
        <v>201101</v>
      </c>
      <c r="C206" s="5">
        <v>7.9369133090976263E-3</v>
      </c>
    </row>
    <row r="207" spans="1:3" x14ac:dyDescent="0.25">
      <c r="A207">
        <v>201102</v>
      </c>
      <c r="B207" t="str">
        <f t="shared" si="3"/>
        <v>201102</v>
      </c>
      <c r="C207" s="5">
        <v>9.9630955659597564E-3</v>
      </c>
    </row>
    <row r="208" spans="1:3" x14ac:dyDescent="0.25">
      <c r="A208">
        <v>201103</v>
      </c>
      <c r="B208" t="str">
        <f t="shared" si="3"/>
        <v>201103</v>
      </c>
      <c r="C208" s="5">
        <v>6.2216812064652682E-3</v>
      </c>
    </row>
    <row r="209" spans="1:3" x14ac:dyDescent="0.25">
      <c r="A209">
        <v>201104</v>
      </c>
      <c r="B209" t="str">
        <f t="shared" si="3"/>
        <v>201104</v>
      </c>
      <c r="C209" s="5">
        <v>4.470470396683579E-3</v>
      </c>
    </row>
    <row r="210" spans="1:3" x14ac:dyDescent="0.25">
      <c r="A210">
        <v>201105</v>
      </c>
      <c r="B210" t="str">
        <f t="shared" si="3"/>
        <v>201105</v>
      </c>
      <c r="C210" s="5">
        <v>4.3167548363842734E-3</v>
      </c>
    </row>
    <row r="211" spans="1:3" x14ac:dyDescent="0.25">
      <c r="A211">
        <v>201106</v>
      </c>
      <c r="B211" t="str">
        <f t="shared" si="3"/>
        <v>201106</v>
      </c>
      <c r="C211" s="5">
        <v>-1.8224370367344589E-3</v>
      </c>
    </row>
    <row r="212" spans="1:3" x14ac:dyDescent="0.25">
      <c r="A212">
        <v>201107</v>
      </c>
      <c r="B212" t="str">
        <f t="shared" si="3"/>
        <v>201107</v>
      </c>
      <c r="C212" s="5">
        <v>-1.1540208800270291E-3</v>
      </c>
    </row>
    <row r="213" spans="1:3" x14ac:dyDescent="0.25">
      <c r="A213">
        <v>201108</v>
      </c>
      <c r="B213" t="str">
        <f t="shared" si="3"/>
        <v>201108</v>
      </c>
      <c r="C213" s="5">
        <v>4.3993990433839336E-3</v>
      </c>
    </row>
    <row r="214" spans="1:3" x14ac:dyDescent="0.25">
      <c r="A214">
        <v>201109</v>
      </c>
      <c r="B214" t="str">
        <f t="shared" si="3"/>
        <v>201109</v>
      </c>
      <c r="C214" s="5">
        <v>6.4532328400233041E-3</v>
      </c>
    </row>
    <row r="215" spans="1:3" x14ac:dyDescent="0.25">
      <c r="A215">
        <v>201110</v>
      </c>
      <c r="B215" t="str">
        <f t="shared" si="3"/>
        <v>201110</v>
      </c>
      <c r="C215" s="5">
        <v>5.3115837731221305E-3</v>
      </c>
    </row>
    <row r="216" spans="1:3" x14ac:dyDescent="0.25">
      <c r="A216">
        <v>201111</v>
      </c>
      <c r="B216" t="str">
        <f t="shared" si="3"/>
        <v>201111</v>
      </c>
      <c r="C216" s="5">
        <v>4.9674843997233875E-3</v>
      </c>
    </row>
    <row r="217" spans="1:3" x14ac:dyDescent="0.25">
      <c r="A217">
        <v>201112</v>
      </c>
      <c r="B217" t="str">
        <f t="shared" si="3"/>
        <v>201112</v>
      </c>
      <c r="C217" s="5">
        <v>-1.1734711106607953E-3</v>
      </c>
    </row>
    <row r="218" spans="1:3" x14ac:dyDescent="0.25">
      <c r="A218">
        <v>201201</v>
      </c>
      <c r="B218" t="str">
        <f t="shared" si="3"/>
        <v>201201</v>
      </c>
      <c r="C218" s="5">
        <v>2.4870470700597558E-3</v>
      </c>
    </row>
    <row r="219" spans="1:3" x14ac:dyDescent="0.25">
      <c r="A219">
        <v>201202</v>
      </c>
      <c r="B219" t="str">
        <f t="shared" si="3"/>
        <v>201202</v>
      </c>
      <c r="C219" s="5">
        <v>-6.1336891294583307E-4</v>
      </c>
    </row>
    <row r="220" spans="1:3" x14ac:dyDescent="0.25">
      <c r="A220">
        <v>201203</v>
      </c>
      <c r="B220" t="str">
        <f t="shared" si="3"/>
        <v>201203</v>
      </c>
      <c r="C220" s="5">
        <v>4.2772357414930795E-3</v>
      </c>
    </row>
    <row r="221" spans="1:3" x14ac:dyDescent="0.25">
      <c r="A221">
        <v>201204</v>
      </c>
      <c r="B221" t="str">
        <f t="shared" si="3"/>
        <v>201204</v>
      </c>
      <c r="C221" s="5">
        <v>8.5327385827631552E-3</v>
      </c>
    </row>
    <row r="222" spans="1:3" x14ac:dyDescent="0.25">
      <c r="A222">
        <v>201205</v>
      </c>
      <c r="B222" t="str">
        <f t="shared" si="3"/>
        <v>201205</v>
      </c>
      <c r="C222" s="5">
        <v>1.0226371168754911E-2</v>
      </c>
    </row>
    <row r="223" spans="1:3" x14ac:dyDescent="0.25">
      <c r="A223">
        <v>201206</v>
      </c>
      <c r="B223" t="str">
        <f t="shared" si="3"/>
        <v>201206</v>
      </c>
      <c r="C223" s="5">
        <v>6.6001566558107072E-3</v>
      </c>
    </row>
    <row r="224" spans="1:3" x14ac:dyDescent="0.25">
      <c r="A224">
        <v>201207</v>
      </c>
      <c r="B224" t="str">
        <f t="shared" si="3"/>
        <v>201207</v>
      </c>
      <c r="C224" s="5">
        <v>1.3410683496402287E-2</v>
      </c>
    </row>
    <row r="225" spans="1:3" x14ac:dyDescent="0.25">
      <c r="A225">
        <v>201208</v>
      </c>
      <c r="B225" t="str">
        <f t="shared" si="3"/>
        <v>201208</v>
      </c>
      <c r="C225" s="5">
        <v>1.4277891495299011E-2</v>
      </c>
    </row>
    <row r="226" spans="1:3" x14ac:dyDescent="0.25">
      <c r="A226">
        <v>201209</v>
      </c>
      <c r="B226" t="str">
        <f t="shared" si="3"/>
        <v>201209</v>
      </c>
      <c r="C226" s="5">
        <v>9.6562056112374783E-3</v>
      </c>
    </row>
    <row r="227" spans="1:3" x14ac:dyDescent="0.25">
      <c r="A227">
        <v>201210</v>
      </c>
      <c r="B227" t="str">
        <f t="shared" si="3"/>
        <v>201210</v>
      </c>
      <c r="C227" s="5">
        <v>2.4072422474974431E-4</v>
      </c>
    </row>
    <row r="228" spans="1:3" x14ac:dyDescent="0.25">
      <c r="A228">
        <v>201211</v>
      </c>
      <c r="B228" t="str">
        <f t="shared" si="3"/>
        <v>201211</v>
      </c>
      <c r="C228" s="5">
        <v>-2.5842036115719669E-4</v>
      </c>
    </row>
    <row r="229" spans="1:3" x14ac:dyDescent="0.25">
      <c r="A229">
        <v>201212</v>
      </c>
      <c r="B229" t="str">
        <f t="shared" si="3"/>
        <v>201212</v>
      </c>
      <c r="C229" s="5">
        <v>6.8212985526692194E-3</v>
      </c>
    </row>
    <row r="230" spans="1:3" x14ac:dyDescent="0.25">
      <c r="A230">
        <v>201301</v>
      </c>
      <c r="B230" t="str">
        <f t="shared" si="3"/>
        <v>201301</v>
      </c>
      <c r="C230" s="5">
        <v>3.3806824863007456E-3</v>
      </c>
    </row>
    <row r="231" spans="1:3" x14ac:dyDescent="0.25">
      <c r="A231">
        <v>201302</v>
      </c>
      <c r="B231" t="str">
        <f t="shared" si="3"/>
        <v>201302</v>
      </c>
      <c r="C231" s="5">
        <v>2.9102869855481828E-3</v>
      </c>
    </row>
    <row r="232" spans="1:3" x14ac:dyDescent="0.25">
      <c r="A232">
        <v>201303</v>
      </c>
      <c r="B232" t="str">
        <f t="shared" si="3"/>
        <v>201303</v>
      </c>
      <c r="C232" s="5">
        <v>2.0624499724422041E-3</v>
      </c>
    </row>
    <row r="233" spans="1:3" x14ac:dyDescent="0.25">
      <c r="A233">
        <v>201304</v>
      </c>
      <c r="B233" t="str">
        <f t="shared" si="3"/>
        <v>201304</v>
      </c>
      <c r="C233" s="5">
        <v>1.4576522857931984E-3</v>
      </c>
    </row>
    <row r="234" spans="1:3" x14ac:dyDescent="0.25">
      <c r="A234">
        <v>201305</v>
      </c>
      <c r="B234" t="str">
        <f t="shared" si="3"/>
        <v>201305</v>
      </c>
      <c r="C234" s="5">
        <v>4.4636272599651861E-5</v>
      </c>
    </row>
    <row r="235" spans="1:3" x14ac:dyDescent="0.25">
      <c r="A235">
        <v>201306</v>
      </c>
      <c r="B235" t="str">
        <f t="shared" si="3"/>
        <v>201306</v>
      </c>
      <c r="C235" s="5">
        <v>7.4791528801725349E-3</v>
      </c>
    </row>
    <row r="236" spans="1:3" x14ac:dyDescent="0.25">
      <c r="A236">
        <v>201307</v>
      </c>
      <c r="B236" t="str">
        <f t="shared" si="3"/>
        <v>201307</v>
      </c>
      <c r="C236" s="5">
        <v>2.6100205527079812E-3</v>
      </c>
    </row>
    <row r="237" spans="1:3" x14ac:dyDescent="0.25">
      <c r="A237">
        <v>201308</v>
      </c>
      <c r="B237" t="str">
        <f t="shared" si="3"/>
        <v>201308</v>
      </c>
      <c r="C237" s="5">
        <v>1.4639544445040897E-3</v>
      </c>
    </row>
    <row r="238" spans="1:3" x14ac:dyDescent="0.25">
      <c r="A238">
        <v>201309</v>
      </c>
      <c r="B238" t="str">
        <f t="shared" si="3"/>
        <v>201309</v>
      </c>
      <c r="C238" s="5">
        <v>1.4992230513937166E-2</v>
      </c>
    </row>
    <row r="239" spans="1:3" x14ac:dyDescent="0.25">
      <c r="A239">
        <v>201310</v>
      </c>
      <c r="B239" t="str">
        <f t="shared" si="3"/>
        <v>201310</v>
      </c>
      <c r="C239" s="5">
        <v>8.5732916261092029E-3</v>
      </c>
    </row>
    <row r="240" spans="1:3" x14ac:dyDescent="0.25">
      <c r="A240">
        <v>201311</v>
      </c>
      <c r="B240" t="str">
        <f t="shared" si="3"/>
        <v>201311</v>
      </c>
      <c r="C240" s="5">
        <v>2.8990613188011327E-3</v>
      </c>
    </row>
    <row r="241" spans="1:3" x14ac:dyDescent="0.25">
      <c r="A241">
        <v>201312</v>
      </c>
      <c r="B241" t="str">
        <f t="shared" si="3"/>
        <v>201312</v>
      </c>
      <c r="C241" s="5">
        <v>5.9831679024155981E-3</v>
      </c>
    </row>
    <row r="242" spans="1:3" x14ac:dyDescent="0.25">
      <c r="A242">
        <v>201401</v>
      </c>
      <c r="B242" t="str">
        <f t="shared" si="3"/>
        <v>201401</v>
      </c>
      <c r="C242" s="5">
        <v>4.8089603804073455E-3</v>
      </c>
    </row>
    <row r="243" spans="1:3" x14ac:dyDescent="0.25">
      <c r="A243">
        <v>201402</v>
      </c>
      <c r="B243" t="str">
        <f t="shared" si="3"/>
        <v>201402</v>
      </c>
      <c r="C243" s="5">
        <v>3.8431748062239812E-3</v>
      </c>
    </row>
    <row r="244" spans="1:3" x14ac:dyDescent="0.25">
      <c r="A244">
        <v>201403</v>
      </c>
      <c r="B244" t="str">
        <f t="shared" si="3"/>
        <v>201403</v>
      </c>
      <c r="C244" s="5">
        <v>1.6663658896798994E-2</v>
      </c>
    </row>
    <row r="245" spans="1:3" x14ac:dyDescent="0.25">
      <c r="A245">
        <v>201404</v>
      </c>
      <c r="B245" t="str">
        <f t="shared" si="3"/>
        <v>201404</v>
      </c>
      <c r="C245" s="5">
        <v>7.8484007049612892E-3</v>
      </c>
    </row>
    <row r="246" spans="1:3" x14ac:dyDescent="0.25">
      <c r="A246">
        <v>201405</v>
      </c>
      <c r="B246" t="str">
        <f t="shared" si="3"/>
        <v>201405</v>
      </c>
      <c r="C246" s="5">
        <v>-1.3317278314941561E-3</v>
      </c>
    </row>
    <row r="247" spans="1:3" x14ac:dyDescent="0.25">
      <c r="A247">
        <v>201406</v>
      </c>
      <c r="B247" t="str">
        <f t="shared" si="3"/>
        <v>201406</v>
      </c>
      <c r="C247" s="5">
        <v>-7.4233505315118853E-3</v>
      </c>
    </row>
    <row r="248" spans="1:3" x14ac:dyDescent="0.25">
      <c r="A248">
        <v>201407</v>
      </c>
      <c r="B248" t="str">
        <f t="shared" si="3"/>
        <v>201407</v>
      </c>
      <c r="C248" s="5">
        <v>-6.0773741102412293E-3</v>
      </c>
    </row>
    <row r="249" spans="1:3" x14ac:dyDescent="0.25">
      <c r="A249">
        <v>201408</v>
      </c>
      <c r="B249" t="str">
        <f t="shared" si="3"/>
        <v>201408</v>
      </c>
      <c r="C249" s="5">
        <v>-2.6577794316693382E-3</v>
      </c>
    </row>
    <row r="250" spans="1:3" x14ac:dyDescent="0.25">
      <c r="A250">
        <v>201409</v>
      </c>
      <c r="B250" t="str">
        <f t="shared" si="3"/>
        <v>201409</v>
      </c>
      <c r="C250" s="5">
        <v>2.0009327931669318E-3</v>
      </c>
    </row>
    <row r="251" spans="1:3" x14ac:dyDescent="0.25">
      <c r="A251">
        <v>201410</v>
      </c>
      <c r="B251" t="str">
        <f t="shared" si="3"/>
        <v>201410</v>
      </c>
      <c r="C251" s="5">
        <v>2.8420758653544542E-3</v>
      </c>
    </row>
    <row r="252" spans="1:3" x14ac:dyDescent="0.25">
      <c r="A252">
        <v>201411</v>
      </c>
      <c r="B252" t="str">
        <f t="shared" si="3"/>
        <v>201411</v>
      </c>
      <c r="C252" s="5">
        <v>9.7798309416159412E-3</v>
      </c>
    </row>
    <row r="253" spans="1:3" x14ac:dyDescent="0.25">
      <c r="A253">
        <v>201412</v>
      </c>
      <c r="B253" t="str">
        <f t="shared" si="3"/>
        <v>201412</v>
      </c>
      <c r="C253" s="5">
        <v>6.2079892712101348E-3</v>
      </c>
    </row>
    <row r="254" spans="1:3" x14ac:dyDescent="0.25">
      <c r="A254">
        <v>201501</v>
      </c>
      <c r="B254" t="str">
        <f t="shared" si="3"/>
        <v>201501</v>
      </c>
      <c r="C254" s="5">
        <v>7.6476183822304922E-3</v>
      </c>
    </row>
    <row r="255" spans="1:3" x14ac:dyDescent="0.25">
      <c r="A255">
        <v>201502</v>
      </c>
      <c r="B255" t="str">
        <f t="shared" si="3"/>
        <v>201502</v>
      </c>
      <c r="C255" s="5">
        <v>2.7058643654376269E-3</v>
      </c>
    </row>
    <row r="256" spans="1:3" x14ac:dyDescent="0.25">
      <c r="A256">
        <v>201503</v>
      </c>
      <c r="B256" t="str">
        <f t="shared" si="3"/>
        <v>201503</v>
      </c>
      <c r="C256" s="5">
        <v>9.8084410748857653E-3</v>
      </c>
    </row>
    <row r="257" spans="1:3" x14ac:dyDescent="0.25">
      <c r="A257">
        <v>201504</v>
      </c>
      <c r="B257" t="str">
        <f t="shared" si="3"/>
        <v>201504</v>
      </c>
      <c r="C257" s="5">
        <v>1.1656857512080121E-2</v>
      </c>
    </row>
    <row r="258" spans="1:3" x14ac:dyDescent="0.25">
      <c r="A258">
        <v>201505</v>
      </c>
      <c r="B258" t="str">
        <f t="shared" ref="B258:B321" si="4">TEXT(A258,"000000")</f>
        <v>201505</v>
      </c>
      <c r="C258" s="5">
        <v>4.0630016921943124E-3</v>
      </c>
    </row>
    <row r="259" spans="1:3" x14ac:dyDescent="0.25">
      <c r="A259">
        <v>201506</v>
      </c>
      <c r="B259" t="str">
        <f t="shared" si="4"/>
        <v>201506</v>
      </c>
      <c r="C259" s="5">
        <v>6.7154581722890239E-3</v>
      </c>
    </row>
    <row r="260" spans="1:3" x14ac:dyDescent="0.25">
      <c r="A260">
        <v>201507</v>
      </c>
      <c r="B260" t="str">
        <f t="shared" si="4"/>
        <v>201507</v>
      </c>
      <c r="C260" s="5">
        <v>6.9110458258143659E-3</v>
      </c>
    </row>
    <row r="261" spans="1:3" x14ac:dyDescent="0.25">
      <c r="A261">
        <v>201508</v>
      </c>
      <c r="B261" t="str">
        <f t="shared" si="4"/>
        <v>201508</v>
      </c>
      <c r="C261" s="5">
        <v>2.7556759079576665E-3</v>
      </c>
    </row>
    <row r="262" spans="1:3" x14ac:dyDescent="0.25">
      <c r="A262">
        <v>201509</v>
      </c>
      <c r="B262" t="str">
        <f t="shared" si="4"/>
        <v>201509</v>
      </c>
      <c r="C262" s="5">
        <v>9.461909183357653E-3</v>
      </c>
    </row>
    <row r="263" spans="1:3" x14ac:dyDescent="0.25">
      <c r="A263">
        <v>201510</v>
      </c>
      <c r="B263" t="str">
        <f t="shared" si="4"/>
        <v>201510</v>
      </c>
      <c r="C263" s="5">
        <v>1.8911533913066991E-2</v>
      </c>
    </row>
    <row r="264" spans="1:3" x14ac:dyDescent="0.25">
      <c r="A264">
        <v>201511</v>
      </c>
      <c r="B264" t="str">
        <f t="shared" si="4"/>
        <v>201511</v>
      </c>
      <c r="C264" s="5">
        <v>1.5242249087350057E-2</v>
      </c>
    </row>
    <row r="265" spans="1:3" x14ac:dyDescent="0.25">
      <c r="A265">
        <v>201512</v>
      </c>
      <c r="B265" t="str">
        <f t="shared" si="4"/>
        <v>201512</v>
      </c>
      <c r="C265" s="5">
        <v>4.8741879746143635E-3</v>
      </c>
    </row>
    <row r="266" spans="1:3" x14ac:dyDescent="0.25">
      <c r="A266">
        <v>201601</v>
      </c>
      <c r="B266" t="str">
        <f t="shared" si="4"/>
        <v>201601</v>
      </c>
      <c r="C266" s="5">
        <v>1.1370339878517433E-2</v>
      </c>
    </row>
    <row r="267" spans="1:3" x14ac:dyDescent="0.25">
      <c r="A267">
        <v>201602</v>
      </c>
      <c r="B267" t="str">
        <f t="shared" si="4"/>
        <v>201602</v>
      </c>
      <c r="C267" s="5">
        <v>1.2905810338749601E-2</v>
      </c>
    </row>
    <row r="268" spans="1:3" x14ac:dyDescent="0.25">
      <c r="A268">
        <v>201603</v>
      </c>
      <c r="B268" t="str">
        <f t="shared" si="4"/>
        <v>201603</v>
      </c>
      <c r="C268" s="5">
        <v>5.1177477480328637E-3</v>
      </c>
    </row>
    <row r="269" spans="1:3" x14ac:dyDescent="0.25">
      <c r="A269">
        <v>201604</v>
      </c>
      <c r="B269" t="str">
        <f t="shared" si="4"/>
        <v>201604</v>
      </c>
      <c r="C269" s="5">
        <v>3.2816609454016099E-3</v>
      </c>
    </row>
    <row r="270" spans="1:3" x14ac:dyDescent="0.25">
      <c r="A270">
        <v>201605</v>
      </c>
      <c r="B270" t="str">
        <f t="shared" si="4"/>
        <v>201605</v>
      </c>
      <c r="C270" s="5">
        <v>8.1843767354736752E-3</v>
      </c>
    </row>
    <row r="271" spans="1:3" x14ac:dyDescent="0.25">
      <c r="A271">
        <v>201606</v>
      </c>
      <c r="B271" t="str">
        <f t="shared" si="4"/>
        <v>201606</v>
      </c>
      <c r="C271" s="5">
        <v>1.6875411381916505E-2</v>
      </c>
    </row>
    <row r="272" spans="1:3" x14ac:dyDescent="0.25">
      <c r="A272">
        <v>201607</v>
      </c>
      <c r="B272" t="str">
        <f t="shared" si="4"/>
        <v>201607</v>
      </c>
      <c r="C272" s="5">
        <v>1.7521147795853675E-3</v>
      </c>
    </row>
    <row r="273" spans="1:3" x14ac:dyDescent="0.25">
      <c r="A273">
        <v>201608</v>
      </c>
      <c r="B273" t="str">
        <f t="shared" si="4"/>
        <v>201608</v>
      </c>
      <c r="C273" s="5">
        <v>1.4679801601182874E-3</v>
      </c>
    </row>
    <row r="274" spans="1:3" x14ac:dyDescent="0.25">
      <c r="A274">
        <v>201609</v>
      </c>
      <c r="B274" t="str">
        <f t="shared" si="4"/>
        <v>201609</v>
      </c>
      <c r="C274" s="5">
        <v>1.9707078379871401E-3</v>
      </c>
    </row>
    <row r="275" spans="1:3" x14ac:dyDescent="0.25">
      <c r="A275">
        <v>201610</v>
      </c>
      <c r="B275" t="str">
        <f t="shared" si="4"/>
        <v>201610</v>
      </c>
      <c r="C275" s="5">
        <v>1.5725520403595539E-3</v>
      </c>
    </row>
    <row r="276" spans="1:3" x14ac:dyDescent="0.25">
      <c r="A276">
        <v>201611</v>
      </c>
      <c r="B276" t="str">
        <f t="shared" si="4"/>
        <v>201611</v>
      </c>
      <c r="C276" s="5">
        <v>-2.6598695599977518E-4</v>
      </c>
    </row>
    <row r="277" spans="1:3" x14ac:dyDescent="0.25">
      <c r="A277">
        <v>201612</v>
      </c>
      <c r="B277" t="str">
        <f t="shared" si="4"/>
        <v>201612</v>
      </c>
      <c r="C277" s="5">
        <v>5.4002116299152192E-3</v>
      </c>
    </row>
    <row r="278" spans="1:3" x14ac:dyDescent="0.25">
      <c r="A278">
        <v>201701</v>
      </c>
      <c r="B278" t="str">
        <f t="shared" si="4"/>
        <v>201701</v>
      </c>
      <c r="C278" s="5">
        <v>6.4085503792508103E-3</v>
      </c>
    </row>
    <row r="279" spans="1:3" x14ac:dyDescent="0.25">
      <c r="A279">
        <v>201702</v>
      </c>
      <c r="B279" t="str">
        <f t="shared" si="4"/>
        <v>201702</v>
      </c>
      <c r="C279" s="5">
        <v>8.3691187032530756E-4</v>
      </c>
    </row>
    <row r="280" spans="1:3" x14ac:dyDescent="0.25">
      <c r="A280">
        <v>201703</v>
      </c>
      <c r="B280" t="str">
        <f t="shared" si="4"/>
        <v>201703</v>
      </c>
      <c r="C280" s="5">
        <v>1.4712527717342105E-4</v>
      </c>
    </row>
    <row r="281" spans="1:3" x14ac:dyDescent="0.25">
      <c r="A281">
        <v>201704</v>
      </c>
      <c r="B281" t="str">
        <f t="shared" si="4"/>
        <v>201704</v>
      </c>
      <c r="C281" s="5">
        <v>-1.0956218656043126E-2</v>
      </c>
    </row>
    <row r="282" spans="1:3" x14ac:dyDescent="0.25">
      <c r="A282">
        <v>201705</v>
      </c>
      <c r="B282" t="str">
        <f t="shared" si="4"/>
        <v>201705</v>
      </c>
      <c r="C282" s="5">
        <v>-9.318589523719889E-3</v>
      </c>
    </row>
    <row r="283" spans="1:3" x14ac:dyDescent="0.25">
      <c r="A283">
        <v>201706</v>
      </c>
      <c r="B283" t="str">
        <f t="shared" si="4"/>
        <v>201706</v>
      </c>
      <c r="C283" s="5">
        <v>-6.6624997319068013E-3</v>
      </c>
    </row>
    <row r="284" spans="1:3" x14ac:dyDescent="0.25">
      <c r="A284">
        <v>201707</v>
      </c>
      <c r="B284" t="str">
        <f t="shared" si="4"/>
        <v>201707</v>
      </c>
      <c r="C284" s="5">
        <v>-7.1606038781077963E-3</v>
      </c>
    </row>
    <row r="285" spans="1:3" x14ac:dyDescent="0.25">
      <c r="A285">
        <v>201708</v>
      </c>
      <c r="B285" t="str">
        <f t="shared" si="4"/>
        <v>201708</v>
      </c>
      <c r="C285" s="5">
        <v>9.5842278094848687E-4</v>
      </c>
    </row>
    <row r="286" spans="1:3" x14ac:dyDescent="0.25">
      <c r="A286">
        <v>201709</v>
      </c>
      <c r="B286" t="str">
        <f t="shared" si="4"/>
        <v>201709</v>
      </c>
      <c r="C286" s="5">
        <v>4.6819981284420553E-3</v>
      </c>
    </row>
    <row r="287" spans="1:3" x14ac:dyDescent="0.25">
      <c r="A287">
        <v>201710</v>
      </c>
      <c r="B287" t="str">
        <f t="shared" si="4"/>
        <v>201710</v>
      </c>
      <c r="C287" s="5">
        <v>1.9647822057460296E-3</v>
      </c>
    </row>
    <row r="288" spans="1:3" x14ac:dyDescent="0.25">
      <c r="A288">
        <v>201711</v>
      </c>
      <c r="B288" t="str">
        <f t="shared" si="4"/>
        <v>201711</v>
      </c>
      <c r="C288" s="5">
        <v>5.2430195846282501E-3</v>
      </c>
    </row>
    <row r="289" spans="1:3" x14ac:dyDescent="0.25">
      <c r="A289">
        <v>201712</v>
      </c>
      <c r="B289" t="str">
        <f t="shared" si="4"/>
        <v>201712</v>
      </c>
      <c r="C289" s="5">
        <v>8.8732396526156609E-3</v>
      </c>
    </row>
    <row r="290" spans="1:3" x14ac:dyDescent="0.25">
      <c r="A290">
        <v>201801</v>
      </c>
      <c r="B290" t="str">
        <f t="shared" si="4"/>
        <v>201801</v>
      </c>
      <c r="C290" s="5">
        <v>7.5502501295869884E-3</v>
      </c>
    </row>
    <row r="291" spans="1:3" x14ac:dyDescent="0.25">
      <c r="A291">
        <v>201802</v>
      </c>
      <c r="B291" t="str">
        <f t="shared" si="4"/>
        <v>201802</v>
      </c>
      <c r="C291" s="5">
        <v>7.3171541249128502E-4</v>
      </c>
    </row>
    <row r="292" spans="1:3" x14ac:dyDescent="0.25">
      <c r="A292">
        <v>201803</v>
      </c>
      <c r="B292" t="str">
        <f t="shared" si="4"/>
        <v>201803</v>
      </c>
      <c r="C292" s="5">
        <v>6.3514701248734706E-3</v>
      </c>
    </row>
    <row r="293" spans="1:3" x14ac:dyDescent="0.25">
      <c r="A293">
        <v>201804</v>
      </c>
      <c r="B293" t="str">
        <f t="shared" si="4"/>
        <v>201804</v>
      </c>
      <c r="C293" s="5">
        <v>5.6971734349626768E-3</v>
      </c>
    </row>
    <row r="294" spans="1:3" x14ac:dyDescent="0.25">
      <c r="A294">
        <v>201805</v>
      </c>
      <c r="B294" t="str">
        <f t="shared" si="4"/>
        <v>201805</v>
      </c>
      <c r="C294" s="5">
        <v>1.3781659310589278E-2</v>
      </c>
    </row>
    <row r="295" spans="1:3" x14ac:dyDescent="0.25">
      <c r="A295">
        <v>201806</v>
      </c>
      <c r="B295" t="str">
        <f t="shared" si="4"/>
        <v>201806</v>
      </c>
      <c r="C295" s="5">
        <v>1.8672336348902974E-2</v>
      </c>
    </row>
    <row r="296" spans="1:3" x14ac:dyDescent="0.25">
      <c r="A296">
        <v>201807</v>
      </c>
      <c r="B296" t="str">
        <f t="shared" si="4"/>
        <v>201807</v>
      </c>
      <c r="C296" s="5">
        <v>5.067165546158936E-3</v>
      </c>
    </row>
    <row r="297" spans="1:3" x14ac:dyDescent="0.25">
      <c r="A297">
        <v>201808</v>
      </c>
      <c r="B297" t="str">
        <f t="shared" si="4"/>
        <v>201808</v>
      </c>
      <c r="C297" s="5">
        <v>6.9991389207808563E-3</v>
      </c>
    </row>
    <row r="298" spans="1:3" x14ac:dyDescent="0.25">
      <c r="A298">
        <v>201809</v>
      </c>
      <c r="B298" t="str">
        <f t="shared" si="4"/>
        <v>201809</v>
      </c>
      <c r="C298" s="5">
        <v>1.5243480974864498E-2</v>
      </c>
    </row>
    <row r="299" spans="1:3" x14ac:dyDescent="0.25">
      <c r="A299">
        <v>201810</v>
      </c>
      <c r="B299" t="str">
        <f t="shared" si="4"/>
        <v>201810</v>
      </c>
      <c r="C299" s="5">
        <v>8.8591229594607857E-3</v>
      </c>
    </row>
    <row r="300" spans="1:3" x14ac:dyDescent="0.25">
      <c r="A300">
        <v>201811</v>
      </c>
      <c r="B300" t="str">
        <f t="shared" si="4"/>
        <v>201811</v>
      </c>
      <c r="C300" s="5">
        <v>-4.8950581896910483E-3</v>
      </c>
    </row>
    <row r="301" spans="1:3" x14ac:dyDescent="0.25">
      <c r="A301">
        <v>201812</v>
      </c>
      <c r="B301" t="str">
        <f t="shared" si="4"/>
        <v>201812</v>
      </c>
      <c r="C301" s="5">
        <v>-1.0801687999709153E-2</v>
      </c>
    </row>
    <row r="302" spans="1:3" x14ac:dyDescent="0.25">
      <c r="A302">
        <v>201901</v>
      </c>
      <c r="B302" t="str">
        <f t="shared" si="4"/>
        <v>201901</v>
      </c>
      <c r="C302" s="5">
        <v>6.6436635705269254E-5</v>
      </c>
    </row>
    <row r="303" spans="1:3" x14ac:dyDescent="0.25">
      <c r="A303">
        <v>201902</v>
      </c>
      <c r="B303" t="str">
        <f t="shared" si="4"/>
        <v>201902</v>
      </c>
      <c r="C303" s="5">
        <v>8.8467931611559969E-3</v>
      </c>
    </row>
    <row r="304" spans="1:3" x14ac:dyDescent="0.25">
      <c r="A304">
        <v>201903</v>
      </c>
      <c r="B304" t="str">
        <f t="shared" si="4"/>
        <v>201903</v>
      </c>
      <c r="C304" s="5">
        <v>1.2553467825433984E-2</v>
      </c>
    </row>
    <row r="305" spans="1:3" x14ac:dyDescent="0.25">
      <c r="A305">
        <v>201904</v>
      </c>
      <c r="B305" t="str">
        <f t="shared" si="4"/>
        <v>201904</v>
      </c>
      <c r="C305" s="5">
        <v>9.1862954143242526E-3</v>
      </c>
    </row>
    <row r="306" spans="1:3" x14ac:dyDescent="0.25">
      <c r="A306">
        <v>201905</v>
      </c>
      <c r="B306" t="str">
        <f t="shared" si="4"/>
        <v>201905</v>
      </c>
      <c r="C306" s="5">
        <v>4.4546758328694036E-3</v>
      </c>
    </row>
    <row r="307" spans="1:3" x14ac:dyDescent="0.25">
      <c r="A307">
        <v>201906</v>
      </c>
      <c r="B307" t="str">
        <f t="shared" si="4"/>
        <v>201906</v>
      </c>
      <c r="C307" s="5">
        <v>7.9525522287211547E-3</v>
      </c>
    </row>
    <row r="308" spans="1:3" x14ac:dyDescent="0.25">
      <c r="A308">
        <v>201907</v>
      </c>
      <c r="B308" t="str">
        <f t="shared" si="4"/>
        <v>201907</v>
      </c>
      <c r="C308" s="5">
        <v>3.9611549509019905E-3</v>
      </c>
    </row>
    <row r="309" spans="1:3" x14ac:dyDescent="0.25">
      <c r="A309">
        <v>201908</v>
      </c>
      <c r="B309" t="str">
        <f t="shared" si="4"/>
        <v>201908</v>
      </c>
      <c r="C309" s="5">
        <v>-6.6689508003010545E-3</v>
      </c>
    </row>
    <row r="310" spans="1:3" x14ac:dyDescent="0.25">
      <c r="A310">
        <v>201909</v>
      </c>
      <c r="B310" t="str">
        <f t="shared" si="4"/>
        <v>201909</v>
      </c>
      <c r="C310" s="5">
        <v>-5.4318157745480988E-5</v>
      </c>
    </row>
    <row r="311" spans="1:3" x14ac:dyDescent="0.25">
      <c r="A311">
        <v>201910</v>
      </c>
      <c r="B311" t="str">
        <f t="shared" si="4"/>
        <v>201910</v>
      </c>
      <c r="C311" s="5">
        <v>6.7507557424202336E-3</v>
      </c>
    </row>
    <row r="312" spans="1:3" x14ac:dyDescent="0.25">
      <c r="A312">
        <v>201911</v>
      </c>
      <c r="B312" t="str">
        <f t="shared" si="4"/>
        <v>201911</v>
      </c>
      <c r="C312" s="5">
        <v>3.0013502703913897E-3</v>
      </c>
    </row>
    <row r="313" spans="1:3" x14ac:dyDescent="0.25">
      <c r="A313">
        <v>201912</v>
      </c>
      <c r="B313" t="str">
        <f t="shared" si="4"/>
        <v>201912</v>
      </c>
      <c r="C313" s="5">
        <v>2.0918341272637697E-2</v>
      </c>
    </row>
    <row r="314" spans="1:3" x14ac:dyDescent="0.25">
      <c r="A314">
        <v>202001</v>
      </c>
      <c r="B314" t="str">
        <f t="shared" si="4"/>
        <v>202001</v>
      </c>
      <c r="C314" s="5">
        <v>4.7700471076732587E-3</v>
      </c>
    </row>
    <row r="315" spans="1:3" x14ac:dyDescent="0.25">
      <c r="A315">
        <v>202002</v>
      </c>
      <c r="B315" t="str">
        <f t="shared" si="4"/>
        <v>202002</v>
      </c>
      <c r="C315" s="5">
        <v>-4.0643318172928211E-4</v>
      </c>
    </row>
    <row r="316" spans="1:3" x14ac:dyDescent="0.25">
      <c r="A316">
        <v>202003</v>
      </c>
      <c r="B316" t="str">
        <f t="shared" si="4"/>
        <v>202003</v>
      </c>
      <c r="C316" s="5">
        <v>1.2440600559007198E-2</v>
      </c>
    </row>
    <row r="317" spans="1:3" x14ac:dyDescent="0.25">
      <c r="A317">
        <v>202004</v>
      </c>
      <c r="B317" t="str">
        <f t="shared" si="4"/>
        <v>202004</v>
      </c>
      <c r="C317" s="5">
        <v>8.0229768314359351E-3</v>
      </c>
    </row>
    <row r="318" spans="1:3" x14ac:dyDescent="0.25">
      <c r="A318">
        <v>202005</v>
      </c>
      <c r="B318" t="str">
        <f t="shared" si="4"/>
        <v>202005</v>
      </c>
      <c r="C318" s="5">
        <v>2.8004076591598981E-3</v>
      </c>
    </row>
    <row r="319" spans="1:3" x14ac:dyDescent="0.25">
      <c r="A319">
        <v>202006</v>
      </c>
      <c r="B319" t="str">
        <f t="shared" si="4"/>
        <v>202006</v>
      </c>
      <c r="C319" s="5">
        <v>1.5570051776285343E-2</v>
      </c>
    </row>
    <row r="320" spans="1:3" x14ac:dyDescent="0.25">
      <c r="A320">
        <v>202007</v>
      </c>
      <c r="B320" t="str">
        <f t="shared" si="4"/>
        <v>202007</v>
      </c>
      <c r="C320" s="5">
        <v>2.2278336608074767E-2</v>
      </c>
    </row>
    <row r="321" spans="1:3" x14ac:dyDescent="0.25">
      <c r="A321">
        <v>202008</v>
      </c>
      <c r="B321" t="str">
        <f t="shared" si="4"/>
        <v>202008</v>
      </c>
      <c r="C321" s="5">
        <v>2.7441632524074722E-2</v>
      </c>
    </row>
    <row r="322" spans="1:3" x14ac:dyDescent="0.25">
      <c r="A322">
        <v>202009</v>
      </c>
      <c r="B322" t="str">
        <f t="shared" ref="B322:B382" si="5">TEXT(A322,"000000")</f>
        <v>202009</v>
      </c>
      <c r="C322" s="5">
        <v>4.3407948692379072E-2</v>
      </c>
    </row>
    <row r="323" spans="1:3" x14ac:dyDescent="0.25">
      <c r="A323">
        <v>202010</v>
      </c>
      <c r="B323" t="str">
        <f t="shared" si="5"/>
        <v>202010</v>
      </c>
      <c r="C323" s="5">
        <v>3.2314190239532303E-2</v>
      </c>
    </row>
    <row r="324" spans="1:3" x14ac:dyDescent="0.25">
      <c r="A324">
        <v>202011</v>
      </c>
      <c r="B324" t="str">
        <f t="shared" si="5"/>
        <v>202011</v>
      </c>
      <c r="C324" s="5">
        <v>3.2773938795656488E-2</v>
      </c>
    </row>
    <row r="325" spans="1:3" x14ac:dyDescent="0.25">
      <c r="A325">
        <v>202012</v>
      </c>
      <c r="B325" t="str">
        <f t="shared" si="5"/>
        <v>202012</v>
      </c>
      <c r="C325" s="5">
        <v>9.5810827887206074E-3</v>
      </c>
    </row>
    <row r="326" spans="1:3" x14ac:dyDescent="0.25">
      <c r="A326">
        <v>202101</v>
      </c>
      <c r="B326" t="str">
        <f t="shared" si="5"/>
        <v>202101</v>
      </c>
      <c r="C326" s="5">
        <v>2.5767096938458911E-2</v>
      </c>
    </row>
    <row r="327" spans="1:3" x14ac:dyDescent="0.25">
      <c r="A327">
        <v>202102</v>
      </c>
      <c r="B327" t="str">
        <f t="shared" si="5"/>
        <v>202102</v>
      </c>
      <c r="C327" s="5">
        <v>2.525854049250964E-2</v>
      </c>
    </row>
    <row r="328" spans="1:3" x14ac:dyDescent="0.25">
      <c r="A328">
        <v>202103</v>
      </c>
      <c r="B328" t="str">
        <f t="shared" si="5"/>
        <v>202103</v>
      </c>
      <c r="C328" s="5">
        <v>2.9382654010984055E-2</v>
      </c>
    </row>
    <row r="329" spans="1:3" x14ac:dyDescent="0.25">
      <c r="A329">
        <v>202104</v>
      </c>
      <c r="B329" t="str">
        <f t="shared" si="5"/>
        <v>202104</v>
      </c>
      <c r="C329" s="5">
        <v>1.5082790815338365E-2</v>
      </c>
    </row>
    <row r="330" spans="1:3" x14ac:dyDescent="0.25">
      <c r="A330">
        <v>202105</v>
      </c>
      <c r="B330" t="str">
        <f t="shared" si="5"/>
        <v>202105</v>
      </c>
      <c r="C330" s="5">
        <v>4.0963346381609922E-2</v>
      </c>
    </row>
    <row r="331" spans="1:3" x14ac:dyDescent="0.25">
      <c r="A331">
        <v>202106</v>
      </c>
      <c r="B331" t="str">
        <f t="shared" si="5"/>
        <v>202106</v>
      </c>
      <c r="C331" s="5">
        <v>6.0264343877098892E-3</v>
      </c>
    </row>
    <row r="332" spans="1:3" x14ac:dyDescent="0.25">
      <c r="A332">
        <v>202107</v>
      </c>
      <c r="B332" t="str">
        <f t="shared" si="5"/>
        <v>202107</v>
      </c>
      <c r="C332" s="5">
        <v>7.7733043422485437E-3</v>
      </c>
    </row>
    <row r="333" spans="1:3" x14ac:dyDescent="0.25">
      <c r="A333">
        <v>202108</v>
      </c>
      <c r="B333" t="str">
        <f t="shared" si="5"/>
        <v>202108</v>
      </c>
      <c r="C333" s="5">
        <v>6.6368722298322247E-3</v>
      </c>
    </row>
    <row r="334" spans="1:3" x14ac:dyDescent="0.25">
      <c r="A334">
        <v>202109</v>
      </c>
      <c r="B334" t="str">
        <f t="shared" si="5"/>
        <v>202109</v>
      </c>
      <c r="C334" s="5">
        <v>-6.3942673349889345E-3</v>
      </c>
    </row>
    <row r="335" spans="1:3" x14ac:dyDescent="0.25">
      <c r="A335">
        <v>202110</v>
      </c>
      <c r="B335" t="str">
        <f t="shared" si="5"/>
        <v>202110</v>
      </c>
      <c r="C335" s="5">
        <v>6.4289614059422906E-3</v>
      </c>
    </row>
    <row r="336" spans="1:3" x14ac:dyDescent="0.25">
      <c r="A336">
        <v>202111</v>
      </c>
      <c r="B336" t="str">
        <f t="shared" si="5"/>
        <v>202111</v>
      </c>
      <c r="C336" s="5">
        <v>1.8327051736344302E-4</v>
      </c>
    </row>
    <row r="337" spans="1:3" x14ac:dyDescent="0.25">
      <c r="A337">
        <v>202112</v>
      </c>
      <c r="B337" t="str">
        <f t="shared" si="5"/>
        <v>202112</v>
      </c>
      <c r="C337" s="5">
        <v>8.7083353565746702E-3</v>
      </c>
    </row>
    <row r="338" spans="1:3" x14ac:dyDescent="0.25">
      <c r="A338">
        <v>202201</v>
      </c>
      <c r="B338" t="str">
        <f t="shared" si="5"/>
        <v>202201</v>
      </c>
      <c r="C338" s="5">
        <v>1.8175493284213751E-2</v>
      </c>
    </row>
    <row r="339" spans="1:3" x14ac:dyDescent="0.25">
      <c r="A339">
        <v>202202</v>
      </c>
      <c r="B339" t="str">
        <f t="shared" si="5"/>
        <v>202202</v>
      </c>
      <c r="C339" s="5">
        <v>1.8329186734332481E-2</v>
      </c>
    </row>
    <row r="340" spans="1:3" x14ac:dyDescent="0.25">
      <c r="A340">
        <v>202203</v>
      </c>
      <c r="B340" t="str">
        <f t="shared" si="5"/>
        <v>202203</v>
      </c>
      <c r="C340" s="5">
        <v>1.7407971295068103E-2</v>
      </c>
    </row>
    <row r="341" spans="1:3" x14ac:dyDescent="0.25">
      <c r="A341">
        <v>202204</v>
      </c>
      <c r="B341" t="str">
        <f t="shared" si="5"/>
        <v>202204</v>
      </c>
      <c r="C341" s="5">
        <v>1.4112920585009014E-2</v>
      </c>
    </row>
    <row r="342" spans="1:3" x14ac:dyDescent="0.25">
      <c r="A342">
        <v>202205</v>
      </c>
      <c r="B342" t="str">
        <f t="shared" si="5"/>
        <v>202205</v>
      </c>
      <c r="C342" s="5">
        <v>5.2164654880375583E-3</v>
      </c>
    </row>
    <row r="343" spans="1:3" x14ac:dyDescent="0.25">
      <c r="A343">
        <v>202206</v>
      </c>
      <c r="B343" t="str">
        <f t="shared" si="5"/>
        <v>202206</v>
      </c>
      <c r="C343" s="5">
        <v>5.8524282636220892E-3</v>
      </c>
    </row>
    <row r="344" spans="1:3" x14ac:dyDescent="0.25">
      <c r="A344">
        <v>202207</v>
      </c>
      <c r="B344" t="str">
        <f t="shared" si="5"/>
        <v>202207</v>
      </c>
      <c r="C344" s="5">
        <v>2.0614972768082662E-3</v>
      </c>
    </row>
    <row r="345" spans="1:3" x14ac:dyDescent="0.25">
      <c r="A345">
        <v>202208</v>
      </c>
      <c r="B345" t="str">
        <f t="shared" si="5"/>
        <v>202208</v>
      </c>
      <c r="C345" s="5">
        <v>-6.98293943789563E-3</v>
      </c>
    </row>
    <row r="346" spans="1:3" x14ac:dyDescent="0.25">
      <c r="A346">
        <v>202209</v>
      </c>
      <c r="B346" t="str">
        <f t="shared" si="5"/>
        <v>202209</v>
      </c>
      <c r="C346" s="5">
        <v>-9.4607275587255124E-3</v>
      </c>
    </row>
    <row r="347" spans="1:3" x14ac:dyDescent="0.25">
      <c r="A347">
        <v>202210</v>
      </c>
      <c r="B347" t="str">
        <f t="shared" si="5"/>
        <v>202210</v>
      </c>
      <c r="C347" s="5">
        <v>-9.7138081416398014E-3</v>
      </c>
    </row>
    <row r="348" spans="1:3" x14ac:dyDescent="0.25">
      <c r="A348">
        <v>202211</v>
      </c>
      <c r="B348" t="str">
        <f t="shared" si="5"/>
        <v>202211</v>
      </c>
      <c r="C348" s="5">
        <v>-5.6452605018449953E-3</v>
      </c>
    </row>
    <row r="349" spans="1:3" x14ac:dyDescent="0.25">
      <c r="A349">
        <v>202212</v>
      </c>
      <c r="B349" t="str">
        <f t="shared" si="5"/>
        <v>202212</v>
      </c>
      <c r="C349" s="5">
        <v>4.479036258823843E-3</v>
      </c>
    </row>
    <row r="350" spans="1:3" x14ac:dyDescent="0.25">
      <c r="A350">
        <v>202301</v>
      </c>
      <c r="B350" t="str">
        <f t="shared" si="5"/>
        <v>202301</v>
      </c>
      <c r="C350" s="5">
        <v>2.1179907769639517E-3</v>
      </c>
    </row>
    <row r="351" spans="1:3" x14ac:dyDescent="0.25">
      <c r="A351">
        <v>202302</v>
      </c>
      <c r="B351" t="str">
        <f t="shared" si="5"/>
        <v>202302</v>
      </c>
      <c r="C351" s="5">
        <v>-6.050891088257293E-4</v>
      </c>
    </row>
    <row r="352" spans="1:3" x14ac:dyDescent="0.25">
      <c r="A352">
        <v>202303</v>
      </c>
      <c r="B352" t="str">
        <f t="shared" si="5"/>
        <v>202303</v>
      </c>
      <c r="C352" s="5">
        <v>5.1429313504658403E-4</v>
      </c>
    </row>
    <row r="353" spans="1:3" x14ac:dyDescent="0.25">
      <c r="A353">
        <v>202304</v>
      </c>
      <c r="B353" t="str">
        <f t="shared" si="5"/>
        <v>202304</v>
      </c>
      <c r="C353" s="5">
        <v>-9.500076932399959E-3</v>
      </c>
    </row>
    <row r="354" spans="1:3" x14ac:dyDescent="0.25">
      <c r="A354">
        <v>202305</v>
      </c>
      <c r="B354" t="str">
        <f t="shared" si="5"/>
        <v>202305</v>
      </c>
      <c r="C354" s="5">
        <v>-1.8440398261921565E-2</v>
      </c>
    </row>
    <row r="355" spans="1:3" x14ac:dyDescent="0.25">
      <c r="A355">
        <v>202306</v>
      </c>
      <c r="B355" t="str">
        <f t="shared" si="5"/>
        <v>202306</v>
      </c>
      <c r="C355" s="5">
        <v>-1.9298745068776268E-2</v>
      </c>
    </row>
    <row r="356" spans="1:3" x14ac:dyDescent="0.25">
      <c r="A356">
        <v>202307</v>
      </c>
      <c r="B356" t="str">
        <f t="shared" si="5"/>
        <v>202307</v>
      </c>
      <c r="C356" s="5">
        <v>-7.2356499553745124E-3</v>
      </c>
    </row>
    <row r="357" spans="1:3" x14ac:dyDescent="0.25">
      <c r="A357">
        <v>202308</v>
      </c>
      <c r="B357" t="str">
        <f t="shared" si="5"/>
        <v>202308</v>
      </c>
      <c r="C357" s="5">
        <v>-1.3566968518093914E-3</v>
      </c>
    </row>
    <row r="358" spans="1:3" x14ac:dyDescent="0.25">
      <c r="A358">
        <v>202309</v>
      </c>
      <c r="B358" t="str">
        <f t="shared" si="5"/>
        <v>202309</v>
      </c>
      <c r="C358" s="5">
        <v>3.6646024861100024E-3</v>
      </c>
    </row>
    <row r="359" spans="1:3" x14ac:dyDescent="0.25">
      <c r="A359">
        <v>202310</v>
      </c>
      <c r="B359" t="str">
        <f t="shared" si="5"/>
        <v>202310</v>
      </c>
      <c r="C359" s="5">
        <v>4.9794335622521668E-3</v>
      </c>
    </row>
    <row r="360" spans="1:3" x14ac:dyDescent="0.25">
      <c r="A360">
        <v>202311</v>
      </c>
      <c r="B360" t="str">
        <f t="shared" si="5"/>
        <v>202311</v>
      </c>
      <c r="C360" s="5">
        <v>5.9311093401224202E-3</v>
      </c>
    </row>
    <row r="361" spans="1:3" x14ac:dyDescent="0.25">
      <c r="A361">
        <v>202312</v>
      </c>
      <c r="B361" t="str">
        <f t="shared" si="5"/>
        <v>202312</v>
      </c>
      <c r="C361" s="5">
        <v>7.3999722176165683E-3</v>
      </c>
    </row>
    <row r="362" spans="1:3" x14ac:dyDescent="0.25">
      <c r="A362">
        <v>202401</v>
      </c>
      <c r="B362" t="str">
        <f t="shared" si="5"/>
        <v>202401</v>
      </c>
      <c r="C362" s="5">
        <v>7.1792554213612192E-4</v>
      </c>
    </row>
    <row r="363" spans="1:3" x14ac:dyDescent="0.25">
      <c r="A363">
        <v>202402</v>
      </c>
      <c r="B363" t="str">
        <f t="shared" si="5"/>
        <v>202402</v>
      </c>
      <c r="C363" s="5">
        <v>-5.1721118449183923E-3</v>
      </c>
    </row>
    <row r="364" spans="1:3" x14ac:dyDescent="0.25">
      <c r="A364">
        <v>202403</v>
      </c>
      <c r="B364" t="str">
        <f t="shared" si="5"/>
        <v>202403</v>
      </c>
      <c r="C364" s="5">
        <v>-4.6681994994016707E-3</v>
      </c>
    </row>
    <row r="365" spans="1:3" x14ac:dyDescent="0.25">
      <c r="A365">
        <v>202404</v>
      </c>
      <c r="B365" t="str">
        <f t="shared" si="5"/>
        <v>202404</v>
      </c>
      <c r="C365" s="5">
        <v>3.0911165637341753E-3</v>
      </c>
    </row>
    <row r="366" spans="1:3" x14ac:dyDescent="0.25">
      <c r="A366">
        <v>202405</v>
      </c>
      <c r="B366" t="str">
        <f t="shared" si="5"/>
        <v>202405</v>
      </c>
      <c r="C366" s="5">
        <v>8.908241443505549E-3</v>
      </c>
    </row>
    <row r="367" spans="1:3" x14ac:dyDescent="0.25">
      <c r="A367">
        <v>202406</v>
      </c>
      <c r="B367" t="str">
        <f t="shared" si="5"/>
        <v>202406</v>
      </c>
      <c r="C367" s="5">
        <v>8.1402868794651084E-3</v>
      </c>
    </row>
    <row r="368" spans="1:3" x14ac:dyDescent="0.25">
      <c r="A368">
        <v>202407</v>
      </c>
      <c r="B368" t="str">
        <f t="shared" si="5"/>
        <v>202407</v>
      </c>
      <c r="C368" s="5">
        <v>6.0752774749230909E-3</v>
      </c>
    </row>
    <row r="369" spans="1:3" x14ac:dyDescent="0.25">
      <c r="A369">
        <v>202408</v>
      </c>
      <c r="B369" t="str">
        <f t="shared" si="5"/>
        <v>202408</v>
      </c>
      <c r="C369" s="5">
        <v>2.8531119649648495E-3</v>
      </c>
    </row>
    <row r="370" spans="1:3" x14ac:dyDescent="0.25">
      <c r="A370">
        <v>202409</v>
      </c>
      <c r="B370" t="str">
        <f t="shared" si="5"/>
        <v>202409</v>
      </c>
      <c r="C370" s="5">
        <v>6.2298584915945199E-3</v>
      </c>
    </row>
    <row r="371" spans="1:3" x14ac:dyDescent="0.25">
      <c r="A371">
        <v>202410</v>
      </c>
      <c r="B371" t="str">
        <f t="shared" si="5"/>
        <v>202410</v>
      </c>
      <c r="C371" s="5">
        <v>1.5215156563388899E-2</v>
      </c>
    </row>
    <row r="372" spans="1:3" x14ac:dyDescent="0.25">
      <c r="A372">
        <v>202411</v>
      </c>
      <c r="B372" t="str">
        <f t="shared" si="5"/>
        <v>202411</v>
      </c>
      <c r="C372" s="5">
        <v>1.296880656243804E-2</v>
      </c>
    </row>
    <row r="373" spans="1:3" x14ac:dyDescent="0.25">
      <c r="A373">
        <v>202412</v>
      </c>
      <c r="B373" t="str">
        <f t="shared" si="5"/>
        <v>202412</v>
      </c>
      <c r="C373" s="5">
        <v>9.3555461531846795E-3</v>
      </c>
    </row>
    <row r="374" spans="1:3" x14ac:dyDescent="0.25">
      <c r="A374">
        <v>202501</v>
      </c>
      <c r="B374" t="str">
        <f t="shared" si="5"/>
        <v>202501</v>
      </c>
      <c r="C374" s="5">
        <v>2.7000000000000001E-3</v>
      </c>
    </row>
    <row r="375" spans="1:3" x14ac:dyDescent="0.25">
      <c r="A375">
        <v>202502</v>
      </c>
      <c r="B375" t="str">
        <f t="shared" si="5"/>
        <v>202502</v>
      </c>
      <c r="C375" s="5">
        <v>1.06E-2</v>
      </c>
    </row>
    <row r="376" spans="1:3" x14ac:dyDescent="0.25">
      <c r="A376">
        <v>202503</v>
      </c>
      <c r="B376" t="str">
        <f t="shared" si="5"/>
        <v>202503</v>
      </c>
      <c r="C376" s="6">
        <v>-3.3999999999999998E-3</v>
      </c>
    </row>
    <row r="377" spans="1:3" x14ac:dyDescent="0.25">
      <c r="A377">
        <v>202504</v>
      </c>
      <c r="B377" t="str">
        <f t="shared" si="5"/>
        <v>202504</v>
      </c>
      <c r="C377" s="6">
        <v>2.3999999999999998E-3</v>
      </c>
    </row>
    <row r="378" spans="1:3" x14ac:dyDescent="0.25">
      <c r="A378">
        <v>202505</v>
      </c>
      <c r="B378" t="str">
        <f t="shared" si="5"/>
        <v>202505</v>
      </c>
      <c r="C378" s="6">
        <v>-4.8999999999999998E-3</v>
      </c>
    </row>
    <row r="379" spans="1:3" x14ac:dyDescent="0.25">
      <c r="A379">
        <v>202506</v>
      </c>
      <c r="B379" t="str">
        <f t="shared" si="5"/>
        <v>202506</v>
      </c>
      <c r="C379" s="6">
        <v>-1.67E-2</v>
      </c>
    </row>
    <row r="380" spans="1:3" x14ac:dyDescent="0.25">
      <c r="A380">
        <v>202507</v>
      </c>
      <c r="B380" t="str">
        <f t="shared" si="5"/>
        <v>202507</v>
      </c>
      <c r="C380" s="6">
        <v>-7.7000000000000002E-3</v>
      </c>
    </row>
    <row r="381" spans="1:3" x14ac:dyDescent="0.25">
      <c r="A381">
        <v>202508</v>
      </c>
      <c r="B381" t="str">
        <f t="shared" si="5"/>
        <v>202508</v>
      </c>
      <c r="C381" s="6">
        <v>3.3E-3</v>
      </c>
    </row>
    <row r="382" spans="1:3" x14ac:dyDescent="0.25">
      <c r="A382">
        <v>202509</v>
      </c>
      <c r="B382" t="str">
        <f t="shared" si="5"/>
        <v>202509</v>
      </c>
      <c r="C382" s="6">
        <v>5.1000000000000004E-3</v>
      </c>
    </row>
  </sheetData>
  <autoFilter ref="A1:C374" xr:uid="{FDB6AACC-5C12-4815-8914-F2689D4A9F8F}">
    <sortState xmlns:xlrd2="http://schemas.microsoft.com/office/spreadsheetml/2017/richdata2" ref="A2:C374">
      <sortCondition ref="A1:A374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09B5-B28F-494E-9B6C-E7E43912911E}">
  <dimension ref="A1:C550"/>
  <sheetViews>
    <sheetView topLeftCell="A541" workbookViewId="0">
      <selection activeCell="E546" sqref="E546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14</v>
      </c>
      <c r="B1" t="s">
        <v>18</v>
      </c>
      <c r="C1" t="s">
        <v>19</v>
      </c>
    </row>
    <row r="2" spans="1:3" x14ac:dyDescent="0.25">
      <c r="A2" s="1">
        <v>45103</v>
      </c>
      <c r="B2" s="6">
        <v>0.13750000000000001</v>
      </c>
      <c r="C2" s="6">
        <f>B2-0.1%</f>
        <v>0.13650000000000001</v>
      </c>
    </row>
    <row r="3" spans="1:3" x14ac:dyDescent="0.25">
      <c r="A3" s="1">
        <v>45104</v>
      </c>
      <c r="B3" s="6">
        <v>0.13750000000000001</v>
      </c>
      <c r="C3" s="6">
        <f t="shared" ref="C3:C66" si="0">B3-0.1%</f>
        <v>0.13650000000000001</v>
      </c>
    </row>
    <row r="4" spans="1:3" x14ac:dyDescent="0.25">
      <c r="A4" s="1">
        <v>45105</v>
      </c>
      <c r="B4" s="6">
        <v>0.13750000000000001</v>
      </c>
      <c r="C4" s="6">
        <f t="shared" si="0"/>
        <v>0.13650000000000001</v>
      </c>
    </row>
    <row r="5" spans="1:3" x14ac:dyDescent="0.25">
      <c r="A5" s="1">
        <v>45106</v>
      </c>
      <c r="B5" s="6">
        <v>0.13750000000000001</v>
      </c>
      <c r="C5" s="6">
        <f t="shared" si="0"/>
        <v>0.13650000000000001</v>
      </c>
    </row>
    <row r="6" spans="1:3" x14ac:dyDescent="0.25">
      <c r="A6" s="1">
        <v>45107</v>
      </c>
      <c r="B6" s="6">
        <v>0.13750000000000001</v>
      </c>
      <c r="C6" s="6">
        <f t="shared" si="0"/>
        <v>0.13650000000000001</v>
      </c>
    </row>
    <row r="7" spans="1:3" x14ac:dyDescent="0.25">
      <c r="A7" s="1">
        <v>45110</v>
      </c>
      <c r="B7" s="6">
        <v>0.13750000000000001</v>
      </c>
      <c r="C7" s="6">
        <f t="shared" si="0"/>
        <v>0.13650000000000001</v>
      </c>
    </row>
    <row r="8" spans="1:3" x14ac:dyDescent="0.25">
      <c r="A8" s="1">
        <v>45111</v>
      </c>
      <c r="B8" s="6">
        <v>0.13750000000000001</v>
      </c>
      <c r="C8" s="6">
        <f t="shared" si="0"/>
        <v>0.13650000000000001</v>
      </c>
    </row>
    <row r="9" spans="1:3" x14ac:dyDescent="0.25">
      <c r="A9" s="1">
        <v>45112</v>
      </c>
      <c r="B9" s="6">
        <v>0.13750000000000001</v>
      </c>
      <c r="C9" s="6">
        <f t="shared" si="0"/>
        <v>0.13650000000000001</v>
      </c>
    </row>
    <row r="10" spans="1:3" x14ac:dyDescent="0.25">
      <c r="A10" s="1">
        <v>45113</v>
      </c>
      <c r="B10" s="6">
        <v>0.13750000000000001</v>
      </c>
      <c r="C10" s="6">
        <f t="shared" si="0"/>
        <v>0.13650000000000001</v>
      </c>
    </row>
    <row r="11" spans="1:3" x14ac:dyDescent="0.25">
      <c r="A11" s="1">
        <v>45114</v>
      </c>
      <c r="B11" s="6">
        <v>0.13750000000000001</v>
      </c>
      <c r="C11" s="6">
        <f t="shared" si="0"/>
        <v>0.13650000000000001</v>
      </c>
    </row>
    <row r="12" spans="1:3" x14ac:dyDescent="0.25">
      <c r="A12" s="1">
        <v>45117</v>
      </c>
      <c r="B12" s="6">
        <v>0.13750000000000001</v>
      </c>
      <c r="C12" s="6">
        <f t="shared" si="0"/>
        <v>0.13650000000000001</v>
      </c>
    </row>
    <row r="13" spans="1:3" x14ac:dyDescent="0.25">
      <c r="A13" s="1">
        <v>45118</v>
      </c>
      <c r="B13" s="6">
        <v>0.13750000000000001</v>
      </c>
      <c r="C13" s="6">
        <f t="shared" si="0"/>
        <v>0.13650000000000001</v>
      </c>
    </row>
    <row r="14" spans="1:3" x14ac:dyDescent="0.25">
      <c r="A14" s="1">
        <v>45119</v>
      </c>
      <c r="B14" s="6">
        <v>0.13750000000000001</v>
      </c>
      <c r="C14" s="6">
        <f t="shared" si="0"/>
        <v>0.13650000000000001</v>
      </c>
    </row>
    <row r="15" spans="1:3" x14ac:dyDescent="0.25">
      <c r="A15" s="1">
        <v>45120</v>
      </c>
      <c r="B15" s="6">
        <v>0.13750000000000001</v>
      </c>
      <c r="C15" s="6">
        <f t="shared" si="0"/>
        <v>0.13650000000000001</v>
      </c>
    </row>
    <row r="16" spans="1:3" x14ac:dyDescent="0.25">
      <c r="A16" s="1">
        <v>45121</v>
      </c>
      <c r="B16" s="6">
        <v>0.13750000000000001</v>
      </c>
      <c r="C16" s="6">
        <f t="shared" si="0"/>
        <v>0.13650000000000001</v>
      </c>
    </row>
    <row r="17" spans="1:3" x14ac:dyDescent="0.25">
      <c r="A17" s="1">
        <v>45124</v>
      </c>
      <c r="B17" s="6">
        <v>0.13750000000000001</v>
      </c>
      <c r="C17" s="6">
        <f t="shared" si="0"/>
        <v>0.13650000000000001</v>
      </c>
    </row>
    <row r="18" spans="1:3" x14ac:dyDescent="0.25">
      <c r="A18" s="1">
        <v>45125</v>
      </c>
      <c r="B18" s="6">
        <v>0.13750000000000001</v>
      </c>
      <c r="C18" s="6">
        <f t="shared" si="0"/>
        <v>0.13650000000000001</v>
      </c>
    </row>
    <row r="19" spans="1:3" x14ac:dyDescent="0.25">
      <c r="A19" s="1">
        <v>45126</v>
      </c>
      <c r="B19" s="6">
        <v>0.13750000000000001</v>
      </c>
      <c r="C19" s="6">
        <f t="shared" si="0"/>
        <v>0.13650000000000001</v>
      </c>
    </row>
    <row r="20" spans="1:3" x14ac:dyDescent="0.25">
      <c r="A20" s="1">
        <v>45127</v>
      </c>
      <c r="B20" s="6">
        <v>0.13750000000000001</v>
      </c>
      <c r="C20" s="6">
        <f t="shared" si="0"/>
        <v>0.13650000000000001</v>
      </c>
    </row>
    <row r="21" spans="1:3" x14ac:dyDescent="0.25">
      <c r="A21" s="1">
        <v>45128</v>
      </c>
      <c r="B21" s="6">
        <v>0.13750000000000001</v>
      </c>
      <c r="C21" s="6">
        <f t="shared" si="0"/>
        <v>0.13650000000000001</v>
      </c>
    </row>
    <row r="22" spans="1:3" x14ac:dyDescent="0.25">
      <c r="A22" s="1">
        <v>45131</v>
      </c>
      <c r="B22" s="6">
        <v>0.13750000000000001</v>
      </c>
      <c r="C22" s="6">
        <f t="shared" si="0"/>
        <v>0.13650000000000001</v>
      </c>
    </row>
    <row r="23" spans="1:3" x14ac:dyDescent="0.25">
      <c r="A23" s="1">
        <v>45132</v>
      </c>
      <c r="B23" s="6">
        <v>0.13750000000000001</v>
      </c>
      <c r="C23" s="6">
        <f t="shared" si="0"/>
        <v>0.13650000000000001</v>
      </c>
    </row>
    <row r="24" spans="1:3" x14ac:dyDescent="0.25">
      <c r="A24" s="1">
        <v>45133</v>
      </c>
      <c r="B24" s="6">
        <v>0.13750000000000001</v>
      </c>
      <c r="C24" s="6">
        <f t="shared" si="0"/>
        <v>0.13650000000000001</v>
      </c>
    </row>
    <row r="25" spans="1:3" x14ac:dyDescent="0.25">
      <c r="A25" s="1">
        <v>45134</v>
      </c>
      <c r="B25" s="6">
        <v>0.13750000000000001</v>
      </c>
      <c r="C25" s="6">
        <f t="shared" si="0"/>
        <v>0.13650000000000001</v>
      </c>
    </row>
    <row r="26" spans="1:3" x14ac:dyDescent="0.25">
      <c r="A26" s="1">
        <v>45135</v>
      </c>
      <c r="B26" s="6">
        <v>0.13750000000000001</v>
      </c>
      <c r="C26" s="6">
        <f t="shared" si="0"/>
        <v>0.13650000000000001</v>
      </c>
    </row>
    <row r="27" spans="1:3" x14ac:dyDescent="0.25">
      <c r="A27" s="1">
        <v>45138</v>
      </c>
      <c r="B27" s="6">
        <v>0.13750000000000001</v>
      </c>
      <c r="C27" s="6">
        <f t="shared" si="0"/>
        <v>0.13650000000000001</v>
      </c>
    </row>
    <row r="28" spans="1:3" x14ac:dyDescent="0.25">
      <c r="A28" s="1">
        <v>45139</v>
      </c>
      <c r="B28" s="6">
        <v>0.13750000000000001</v>
      </c>
      <c r="C28" s="6">
        <f t="shared" si="0"/>
        <v>0.13650000000000001</v>
      </c>
    </row>
    <row r="29" spans="1:3" x14ac:dyDescent="0.25">
      <c r="A29" s="1">
        <v>45140</v>
      </c>
      <c r="B29" s="6">
        <v>0.13250000000000001</v>
      </c>
      <c r="C29" s="6">
        <f t="shared" si="0"/>
        <v>0.13150000000000001</v>
      </c>
    </row>
    <row r="30" spans="1:3" x14ac:dyDescent="0.25">
      <c r="A30" s="1">
        <v>45141</v>
      </c>
      <c r="B30" s="6">
        <v>0.13250000000000001</v>
      </c>
      <c r="C30" s="6">
        <f t="shared" si="0"/>
        <v>0.13150000000000001</v>
      </c>
    </row>
    <row r="31" spans="1:3" x14ac:dyDescent="0.25">
      <c r="A31" s="1">
        <v>45142</v>
      </c>
      <c r="B31" s="6">
        <v>0.13250000000000001</v>
      </c>
      <c r="C31" s="6">
        <f t="shared" si="0"/>
        <v>0.13150000000000001</v>
      </c>
    </row>
    <row r="32" spans="1:3" x14ac:dyDescent="0.25">
      <c r="A32" s="1">
        <v>45145</v>
      </c>
      <c r="B32" s="6">
        <v>0.13250000000000001</v>
      </c>
      <c r="C32" s="6">
        <f t="shared" si="0"/>
        <v>0.13150000000000001</v>
      </c>
    </row>
    <row r="33" spans="1:3" x14ac:dyDescent="0.25">
      <c r="A33" s="1">
        <v>45146</v>
      </c>
      <c r="B33" s="6">
        <v>0.13250000000000001</v>
      </c>
      <c r="C33" s="6">
        <f t="shared" si="0"/>
        <v>0.13150000000000001</v>
      </c>
    </row>
    <row r="34" spans="1:3" x14ac:dyDescent="0.25">
      <c r="A34" s="1">
        <v>45147</v>
      </c>
      <c r="B34" s="6">
        <v>0.13250000000000001</v>
      </c>
      <c r="C34" s="6">
        <f t="shared" si="0"/>
        <v>0.13150000000000001</v>
      </c>
    </row>
    <row r="35" spans="1:3" x14ac:dyDescent="0.25">
      <c r="A35" s="1">
        <v>45148</v>
      </c>
      <c r="B35" s="6">
        <v>0.13250000000000001</v>
      </c>
      <c r="C35" s="6">
        <f t="shared" si="0"/>
        <v>0.13150000000000001</v>
      </c>
    </row>
    <row r="36" spans="1:3" x14ac:dyDescent="0.25">
      <c r="A36" s="1">
        <v>45149</v>
      </c>
      <c r="B36" s="6">
        <v>0.13250000000000001</v>
      </c>
      <c r="C36" s="6">
        <f t="shared" si="0"/>
        <v>0.13150000000000001</v>
      </c>
    </row>
    <row r="37" spans="1:3" x14ac:dyDescent="0.25">
      <c r="A37" s="1">
        <v>45152</v>
      </c>
      <c r="B37" s="6">
        <v>0.13250000000000001</v>
      </c>
      <c r="C37" s="6">
        <f t="shared" si="0"/>
        <v>0.13150000000000001</v>
      </c>
    </row>
    <row r="38" spans="1:3" x14ac:dyDescent="0.25">
      <c r="A38" s="1">
        <v>45153</v>
      </c>
      <c r="B38" s="6">
        <v>0.13250000000000001</v>
      </c>
      <c r="C38" s="6">
        <f t="shared" si="0"/>
        <v>0.13150000000000001</v>
      </c>
    </row>
    <row r="39" spans="1:3" x14ac:dyDescent="0.25">
      <c r="A39" s="1">
        <v>45154</v>
      </c>
      <c r="B39" s="6">
        <v>0.13250000000000001</v>
      </c>
      <c r="C39" s="6">
        <f t="shared" si="0"/>
        <v>0.13150000000000001</v>
      </c>
    </row>
    <row r="40" spans="1:3" x14ac:dyDescent="0.25">
      <c r="A40" s="1">
        <v>45155</v>
      </c>
      <c r="B40" s="6">
        <v>0.13250000000000001</v>
      </c>
      <c r="C40" s="6">
        <f t="shared" si="0"/>
        <v>0.13150000000000001</v>
      </c>
    </row>
    <row r="41" spans="1:3" x14ac:dyDescent="0.25">
      <c r="A41" s="1">
        <v>45156</v>
      </c>
      <c r="B41" s="6">
        <v>0.13250000000000001</v>
      </c>
      <c r="C41" s="6">
        <f t="shared" si="0"/>
        <v>0.13150000000000001</v>
      </c>
    </row>
    <row r="42" spans="1:3" x14ac:dyDescent="0.25">
      <c r="A42" s="1">
        <v>45159</v>
      </c>
      <c r="B42" s="6">
        <v>0.13250000000000001</v>
      </c>
      <c r="C42" s="6">
        <f t="shared" si="0"/>
        <v>0.13150000000000001</v>
      </c>
    </row>
    <row r="43" spans="1:3" x14ac:dyDescent="0.25">
      <c r="A43" s="1">
        <v>45160</v>
      </c>
      <c r="B43" s="6">
        <v>0.13250000000000001</v>
      </c>
      <c r="C43" s="6">
        <f t="shared" si="0"/>
        <v>0.13150000000000001</v>
      </c>
    </row>
    <row r="44" spans="1:3" x14ac:dyDescent="0.25">
      <c r="A44" s="1">
        <v>45161</v>
      </c>
      <c r="B44" s="6">
        <v>0.13250000000000001</v>
      </c>
      <c r="C44" s="6">
        <f t="shared" si="0"/>
        <v>0.13150000000000001</v>
      </c>
    </row>
    <row r="45" spans="1:3" x14ac:dyDescent="0.25">
      <c r="A45" s="1">
        <v>45162</v>
      </c>
      <c r="B45" s="6">
        <v>0.13250000000000001</v>
      </c>
      <c r="C45" s="6">
        <f t="shared" si="0"/>
        <v>0.13150000000000001</v>
      </c>
    </row>
    <row r="46" spans="1:3" x14ac:dyDescent="0.25">
      <c r="A46" s="1">
        <v>45163</v>
      </c>
      <c r="B46" s="6">
        <v>0.13250000000000001</v>
      </c>
      <c r="C46" s="6">
        <f t="shared" si="0"/>
        <v>0.13150000000000001</v>
      </c>
    </row>
    <row r="47" spans="1:3" x14ac:dyDescent="0.25">
      <c r="A47" s="1">
        <v>45166</v>
      </c>
      <c r="B47" s="6">
        <v>0.13250000000000001</v>
      </c>
      <c r="C47" s="6">
        <f t="shared" si="0"/>
        <v>0.13150000000000001</v>
      </c>
    </row>
    <row r="48" spans="1:3" x14ac:dyDescent="0.25">
      <c r="A48" s="1">
        <v>45167</v>
      </c>
      <c r="B48" s="6">
        <v>0.13250000000000001</v>
      </c>
      <c r="C48" s="6">
        <f t="shared" si="0"/>
        <v>0.13150000000000001</v>
      </c>
    </row>
    <row r="49" spans="1:3" x14ac:dyDescent="0.25">
      <c r="A49" s="1">
        <v>45168</v>
      </c>
      <c r="B49" s="6">
        <v>0.13250000000000001</v>
      </c>
      <c r="C49" s="6">
        <f t="shared" si="0"/>
        <v>0.13150000000000001</v>
      </c>
    </row>
    <row r="50" spans="1:3" x14ac:dyDescent="0.25">
      <c r="A50" s="1">
        <v>45169</v>
      </c>
      <c r="B50" s="6">
        <v>0.13250000000000001</v>
      </c>
      <c r="C50" s="6">
        <f t="shared" si="0"/>
        <v>0.13150000000000001</v>
      </c>
    </row>
    <row r="51" spans="1:3" x14ac:dyDescent="0.25">
      <c r="A51" s="1">
        <v>45170</v>
      </c>
      <c r="B51" s="6">
        <v>0.13250000000000001</v>
      </c>
      <c r="C51" s="6">
        <f t="shared" si="0"/>
        <v>0.13150000000000001</v>
      </c>
    </row>
    <row r="52" spans="1:3" x14ac:dyDescent="0.25">
      <c r="A52" s="1">
        <v>45173</v>
      </c>
      <c r="B52" s="6">
        <v>0.13250000000000001</v>
      </c>
      <c r="C52" s="6">
        <f t="shared" si="0"/>
        <v>0.13150000000000001</v>
      </c>
    </row>
    <row r="53" spans="1:3" x14ac:dyDescent="0.25">
      <c r="A53" s="1">
        <v>45174</v>
      </c>
      <c r="B53" s="6">
        <v>0.13250000000000001</v>
      </c>
      <c r="C53" s="6">
        <f t="shared" si="0"/>
        <v>0.13150000000000001</v>
      </c>
    </row>
    <row r="54" spans="1:3" x14ac:dyDescent="0.25">
      <c r="A54" s="1">
        <v>45175</v>
      </c>
      <c r="B54" s="6">
        <v>0.13250000000000001</v>
      </c>
      <c r="C54" s="6">
        <f t="shared" si="0"/>
        <v>0.13150000000000001</v>
      </c>
    </row>
    <row r="55" spans="1:3" x14ac:dyDescent="0.25">
      <c r="A55" s="1">
        <v>45177</v>
      </c>
      <c r="B55" s="6">
        <v>0.13250000000000001</v>
      </c>
      <c r="C55" s="6">
        <f t="shared" si="0"/>
        <v>0.13150000000000001</v>
      </c>
    </row>
    <row r="56" spans="1:3" x14ac:dyDescent="0.25">
      <c r="A56" s="1">
        <v>45180</v>
      </c>
      <c r="B56" s="6">
        <v>0.13250000000000001</v>
      </c>
      <c r="C56" s="6">
        <f t="shared" si="0"/>
        <v>0.13150000000000001</v>
      </c>
    </row>
    <row r="57" spans="1:3" x14ac:dyDescent="0.25">
      <c r="A57" s="1">
        <v>45181</v>
      </c>
      <c r="B57" s="6">
        <v>0.13250000000000001</v>
      </c>
      <c r="C57" s="6">
        <f t="shared" si="0"/>
        <v>0.13150000000000001</v>
      </c>
    </row>
    <row r="58" spans="1:3" x14ac:dyDescent="0.25">
      <c r="A58" s="1">
        <v>45182</v>
      </c>
      <c r="B58" s="6">
        <v>0.13250000000000001</v>
      </c>
      <c r="C58" s="6">
        <f t="shared" si="0"/>
        <v>0.13150000000000001</v>
      </c>
    </row>
    <row r="59" spans="1:3" x14ac:dyDescent="0.25">
      <c r="A59" s="1">
        <v>45183</v>
      </c>
      <c r="B59" s="6">
        <v>0.13250000000000001</v>
      </c>
      <c r="C59" s="6">
        <f t="shared" si="0"/>
        <v>0.13150000000000001</v>
      </c>
    </row>
    <row r="60" spans="1:3" x14ac:dyDescent="0.25">
      <c r="A60" s="1">
        <v>45184</v>
      </c>
      <c r="B60" s="6">
        <v>0.13250000000000001</v>
      </c>
      <c r="C60" s="6">
        <f t="shared" si="0"/>
        <v>0.13150000000000001</v>
      </c>
    </row>
    <row r="61" spans="1:3" x14ac:dyDescent="0.25">
      <c r="A61" s="1">
        <v>45187</v>
      </c>
      <c r="B61" s="6">
        <v>0.13250000000000001</v>
      </c>
      <c r="C61" s="6">
        <f t="shared" si="0"/>
        <v>0.13150000000000001</v>
      </c>
    </row>
    <row r="62" spans="1:3" x14ac:dyDescent="0.25">
      <c r="A62" s="1">
        <v>45188</v>
      </c>
      <c r="B62" s="6">
        <v>0.13250000000000001</v>
      </c>
      <c r="C62" s="6">
        <f t="shared" si="0"/>
        <v>0.13150000000000001</v>
      </c>
    </row>
    <row r="63" spans="1:3" x14ac:dyDescent="0.25">
      <c r="A63" s="1">
        <v>45189</v>
      </c>
      <c r="B63" s="6">
        <v>0.1275</v>
      </c>
      <c r="C63" s="6">
        <f t="shared" si="0"/>
        <v>0.1265</v>
      </c>
    </row>
    <row r="64" spans="1:3" x14ac:dyDescent="0.25">
      <c r="A64" s="1">
        <v>45190</v>
      </c>
      <c r="B64" s="6">
        <v>0.1275</v>
      </c>
      <c r="C64" s="6">
        <f t="shared" si="0"/>
        <v>0.1265</v>
      </c>
    </row>
    <row r="65" spans="1:3" x14ac:dyDescent="0.25">
      <c r="A65" s="1">
        <v>45191</v>
      </c>
      <c r="B65" s="6">
        <v>0.1275</v>
      </c>
      <c r="C65" s="6">
        <f t="shared" si="0"/>
        <v>0.1265</v>
      </c>
    </row>
    <row r="66" spans="1:3" x14ac:dyDescent="0.25">
      <c r="A66" s="1">
        <v>45194</v>
      </c>
      <c r="B66" s="6">
        <v>0.1275</v>
      </c>
      <c r="C66" s="6">
        <f t="shared" si="0"/>
        <v>0.1265</v>
      </c>
    </row>
    <row r="67" spans="1:3" x14ac:dyDescent="0.25">
      <c r="A67" s="1">
        <v>45195</v>
      </c>
      <c r="B67" s="6">
        <v>0.1275</v>
      </c>
      <c r="C67" s="6">
        <f t="shared" ref="C67:C130" si="1">B67-0.1%</f>
        <v>0.1265</v>
      </c>
    </row>
    <row r="68" spans="1:3" x14ac:dyDescent="0.25">
      <c r="A68" s="1">
        <v>45196</v>
      </c>
      <c r="B68" s="6">
        <v>0.1275</v>
      </c>
      <c r="C68" s="6">
        <f t="shared" si="1"/>
        <v>0.1265</v>
      </c>
    </row>
    <row r="69" spans="1:3" x14ac:dyDescent="0.25">
      <c r="A69" s="1">
        <v>45197</v>
      </c>
      <c r="B69" s="6">
        <v>0.1275</v>
      </c>
      <c r="C69" s="6">
        <f t="shared" si="1"/>
        <v>0.1265</v>
      </c>
    </row>
    <row r="70" spans="1:3" x14ac:dyDescent="0.25">
      <c r="A70" s="1">
        <v>45198</v>
      </c>
      <c r="B70" s="6">
        <v>0.1275</v>
      </c>
      <c r="C70" s="6">
        <f t="shared" si="1"/>
        <v>0.1265</v>
      </c>
    </row>
    <row r="71" spans="1:3" x14ac:dyDescent="0.25">
      <c r="A71" s="1">
        <v>45201</v>
      </c>
      <c r="B71" s="6">
        <v>0.1275</v>
      </c>
      <c r="C71" s="6">
        <f t="shared" si="1"/>
        <v>0.1265</v>
      </c>
    </row>
    <row r="72" spans="1:3" x14ac:dyDescent="0.25">
      <c r="A72" s="1">
        <v>45202</v>
      </c>
      <c r="B72" s="6">
        <v>0.1275</v>
      </c>
      <c r="C72" s="6">
        <f t="shared" si="1"/>
        <v>0.1265</v>
      </c>
    </row>
    <row r="73" spans="1:3" x14ac:dyDescent="0.25">
      <c r="A73" s="1">
        <v>45203</v>
      </c>
      <c r="B73" s="6">
        <v>0.1275</v>
      </c>
      <c r="C73" s="6">
        <f t="shared" si="1"/>
        <v>0.1265</v>
      </c>
    </row>
    <row r="74" spans="1:3" x14ac:dyDescent="0.25">
      <c r="A74" s="1">
        <v>45204</v>
      </c>
      <c r="B74" s="6">
        <v>0.1275</v>
      </c>
      <c r="C74" s="6">
        <f t="shared" si="1"/>
        <v>0.1265</v>
      </c>
    </row>
    <row r="75" spans="1:3" x14ac:dyDescent="0.25">
      <c r="A75" s="1">
        <v>45205</v>
      </c>
      <c r="B75" s="6">
        <v>0.1275</v>
      </c>
      <c r="C75" s="6">
        <f t="shared" si="1"/>
        <v>0.1265</v>
      </c>
    </row>
    <row r="76" spans="1:3" x14ac:dyDescent="0.25">
      <c r="A76" s="1">
        <v>45208</v>
      </c>
      <c r="B76" s="6">
        <v>0.1275</v>
      </c>
      <c r="C76" s="6">
        <f t="shared" si="1"/>
        <v>0.1265</v>
      </c>
    </row>
    <row r="77" spans="1:3" x14ac:dyDescent="0.25">
      <c r="A77" s="1">
        <v>45209</v>
      </c>
      <c r="B77" s="6">
        <v>0.1275</v>
      </c>
      <c r="C77" s="6">
        <f t="shared" si="1"/>
        <v>0.1265</v>
      </c>
    </row>
    <row r="78" spans="1:3" x14ac:dyDescent="0.25">
      <c r="A78" s="1">
        <v>45210</v>
      </c>
      <c r="B78" s="6">
        <v>0.1275</v>
      </c>
      <c r="C78" s="6">
        <f t="shared" si="1"/>
        <v>0.1265</v>
      </c>
    </row>
    <row r="79" spans="1:3" x14ac:dyDescent="0.25">
      <c r="A79" s="1">
        <v>45212</v>
      </c>
      <c r="B79" s="6">
        <v>0.1275</v>
      </c>
      <c r="C79" s="6">
        <f t="shared" si="1"/>
        <v>0.1265</v>
      </c>
    </row>
    <row r="80" spans="1:3" x14ac:dyDescent="0.25">
      <c r="A80" s="1">
        <v>45215</v>
      </c>
      <c r="B80" s="6">
        <v>0.1275</v>
      </c>
      <c r="C80" s="6">
        <f t="shared" si="1"/>
        <v>0.1265</v>
      </c>
    </row>
    <row r="81" spans="1:3" x14ac:dyDescent="0.25">
      <c r="A81" s="1">
        <v>45216</v>
      </c>
      <c r="B81" s="6">
        <v>0.1275</v>
      </c>
      <c r="C81" s="6">
        <f t="shared" si="1"/>
        <v>0.1265</v>
      </c>
    </row>
    <row r="82" spans="1:3" x14ac:dyDescent="0.25">
      <c r="A82" s="1">
        <v>45217</v>
      </c>
      <c r="B82" s="6">
        <v>0.1275</v>
      </c>
      <c r="C82" s="6">
        <f t="shared" si="1"/>
        <v>0.1265</v>
      </c>
    </row>
    <row r="83" spans="1:3" x14ac:dyDescent="0.25">
      <c r="A83" s="1">
        <v>45218</v>
      </c>
      <c r="B83" s="6">
        <v>0.1275</v>
      </c>
      <c r="C83" s="6">
        <f t="shared" si="1"/>
        <v>0.1265</v>
      </c>
    </row>
    <row r="84" spans="1:3" x14ac:dyDescent="0.25">
      <c r="A84" s="1">
        <v>45219</v>
      </c>
      <c r="B84" s="6">
        <v>0.1275</v>
      </c>
      <c r="C84" s="6">
        <f t="shared" si="1"/>
        <v>0.1265</v>
      </c>
    </row>
    <row r="85" spans="1:3" x14ac:dyDescent="0.25">
      <c r="A85" s="1">
        <v>45222</v>
      </c>
      <c r="B85" s="6">
        <v>0.1275</v>
      </c>
      <c r="C85" s="6">
        <f t="shared" si="1"/>
        <v>0.1265</v>
      </c>
    </row>
    <row r="86" spans="1:3" x14ac:dyDescent="0.25">
      <c r="A86" s="1">
        <v>45223</v>
      </c>
      <c r="B86" s="6">
        <v>0.1275</v>
      </c>
      <c r="C86" s="6">
        <f t="shared" si="1"/>
        <v>0.1265</v>
      </c>
    </row>
    <row r="87" spans="1:3" x14ac:dyDescent="0.25">
      <c r="A87" s="1">
        <v>45224</v>
      </c>
      <c r="B87" s="6">
        <v>0.1275</v>
      </c>
      <c r="C87" s="6">
        <f t="shared" si="1"/>
        <v>0.1265</v>
      </c>
    </row>
    <row r="88" spans="1:3" x14ac:dyDescent="0.25">
      <c r="A88" s="1">
        <v>45225</v>
      </c>
      <c r="B88" s="6">
        <v>0.1275</v>
      </c>
      <c r="C88" s="6">
        <f t="shared" si="1"/>
        <v>0.1265</v>
      </c>
    </row>
    <row r="89" spans="1:3" x14ac:dyDescent="0.25">
      <c r="A89" s="1">
        <v>45226</v>
      </c>
      <c r="B89" s="6">
        <v>0.1275</v>
      </c>
      <c r="C89" s="6">
        <f t="shared" si="1"/>
        <v>0.1265</v>
      </c>
    </row>
    <row r="90" spans="1:3" x14ac:dyDescent="0.25">
      <c r="A90" s="1">
        <v>45229</v>
      </c>
      <c r="B90" s="6">
        <v>0.1275</v>
      </c>
      <c r="C90" s="6">
        <f t="shared" si="1"/>
        <v>0.1265</v>
      </c>
    </row>
    <row r="91" spans="1:3" x14ac:dyDescent="0.25">
      <c r="A91" s="1">
        <v>45230</v>
      </c>
      <c r="B91" s="6">
        <v>0.1275</v>
      </c>
      <c r="C91" s="6">
        <f t="shared" si="1"/>
        <v>0.1265</v>
      </c>
    </row>
    <row r="92" spans="1:3" x14ac:dyDescent="0.25">
      <c r="A92" s="1">
        <v>45231</v>
      </c>
      <c r="B92" s="6">
        <v>0.1225</v>
      </c>
      <c r="C92" s="6">
        <f t="shared" si="1"/>
        <v>0.1215</v>
      </c>
    </row>
    <row r="93" spans="1:3" x14ac:dyDescent="0.25">
      <c r="A93" s="1">
        <v>45233</v>
      </c>
      <c r="B93" s="6">
        <v>0.1225</v>
      </c>
      <c r="C93" s="6">
        <f t="shared" si="1"/>
        <v>0.1215</v>
      </c>
    </row>
    <row r="94" spans="1:3" x14ac:dyDescent="0.25">
      <c r="A94" s="1">
        <v>45236</v>
      </c>
      <c r="B94" s="6">
        <v>0.1225</v>
      </c>
      <c r="C94" s="6">
        <f t="shared" si="1"/>
        <v>0.1215</v>
      </c>
    </row>
    <row r="95" spans="1:3" x14ac:dyDescent="0.25">
      <c r="A95" s="1">
        <v>45237</v>
      </c>
      <c r="B95" s="6">
        <v>0.1225</v>
      </c>
      <c r="C95" s="6">
        <f t="shared" si="1"/>
        <v>0.1215</v>
      </c>
    </row>
    <row r="96" spans="1:3" x14ac:dyDescent="0.25">
      <c r="A96" s="1">
        <v>45238</v>
      </c>
      <c r="B96" s="6">
        <v>0.1225</v>
      </c>
      <c r="C96" s="6">
        <f t="shared" si="1"/>
        <v>0.1215</v>
      </c>
    </row>
    <row r="97" spans="1:3" x14ac:dyDescent="0.25">
      <c r="A97" s="1">
        <v>45239</v>
      </c>
      <c r="B97" s="6">
        <v>0.1225</v>
      </c>
      <c r="C97" s="6">
        <f t="shared" si="1"/>
        <v>0.1215</v>
      </c>
    </row>
    <row r="98" spans="1:3" x14ac:dyDescent="0.25">
      <c r="A98" s="1">
        <v>45240</v>
      </c>
      <c r="B98" s="6">
        <v>0.1225</v>
      </c>
      <c r="C98" s="6">
        <f t="shared" si="1"/>
        <v>0.1215</v>
      </c>
    </row>
    <row r="99" spans="1:3" x14ac:dyDescent="0.25">
      <c r="A99" s="1">
        <v>45243</v>
      </c>
      <c r="B99" s="6">
        <v>0.1225</v>
      </c>
      <c r="C99" s="6">
        <f t="shared" si="1"/>
        <v>0.1215</v>
      </c>
    </row>
    <row r="100" spans="1:3" x14ac:dyDescent="0.25">
      <c r="A100" s="1">
        <v>45244</v>
      </c>
      <c r="B100" s="6">
        <v>0.1225</v>
      </c>
      <c r="C100" s="6">
        <f t="shared" si="1"/>
        <v>0.1215</v>
      </c>
    </row>
    <row r="101" spans="1:3" x14ac:dyDescent="0.25">
      <c r="A101" s="1">
        <v>45246</v>
      </c>
      <c r="B101" s="6">
        <v>0.1225</v>
      </c>
      <c r="C101" s="6">
        <f t="shared" si="1"/>
        <v>0.1215</v>
      </c>
    </row>
    <row r="102" spans="1:3" x14ac:dyDescent="0.25">
      <c r="A102" s="1">
        <v>45247</v>
      </c>
      <c r="B102" s="6">
        <v>0.1225</v>
      </c>
      <c r="C102" s="6">
        <f t="shared" si="1"/>
        <v>0.1215</v>
      </c>
    </row>
    <row r="103" spans="1:3" x14ac:dyDescent="0.25">
      <c r="A103" s="1">
        <v>45250</v>
      </c>
      <c r="B103" s="6">
        <v>0.1225</v>
      </c>
      <c r="C103" s="6">
        <f t="shared" si="1"/>
        <v>0.1215</v>
      </c>
    </row>
    <row r="104" spans="1:3" x14ac:dyDescent="0.25">
      <c r="A104" s="1">
        <v>45251</v>
      </c>
      <c r="B104" s="6">
        <v>0.1225</v>
      </c>
      <c r="C104" s="6">
        <f t="shared" si="1"/>
        <v>0.1215</v>
      </c>
    </row>
    <row r="105" spans="1:3" x14ac:dyDescent="0.25">
      <c r="A105" s="1">
        <v>45252</v>
      </c>
      <c r="B105" s="6">
        <v>0.1225</v>
      </c>
      <c r="C105" s="6">
        <f t="shared" si="1"/>
        <v>0.1215</v>
      </c>
    </row>
    <row r="106" spans="1:3" x14ac:dyDescent="0.25">
      <c r="A106" s="1">
        <v>45253</v>
      </c>
      <c r="B106" s="6">
        <v>0.1225</v>
      </c>
      <c r="C106" s="6">
        <f t="shared" si="1"/>
        <v>0.1215</v>
      </c>
    </row>
    <row r="107" spans="1:3" x14ac:dyDescent="0.25">
      <c r="A107" s="1">
        <v>45254</v>
      </c>
      <c r="B107" s="6">
        <v>0.1225</v>
      </c>
      <c r="C107" s="6">
        <f t="shared" si="1"/>
        <v>0.1215</v>
      </c>
    </row>
    <row r="108" spans="1:3" x14ac:dyDescent="0.25">
      <c r="A108" s="1">
        <v>45257</v>
      </c>
      <c r="B108" s="6">
        <v>0.1225</v>
      </c>
      <c r="C108" s="6">
        <f t="shared" si="1"/>
        <v>0.1215</v>
      </c>
    </row>
    <row r="109" spans="1:3" x14ac:dyDescent="0.25">
      <c r="A109" s="1">
        <v>45258</v>
      </c>
      <c r="B109" s="6">
        <v>0.1225</v>
      </c>
      <c r="C109" s="6">
        <f t="shared" si="1"/>
        <v>0.1215</v>
      </c>
    </row>
    <row r="110" spans="1:3" x14ac:dyDescent="0.25">
      <c r="A110" s="1">
        <v>45259</v>
      </c>
      <c r="B110" s="6">
        <v>0.1225</v>
      </c>
      <c r="C110" s="6">
        <f t="shared" si="1"/>
        <v>0.1215</v>
      </c>
    </row>
    <row r="111" spans="1:3" x14ac:dyDescent="0.25">
      <c r="A111" s="1">
        <v>45260</v>
      </c>
      <c r="B111" s="6">
        <v>0.1225</v>
      </c>
      <c r="C111" s="6">
        <f t="shared" si="1"/>
        <v>0.1215</v>
      </c>
    </row>
    <row r="112" spans="1:3" x14ac:dyDescent="0.25">
      <c r="A112" s="1">
        <v>45261</v>
      </c>
      <c r="B112" s="6">
        <v>0.1225</v>
      </c>
      <c r="C112" s="6">
        <f t="shared" si="1"/>
        <v>0.1215</v>
      </c>
    </row>
    <row r="113" spans="1:3" x14ac:dyDescent="0.25">
      <c r="A113" s="1">
        <v>45264</v>
      </c>
      <c r="B113" s="6">
        <v>0.1225</v>
      </c>
      <c r="C113" s="6">
        <f t="shared" si="1"/>
        <v>0.1215</v>
      </c>
    </row>
    <row r="114" spans="1:3" x14ac:dyDescent="0.25">
      <c r="A114" s="1">
        <v>45265</v>
      </c>
      <c r="B114" s="6">
        <v>0.1225</v>
      </c>
      <c r="C114" s="6">
        <f t="shared" si="1"/>
        <v>0.1215</v>
      </c>
    </row>
    <row r="115" spans="1:3" x14ac:dyDescent="0.25">
      <c r="A115" s="1">
        <v>45266</v>
      </c>
      <c r="B115" s="6">
        <v>0.1225</v>
      </c>
      <c r="C115" s="6">
        <f t="shared" si="1"/>
        <v>0.1215</v>
      </c>
    </row>
    <row r="116" spans="1:3" x14ac:dyDescent="0.25">
      <c r="A116" s="1">
        <v>45267</v>
      </c>
      <c r="B116" s="6">
        <v>0.1225</v>
      </c>
      <c r="C116" s="6">
        <f t="shared" si="1"/>
        <v>0.1215</v>
      </c>
    </row>
    <row r="117" spans="1:3" x14ac:dyDescent="0.25">
      <c r="A117" s="1">
        <v>45268</v>
      </c>
      <c r="B117" s="6">
        <v>0.1225</v>
      </c>
      <c r="C117" s="6">
        <f t="shared" si="1"/>
        <v>0.1215</v>
      </c>
    </row>
    <row r="118" spans="1:3" x14ac:dyDescent="0.25">
      <c r="A118" s="1">
        <v>45271</v>
      </c>
      <c r="B118" s="6">
        <v>0.1225</v>
      </c>
      <c r="C118" s="6">
        <f t="shared" si="1"/>
        <v>0.1215</v>
      </c>
    </row>
    <row r="119" spans="1:3" x14ac:dyDescent="0.25">
      <c r="A119" s="1">
        <v>45272</v>
      </c>
      <c r="B119" s="6">
        <v>0.1225</v>
      </c>
      <c r="C119" s="6">
        <f t="shared" si="1"/>
        <v>0.1215</v>
      </c>
    </row>
    <row r="120" spans="1:3" x14ac:dyDescent="0.25">
      <c r="A120" s="1">
        <v>45273</v>
      </c>
      <c r="B120" s="6">
        <v>0.11749999999999999</v>
      </c>
      <c r="C120" s="6">
        <f t="shared" si="1"/>
        <v>0.11649999999999999</v>
      </c>
    </row>
    <row r="121" spans="1:3" x14ac:dyDescent="0.25">
      <c r="A121" s="1">
        <v>45274</v>
      </c>
      <c r="B121" s="6">
        <v>0.11749999999999999</v>
      </c>
      <c r="C121" s="6">
        <f t="shared" si="1"/>
        <v>0.11649999999999999</v>
      </c>
    </row>
    <row r="122" spans="1:3" x14ac:dyDescent="0.25">
      <c r="A122" s="1">
        <v>45275</v>
      </c>
      <c r="B122" s="6">
        <v>0.11749999999999999</v>
      </c>
      <c r="C122" s="6">
        <f t="shared" si="1"/>
        <v>0.11649999999999999</v>
      </c>
    </row>
    <row r="123" spans="1:3" x14ac:dyDescent="0.25">
      <c r="A123" s="1">
        <v>45278</v>
      </c>
      <c r="B123" s="6">
        <v>0.11749999999999999</v>
      </c>
      <c r="C123" s="6">
        <f t="shared" si="1"/>
        <v>0.11649999999999999</v>
      </c>
    </row>
    <row r="124" spans="1:3" x14ac:dyDescent="0.25">
      <c r="A124" s="1">
        <v>45279</v>
      </c>
      <c r="B124" s="6">
        <v>0.11749999999999999</v>
      </c>
      <c r="C124" s="6">
        <f t="shared" si="1"/>
        <v>0.11649999999999999</v>
      </c>
    </row>
    <row r="125" spans="1:3" x14ac:dyDescent="0.25">
      <c r="A125" s="1">
        <v>45280</v>
      </c>
      <c r="B125" s="6">
        <v>0.11749999999999999</v>
      </c>
      <c r="C125" s="6">
        <f t="shared" si="1"/>
        <v>0.11649999999999999</v>
      </c>
    </row>
    <row r="126" spans="1:3" x14ac:dyDescent="0.25">
      <c r="A126" s="1">
        <v>45281</v>
      </c>
      <c r="B126" s="6">
        <v>0.11749999999999999</v>
      </c>
      <c r="C126" s="6">
        <f t="shared" si="1"/>
        <v>0.11649999999999999</v>
      </c>
    </row>
    <row r="127" spans="1:3" x14ac:dyDescent="0.25">
      <c r="A127" s="1">
        <v>45282</v>
      </c>
      <c r="B127" s="6">
        <v>0.11749999999999999</v>
      </c>
      <c r="C127" s="6">
        <f t="shared" si="1"/>
        <v>0.11649999999999999</v>
      </c>
    </row>
    <row r="128" spans="1:3" x14ac:dyDescent="0.25">
      <c r="A128" s="1">
        <v>45286</v>
      </c>
      <c r="B128" s="6">
        <v>0.11749999999999999</v>
      </c>
      <c r="C128" s="6">
        <f t="shared" si="1"/>
        <v>0.11649999999999999</v>
      </c>
    </row>
    <row r="129" spans="1:3" x14ac:dyDescent="0.25">
      <c r="A129" s="1">
        <v>45287</v>
      </c>
      <c r="B129" s="6">
        <v>0.11749999999999999</v>
      </c>
      <c r="C129" s="6">
        <f t="shared" si="1"/>
        <v>0.11649999999999999</v>
      </c>
    </row>
    <row r="130" spans="1:3" x14ac:dyDescent="0.25">
      <c r="A130" s="1">
        <v>45288</v>
      </c>
      <c r="B130" s="6">
        <v>0.11749999999999999</v>
      </c>
      <c r="C130" s="6">
        <f t="shared" si="1"/>
        <v>0.11649999999999999</v>
      </c>
    </row>
    <row r="131" spans="1:3" x14ac:dyDescent="0.25">
      <c r="A131" s="1">
        <v>45289</v>
      </c>
      <c r="B131" s="6">
        <v>0.11749999999999999</v>
      </c>
      <c r="C131" s="6">
        <f t="shared" ref="C131:C194" si="2">B131-0.1%</f>
        <v>0.11649999999999999</v>
      </c>
    </row>
    <row r="132" spans="1:3" x14ac:dyDescent="0.25">
      <c r="A132" s="1">
        <v>45293</v>
      </c>
      <c r="B132" s="6">
        <v>0.11749999999999999</v>
      </c>
      <c r="C132" s="6">
        <f t="shared" si="2"/>
        <v>0.11649999999999999</v>
      </c>
    </row>
    <row r="133" spans="1:3" x14ac:dyDescent="0.25">
      <c r="A133" s="1">
        <v>45294</v>
      </c>
      <c r="B133" s="6">
        <v>0.11749999999999999</v>
      </c>
      <c r="C133" s="6">
        <f t="shared" si="2"/>
        <v>0.11649999999999999</v>
      </c>
    </row>
    <row r="134" spans="1:3" x14ac:dyDescent="0.25">
      <c r="A134" s="1">
        <v>45295</v>
      </c>
      <c r="B134" s="6">
        <v>0.11749999999999999</v>
      </c>
      <c r="C134" s="6">
        <f t="shared" si="2"/>
        <v>0.11649999999999999</v>
      </c>
    </row>
    <row r="135" spans="1:3" x14ac:dyDescent="0.25">
      <c r="A135" s="1">
        <v>45296</v>
      </c>
      <c r="B135" s="6">
        <v>0.11749999999999999</v>
      </c>
      <c r="C135" s="6">
        <f t="shared" si="2"/>
        <v>0.11649999999999999</v>
      </c>
    </row>
    <row r="136" spans="1:3" x14ac:dyDescent="0.25">
      <c r="A136" s="1">
        <v>45299</v>
      </c>
      <c r="B136" s="6">
        <v>0.11749999999999999</v>
      </c>
      <c r="C136" s="6">
        <f t="shared" si="2"/>
        <v>0.11649999999999999</v>
      </c>
    </row>
    <row r="137" spans="1:3" x14ac:dyDescent="0.25">
      <c r="A137" s="1">
        <v>45300</v>
      </c>
      <c r="B137" s="6">
        <v>0.11749999999999999</v>
      </c>
      <c r="C137" s="6">
        <f t="shared" si="2"/>
        <v>0.11649999999999999</v>
      </c>
    </row>
    <row r="138" spans="1:3" x14ac:dyDescent="0.25">
      <c r="A138" s="1">
        <v>45301</v>
      </c>
      <c r="B138" s="6">
        <v>0.11749999999999999</v>
      </c>
      <c r="C138" s="6">
        <f t="shared" si="2"/>
        <v>0.11649999999999999</v>
      </c>
    </row>
    <row r="139" spans="1:3" x14ac:dyDescent="0.25">
      <c r="A139" s="1">
        <v>45302</v>
      </c>
      <c r="B139" s="6">
        <v>0.11749999999999999</v>
      </c>
      <c r="C139" s="6">
        <f t="shared" si="2"/>
        <v>0.11649999999999999</v>
      </c>
    </row>
    <row r="140" spans="1:3" x14ac:dyDescent="0.25">
      <c r="A140" s="1">
        <v>45303</v>
      </c>
      <c r="B140" s="6">
        <v>0.11749999999999999</v>
      </c>
      <c r="C140" s="6">
        <f t="shared" si="2"/>
        <v>0.11649999999999999</v>
      </c>
    </row>
    <row r="141" spans="1:3" x14ac:dyDescent="0.25">
      <c r="A141" s="1">
        <v>45306</v>
      </c>
      <c r="B141" s="6">
        <v>0.11749999999999999</v>
      </c>
      <c r="C141" s="6">
        <f t="shared" si="2"/>
        <v>0.11649999999999999</v>
      </c>
    </row>
    <row r="142" spans="1:3" x14ac:dyDescent="0.25">
      <c r="A142" s="1">
        <v>45307</v>
      </c>
      <c r="B142" s="6">
        <v>0.11749999999999999</v>
      </c>
      <c r="C142" s="6">
        <f t="shared" si="2"/>
        <v>0.11649999999999999</v>
      </c>
    </row>
    <row r="143" spans="1:3" x14ac:dyDescent="0.25">
      <c r="A143" s="1">
        <v>45308</v>
      </c>
      <c r="B143" s="6">
        <v>0.11749999999999999</v>
      </c>
      <c r="C143" s="6">
        <f t="shared" si="2"/>
        <v>0.11649999999999999</v>
      </c>
    </row>
    <row r="144" spans="1:3" x14ac:dyDescent="0.25">
      <c r="A144" s="1">
        <v>45309</v>
      </c>
      <c r="B144" s="6">
        <v>0.11749999999999999</v>
      </c>
      <c r="C144" s="6">
        <f t="shared" si="2"/>
        <v>0.11649999999999999</v>
      </c>
    </row>
    <row r="145" spans="1:3" x14ac:dyDescent="0.25">
      <c r="A145" s="1">
        <v>45310</v>
      </c>
      <c r="B145" s="6">
        <v>0.11749999999999999</v>
      </c>
      <c r="C145" s="6">
        <f t="shared" si="2"/>
        <v>0.11649999999999999</v>
      </c>
    </row>
    <row r="146" spans="1:3" x14ac:dyDescent="0.25">
      <c r="A146" s="1">
        <v>45313</v>
      </c>
      <c r="B146" s="6">
        <v>0.11749999999999999</v>
      </c>
      <c r="C146" s="6">
        <f t="shared" si="2"/>
        <v>0.11649999999999999</v>
      </c>
    </row>
    <row r="147" spans="1:3" x14ac:dyDescent="0.25">
      <c r="A147" s="1">
        <v>45314</v>
      </c>
      <c r="B147" s="6">
        <v>0.11749999999999999</v>
      </c>
      <c r="C147" s="6">
        <f t="shared" si="2"/>
        <v>0.11649999999999999</v>
      </c>
    </row>
    <row r="148" spans="1:3" x14ac:dyDescent="0.25">
      <c r="A148" s="1">
        <v>45315</v>
      </c>
      <c r="B148" s="6">
        <v>0.11749999999999999</v>
      </c>
      <c r="C148" s="6">
        <f t="shared" si="2"/>
        <v>0.11649999999999999</v>
      </c>
    </row>
    <row r="149" spans="1:3" x14ac:dyDescent="0.25">
      <c r="A149" s="1">
        <v>45316</v>
      </c>
      <c r="B149" s="6">
        <v>0.11749999999999999</v>
      </c>
      <c r="C149" s="6">
        <f t="shared" si="2"/>
        <v>0.11649999999999999</v>
      </c>
    </row>
    <row r="150" spans="1:3" x14ac:dyDescent="0.25">
      <c r="A150" s="1">
        <v>45317</v>
      </c>
      <c r="B150" s="6">
        <v>0.11749999999999999</v>
      </c>
      <c r="C150" s="6">
        <f t="shared" si="2"/>
        <v>0.11649999999999999</v>
      </c>
    </row>
    <row r="151" spans="1:3" x14ac:dyDescent="0.25">
      <c r="A151" s="1">
        <v>45320</v>
      </c>
      <c r="B151" s="6">
        <v>0.11749999999999999</v>
      </c>
      <c r="C151" s="6">
        <f t="shared" si="2"/>
        <v>0.11649999999999999</v>
      </c>
    </row>
    <row r="152" spans="1:3" x14ac:dyDescent="0.25">
      <c r="A152" s="1">
        <v>45321</v>
      </c>
      <c r="B152" s="6">
        <v>0.11749999999999999</v>
      </c>
      <c r="C152" s="6">
        <f t="shared" si="2"/>
        <v>0.11649999999999999</v>
      </c>
    </row>
    <row r="153" spans="1:3" x14ac:dyDescent="0.25">
      <c r="A153" s="1">
        <v>45322</v>
      </c>
      <c r="B153" s="6">
        <v>0.1125</v>
      </c>
      <c r="C153" s="6">
        <f t="shared" si="2"/>
        <v>0.1115</v>
      </c>
    </row>
    <row r="154" spans="1:3" x14ac:dyDescent="0.25">
      <c r="A154" s="1">
        <v>45323</v>
      </c>
      <c r="B154" s="6">
        <v>0.1125</v>
      </c>
      <c r="C154" s="6">
        <f t="shared" si="2"/>
        <v>0.1115</v>
      </c>
    </row>
    <row r="155" spans="1:3" x14ac:dyDescent="0.25">
      <c r="A155" s="1">
        <v>45324</v>
      </c>
      <c r="B155" s="6">
        <v>0.1125</v>
      </c>
      <c r="C155" s="6">
        <f t="shared" si="2"/>
        <v>0.1115</v>
      </c>
    </row>
    <row r="156" spans="1:3" x14ac:dyDescent="0.25">
      <c r="A156" s="1">
        <v>45327</v>
      </c>
      <c r="B156" s="6">
        <v>0.1125</v>
      </c>
      <c r="C156" s="6">
        <f t="shared" si="2"/>
        <v>0.1115</v>
      </c>
    </row>
    <row r="157" spans="1:3" x14ac:dyDescent="0.25">
      <c r="A157" s="1">
        <v>45328</v>
      </c>
      <c r="B157" s="6">
        <v>0.1125</v>
      </c>
      <c r="C157" s="6">
        <f t="shared" si="2"/>
        <v>0.1115</v>
      </c>
    </row>
    <row r="158" spans="1:3" x14ac:dyDescent="0.25">
      <c r="A158" s="1">
        <v>45329</v>
      </c>
      <c r="B158" s="6">
        <v>0.1125</v>
      </c>
      <c r="C158" s="6">
        <f t="shared" si="2"/>
        <v>0.1115</v>
      </c>
    </row>
    <row r="159" spans="1:3" x14ac:dyDescent="0.25">
      <c r="A159" s="1">
        <v>45330</v>
      </c>
      <c r="B159" s="6">
        <v>0.1125</v>
      </c>
      <c r="C159" s="6">
        <f t="shared" si="2"/>
        <v>0.1115</v>
      </c>
    </row>
    <row r="160" spans="1:3" x14ac:dyDescent="0.25">
      <c r="A160" s="1">
        <v>45331</v>
      </c>
      <c r="B160" s="6">
        <v>0.1125</v>
      </c>
      <c r="C160" s="6">
        <f t="shared" si="2"/>
        <v>0.1115</v>
      </c>
    </row>
    <row r="161" spans="1:3" x14ac:dyDescent="0.25">
      <c r="A161" s="1">
        <v>45336</v>
      </c>
      <c r="B161" s="6">
        <v>0.1125</v>
      </c>
      <c r="C161" s="6">
        <f t="shared" si="2"/>
        <v>0.1115</v>
      </c>
    </row>
    <row r="162" spans="1:3" x14ac:dyDescent="0.25">
      <c r="A162" s="1">
        <v>45337</v>
      </c>
      <c r="B162" s="6">
        <v>0.1125</v>
      </c>
      <c r="C162" s="6">
        <f t="shared" si="2"/>
        <v>0.1115</v>
      </c>
    </row>
    <row r="163" spans="1:3" x14ac:dyDescent="0.25">
      <c r="A163" s="1">
        <v>45338</v>
      </c>
      <c r="B163" s="6">
        <v>0.1125</v>
      </c>
      <c r="C163" s="6">
        <f t="shared" si="2"/>
        <v>0.1115</v>
      </c>
    </row>
    <row r="164" spans="1:3" x14ac:dyDescent="0.25">
      <c r="A164" s="1">
        <v>45341</v>
      </c>
      <c r="B164" s="6">
        <v>0.1125</v>
      </c>
      <c r="C164" s="6">
        <f t="shared" si="2"/>
        <v>0.1115</v>
      </c>
    </row>
    <row r="165" spans="1:3" x14ac:dyDescent="0.25">
      <c r="A165" s="1">
        <v>45342</v>
      </c>
      <c r="B165" s="6">
        <v>0.1125</v>
      </c>
      <c r="C165" s="6">
        <f t="shared" si="2"/>
        <v>0.1115</v>
      </c>
    </row>
    <row r="166" spans="1:3" x14ac:dyDescent="0.25">
      <c r="A166" s="1">
        <v>45343</v>
      </c>
      <c r="B166" s="6">
        <v>0.1125</v>
      </c>
      <c r="C166" s="6">
        <f t="shared" si="2"/>
        <v>0.1115</v>
      </c>
    </row>
    <row r="167" spans="1:3" x14ac:dyDescent="0.25">
      <c r="A167" s="1">
        <v>45344</v>
      </c>
      <c r="B167" s="6">
        <v>0.1125</v>
      </c>
      <c r="C167" s="6">
        <f t="shared" si="2"/>
        <v>0.1115</v>
      </c>
    </row>
    <row r="168" spans="1:3" x14ac:dyDescent="0.25">
      <c r="A168" s="1">
        <v>45345</v>
      </c>
      <c r="B168" s="6">
        <v>0.1125</v>
      </c>
      <c r="C168" s="6">
        <f t="shared" si="2"/>
        <v>0.1115</v>
      </c>
    </row>
    <row r="169" spans="1:3" x14ac:dyDescent="0.25">
      <c r="A169" s="1">
        <v>45348</v>
      </c>
      <c r="B169" s="6">
        <v>0.1125</v>
      </c>
      <c r="C169" s="6">
        <f t="shared" si="2"/>
        <v>0.1115</v>
      </c>
    </row>
    <row r="170" spans="1:3" x14ac:dyDescent="0.25">
      <c r="A170" s="1">
        <v>45349</v>
      </c>
      <c r="B170" s="6">
        <v>0.1125</v>
      </c>
      <c r="C170" s="6">
        <f t="shared" si="2"/>
        <v>0.1115</v>
      </c>
    </row>
    <row r="171" spans="1:3" x14ac:dyDescent="0.25">
      <c r="A171" s="1">
        <v>45350</v>
      </c>
      <c r="B171" s="6">
        <v>0.1125</v>
      </c>
      <c r="C171" s="6">
        <f t="shared" si="2"/>
        <v>0.1115</v>
      </c>
    </row>
    <row r="172" spans="1:3" x14ac:dyDescent="0.25">
      <c r="A172" s="1">
        <v>45351</v>
      </c>
      <c r="B172" s="6">
        <v>0.1125</v>
      </c>
      <c r="C172" s="6">
        <f t="shared" si="2"/>
        <v>0.1115</v>
      </c>
    </row>
    <row r="173" spans="1:3" x14ac:dyDescent="0.25">
      <c r="A173" s="1">
        <v>45352</v>
      </c>
      <c r="B173" s="6">
        <v>0.1125</v>
      </c>
      <c r="C173" s="6">
        <f t="shared" si="2"/>
        <v>0.1115</v>
      </c>
    </row>
    <row r="174" spans="1:3" x14ac:dyDescent="0.25">
      <c r="A174" s="1">
        <v>45355</v>
      </c>
      <c r="B174" s="6">
        <v>0.1125</v>
      </c>
      <c r="C174" s="6">
        <f t="shared" si="2"/>
        <v>0.1115</v>
      </c>
    </row>
    <row r="175" spans="1:3" x14ac:dyDescent="0.25">
      <c r="A175" s="1">
        <v>45356</v>
      </c>
      <c r="B175" s="6">
        <v>0.1125</v>
      </c>
      <c r="C175" s="6">
        <f t="shared" si="2"/>
        <v>0.1115</v>
      </c>
    </row>
    <row r="176" spans="1:3" x14ac:dyDescent="0.25">
      <c r="A176" s="1">
        <v>45357</v>
      </c>
      <c r="B176" s="6">
        <v>0.1125</v>
      </c>
      <c r="C176" s="6">
        <f t="shared" si="2"/>
        <v>0.1115</v>
      </c>
    </row>
    <row r="177" spans="1:3" x14ac:dyDescent="0.25">
      <c r="A177" s="1">
        <v>45358</v>
      </c>
      <c r="B177" s="6">
        <v>0.1125</v>
      </c>
      <c r="C177" s="6">
        <f t="shared" si="2"/>
        <v>0.1115</v>
      </c>
    </row>
    <row r="178" spans="1:3" x14ac:dyDescent="0.25">
      <c r="A178" s="1">
        <v>45359</v>
      </c>
      <c r="B178" s="6">
        <v>0.1125</v>
      </c>
      <c r="C178" s="6">
        <f t="shared" si="2"/>
        <v>0.1115</v>
      </c>
    </row>
    <row r="179" spans="1:3" x14ac:dyDescent="0.25">
      <c r="A179" s="1">
        <v>45362</v>
      </c>
      <c r="B179" s="6">
        <v>0.1125</v>
      </c>
      <c r="C179" s="6">
        <f t="shared" si="2"/>
        <v>0.1115</v>
      </c>
    </row>
    <row r="180" spans="1:3" x14ac:dyDescent="0.25">
      <c r="A180" s="1">
        <v>45363</v>
      </c>
      <c r="B180" s="6">
        <v>0.1125</v>
      </c>
      <c r="C180" s="6">
        <f t="shared" si="2"/>
        <v>0.1115</v>
      </c>
    </row>
    <row r="181" spans="1:3" x14ac:dyDescent="0.25">
      <c r="A181" s="1">
        <v>45364</v>
      </c>
      <c r="B181" s="6">
        <v>0.1125</v>
      </c>
      <c r="C181" s="6">
        <f t="shared" si="2"/>
        <v>0.1115</v>
      </c>
    </row>
    <row r="182" spans="1:3" x14ac:dyDescent="0.25">
      <c r="A182" s="1">
        <v>45365</v>
      </c>
      <c r="B182" s="6">
        <v>0.1125</v>
      </c>
      <c r="C182" s="6">
        <f t="shared" si="2"/>
        <v>0.1115</v>
      </c>
    </row>
    <row r="183" spans="1:3" x14ac:dyDescent="0.25">
      <c r="A183" s="1">
        <v>45366</v>
      </c>
      <c r="B183" s="6">
        <v>0.1125</v>
      </c>
      <c r="C183" s="6">
        <f t="shared" si="2"/>
        <v>0.1115</v>
      </c>
    </row>
    <row r="184" spans="1:3" x14ac:dyDescent="0.25">
      <c r="A184" s="1">
        <v>45369</v>
      </c>
      <c r="B184" s="6">
        <v>0.1125</v>
      </c>
      <c r="C184" s="6">
        <f t="shared" si="2"/>
        <v>0.1115</v>
      </c>
    </row>
    <row r="185" spans="1:3" x14ac:dyDescent="0.25">
      <c r="A185" s="1">
        <v>45370</v>
      </c>
      <c r="B185" s="6">
        <v>0.1125</v>
      </c>
      <c r="C185" s="6">
        <f t="shared" si="2"/>
        <v>0.1115</v>
      </c>
    </row>
    <row r="186" spans="1:3" x14ac:dyDescent="0.25">
      <c r="A186" s="1">
        <v>45371</v>
      </c>
      <c r="B186" s="6">
        <v>0.1075</v>
      </c>
      <c r="C186" s="6">
        <f t="shared" si="2"/>
        <v>0.1065</v>
      </c>
    </row>
    <row r="187" spans="1:3" x14ac:dyDescent="0.25">
      <c r="A187" s="1">
        <v>45372</v>
      </c>
      <c r="B187" s="6">
        <v>0.1075</v>
      </c>
      <c r="C187" s="6">
        <f t="shared" si="2"/>
        <v>0.1065</v>
      </c>
    </row>
    <row r="188" spans="1:3" x14ac:dyDescent="0.25">
      <c r="A188" s="1">
        <v>45373</v>
      </c>
      <c r="B188" s="6">
        <v>0.1075</v>
      </c>
      <c r="C188" s="6">
        <f t="shared" si="2"/>
        <v>0.1065</v>
      </c>
    </row>
    <row r="189" spans="1:3" x14ac:dyDescent="0.25">
      <c r="A189" s="1">
        <v>45376</v>
      </c>
      <c r="B189" s="6">
        <v>0.1075</v>
      </c>
      <c r="C189" s="6">
        <f t="shared" si="2"/>
        <v>0.1065</v>
      </c>
    </row>
    <row r="190" spans="1:3" x14ac:dyDescent="0.25">
      <c r="A190" s="1">
        <v>45377</v>
      </c>
      <c r="B190" s="6">
        <v>0.1075</v>
      </c>
      <c r="C190" s="6">
        <f t="shared" si="2"/>
        <v>0.1065</v>
      </c>
    </row>
    <row r="191" spans="1:3" x14ac:dyDescent="0.25">
      <c r="A191" s="1">
        <v>45378</v>
      </c>
      <c r="B191" s="6">
        <v>0.1075</v>
      </c>
      <c r="C191" s="6">
        <f t="shared" si="2"/>
        <v>0.1065</v>
      </c>
    </row>
    <row r="192" spans="1:3" x14ac:dyDescent="0.25">
      <c r="A192" s="1">
        <v>45379</v>
      </c>
      <c r="B192" s="6">
        <v>0.1075</v>
      </c>
      <c r="C192" s="6">
        <f t="shared" si="2"/>
        <v>0.1065</v>
      </c>
    </row>
    <row r="193" spans="1:3" x14ac:dyDescent="0.25">
      <c r="A193" s="1">
        <v>45383</v>
      </c>
      <c r="B193" s="6">
        <v>0.1075</v>
      </c>
      <c r="C193" s="6">
        <f t="shared" si="2"/>
        <v>0.1065</v>
      </c>
    </row>
    <row r="194" spans="1:3" x14ac:dyDescent="0.25">
      <c r="A194" s="1">
        <v>45384</v>
      </c>
      <c r="B194" s="6">
        <v>0.1075</v>
      </c>
      <c r="C194" s="6">
        <f t="shared" si="2"/>
        <v>0.1065</v>
      </c>
    </row>
    <row r="195" spans="1:3" x14ac:dyDescent="0.25">
      <c r="A195" s="1">
        <v>45385</v>
      </c>
      <c r="B195" s="6">
        <v>0.1075</v>
      </c>
      <c r="C195" s="6">
        <f t="shared" ref="C195:C258" si="3">B195-0.1%</f>
        <v>0.1065</v>
      </c>
    </row>
    <row r="196" spans="1:3" x14ac:dyDescent="0.25">
      <c r="A196" s="1">
        <v>45386</v>
      </c>
      <c r="B196" s="6">
        <v>0.1075</v>
      </c>
      <c r="C196" s="6">
        <f t="shared" si="3"/>
        <v>0.1065</v>
      </c>
    </row>
    <row r="197" spans="1:3" x14ac:dyDescent="0.25">
      <c r="A197" s="1">
        <v>45387</v>
      </c>
      <c r="B197" s="6">
        <v>0.1075</v>
      </c>
      <c r="C197" s="6">
        <f t="shared" si="3"/>
        <v>0.1065</v>
      </c>
    </row>
    <row r="198" spans="1:3" x14ac:dyDescent="0.25">
      <c r="A198" s="1">
        <v>45390</v>
      </c>
      <c r="B198" s="6">
        <v>0.1075</v>
      </c>
      <c r="C198" s="6">
        <f t="shared" si="3"/>
        <v>0.1065</v>
      </c>
    </row>
    <row r="199" spans="1:3" x14ac:dyDescent="0.25">
      <c r="A199" s="1">
        <v>45391</v>
      </c>
      <c r="B199" s="6">
        <v>0.1075</v>
      </c>
      <c r="C199" s="6">
        <f t="shared" si="3"/>
        <v>0.1065</v>
      </c>
    </row>
    <row r="200" spans="1:3" x14ac:dyDescent="0.25">
      <c r="A200" s="1">
        <v>45392</v>
      </c>
      <c r="B200" s="6">
        <v>0.1075</v>
      </c>
      <c r="C200" s="6">
        <f t="shared" si="3"/>
        <v>0.1065</v>
      </c>
    </row>
    <row r="201" spans="1:3" x14ac:dyDescent="0.25">
      <c r="A201" s="1">
        <v>45393</v>
      </c>
      <c r="B201" s="6">
        <v>0.1075</v>
      </c>
      <c r="C201" s="6">
        <f t="shared" si="3"/>
        <v>0.1065</v>
      </c>
    </row>
    <row r="202" spans="1:3" x14ac:dyDescent="0.25">
      <c r="A202" s="1">
        <v>45394</v>
      </c>
      <c r="B202" s="6">
        <v>0.1075</v>
      </c>
      <c r="C202" s="6">
        <f t="shared" si="3"/>
        <v>0.1065</v>
      </c>
    </row>
    <row r="203" spans="1:3" x14ac:dyDescent="0.25">
      <c r="A203" s="1">
        <v>45397</v>
      </c>
      <c r="B203" s="6">
        <v>0.1075</v>
      </c>
      <c r="C203" s="6">
        <f t="shared" si="3"/>
        <v>0.1065</v>
      </c>
    </row>
    <row r="204" spans="1:3" x14ac:dyDescent="0.25">
      <c r="A204" s="1">
        <v>45398</v>
      </c>
      <c r="B204" s="6">
        <v>0.1075</v>
      </c>
      <c r="C204" s="6">
        <f t="shared" si="3"/>
        <v>0.1065</v>
      </c>
    </row>
    <row r="205" spans="1:3" x14ac:dyDescent="0.25">
      <c r="A205" s="1">
        <v>45399</v>
      </c>
      <c r="B205" s="6">
        <v>0.1075</v>
      </c>
      <c r="C205" s="6">
        <f t="shared" si="3"/>
        <v>0.1065</v>
      </c>
    </row>
    <row r="206" spans="1:3" x14ac:dyDescent="0.25">
      <c r="A206" s="1">
        <v>45400</v>
      </c>
      <c r="B206" s="6">
        <v>0.1075</v>
      </c>
      <c r="C206" s="6">
        <f t="shared" si="3"/>
        <v>0.1065</v>
      </c>
    </row>
    <row r="207" spans="1:3" x14ac:dyDescent="0.25">
      <c r="A207" s="1">
        <v>45401</v>
      </c>
      <c r="B207" s="6">
        <v>0.1075</v>
      </c>
      <c r="C207" s="6">
        <f t="shared" si="3"/>
        <v>0.1065</v>
      </c>
    </row>
    <row r="208" spans="1:3" x14ac:dyDescent="0.25">
      <c r="A208" s="1">
        <v>45404</v>
      </c>
      <c r="B208" s="6">
        <v>0.1075</v>
      </c>
      <c r="C208" s="6">
        <f t="shared" si="3"/>
        <v>0.1065</v>
      </c>
    </row>
    <row r="209" spans="1:3" x14ac:dyDescent="0.25">
      <c r="A209" s="1">
        <v>45405</v>
      </c>
      <c r="B209" s="6">
        <v>0.1075</v>
      </c>
      <c r="C209" s="6">
        <f t="shared" si="3"/>
        <v>0.1065</v>
      </c>
    </row>
    <row r="210" spans="1:3" x14ac:dyDescent="0.25">
      <c r="A210" s="1">
        <v>45406</v>
      </c>
      <c r="B210" s="6">
        <v>0.1075</v>
      </c>
      <c r="C210" s="6">
        <f t="shared" si="3"/>
        <v>0.1065</v>
      </c>
    </row>
    <row r="211" spans="1:3" x14ac:dyDescent="0.25">
      <c r="A211" s="1">
        <v>45407</v>
      </c>
      <c r="B211" s="6">
        <v>0.1075</v>
      </c>
      <c r="C211" s="6">
        <f t="shared" si="3"/>
        <v>0.1065</v>
      </c>
    </row>
    <row r="212" spans="1:3" x14ac:dyDescent="0.25">
      <c r="A212" s="1">
        <v>45408</v>
      </c>
      <c r="B212" s="6">
        <v>0.1075</v>
      </c>
      <c r="C212" s="6">
        <f t="shared" si="3"/>
        <v>0.1065</v>
      </c>
    </row>
    <row r="213" spans="1:3" x14ac:dyDescent="0.25">
      <c r="A213" s="1">
        <v>45411</v>
      </c>
      <c r="B213" s="6">
        <v>0.1075</v>
      </c>
      <c r="C213" s="6">
        <f t="shared" si="3"/>
        <v>0.1065</v>
      </c>
    </row>
    <row r="214" spans="1:3" x14ac:dyDescent="0.25">
      <c r="A214" s="1">
        <v>45412</v>
      </c>
      <c r="B214" s="6">
        <v>0.1075</v>
      </c>
      <c r="C214" s="6">
        <f t="shared" si="3"/>
        <v>0.1065</v>
      </c>
    </row>
    <row r="215" spans="1:3" x14ac:dyDescent="0.25">
      <c r="A215" s="1">
        <v>45414</v>
      </c>
      <c r="B215" s="6">
        <v>0.1075</v>
      </c>
      <c r="C215" s="6">
        <f t="shared" si="3"/>
        <v>0.1065</v>
      </c>
    </row>
    <row r="216" spans="1:3" x14ac:dyDescent="0.25">
      <c r="A216" s="1">
        <v>45415</v>
      </c>
      <c r="B216" s="6">
        <v>0.1075</v>
      </c>
      <c r="C216" s="6">
        <f t="shared" si="3"/>
        <v>0.1065</v>
      </c>
    </row>
    <row r="217" spans="1:3" x14ac:dyDescent="0.25">
      <c r="A217" s="1">
        <v>45418</v>
      </c>
      <c r="B217" s="6">
        <v>0.1075</v>
      </c>
      <c r="C217" s="6">
        <f t="shared" si="3"/>
        <v>0.1065</v>
      </c>
    </row>
    <row r="218" spans="1:3" x14ac:dyDescent="0.25">
      <c r="A218" s="1">
        <v>45419</v>
      </c>
      <c r="B218" s="6">
        <v>0.1075</v>
      </c>
      <c r="C218" s="6">
        <f t="shared" si="3"/>
        <v>0.1065</v>
      </c>
    </row>
    <row r="219" spans="1:3" x14ac:dyDescent="0.25">
      <c r="A219" s="1">
        <v>45420</v>
      </c>
      <c r="B219" s="6">
        <v>0.105</v>
      </c>
      <c r="C219" s="6">
        <f t="shared" si="3"/>
        <v>0.104</v>
      </c>
    </row>
    <row r="220" spans="1:3" x14ac:dyDescent="0.25">
      <c r="A220" s="1">
        <v>45421</v>
      </c>
      <c r="B220" s="6">
        <v>0.105</v>
      </c>
      <c r="C220" s="6">
        <f t="shared" si="3"/>
        <v>0.104</v>
      </c>
    </row>
    <row r="221" spans="1:3" x14ac:dyDescent="0.25">
      <c r="A221" s="1">
        <v>45422</v>
      </c>
      <c r="B221" s="6">
        <v>0.105</v>
      </c>
      <c r="C221" s="6">
        <f t="shared" si="3"/>
        <v>0.104</v>
      </c>
    </row>
    <row r="222" spans="1:3" x14ac:dyDescent="0.25">
      <c r="A222" s="1">
        <v>45425</v>
      </c>
      <c r="B222" s="6">
        <v>0.105</v>
      </c>
      <c r="C222" s="6">
        <f t="shared" si="3"/>
        <v>0.104</v>
      </c>
    </row>
    <row r="223" spans="1:3" x14ac:dyDescent="0.25">
      <c r="A223" s="1">
        <v>45426</v>
      </c>
      <c r="B223" s="6">
        <v>0.105</v>
      </c>
      <c r="C223" s="6">
        <f t="shared" si="3"/>
        <v>0.104</v>
      </c>
    </row>
    <row r="224" spans="1:3" x14ac:dyDescent="0.25">
      <c r="A224" s="1">
        <v>45427</v>
      </c>
      <c r="B224" s="6">
        <v>0.105</v>
      </c>
      <c r="C224" s="6">
        <f t="shared" si="3"/>
        <v>0.104</v>
      </c>
    </row>
    <row r="225" spans="1:3" x14ac:dyDescent="0.25">
      <c r="A225" s="1">
        <v>45428</v>
      </c>
      <c r="B225" s="6">
        <v>0.105</v>
      </c>
      <c r="C225" s="6">
        <f t="shared" si="3"/>
        <v>0.104</v>
      </c>
    </row>
    <row r="226" spans="1:3" x14ac:dyDescent="0.25">
      <c r="A226" s="1">
        <v>45429</v>
      </c>
      <c r="B226" s="6">
        <v>0.105</v>
      </c>
      <c r="C226" s="6">
        <f t="shared" si="3"/>
        <v>0.104</v>
      </c>
    </row>
    <row r="227" spans="1:3" x14ac:dyDescent="0.25">
      <c r="A227" s="1">
        <v>45432</v>
      </c>
      <c r="B227" s="6">
        <v>0.105</v>
      </c>
      <c r="C227" s="6">
        <f t="shared" si="3"/>
        <v>0.104</v>
      </c>
    </row>
    <row r="228" spans="1:3" x14ac:dyDescent="0.25">
      <c r="A228" s="1">
        <v>45433</v>
      </c>
      <c r="B228" s="6">
        <v>0.105</v>
      </c>
      <c r="C228" s="6">
        <f t="shared" si="3"/>
        <v>0.104</v>
      </c>
    </row>
    <row r="229" spans="1:3" x14ac:dyDescent="0.25">
      <c r="A229" s="1">
        <v>45434</v>
      </c>
      <c r="B229" s="6">
        <v>0.105</v>
      </c>
      <c r="C229" s="6">
        <f t="shared" si="3"/>
        <v>0.104</v>
      </c>
    </row>
    <row r="230" spans="1:3" x14ac:dyDescent="0.25">
      <c r="A230" s="1">
        <v>45435</v>
      </c>
      <c r="B230" s="6">
        <v>0.105</v>
      </c>
      <c r="C230" s="6">
        <f t="shared" si="3"/>
        <v>0.104</v>
      </c>
    </row>
    <row r="231" spans="1:3" x14ac:dyDescent="0.25">
      <c r="A231" s="1">
        <v>45436</v>
      </c>
      <c r="B231" s="6">
        <v>0.105</v>
      </c>
      <c r="C231" s="6">
        <f t="shared" si="3"/>
        <v>0.104</v>
      </c>
    </row>
    <row r="232" spans="1:3" x14ac:dyDescent="0.25">
      <c r="A232" s="1">
        <v>45439</v>
      </c>
      <c r="B232" s="6">
        <v>0.105</v>
      </c>
      <c r="C232" s="6">
        <f t="shared" si="3"/>
        <v>0.104</v>
      </c>
    </row>
    <row r="233" spans="1:3" x14ac:dyDescent="0.25">
      <c r="A233" s="1">
        <v>45440</v>
      </c>
      <c r="B233" s="6">
        <v>0.105</v>
      </c>
      <c r="C233" s="6">
        <f t="shared" si="3"/>
        <v>0.104</v>
      </c>
    </row>
    <row r="234" spans="1:3" x14ac:dyDescent="0.25">
      <c r="A234" s="1">
        <v>45441</v>
      </c>
      <c r="B234" s="6">
        <v>0.105</v>
      </c>
      <c r="C234" s="6">
        <f t="shared" si="3"/>
        <v>0.104</v>
      </c>
    </row>
    <row r="235" spans="1:3" x14ac:dyDescent="0.25">
      <c r="A235" s="1">
        <v>45443</v>
      </c>
      <c r="B235" s="6">
        <v>0.105</v>
      </c>
      <c r="C235" s="6">
        <f t="shared" si="3"/>
        <v>0.104</v>
      </c>
    </row>
    <row r="236" spans="1:3" x14ac:dyDescent="0.25">
      <c r="A236" s="1">
        <v>45446</v>
      </c>
      <c r="B236" s="6">
        <v>0.105</v>
      </c>
      <c r="C236" s="6">
        <f t="shared" si="3"/>
        <v>0.104</v>
      </c>
    </row>
    <row r="237" spans="1:3" x14ac:dyDescent="0.25">
      <c r="A237" s="1">
        <v>45447</v>
      </c>
      <c r="B237" s="6">
        <v>0.105</v>
      </c>
      <c r="C237" s="6">
        <f t="shared" si="3"/>
        <v>0.104</v>
      </c>
    </row>
    <row r="238" spans="1:3" x14ac:dyDescent="0.25">
      <c r="A238" s="1">
        <v>45448</v>
      </c>
      <c r="B238" s="6">
        <v>0.105</v>
      </c>
      <c r="C238" s="6">
        <f t="shared" si="3"/>
        <v>0.104</v>
      </c>
    </row>
    <row r="239" spans="1:3" x14ac:dyDescent="0.25">
      <c r="A239" s="1">
        <v>45449</v>
      </c>
      <c r="B239" s="6">
        <v>0.105</v>
      </c>
      <c r="C239" s="6">
        <f t="shared" si="3"/>
        <v>0.104</v>
      </c>
    </row>
    <row r="240" spans="1:3" x14ac:dyDescent="0.25">
      <c r="A240" s="1">
        <v>45450</v>
      </c>
      <c r="B240" s="6">
        <v>0.105</v>
      </c>
      <c r="C240" s="6">
        <f t="shared" si="3"/>
        <v>0.104</v>
      </c>
    </row>
    <row r="241" spans="1:3" x14ac:dyDescent="0.25">
      <c r="A241" s="1">
        <v>45453</v>
      </c>
      <c r="B241" s="6">
        <v>0.105</v>
      </c>
      <c r="C241" s="6">
        <f t="shared" si="3"/>
        <v>0.104</v>
      </c>
    </row>
    <row r="242" spans="1:3" x14ac:dyDescent="0.25">
      <c r="A242" s="1">
        <v>45454</v>
      </c>
      <c r="B242" s="6">
        <v>0.105</v>
      </c>
      <c r="C242" s="6">
        <f t="shared" si="3"/>
        <v>0.104</v>
      </c>
    </row>
    <row r="243" spans="1:3" x14ac:dyDescent="0.25">
      <c r="A243" s="1">
        <v>45455</v>
      </c>
      <c r="B243" s="6">
        <v>0.105</v>
      </c>
      <c r="C243" s="6">
        <f t="shared" si="3"/>
        <v>0.104</v>
      </c>
    </row>
    <row r="244" spans="1:3" x14ac:dyDescent="0.25">
      <c r="A244" s="1">
        <v>45456</v>
      </c>
      <c r="B244" s="6">
        <v>0.105</v>
      </c>
      <c r="C244" s="6">
        <f t="shared" si="3"/>
        <v>0.104</v>
      </c>
    </row>
    <row r="245" spans="1:3" x14ac:dyDescent="0.25">
      <c r="A245" s="1">
        <v>45457</v>
      </c>
      <c r="B245" s="6">
        <v>0.105</v>
      </c>
      <c r="C245" s="6">
        <f t="shared" si="3"/>
        <v>0.104</v>
      </c>
    </row>
    <row r="246" spans="1:3" x14ac:dyDescent="0.25">
      <c r="A246" s="1">
        <v>45460</v>
      </c>
      <c r="B246" s="6">
        <v>0.105</v>
      </c>
      <c r="C246" s="6">
        <f t="shared" si="3"/>
        <v>0.104</v>
      </c>
    </row>
    <row r="247" spans="1:3" x14ac:dyDescent="0.25">
      <c r="A247" s="1">
        <v>45461</v>
      </c>
      <c r="B247" s="6">
        <v>0.105</v>
      </c>
      <c r="C247" s="6">
        <f t="shared" si="3"/>
        <v>0.104</v>
      </c>
    </row>
    <row r="248" spans="1:3" x14ac:dyDescent="0.25">
      <c r="A248" s="1">
        <v>45462</v>
      </c>
      <c r="B248" s="6">
        <v>0.105</v>
      </c>
      <c r="C248" s="6">
        <f t="shared" si="3"/>
        <v>0.104</v>
      </c>
    </row>
    <row r="249" spans="1:3" x14ac:dyDescent="0.25">
      <c r="A249" s="1">
        <v>45463</v>
      </c>
      <c r="B249" s="6">
        <v>0.105</v>
      </c>
      <c r="C249" s="6">
        <f t="shared" si="3"/>
        <v>0.104</v>
      </c>
    </row>
    <row r="250" spans="1:3" x14ac:dyDescent="0.25">
      <c r="A250" s="1">
        <v>45464</v>
      </c>
      <c r="B250" s="6">
        <v>0.105</v>
      </c>
      <c r="C250" s="6">
        <f t="shared" si="3"/>
        <v>0.104</v>
      </c>
    </row>
    <row r="251" spans="1:3" x14ac:dyDescent="0.25">
      <c r="A251" s="1">
        <v>45467</v>
      </c>
      <c r="B251" s="6">
        <v>0.105</v>
      </c>
      <c r="C251" s="6">
        <f t="shared" si="3"/>
        <v>0.104</v>
      </c>
    </row>
    <row r="252" spans="1:3" x14ac:dyDescent="0.25">
      <c r="A252" s="1">
        <v>45468</v>
      </c>
      <c r="B252" s="6">
        <v>0.105</v>
      </c>
      <c r="C252" s="6">
        <f t="shared" si="3"/>
        <v>0.104</v>
      </c>
    </row>
    <row r="253" spans="1:3" x14ac:dyDescent="0.25">
      <c r="A253" s="1">
        <v>45469</v>
      </c>
      <c r="B253" s="6">
        <v>0.105</v>
      </c>
      <c r="C253" s="6">
        <f t="shared" si="3"/>
        <v>0.104</v>
      </c>
    </row>
    <row r="254" spans="1:3" x14ac:dyDescent="0.25">
      <c r="A254" s="1">
        <v>45470</v>
      </c>
      <c r="B254" s="6">
        <v>0.105</v>
      </c>
      <c r="C254" s="6">
        <f t="shared" si="3"/>
        <v>0.104</v>
      </c>
    </row>
    <row r="255" spans="1:3" x14ac:dyDescent="0.25">
      <c r="A255" s="1">
        <v>45471</v>
      </c>
      <c r="B255" s="6">
        <v>0.105</v>
      </c>
      <c r="C255" s="6">
        <f t="shared" si="3"/>
        <v>0.104</v>
      </c>
    </row>
    <row r="256" spans="1:3" x14ac:dyDescent="0.25">
      <c r="A256" s="1">
        <v>45474</v>
      </c>
      <c r="B256" s="6">
        <v>0.105</v>
      </c>
      <c r="C256" s="6">
        <f t="shared" si="3"/>
        <v>0.104</v>
      </c>
    </row>
    <row r="257" spans="1:3" x14ac:dyDescent="0.25">
      <c r="A257" s="1">
        <v>45475</v>
      </c>
      <c r="B257" s="6">
        <v>0.105</v>
      </c>
      <c r="C257" s="6">
        <f t="shared" si="3"/>
        <v>0.104</v>
      </c>
    </row>
    <row r="258" spans="1:3" x14ac:dyDescent="0.25">
      <c r="A258" s="1">
        <v>45476</v>
      </c>
      <c r="B258" s="6">
        <v>0.105</v>
      </c>
      <c r="C258" s="6">
        <f t="shared" si="3"/>
        <v>0.104</v>
      </c>
    </row>
    <row r="259" spans="1:3" x14ac:dyDescent="0.25">
      <c r="A259" s="1">
        <v>45477</v>
      </c>
      <c r="B259" s="6">
        <v>0.105</v>
      </c>
      <c r="C259" s="6">
        <f t="shared" ref="C259:C322" si="4">B259-0.1%</f>
        <v>0.104</v>
      </c>
    </row>
    <row r="260" spans="1:3" x14ac:dyDescent="0.25">
      <c r="A260" s="1">
        <v>45478</v>
      </c>
      <c r="B260" s="6">
        <v>0.105</v>
      </c>
      <c r="C260" s="6">
        <f t="shared" si="4"/>
        <v>0.104</v>
      </c>
    </row>
    <row r="261" spans="1:3" x14ac:dyDescent="0.25">
      <c r="A261" s="1">
        <v>45481</v>
      </c>
      <c r="B261" s="6">
        <v>0.105</v>
      </c>
      <c r="C261" s="6">
        <f t="shared" si="4"/>
        <v>0.104</v>
      </c>
    </row>
    <row r="262" spans="1:3" x14ac:dyDescent="0.25">
      <c r="A262" s="1">
        <v>45482</v>
      </c>
      <c r="B262" s="6">
        <v>0.105</v>
      </c>
      <c r="C262" s="6">
        <f t="shared" si="4"/>
        <v>0.104</v>
      </c>
    </row>
    <row r="263" spans="1:3" x14ac:dyDescent="0.25">
      <c r="A263" s="1">
        <v>45483</v>
      </c>
      <c r="B263" s="6">
        <v>0.105</v>
      </c>
      <c r="C263" s="6">
        <f t="shared" si="4"/>
        <v>0.104</v>
      </c>
    </row>
    <row r="264" spans="1:3" x14ac:dyDescent="0.25">
      <c r="A264" s="1">
        <v>45484</v>
      </c>
      <c r="B264" s="6">
        <v>0.105</v>
      </c>
      <c r="C264" s="6">
        <f t="shared" si="4"/>
        <v>0.104</v>
      </c>
    </row>
    <row r="265" spans="1:3" x14ac:dyDescent="0.25">
      <c r="A265" s="1">
        <v>45485</v>
      </c>
      <c r="B265" s="6">
        <v>0.105</v>
      </c>
      <c r="C265" s="6">
        <f t="shared" si="4"/>
        <v>0.104</v>
      </c>
    </row>
    <row r="266" spans="1:3" x14ac:dyDescent="0.25">
      <c r="A266" s="1">
        <v>45488</v>
      </c>
      <c r="B266" s="6">
        <v>0.105</v>
      </c>
      <c r="C266" s="6">
        <f t="shared" si="4"/>
        <v>0.104</v>
      </c>
    </row>
    <row r="267" spans="1:3" x14ac:dyDescent="0.25">
      <c r="A267" s="1">
        <v>45489</v>
      </c>
      <c r="B267" s="6">
        <v>0.105</v>
      </c>
      <c r="C267" s="6">
        <f t="shared" si="4"/>
        <v>0.104</v>
      </c>
    </row>
    <row r="268" spans="1:3" x14ac:dyDescent="0.25">
      <c r="A268" s="1">
        <v>45490</v>
      </c>
      <c r="B268" s="6">
        <v>0.105</v>
      </c>
      <c r="C268" s="6">
        <f t="shared" si="4"/>
        <v>0.104</v>
      </c>
    </row>
    <row r="269" spans="1:3" x14ac:dyDescent="0.25">
      <c r="A269" s="1">
        <v>45491</v>
      </c>
      <c r="B269" s="6">
        <v>0.105</v>
      </c>
      <c r="C269" s="6">
        <f t="shared" si="4"/>
        <v>0.104</v>
      </c>
    </row>
    <row r="270" spans="1:3" x14ac:dyDescent="0.25">
      <c r="A270" s="1">
        <v>45492</v>
      </c>
      <c r="B270" s="6">
        <v>0.105</v>
      </c>
      <c r="C270" s="6">
        <f t="shared" si="4"/>
        <v>0.104</v>
      </c>
    </row>
    <row r="271" spans="1:3" x14ac:dyDescent="0.25">
      <c r="A271" s="1">
        <v>45495</v>
      </c>
      <c r="B271" s="6">
        <v>0.105</v>
      </c>
      <c r="C271" s="6">
        <f t="shared" si="4"/>
        <v>0.104</v>
      </c>
    </row>
    <row r="272" spans="1:3" x14ac:dyDescent="0.25">
      <c r="A272" s="1">
        <v>45496</v>
      </c>
      <c r="B272" s="6">
        <v>0.105</v>
      </c>
      <c r="C272" s="6">
        <f t="shared" si="4"/>
        <v>0.104</v>
      </c>
    </row>
    <row r="273" spans="1:3" x14ac:dyDescent="0.25">
      <c r="A273" s="1">
        <v>45497</v>
      </c>
      <c r="B273" s="6">
        <v>0.105</v>
      </c>
      <c r="C273" s="6">
        <f t="shared" si="4"/>
        <v>0.104</v>
      </c>
    </row>
    <row r="274" spans="1:3" x14ac:dyDescent="0.25">
      <c r="A274" s="1">
        <v>45498</v>
      </c>
      <c r="B274" s="6">
        <v>0.105</v>
      </c>
      <c r="C274" s="6">
        <f t="shared" si="4"/>
        <v>0.104</v>
      </c>
    </row>
    <row r="275" spans="1:3" x14ac:dyDescent="0.25">
      <c r="A275" s="1">
        <v>45499</v>
      </c>
      <c r="B275" s="6">
        <v>0.105</v>
      </c>
      <c r="C275" s="6">
        <f t="shared" si="4"/>
        <v>0.104</v>
      </c>
    </row>
    <row r="276" spans="1:3" x14ac:dyDescent="0.25">
      <c r="A276" s="1">
        <v>45502</v>
      </c>
      <c r="B276" s="6">
        <v>0.105</v>
      </c>
      <c r="C276" s="6">
        <f t="shared" si="4"/>
        <v>0.104</v>
      </c>
    </row>
    <row r="277" spans="1:3" x14ac:dyDescent="0.25">
      <c r="A277" s="1">
        <v>45503</v>
      </c>
      <c r="B277" s="6">
        <v>0.105</v>
      </c>
      <c r="C277" s="6">
        <f t="shared" si="4"/>
        <v>0.104</v>
      </c>
    </row>
    <row r="278" spans="1:3" x14ac:dyDescent="0.25">
      <c r="A278" s="1">
        <v>45504</v>
      </c>
      <c r="B278" s="6">
        <v>0.105</v>
      </c>
      <c r="C278" s="6">
        <f t="shared" si="4"/>
        <v>0.104</v>
      </c>
    </row>
    <row r="279" spans="1:3" x14ac:dyDescent="0.25">
      <c r="A279" s="1">
        <v>45505</v>
      </c>
      <c r="B279" s="6">
        <v>0.105</v>
      </c>
      <c r="C279" s="6">
        <f t="shared" si="4"/>
        <v>0.104</v>
      </c>
    </row>
    <row r="280" spans="1:3" x14ac:dyDescent="0.25">
      <c r="A280" s="1">
        <v>45506</v>
      </c>
      <c r="B280" s="6">
        <v>0.105</v>
      </c>
      <c r="C280" s="6">
        <f t="shared" si="4"/>
        <v>0.104</v>
      </c>
    </row>
    <row r="281" spans="1:3" x14ac:dyDescent="0.25">
      <c r="A281" s="1">
        <v>45509</v>
      </c>
      <c r="B281" s="6">
        <v>0.105</v>
      </c>
      <c r="C281" s="6">
        <f t="shared" si="4"/>
        <v>0.104</v>
      </c>
    </row>
    <row r="282" spans="1:3" x14ac:dyDescent="0.25">
      <c r="A282" s="1">
        <v>45510</v>
      </c>
      <c r="B282" s="6">
        <v>0.105</v>
      </c>
      <c r="C282" s="6">
        <f t="shared" si="4"/>
        <v>0.104</v>
      </c>
    </row>
    <row r="283" spans="1:3" x14ac:dyDescent="0.25">
      <c r="A283" s="1">
        <v>45511</v>
      </c>
      <c r="B283" s="6">
        <v>0.105</v>
      </c>
      <c r="C283" s="6">
        <f t="shared" si="4"/>
        <v>0.104</v>
      </c>
    </row>
    <row r="284" spans="1:3" x14ac:dyDescent="0.25">
      <c r="A284" s="1">
        <v>45512</v>
      </c>
      <c r="B284" s="6">
        <v>0.105</v>
      </c>
      <c r="C284" s="6">
        <f t="shared" si="4"/>
        <v>0.104</v>
      </c>
    </row>
    <row r="285" spans="1:3" x14ac:dyDescent="0.25">
      <c r="A285" s="1">
        <v>45513</v>
      </c>
      <c r="B285" s="6">
        <v>0.105</v>
      </c>
      <c r="C285" s="6">
        <f t="shared" si="4"/>
        <v>0.104</v>
      </c>
    </row>
    <row r="286" spans="1:3" x14ac:dyDescent="0.25">
      <c r="A286" s="1">
        <v>45516</v>
      </c>
      <c r="B286" s="6">
        <v>0.105</v>
      </c>
      <c r="C286" s="6">
        <f t="shared" si="4"/>
        <v>0.104</v>
      </c>
    </row>
    <row r="287" spans="1:3" x14ac:dyDescent="0.25">
      <c r="A287" s="1">
        <v>45517</v>
      </c>
      <c r="B287" s="6">
        <v>0.105</v>
      </c>
      <c r="C287" s="6">
        <f t="shared" si="4"/>
        <v>0.104</v>
      </c>
    </row>
    <row r="288" spans="1:3" x14ac:dyDescent="0.25">
      <c r="A288" s="1">
        <v>45518</v>
      </c>
      <c r="B288" s="6">
        <v>0.105</v>
      </c>
      <c r="C288" s="6">
        <f t="shared" si="4"/>
        <v>0.104</v>
      </c>
    </row>
    <row r="289" spans="1:3" x14ac:dyDescent="0.25">
      <c r="A289" s="1">
        <v>45519</v>
      </c>
      <c r="B289" s="6">
        <v>0.105</v>
      </c>
      <c r="C289" s="6">
        <f t="shared" si="4"/>
        <v>0.104</v>
      </c>
    </row>
    <row r="290" spans="1:3" x14ac:dyDescent="0.25">
      <c r="A290" s="1">
        <v>45520</v>
      </c>
      <c r="B290" s="6">
        <v>0.105</v>
      </c>
      <c r="C290" s="6">
        <f t="shared" si="4"/>
        <v>0.104</v>
      </c>
    </row>
    <row r="291" spans="1:3" x14ac:dyDescent="0.25">
      <c r="A291" s="1">
        <v>45523</v>
      </c>
      <c r="B291" s="6">
        <v>0.105</v>
      </c>
      <c r="C291" s="6">
        <f t="shared" si="4"/>
        <v>0.104</v>
      </c>
    </row>
    <row r="292" spans="1:3" x14ac:dyDescent="0.25">
      <c r="A292" s="1">
        <v>45524</v>
      </c>
      <c r="B292" s="6">
        <v>0.105</v>
      </c>
      <c r="C292" s="6">
        <f t="shared" si="4"/>
        <v>0.104</v>
      </c>
    </row>
    <row r="293" spans="1:3" x14ac:dyDescent="0.25">
      <c r="A293" s="1">
        <v>45525</v>
      </c>
      <c r="B293" s="6">
        <v>0.105</v>
      </c>
      <c r="C293" s="6">
        <f t="shared" si="4"/>
        <v>0.104</v>
      </c>
    </row>
    <row r="294" spans="1:3" x14ac:dyDescent="0.25">
      <c r="A294" s="1">
        <v>45526</v>
      </c>
      <c r="B294" s="6">
        <v>0.105</v>
      </c>
      <c r="C294" s="6">
        <f t="shared" si="4"/>
        <v>0.104</v>
      </c>
    </row>
    <row r="295" spans="1:3" x14ac:dyDescent="0.25">
      <c r="A295" s="1">
        <v>45527</v>
      </c>
      <c r="B295" s="6">
        <v>0.105</v>
      </c>
      <c r="C295" s="6">
        <f t="shared" si="4"/>
        <v>0.104</v>
      </c>
    </row>
    <row r="296" spans="1:3" x14ac:dyDescent="0.25">
      <c r="A296" s="1">
        <v>45530</v>
      </c>
      <c r="B296" s="6">
        <v>0.105</v>
      </c>
      <c r="C296" s="6">
        <f t="shared" si="4"/>
        <v>0.104</v>
      </c>
    </row>
    <row r="297" spans="1:3" x14ac:dyDescent="0.25">
      <c r="A297" s="1">
        <v>45531</v>
      </c>
      <c r="B297" s="6">
        <v>0.105</v>
      </c>
      <c r="C297" s="6">
        <f t="shared" si="4"/>
        <v>0.104</v>
      </c>
    </row>
    <row r="298" spans="1:3" x14ac:dyDescent="0.25">
      <c r="A298" s="1">
        <v>45532</v>
      </c>
      <c r="B298" s="6">
        <v>0.105</v>
      </c>
      <c r="C298" s="6">
        <f t="shared" si="4"/>
        <v>0.104</v>
      </c>
    </row>
    <row r="299" spans="1:3" x14ac:dyDescent="0.25">
      <c r="A299" s="1">
        <v>45533</v>
      </c>
      <c r="B299" s="6">
        <v>0.105</v>
      </c>
      <c r="C299" s="6">
        <f t="shared" si="4"/>
        <v>0.104</v>
      </c>
    </row>
    <row r="300" spans="1:3" x14ac:dyDescent="0.25">
      <c r="A300" s="1">
        <v>45534</v>
      </c>
      <c r="B300" s="6">
        <v>0.105</v>
      </c>
      <c r="C300" s="6">
        <f t="shared" si="4"/>
        <v>0.104</v>
      </c>
    </row>
    <row r="301" spans="1:3" x14ac:dyDescent="0.25">
      <c r="A301" s="1">
        <v>45537</v>
      </c>
      <c r="B301" s="6">
        <v>0.105</v>
      </c>
      <c r="C301" s="6">
        <f t="shared" si="4"/>
        <v>0.104</v>
      </c>
    </row>
    <row r="302" spans="1:3" x14ac:dyDescent="0.25">
      <c r="A302" s="1">
        <v>45538</v>
      </c>
      <c r="B302" s="6">
        <v>0.105</v>
      </c>
      <c r="C302" s="6">
        <f t="shared" si="4"/>
        <v>0.104</v>
      </c>
    </row>
    <row r="303" spans="1:3" x14ac:dyDescent="0.25">
      <c r="A303" s="1">
        <v>45539</v>
      </c>
      <c r="B303" s="6">
        <v>0.105</v>
      </c>
      <c r="C303" s="6">
        <f t="shared" si="4"/>
        <v>0.104</v>
      </c>
    </row>
    <row r="304" spans="1:3" x14ac:dyDescent="0.25">
      <c r="A304" s="1">
        <v>45540</v>
      </c>
      <c r="B304" s="6">
        <v>0.105</v>
      </c>
      <c r="C304" s="6">
        <f t="shared" si="4"/>
        <v>0.104</v>
      </c>
    </row>
    <row r="305" spans="1:3" x14ac:dyDescent="0.25">
      <c r="A305" s="1">
        <v>45541</v>
      </c>
      <c r="B305" s="6">
        <v>0.105</v>
      </c>
      <c r="C305" s="6">
        <f t="shared" si="4"/>
        <v>0.104</v>
      </c>
    </row>
    <row r="306" spans="1:3" x14ac:dyDescent="0.25">
      <c r="A306" s="1">
        <v>45544</v>
      </c>
      <c r="B306" s="6">
        <v>0.105</v>
      </c>
      <c r="C306" s="6">
        <f t="shared" si="4"/>
        <v>0.104</v>
      </c>
    </row>
    <row r="307" spans="1:3" x14ac:dyDescent="0.25">
      <c r="A307" s="1">
        <v>45545</v>
      </c>
      <c r="B307" s="6">
        <v>0.105</v>
      </c>
      <c r="C307" s="6">
        <f t="shared" si="4"/>
        <v>0.104</v>
      </c>
    </row>
    <row r="308" spans="1:3" x14ac:dyDescent="0.25">
      <c r="A308" s="1">
        <v>45546</v>
      </c>
      <c r="B308" s="6">
        <v>0.105</v>
      </c>
      <c r="C308" s="6">
        <f t="shared" si="4"/>
        <v>0.104</v>
      </c>
    </row>
    <row r="309" spans="1:3" x14ac:dyDescent="0.25">
      <c r="A309" s="1">
        <v>45547</v>
      </c>
      <c r="B309" s="6">
        <v>0.105</v>
      </c>
      <c r="C309" s="6">
        <f t="shared" si="4"/>
        <v>0.104</v>
      </c>
    </row>
    <row r="310" spans="1:3" x14ac:dyDescent="0.25">
      <c r="A310" s="1">
        <v>45548</v>
      </c>
      <c r="B310" s="6">
        <v>0.105</v>
      </c>
      <c r="C310" s="6">
        <f t="shared" si="4"/>
        <v>0.104</v>
      </c>
    </row>
    <row r="311" spans="1:3" x14ac:dyDescent="0.25">
      <c r="A311" s="1">
        <v>45551</v>
      </c>
      <c r="B311" s="6">
        <v>0.105</v>
      </c>
      <c r="C311" s="6">
        <f t="shared" si="4"/>
        <v>0.104</v>
      </c>
    </row>
    <row r="312" spans="1:3" x14ac:dyDescent="0.25">
      <c r="A312" s="1">
        <v>45552</v>
      </c>
      <c r="B312" s="6">
        <v>0.105</v>
      </c>
      <c r="C312" s="6">
        <f t="shared" si="4"/>
        <v>0.104</v>
      </c>
    </row>
    <row r="313" spans="1:3" x14ac:dyDescent="0.25">
      <c r="A313" s="1">
        <v>45553</v>
      </c>
      <c r="B313" s="6">
        <v>0.1075</v>
      </c>
      <c r="C313" s="6">
        <f t="shared" si="4"/>
        <v>0.1065</v>
      </c>
    </row>
    <row r="314" spans="1:3" x14ac:dyDescent="0.25">
      <c r="A314" s="1">
        <v>45554</v>
      </c>
      <c r="B314" s="6">
        <v>0.1075</v>
      </c>
      <c r="C314" s="6">
        <f t="shared" si="4"/>
        <v>0.1065</v>
      </c>
    </row>
    <row r="315" spans="1:3" x14ac:dyDescent="0.25">
      <c r="A315" s="1">
        <v>45555</v>
      </c>
      <c r="B315" s="6">
        <v>0.1075</v>
      </c>
      <c r="C315" s="6">
        <f t="shared" si="4"/>
        <v>0.1065</v>
      </c>
    </row>
    <row r="316" spans="1:3" x14ac:dyDescent="0.25">
      <c r="A316" s="1">
        <v>45558</v>
      </c>
      <c r="B316" s="6">
        <v>0.1075</v>
      </c>
      <c r="C316" s="6">
        <f t="shared" si="4"/>
        <v>0.1065</v>
      </c>
    </row>
    <row r="317" spans="1:3" x14ac:dyDescent="0.25">
      <c r="A317" s="1">
        <v>45559</v>
      </c>
      <c r="B317" s="6">
        <v>0.1075</v>
      </c>
      <c r="C317" s="6">
        <f t="shared" si="4"/>
        <v>0.1065</v>
      </c>
    </row>
    <row r="318" spans="1:3" x14ac:dyDescent="0.25">
      <c r="A318" s="1">
        <v>45560</v>
      </c>
      <c r="B318" s="6">
        <v>0.1075</v>
      </c>
      <c r="C318" s="6">
        <f t="shared" si="4"/>
        <v>0.1065</v>
      </c>
    </row>
    <row r="319" spans="1:3" x14ac:dyDescent="0.25">
      <c r="A319" s="1">
        <v>45561</v>
      </c>
      <c r="B319" s="6">
        <v>0.1075</v>
      </c>
      <c r="C319" s="6">
        <f t="shared" si="4"/>
        <v>0.1065</v>
      </c>
    </row>
    <row r="320" spans="1:3" x14ac:dyDescent="0.25">
      <c r="A320" s="1">
        <v>45562</v>
      </c>
      <c r="B320" s="6">
        <v>0.1075</v>
      </c>
      <c r="C320" s="6">
        <f t="shared" si="4"/>
        <v>0.1065</v>
      </c>
    </row>
    <row r="321" spans="1:3" x14ac:dyDescent="0.25">
      <c r="A321" s="1">
        <v>45565</v>
      </c>
      <c r="B321" s="6">
        <v>0.1075</v>
      </c>
      <c r="C321" s="6">
        <f t="shared" si="4"/>
        <v>0.1065</v>
      </c>
    </row>
    <row r="322" spans="1:3" x14ac:dyDescent="0.25">
      <c r="A322" s="1">
        <v>45566</v>
      </c>
      <c r="B322" s="6">
        <v>0.1075</v>
      </c>
      <c r="C322" s="6">
        <f t="shared" si="4"/>
        <v>0.1065</v>
      </c>
    </row>
    <row r="323" spans="1:3" x14ac:dyDescent="0.25">
      <c r="A323" s="1">
        <v>45567</v>
      </c>
      <c r="B323" s="6">
        <v>0.1075</v>
      </c>
      <c r="C323" s="6">
        <f t="shared" ref="C323:C386" si="5">B323-0.1%</f>
        <v>0.1065</v>
      </c>
    </row>
    <row r="324" spans="1:3" x14ac:dyDescent="0.25">
      <c r="A324" s="1">
        <v>45568</v>
      </c>
      <c r="B324" s="6">
        <v>0.1075</v>
      </c>
      <c r="C324" s="6">
        <f t="shared" si="5"/>
        <v>0.1065</v>
      </c>
    </row>
    <row r="325" spans="1:3" x14ac:dyDescent="0.25">
      <c r="A325" s="1">
        <v>45569</v>
      </c>
      <c r="B325" s="6">
        <v>0.1075</v>
      </c>
      <c r="C325" s="6">
        <f t="shared" si="5"/>
        <v>0.1065</v>
      </c>
    </row>
    <row r="326" spans="1:3" x14ac:dyDescent="0.25">
      <c r="A326" s="1">
        <v>45572</v>
      </c>
      <c r="B326" s="6">
        <v>0.1075</v>
      </c>
      <c r="C326" s="6">
        <f t="shared" si="5"/>
        <v>0.1065</v>
      </c>
    </row>
    <row r="327" spans="1:3" x14ac:dyDescent="0.25">
      <c r="A327" s="1">
        <v>45573</v>
      </c>
      <c r="B327" s="6">
        <v>0.1075</v>
      </c>
      <c r="C327" s="6">
        <f t="shared" si="5"/>
        <v>0.1065</v>
      </c>
    </row>
    <row r="328" spans="1:3" x14ac:dyDescent="0.25">
      <c r="A328" s="1">
        <v>45574</v>
      </c>
      <c r="B328" s="6">
        <v>0.1075</v>
      </c>
      <c r="C328" s="6">
        <f t="shared" si="5"/>
        <v>0.1065</v>
      </c>
    </row>
    <row r="329" spans="1:3" x14ac:dyDescent="0.25">
      <c r="A329" s="1">
        <v>45575</v>
      </c>
      <c r="B329" s="6">
        <v>0.1075</v>
      </c>
      <c r="C329" s="6">
        <f t="shared" si="5"/>
        <v>0.1065</v>
      </c>
    </row>
    <row r="330" spans="1:3" x14ac:dyDescent="0.25">
      <c r="A330" s="1">
        <v>45576</v>
      </c>
      <c r="B330" s="6">
        <v>0.1075</v>
      </c>
      <c r="C330" s="6">
        <f t="shared" si="5"/>
        <v>0.1065</v>
      </c>
    </row>
    <row r="331" spans="1:3" x14ac:dyDescent="0.25">
      <c r="A331" s="1">
        <v>45579</v>
      </c>
      <c r="B331" s="6">
        <v>0.1075</v>
      </c>
      <c r="C331" s="6">
        <f t="shared" si="5"/>
        <v>0.1065</v>
      </c>
    </row>
    <row r="332" spans="1:3" x14ac:dyDescent="0.25">
      <c r="A332" s="1">
        <v>45580</v>
      </c>
      <c r="B332" s="6">
        <v>0.1075</v>
      </c>
      <c r="C332" s="6">
        <f t="shared" si="5"/>
        <v>0.1065</v>
      </c>
    </row>
    <row r="333" spans="1:3" x14ac:dyDescent="0.25">
      <c r="A333" s="1">
        <v>45581</v>
      </c>
      <c r="B333" s="6">
        <v>0.1075</v>
      </c>
      <c r="C333" s="6">
        <f t="shared" si="5"/>
        <v>0.1065</v>
      </c>
    </row>
    <row r="334" spans="1:3" x14ac:dyDescent="0.25">
      <c r="A334" s="1">
        <v>45582</v>
      </c>
      <c r="B334" s="6">
        <v>0.1075</v>
      </c>
      <c r="C334" s="6">
        <f t="shared" si="5"/>
        <v>0.1065</v>
      </c>
    </row>
    <row r="335" spans="1:3" x14ac:dyDescent="0.25">
      <c r="A335" s="1">
        <v>45583</v>
      </c>
      <c r="B335" s="6">
        <v>0.1075</v>
      </c>
      <c r="C335" s="6">
        <f t="shared" si="5"/>
        <v>0.1065</v>
      </c>
    </row>
    <row r="336" spans="1:3" x14ac:dyDescent="0.25">
      <c r="A336" s="1">
        <v>45586</v>
      </c>
      <c r="B336" s="6">
        <v>0.1075</v>
      </c>
      <c r="C336" s="6">
        <f t="shared" si="5"/>
        <v>0.1065</v>
      </c>
    </row>
    <row r="337" spans="1:3" x14ac:dyDescent="0.25">
      <c r="A337" s="1">
        <v>45587</v>
      </c>
      <c r="B337" s="6">
        <v>0.1075</v>
      </c>
      <c r="C337" s="6">
        <f t="shared" si="5"/>
        <v>0.1065</v>
      </c>
    </row>
    <row r="338" spans="1:3" x14ac:dyDescent="0.25">
      <c r="A338" s="1">
        <v>45588</v>
      </c>
      <c r="B338" s="6">
        <v>0.1075</v>
      </c>
      <c r="C338" s="6">
        <f t="shared" si="5"/>
        <v>0.1065</v>
      </c>
    </row>
    <row r="339" spans="1:3" x14ac:dyDescent="0.25">
      <c r="A339" s="1">
        <v>45589</v>
      </c>
      <c r="B339" s="6">
        <v>0.1075</v>
      </c>
      <c r="C339" s="6">
        <f t="shared" si="5"/>
        <v>0.1065</v>
      </c>
    </row>
    <row r="340" spans="1:3" x14ac:dyDescent="0.25">
      <c r="A340" s="1">
        <v>45590</v>
      </c>
      <c r="B340" s="6">
        <v>0.1075</v>
      </c>
      <c r="C340" s="6">
        <f t="shared" si="5"/>
        <v>0.1065</v>
      </c>
    </row>
    <row r="341" spans="1:3" x14ac:dyDescent="0.25">
      <c r="A341" s="1">
        <v>45593</v>
      </c>
      <c r="B341" s="6">
        <v>0.1075</v>
      </c>
      <c r="C341" s="6">
        <f t="shared" si="5"/>
        <v>0.1065</v>
      </c>
    </row>
    <row r="342" spans="1:3" x14ac:dyDescent="0.25">
      <c r="A342" s="1">
        <v>45594</v>
      </c>
      <c r="B342" s="6">
        <v>0.1075</v>
      </c>
      <c r="C342" s="6">
        <f t="shared" si="5"/>
        <v>0.1065</v>
      </c>
    </row>
    <row r="343" spans="1:3" x14ac:dyDescent="0.25">
      <c r="A343" s="1">
        <v>45595</v>
      </c>
      <c r="B343" s="6">
        <v>0.1075</v>
      </c>
      <c r="C343" s="6">
        <f t="shared" si="5"/>
        <v>0.1065</v>
      </c>
    </row>
    <row r="344" spans="1:3" x14ac:dyDescent="0.25">
      <c r="A344" s="1">
        <v>45596</v>
      </c>
      <c r="B344" s="6">
        <v>0.1075</v>
      </c>
      <c r="C344" s="6">
        <f t="shared" si="5"/>
        <v>0.1065</v>
      </c>
    </row>
    <row r="345" spans="1:3" x14ac:dyDescent="0.25">
      <c r="A345" s="1">
        <v>45597</v>
      </c>
      <c r="B345" s="6">
        <v>0.1075</v>
      </c>
      <c r="C345" s="6">
        <f t="shared" si="5"/>
        <v>0.1065</v>
      </c>
    </row>
    <row r="346" spans="1:3" x14ac:dyDescent="0.25">
      <c r="A346" s="1">
        <v>45600</v>
      </c>
      <c r="B346" s="6">
        <v>0.1075</v>
      </c>
      <c r="C346" s="6">
        <f t="shared" si="5"/>
        <v>0.1065</v>
      </c>
    </row>
    <row r="347" spans="1:3" x14ac:dyDescent="0.25">
      <c r="A347" s="1">
        <v>45601</v>
      </c>
      <c r="B347" s="6">
        <v>0.1075</v>
      </c>
      <c r="C347" s="6">
        <f t="shared" si="5"/>
        <v>0.1065</v>
      </c>
    </row>
    <row r="348" spans="1:3" x14ac:dyDescent="0.25">
      <c r="A348" s="1">
        <v>45602</v>
      </c>
      <c r="B348" s="6">
        <v>0.1125</v>
      </c>
      <c r="C348" s="6">
        <f t="shared" si="5"/>
        <v>0.1115</v>
      </c>
    </row>
    <row r="349" spans="1:3" x14ac:dyDescent="0.25">
      <c r="A349" s="1">
        <v>45603</v>
      </c>
      <c r="B349" s="6">
        <v>0.1125</v>
      </c>
      <c r="C349" s="6">
        <f t="shared" si="5"/>
        <v>0.1115</v>
      </c>
    </row>
    <row r="350" spans="1:3" x14ac:dyDescent="0.25">
      <c r="A350" s="1">
        <v>45604</v>
      </c>
      <c r="B350" s="6">
        <v>0.1125</v>
      </c>
      <c r="C350" s="6">
        <f t="shared" si="5"/>
        <v>0.1115</v>
      </c>
    </row>
    <row r="351" spans="1:3" x14ac:dyDescent="0.25">
      <c r="A351" s="1">
        <v>45607</v>
      </c>
      <c r="B351" s="6">
        <v>0.1125</v>
      </c>
      <c r="C351" s="6">
        <f t="shared" si="5"/>
        <v>0.1115</v>
      </c>
    </row>
    <row r="352" spans="1:3" x14ac:dyDescent="0.25">
      <c r="A352" s="1">
        <v>45608</v>
      </c>
      <c r="B352" s="6">
        <v>0.1125</v>
      </c>
      <c r="C352" s="6">
        <f t="shared" si="5"/>
        <v>0.1115</v>
      </c>
    </row>
    <row r="353" spans="1:3" x14ac:dyDescent="0.25">
      <c r="A353" s="1">
        <v>45609</v>
      </c>
      <c r="B353" s="6">
        <v>0.1125</v>
      </c>
      <c r="C353" s="6">
        <f t="shared" si="5"/>
        <v>0.1115</v>
      </c>
    </row>
    <row r="354" spans="1:3" x14ac:dyDescent="0.25">
      <c r="A354" s="1">
        <v>45610</v>
      </c>
      <c r="B354" s="6">
        <v>0.1125</v>
      </c>
      <c r="C354" s="6">
        <f t="shared" si="5"/>
        <v>0.1115</v>
      </c>
    </row>
    <row r="355" spans="1:3" x14ac:dyDescent="0.25">
      <c r="A355" s="1">
        <v>45614</v>
      </c>
      <c r="B355" s="6">
        <v>0.1125</v>
      </c>
      <c r="C355" s="6">
        <f t="shared" si="5"/>
        <v>0.1115</v>
      </c>
    </row>
    <row r="356" spans="1:3" x14ac:dyDescent="0.25">
      <c r="A356" s="1">
        <v>45615</v>
      </c>
      <c r="B356" s="6">
        <v>0.1125</v>
      </c>
      <c r="C356" s="6">
        <f t="shared" si="5"/>
        <v>0.1115</v>
      </c>
    </row>
    <row r="357" spans="1:3" x14ac:dyDescent="0.25">
      <c r="A357" s="1">
        <v>45617</v>
      </c>
      <c r="B357" s="6">
        <v>0.1125</v>
      </c>
      <c r="C357" s="6">
        <f t="shared" si="5"/>
        <v>0.1115</v>
      </c>
    </row>
    <row r="358" spans="1:3" x14ac:dyDescent="0.25">
      <c r="A358" s="1">
        <v>45618</v>
      </c>
      <c r="B358" s="6">
        <v>0.1125</v>
      </c>
      <c r="C358" s="6">
        <f t="shared" si="5"/>
        <v>0.1115</v>
      </c>
    </row>
    <row r="359" spans="1:3" x14ac:dyDescent="0.25">
      <c r="A359" s="1">
        <v>45621</v>
      </c>
      <c r="B359" s="6">
        <v>0.1125</v>
      </c>
      <c r="C359" s="6">
        <f t="shared" si="5"/>
        <v>0.1115</v>
      </c>
    </row>
    <row r="360" spans="1:3" x14ac:dyDescent="0.25">
      <c r="A360" s="1">
        <v>45622</v>
      </c>
      <c r="B360" s="6">
        <v>0.1125</v>
      </c>
      <c r="C360" s="6">
        <f t="shared" si="5"/>
        <v>0.1115</v>
      </c>
    </row>
    <row r="361" spans="1:3" x14ac:dyDescent="0.25">
      <c r="A361" s="1">
        <v>45623</v>
      </c>
      <c r="B361" s="6">
        <v>0.1125</v>
      </c>
      <c r="C361" s="6">
        <f t="shared" si="5"/>
        <v>0.1115</v>
      </c>
    </row>
    <row r="362" spans="1:3" x14ac:dyDescent="0.25">
      <c r="A362" s="1">
        <v>45624</v>
      </c>
      <c r="B362" s="6">
        <v>0.1125</v>
      </c>
      <c r="C362" s="6">
        <f t="shared" si="5"/>
        <v>0.1115</v>
      </c>
    </row>
    <row r="363" spans="1:3" x14ac:dyDescent="0.25">
      <c r="A363" s="1">
        <v>45625</v>
      </c>
      <c r="B363" s="6">
        <v>0.1125</v>
      </c>
      <c r="C363" s="6">
        <f t="shared" si="5"/>
        <v>0.1115</v>
      </c>
    </row>
    <row r="364" spans="1:3" x14ac:dyDescent="0.25">
      <c r="A364" s="1">
        <v>45628</v>
      </c>
      <c r="B364" s="6">
        <v>0.1125</v>
      </c>
      <c r="C364" s="6">
        <f t="shared" si="5"/>
        <v>0.1115</v>
      </c>
    </row>
    <row r="365" spans="1:3" x14ac:dyDescent="0.25">
      <c r="A365" s="1">
        <v>45629</v>
      </c>
      <c r="B365" s="6">
        <v>0.1125</v>
      </c>
      <c r="C365" s="6">
        <f t="shared" si="5"/>
        <v>0.1115</v>
      </c>
    </row>
    <row r="366" spans="1:3" x14ac:dyDescent="0.25">
      <c r="A366" s="1">
        <v>45630</v>
      </c>
      <c r="B366" s="6">
        <v>0.1125</v>
      </c>
      <c r="C366" s="6">
        <f t="shared" si="5"/>
        <v>0.1115</v>
      </c>
    </row>
    <row r="367" spans="1:3" x14ac:dyDescent="0.25">
      <c r="A367" s="1">
        <v>45631</v>
      </c>
      <c r="B367" s="6">
        <v>0.1125</v>
      </c>
      <c r="C367" s="6">
        <f t="shared" si="5"/>
        <v>0.1115</v>
      </c>
    </row>
    <row r="368" spans="1:3" x14ac:dyDescent="0.25">
      <c r="A368" s="1">
        <v>45632</v>
      </c>
      <c r="B368" s="6">
        <v>0.1125</v>
      </c>
      <c r="C368" s="6">
        <f t="shared" si="5"/>
        <v>0.1115</v>
      </c>
    </row>
    <row r="369" spans="1:3" x14ac:dyDescent="0.25">
      <c r="A369" s="1">
        <v>45635</v>
      </c>
      <c r="B369" s="6">
        <v>0.1125</v>
      </c>
      <c r="C369" s="6">
        <f t="shared" si="5"/>
        <v>0.1115</v>
      </c>
    </row>
    <row r="370" spans="1:3" x14ac:dyDescent="0.25">
      <c r="A370" s="1">
        <v>45636</v>
      </c>
      <c r="B370" s="6">
        <v>0.1125</v>
      </c>
      <c r="C370" s="6">
        <f t="shared" si="5"/>
        <v>0.1115</v>
      </c>
    </row>
    <row r="371" spans="1:3" x14ac:dyDescent="0.25">
      <c r="A371" s="1">
        <v>45637</v>
      </c>
      <c r="B371" s="6">
        <v>0.1225</v>
      </c>
      <c r="C371" s="6">
        <f t="shared" si="5"/>
        <v>0.1215</v>
      </c>
    </row>
    <row r="372" spans="1:3" x14ac:dyDescent="0.25">
      <c r="A372" s="1">
        <v>45638</v>
      </c>
      <c r="B372" s="6">
        <v>0.1225</v>
      </c>
      <c r="C372" s="6">
        <f t="shared" si="5"/>
        <v>0.1215</v>
      </c>
    </row>
    <row r="373" spans="1:3" x14ac:dyDescent="0.25">
      <c r="A373" s="1">
        <v>45639</v>
      </c>
      <c r="B373" s="6">
        <v>0.1225</v>
      </c>
      <c r="C373" s="6">
        <f t="shared" si="5"/>
        <v>0.1215</v>
      </c>
    </row>
    <row r="374" spans="1:3" x14ac:dyDescent="0.25">
      <c r="A374" s="1">
        <v>45642</v>
      </c>
      <c r="B374" s="6">
        <v>0.1225</v>
      </c>
      <c r="C374" s="6">
        <f t="shared" si="5"/>
        <v>0.1215</v>
      </c>
    </row>
    <row r="375" spans="1:3" x14ac:dyDescent="0.25">
      <c r="A375" s="1">
        <v>45643</v>
      </c>
      <c r="B375" s="6">
        <v>0.1225</v>
      </c>
      <c r="C375" s="6">
        <f t="shared" si="5"/>
        <v>0.1215</v>
      </c>
    </row>
    <row r="376" spans="1:3" x14ac:dyDescent="0.25">
      <c r="A376" s="1">
        <v>45644</v>
      </c>
      <c r="B376" s="6">
        <v>0.1225</v>
      </c>
      <c r="C376" s="6">
        <f t="shared" si="5"/>
        <v>0.1215</v>
      </c>
    </row>
    <row r="377" spans="1:3" x14ac:dyDescent="0.25">
      <c r="A377" s="1">
        <v>45645</v>
      </c>
      <c r="B377" s="6">
        <v>0.1225</v>
      </c>
      <c r="C377" s="6">
        <f t="shared" si="5"/>
        <v>0.1215</v>
      </c>
    </row>
    <row r="378" spans="1:3" x14ac:dyDescent="0.25">
      <c r="A378" s="1">
        <v>45646</v>
      </c>
      <c r="B378" s="6">
        <v>0.1225</v>
      </c>
      <c r="C378" s="6">
        <f t="shared" si="5"/>
        <v>0.1215</v>
      </c>
    </row>
    <row r="379" spans="1:3" x14ac:dyDescent="0.25">
      <c r="A379" s="1">
        <v>45649</v>
      </c>
      <c r="B379" s="6">
        <v>0.1225</v>
      </c>
      <c r="C379" s="6">
        <f t="shared" si="5"/>
        <v>0.1215</v>
      </c>
    </row>
    <row r="380" spans="1:3" x14ac:dyDescent="0.25">
      <c r="A380" s="1">
        <v>45650</v>
      </c>
      <c r="B380" s="6">
        <v>0.1225</v>
      </c>
      <c r="C380" s="6">
        <f t="shared" si="5"/>
        <v>0.1215</v>
      </c>
    </row>
    <row r="381" spans="1:3" x14ac:dyDescent="0.25">
      <c r="A381" s="1">
        <v>45652</v>
      </c>
      <c r="B381" s="6">
        <v>0.1225</v>
      </c>
      <c r="C381" s="6">
        <f t="shared" si="5"/>
        <v>0.1215</v>
      </c>
    </row>
    <row r="382" spans="1:3" x14ac:dyDescent="0.25">
      <c r="A382" s="1">
        <v>45653</v>
      </c>
      <c r="B382" s="6">
        <v>0.1225</v>
      </c>
      <c r="C382" s="6">
        <f t="shared" si="5"/>
        <v>0.1215</v>
      </c>
    </row>
    <row r="383" spans="1:3" x14ac:dyDescent="0.25">
      <c r="A383" s="1">
        <v>45656</v>
      </c>
      <c r="B383" s="6">
        <v>0.1225</v>
      </c>
      <c r="C383" s="6">
        <f t="shared" si="5"/>
        <v>0.1215</v>
      </c>
    </row>
    <row r="384" spans="1:3" x14ac:dyDescent="0.25">
      <c r="A384" s="1">
        <v>45657</v>
      </c>
      <c r="B384" s="6">
        <v>0.1225</v>
      </c>
      <c r="C384" s="6">
        <f t="shared" si="5"/>
        <v>0.1215</v>
      </c>
    </row>
    <row r="385" spans="1:3" x14ac:dyDescent="0.25">
      <c r="A385" s="1">
        <v>45659</v>
      </c>
      <c r="B385" s="6">
        <v>0.1225</v>
      </c>
      <c r="C385" s="6">
        <f t="shared" si="5"/>
        <v>0.1215</v>
      </c>
    </row>
    <row r="386" spans="1:3" x14ac:dyDescent="0.25">
      <c r="A386" s="1">
        <v>45660</v>
      </c>
      <c r="B386" s="6">
        <v>0.1225</v>
      </c>
      <c r="C386" s="6">
        <f t="shared" si="5"/>
        <v>0.1215</v>
      </c>
    </row>
    <row r="387" spans="1:3" x14ac:dyDescent="0.25">
      <c r="A387" s="1">
        <v>45663</v>
      </c>
      <c r="B387" s="6">
        <v>0.1225</v>
      </c>
      <c r="C387" s="6">
        <f t="shared" ref="C387:C410" si="6">B387-0.1%</f>
        <v>0.1215</v>
      </c>
    </row>
    <row r="388" spans="1:3" x14ac:dyDescent="0.25">
      <c r="A388" s="1">
        <v>45664</v>
      </c>
      <c r="B388" s="6">
        <v>0.1225</v>
      </c>
      <c r="C388" s="6">
        <f t="shared" si="6"/>
        <v>0.1215</v>
      </c>
    </row>
    <row r="389" spans="1:3" x14ac:dyDescent="0.25">
      <c r="A389" s="1">
        <v>45665</v>
      </c>
      <c r="B389" s="6">
        <v>0.1225</v>
      </c>
      <c r="C389" s="6">
        <f t="shared" si="6"/>
        <v>0.1215</v>
      </c>
    </row>
    <row r="390" spans="1:3" x14ac:dyDescent="0.25">
      <c r="A390" s="1">
        <v>45666</v>
      </c>
      <c r="B390" s="6">
        <v>0.1225</v>
      </c>
      <c r="C390" s="6">
        <f t="shared" si="6"/>
        <v>0.1215</v>
      </c>
    </row>
    <row r="391" spans="1:3" x14ac:dyDescent="0.25">
      <c r="A391" s="1">
        <v>45667</v>
      </c>
      <c r="B391" s="6">
        <v>0.1225</v>
      </c>
      <c r="C391" s="6">
        <f t="shared" si="6"/>
        <v>0.1215</v>
      </c>
    </row>
    <row r="392" spans="1:3" x14ac:dyDescent="0.25">
      <c r="A392" s="1">
        <v>45670</v>
      </c>
      <c r="B392" s="6">
        <v>0.1225</v>
      </c>
      <c r="C392" s="6">
        <f t="shared" si="6"/>
        <v>0.1215</v>
      </c>
    </row>
    <row r="393" spans="1:3" x14ac:dyDescent="0.25">
      <c r="A393" s="1">
        <v>45671</v>
      </c>
      <c r="B393" s="6">
        <v>0.1225</v>
      </c>
      <c r="C393" s="6">
        <f t="shared" si="6"/>
        <v>0.1215</v>
      </c>
    </row>
    <row r="394" spans="1:3" x14ac:dyDescent="0.25">
      <c r="A394" s="1">
        <v>45672</v>
      </c>
      <c r="B394" s="6">
        <v>0.1225</v>
      </c>
      <c r="C394" s="6">
        <f t="shared" si="6"/>
        <v>0.1215</v>
      </c>
    </row>
    <row r="395" spans="1:3" x14ac:dyDescent="0.25">
      <c r="A395" s="1">
        <v>45673</v>
      </c>
      <c r="B395" s="6">
        <v>0.1225</v>
      </c>
      <c r="C395" s="6">
        <f t="shared" si="6"/>
        <v>0.1215</v>
      </c>
    </row>
    <row r="396" spans="1:3" x14ac:dyDescent="0.25">
      <c r="A396" s="1">
        <v>45674</v>
      </c>
      <c r="B396" s="6">
        <v>0.1225</v>
      </c>
      <c r="C396" s="6">
        <f t="shared" si="6"/>
        <v>0.1215</v>
      </c>
    </row>
    <row r="397" spans="1:3" x14ac:dyDescent="0.25">
      <c r="A397" s="1">
        <v>45677</v>
      </c>
      <c r="B397" s="6">
        <v>0.1225</v>
      </c>
      <c r="C397" s="6">
        <f t="shared" si="6"/>
        <v>0.1215</v>
      </c>
    </row>
    <row r="398" spans="1:3" x14ac:dyDescent="0.25">
      <c r="A398" s="1">
        <v>45678</v>
      </c>
      <c r="B398" s="6">
        <v>0.1225</v>
      </c>
      <c r="C398" s="6">
        <f t="shared" si="6"/>
        <v>0.1215</v>
      </c>
    </row>
    <row r="399" spans="1:3" x14ac:dyDescent="0.25">
      <c r="A399" s="1">
        <v>45679</v>
      </c>
      <c r="B399" s="6">
        <v>0.1225</v>
      </c>
      <c r="C399" s="6">
        <f t="shared" si="6"/>
        <v>0.1215</v>
      </c>
    </row>
    <row r="400" spans="1:3" x14ac:dyDescent="0.25">
      <c r="A400" s="1">
        <v>45680</v>
      </c>
      <c r="B400" s="6">
        <v>0.1225</v>
      </c>
      <c r="C400" s="6">
        <f t="shared" si="6"/>
        <v>0.1215</v>
      </c>
    </row>
    <row r="401" spans="1:3" x14ac:dyDescent="0.25">
      <c r="A401" s="1">
        <v>45681</v>
      </c>
      <c r="B401" s="6">
        <v>0.1225</v>
      </c>
      <c r="C401" s="6">
        <f t="shared" si="6"/>
        <v>0.1215</v>
      </c>
    </row>
    <row r="402" spans="1:3" x14ac:dyDescent="0.25">
      <c r="A402" s="1">
        <v>45684</v>
      </c>
      <c r="B402" s="6">
        <v>0.1225</v>
      </c>
      <c r="C402" s="6">
        <f t="shared" si="6"/>
        <v>0.1215</v>
      </c>
    </row>
    <row r="403" spans="1:3" x14ac:dyDescent="0.25">
      <c r="A403" s="1">
        <v>45685</v>
      </c>
      <c r="B403" s="6">
        <v>0.1225</v>
      </c>
      <c r="C403" s="6">
        <f t="shared" si="6"/>
        <v>0.1215</v>
      </c>
    </row>
    <row r="404" spans="1:3" x14ac:dyDescent="0.25">
      <c r="A404" s="1">
        <v>45686</v>
      </c>
      <c r="B404" s="6">
        <v>0.13250000000000001</v>
      </c>
      <c r="C404" s="6">
        <f t="shared" si="6"/>
        <v>0.13150000000000001</v>
      </c>
    </row>
    <row r="405" spans="1:3" x14ac:dyDescent="0.25">
      <c r="A405" s="1">
        <v>45687</v>
      </c>
      <c r="B405" s="6">
        <v>0.13250000000000001</v>
      </c>
      <c r="C405" s="6">
        <f t="shared" si="6"/>
        <v>0.13150000000000001</v>
      </c>
    </row>
    <row r="406" spans="1:3" x14ac:dyDescent="0.25">
      <c r="A406" s="1">
        <v>45688</v>
      </c>
      <c r="B406" s="6">
        <v>0.13250000000000001</v>
      </c>
      <c r="C406" s="6">
        <f t="shared" si="6"/>
        <v>0.13150000000000001</v>
      </c>
    </row>
    <row r="407" spans="1:3" x14ac:dyDescent="0.25">
      <c r="A407" s="1">
        <v>45691</v>
      </c>
      <c r="B407" s="6">
        <v>0.13250000000000001</v>
      </c>
      <c r="C407" s="6">
        <f t="shared" si="6"/>
        <v>0.13150000000000001</v>
      </c>
    </row>
    <row r="408" spans="1:3" x14ac:dyDescent="0.25">
      <c r="A408" s="1">
        <v>45692</v>
      </c>
      <c r="B408" s="6">
        <v>0.13250000000000001</v>
      </c>
      <c r="C408" s="6">
        <f t="shared" si="6"/>
        <v>0.13150000000000001</v>
      </c>
    </row>
    <row r="409" spans="1:3" x14ac:dyDescent="0.25">
      <c r="A409" s="1">
        <v>45693</v>
      </c>
      <c r="B409" s="6">
        <v>0.13250000000000001</v>
      </c>
      <c r="C409" s="6">
        <f t="shared" si="6"/>
        <v>0.13150000000000001</v>
      </c>
    </row>
    <row r="410" spans="1:3" x14ac:dyDescent="0.25">
      <c r="A410" s="1">
        <v>45694</v>
      </c>
      <c r="B410" s="6">
        <v>0.13250000000000001</v>
      </c>
      <c r="C410" s="6">
        <f t="shared" si="6"/>
        <v>0.13150000000000001</v>
      </c>
    </row>
    <row r="411" spans="1:3" x14ac:dyDescent="0.25">
      <c r="A411" s="1">
        <v>45695</v>
      </c>
      <c r="B411" s="6">
        <v>0.13250000000000001</v>
      </c>
      <c r="C411" s="6">
        <f t="shared" ref="C411:C426" si="7">B411-0.1%</f>
        <v>0.13150000000000001</v>
      </c>
    </row>
    <row r="412" spans="1:3" x14ac:dyDescent="0.25">
      <c r="A412" s="1">
        <v>45698</v>
      </c>
      <c r="B412" s="6">
        <v>0.13250000000000001</v>
      </c>
      <c r="C412" s="6">
        <f t="shared" si="7"/>
        <v>0.13150000000000001</v>
      </c>
    </row>
    <row r="413" spans="1:3" x14ac:dyDescent="0.25">
      <c r="A413" s="1">
        <v>45699</v>
      </c>
      <c r="B413" s="6">
        <v>0.13250000000000001</v>
      </c>
      <c r="C413" s="6">
        <f t="shared" si="7"/>
        <v>0.13150000000000001</v>
      </c>
    </row>
    <row r="414" spans="1:3" x14ac:dyDescent="0.25">
      <c r="A414" s="1">
        <v>45700</v>
      </c>
      <c r="B414" s="6">
        <v>0.13250000000000001</v>
      </c>
      <c r="C414" s="6">
        <f t="shared" si="7"/>
        <v>0.13150000000000001</v>
      </c>
    </row>
    <row r="415" spans="1:3" x14ac:dyDescent="0.25">
      <c r="A415" s="1">
        <v>45701</v>
      </c>
      <c r="B415" s="6">
        <v>0.13250000000000001</v>
      </c>
      <c r="C415" s="6">
        <f t="shared" si="7"/>
        <v>0.13150000000000001</v>
      </c>
    </row>
    <row r="416" spans="1:3" x14ac:dyDescent="0.25">
      <c r="A416" s="1">
        <v>45702</v>
      </c>
      <c r="B416" s="6">
        <v>0.13250000000000001</v>
      </c>
      <c r="C416" s="6">
        <f t="shared" si="7"/>
        <v>0.13150000000000001</v>
      </c>
    </row>
    <row r="417" spans="1:3" x14ac:dyDescent="0.25">
      <c r="A417" s="1">
        <v>45705</v>
      </c>
      <c r="B417" s="6">
        <v>0.13250000000000001</v>
      </c>
      <c r="C417" s="6">
        <f t="shared" si="7"/>
        <v>0.13150000000000001</v>
      </c>
    </row>
    <row r="418" spans="1:3" x14ac:dyDescent="0.25">
      <c r="A418" s="1">
        <v>45706</v>
      </c>
      <c r="B418" s="6">
        <v>0.13250000000000001</v>
      </c>
      <c r="C418" s="6">
        <f t="shared" si="7"/>
        <v>0.13150000000000001</v>
      </c>
    </row>
    <row r="419" spans="1:3" x14ac:dyDescent="0.25">
      <c r="A419" s="1">
        <v>45707</v>
      </c>
      <c r="B419" s="6">
        <v>0.13250000000000001</v>
      </c>
      <c r="C419" s="6">
        <f t="shared" si="7"/>
        <v>0.13150000000000001</v>
      </c>
    </row>
    <row r="420" spans="1:3" x14ac:dyDescent="0.25">
      <c r="A420" s="1">
        <v>45708</v>
      </c>
      <c r="B420" s="6">
        <v>0.13250000000000001</v>
      </c>
      <c r="C420" s="6">
        <f t="shared" si="7"/>
        <v>0.13150000000000001</v>
      </c>
    </row>
    <row r="421" spans="1:3" x14ac:dyDescent="0.25">
      <c r="A421" s="1">
        <v>45709</v>
      </c>
      <c r="B421" s="6">
        <v>0.13250000000000001</v>
      </c>
      <c r="C421" s="6">
        <f t="shared" si="7"/>
        <v>0.13150000000000001</v>
      </c>
    </row>
    <row r="422" spans="1:3" x14ac:dyDescent="0.25">
      <c r="A422" s="1">
        <v>45712</v>
      </c>
      <c r="B422" s="6">
        <v>0.13250000000000001</v>
      </c>
      <c r="C422" s="6">
        <f t="shared" si="7"/>
        <v>0.13150000000000001</v>
      </c>
    </row>
    <row r="423" spans="1:3" x14ac:dyDescent="0.25">
      <c r="A423" s="1">
        <v>45713</v>
      </c>
      <c r="B423" s="6">
        <v>0.13250000000000001</v>
      </c>
      <c r="C423" s="6">
        <f t="shared" si="7"/>
        <v>0.13150000000000001</v>
      </c>
    </row>
    <row r="424" spans="1:3" x14ac:dyDescent="0.25">
      <c r="A424" s="1">
        <v>45714</v>
      </c>
      <c r="B424" s="6">
        <v>0.13250000000000001</v>
      </c>
      <c r="C424" s="6">
        <f t="shared" si="7"/>
        <v>0.13150000000000001</v>
      </c>
    </row>
    <row r="425" spans="1:3" x14ac:dyDescent="0.25">
      <c r="A425" s="1">
        <v>45715</v>
      </c>
      <c r="B425" s="6">
        <v>0.13250000000000001</v>
      </c>
      <c r="C425" s="6">
        <f t="shared" si="7"/>
        <v>0.13150000000000001</v>
      </c>
    </row>
    <row r="426" spans="1:3" x14ac:dyDescent="0.25">
      <c r="A426" s="1">
        <v>45716</v>
      </c>
      <c r="B426" s="6">
        <v>0.13250000000000001</v>
      </c>
      <c r="C426" s="6">
        <f t="shared" si="7"/>
        <v>0.13150000000000001</v>
      </c>
    </row>
    <row r="427" spans="1:3" x14ac:dyDescent="0.25">
      <c r="A427" s="1">
        <v>45721</v>
      </c>
      <c r="B427" s="6">
        <v>0.13250000000000001</v>
      </c>
      <c r="C427" s="6">
        <f>B427-0.1%</f>
        <v>0.13150000000000001</v>
      </c>
    </row>
    <row r="428" spans="1:3" x14ac:dyDescent="0.25">
      <c r="A428" s="1">
        <v>45722</v>
      </c>
      <c r="B428" s="6">
        <v>0.13250000000000001</v>
      </c>
      <c r="C428" s="6">
        <f>B428-0.1%</f>
        <v>0.13150000000000001</v>
      </c>
    </row>
    <row r="429" spans="1:3" x14ac:dyDescent="0.25">
      <c r="A429" s="1">
        <v>45723</v>
      </c>
      <c r="B429" s="6">
        <v>0.13250000000000001</v>
      </c>
      <c r="C429" s="6">
        <f>B429-0.1%</f>
        <v>0.13150000000000001</v>
      </c>
    </row>
    <row r="430" spans="1:3" x14ac:dyDescent="0.25">
      <c r="A430" s="1">
        <v>45726</v>
      </c>
      <c r="B430" s="6">
        <v>0.13250000000000001</v>
      </c>
      <c r="C430" s="6">
        <f>B430-0.1%</f>
        <v>0.13150000000000001</v>
      </c>
    </row>
    <row r="431" spans="1:3" x14ac:dyDescent="0.25">
      <c r="A431" s="1">
        <v>45727</v>
      </c>
      <c r="B431" s="6">
        <v>0.13250000000000001</v>
      </c>
      <c r="C431" s="6">
        <f t="shared" ref="C431:C439" si="8">B431-0.1%</f>
        <v>0.13150000000000001</v>
      </c>
    </row>
    <row r="432" spans="1:3" x14ac:dyDescent="0.25">
      <c r="A432" s="1">
        <v>45728</v>
      </c>
      <c r="B432" s="6">
        <v>0.13250000000000001</v>
      </c>
      <c r="C432" s="6">
        <f t="shared" si="8"/>
        <v>0.13150000000000001</v>
      </c>
    </row>
    <row r="433" spans="1:3" x14ac:dyDescent="0.25">
      <c r="A433" s="1">
        <v>45729</v>
      </c>
      <c r="B433" s="6">
        <v>0.13250000000000001</v>
      </c>
      <c r="C433" s="6">
        <f t="shared" si="8"/>
        <v>0.13150000000000001</v>
      </c>
    </row>
    <row r="434" spans="1:3" x14ac:dyDescent="0.25">
      <c r="A434" s="1">
        <v>45730</v>
      </c>
      <c r="B434" s="6">
        <v>0.13250000000000001</v>
      </c>
      <c r="C434" s="6">
        <f t="shared" si="8"/>
        <v>0.13150000000000001</v>
      </c>
    </row>
    <row r="435" spans="1:3" x14ac:dyDescent="0.25">
      <c r="A435" s="1">
        <v>45733</v>
      </c>
      <c r="B435" s="6">
        <v>0.13250000000000001</v>
      </c>
      <c r="C435" s="6">
        <f t="shared" si="8"/>
        <v>0.13150000000000001</v>
      </c>
    </row>
    <row r="436" spans="1:3" x14ac:dyDescent="0.25">
      <c r="A436" s="1">
        <v>45734</v>
      </c>
      <c r="B436" s="6">
        <v>0.13250000000000001</v>
      </c>
      <c r="C436" s="6">
        <f t="shared" si="8"/>
        <v>0.13150000000000001</v>
      </c>
    </row>
    <row r="437" spans="1:3" x14ac:dyDescent="0.25">
      <c r="A437" s="1">
        <v>45735</v>
      </c>
      <c r="B437" s="6">
        <v>0.13250000000000001</v>
      </c>
      <c r="C437" s="6">
        <f t="shared" si="8"/>
        <v>0.13150000000000001</v>
      </c>
    </row>
    <row r="438" spans="1:3" x14ac:dyDescent="0.25">
      <c r="A438" s="1">
        <v>45736</v>
      </c>
      <c r="B438" s="6">
        <v>0.14249999999999999</v>
      </c>
      <c r="C438" s="6">
        <f t="shared" si="8"/>
        <v>0.14149999999999999</v>
      </c>
    </row>
    <row r="439" spans="1:3" x14ac:dyDescent="0.25">
      <c r="A439" s="1">
        <v>45737</v>
      </c>
      <c r="B439" s="6">
        <v>0.14249999999999999</v>
      </c>
      <c r="C439" s="6">
        <f t="shared" si="8"/>
        <v>0.14149999999999999</v>
      </c>
    </row>
    <row r="440" spans="1:3" x14ac:dyDescent="0.25">
      <c r="A440" s="1">
        <v>45740</v>
      </c>
      <c r="B440" s="6">
        <v>0.14249999999999999</v>
      </c>
      <c r="C440" s="6">
        <f t="shared" ref="C440:C445" si="9">B440-0.1%</f>
        <v>0.14149999999999999</v>
      </c>
    </row>
    <row r="441" spans="1:3" x14ac:dyDescent="0.25">
      <c r="A441" s="1">
        <v>45741</v>
      </c>
      <c r="B441" s="6">
        <v>0.14249999999999999</v>
      </c>
      <c r="C441" s="6">
        <f t="shared" si="9"/>
        <v>0.14149999999999999</v>
      </c>
    </row>
    <row r="442" spans="1:3" x14ac:dyDescent="0.25">
      <c r="A442" s="1">
        <v>45742</v>
      </c>
      <c r="B442" s="6">
        <v>0.14249999999999999</v>
      </c>
      <c r="C442" s="6">
        <f t="shared" si="9"/>
        <v>0.14149999999999999</v>
      </c>
    </row>
    <row r="443" spans="1:3" x14ac:dyDescent="0.25">
      <c r="A443" s="1">
        <v>45743</v>
      </c>
      <c r="B443" s="6">
        <v>0.14249999999999999</v>
      </c>
      <c r="C443" s="6">
        <f t="shared" si="9"/>
        <v>0.14149999999999999</v>
      </c>
    </row>
    <row r="444" spans="1:3" x14ac:dyDescent="0.25">
      <c r="A444" s="1">
        <v>45744</v>
      </c>
      <c r="B444" s="6">
        <v>0.14249999999999999</v>
      </c>
      <c r="C444" s="6">
        <f t="shared" si="9"/>
        <v>0.14149999999999999</v>
      </c>
    </row>
    <row r="445" spans="1:3" x14ac:dyDescent="0.25">
      <c r="A445" s="1">
        <v>45747</v>
      </c>
      <c r="B445" s="6">
        <v>0.14249999999999999</v>
      </c>
      <c r="C445" s="6">
        <f t="shared" si="9"/>
        <v>0.14149999999999999</v>
      </c>
    </row>
    <row r="446" spans="1:3" x14ac:dyDescent="0.25">
      <c r="A446" s="1">
        <v>45748</v>
      </c>
      <c r="B446" s="6">
        <v>0.14249999999999999</v>
      </c>
      <c r="C446" s="6">
        <f t="shared" ref="C446:C453" si="10">B446-0.1%</f>
        <v>0.14149999999999999</v>
      </c>
    </row>
    <row r="447" spans="1:3" x14ac:dyDescent="0.25">
      <c r="A447" s="1">
        <v>45749</v>
      </c>
      <c r="B447" s="6">
        <v>0.14249999999999999</v>
      </c>
      <c r="C447" s="6">
        <f t="shared" si="10"/>
        <v>0.14149999999999999</v>
      </c>
    </row>
    <row r="448" spans="1:3" x14ac:dyDescent="0.25">
      <c r="A448" s="1">
        <v>45750</v>
      </c>
      <c r="B448" s="6">
        <v>0.14249999999999999</v>
      </c>
      <c r="C448" s="6">
        <f t="shared" si="10"/>
        <v>0.14149999999999999</v>
      </c>
    </row>
    <row r="449" spans="1:3" x14ac:dyDescent="0.25">
      <c r="A449" s="1">
        <v>45751</v>
      </c>
      <c r="B449" s="6">
        <v>0.14249999999999999</v>
      </c>
      <c r="C449" s="6">
        <f t="shared" si="10"/>
        <v>0.14149999999999999</v>
      </c>
    </row>
    <row r="450" spans="1:3" x14ac:dyDescent="0.25">
      <c r="A450" s="1">
        <v>45754</v>
      </c>
      <c r="B450" s="6">
        <v>0.14249999999999999</v>
      </c>
      <c r="C450" s="6">
        <f t="shared" si="10"/>
        <v>0.14149999999999999</v>
      </c>
    </row>
    <row r="451" spans="1:3" x14ac:dyDescent="0.25">
      <c r="A451" s="1">
        <v>45755</v>
      </c>
      <c r="B451" s="6">
        <v>0.14249999999999999</v>
      </c>
      <c r="C451" s="6">
        <f t="shared" si="10"/>
        <v>0.14149999999999999</v>
      </c>
    </row>
    <row r="452" spans="1:3" x14ac:dyDescent="0.25">
      <c r="A452" s="1">
        <v>45756</v>
      </c>
      <c r="B452" s="6">
        <v>0.14249999999999999</v>
      </c>
      <c r="C452" s="6">
        <f t="shared" si="10"/>
        <v>0.14149999999999999</v>
      </c>
    </row>
    <row r="453" spans="1:3" x14ac:dyDescent="0.25">
      <c r="A453" s="1">
        <v>45757</v>
      </c>
      <c r="B453" s="6">
        <v>0.14249999999999999</v>
      </c>
      <c r="C453" s="6">
        <f t="shared" si="10"/>
        <v>0.14149999999999999</v>
      </c>
    </row>
    <row r="454" spans="1:3" x14ac:dyDescent="0.25">
      <c r="A454" s="1">
        <v>45758</v>
      </c>
      <c r="B454" s="6">
        <v>0.14249999999999999</v>
      </c>
      <c r="C454" s="6">
        <f t="shared" ref="C454:C459" si="11">B454-0.1%</f>
        <v>0.14149999999999999</v>
      </c>
    </row>
    <row r="455" spans="1:3" x14ac:dyDescent="0.25">
      <c r="A455" s="1">
        <v>45761</v>
      </c>
      <c r="B455" s="6">
        <v>0.14249999999999999</v>
      </c>
      <c r="C455" s="6">
        <f t="shared" si="11"/>
        <v>0.14149999999999999</v>
      </c>
    </row>
    <row r="456" spans="1:3" x14ac:dyDescent="0.25">
      <c r="A456" s="1">
        <v>45762</v>
      </c>
      <c r="B456" s="6">
        <v>0.14249999999999999</v>
      </c>
      <c r="C456" s="6">
        <f t="shared" si="11"/>
        <v>0.14149999999999999</v>
      </c>
    </row>
    <row r="457" spans="1:3" x14ac:dyDescent="0.25">
      <c r="A457" s="1">
        <v>45763</v>
      </c>
      <c r="B457" s="6">
        <v>0.14249999999999999</v>
      </c>
      <c r="C457" s="6">
        <f t="shared" si="11"/>
        <v>0.14149999999999999</v>
      </c>
    </row>
    <row r="458" spans="1:3" x14ac:dyDescent="0.25">
      <c r="A458" s="1">
        <v>45764</v>
      </c>
      <c r="B458" s="6">
        <v>0.14249999999999999</v>
      </c>
      <c r="C458" s="6">
        <f t="shared" si="11"/>
        <v>0.14149999999999999</v>
      </c>
    </row>
    <row r="459" spans="1:3" x14ac:dyDescent="0.25">
      <c r="A459" s="1">
        <v>45769</v>
      </c>
      <c r="B459" s="6">
        <v>0.14249999999999999</v>
      </c>
      <c r="C459" s="6">
        <f t="shared" si="11"/>
        <v>0.14149999999999999</v>
      </c>
    </row>
    <row r="460" spans="1:3" x14ac:dyDescent="0.25">
      <c r="A460" s="1">
        <v>45770</v>
      </c>
      <c r="B460" s="6">
        <v>0.14249999999999999</v>
      </c>
      <c r="C460" s="6">
        <f t="shared" ref="C460:C465" si="12">B460-0.1%</f>
        <v>0.14149999999999999</v>
      </c>
    </row>
    <row r="461" spans="1:3" x14ac:dyDescent="0.25">
      <c r="A461" s="1">
        <v>45771</v>
      </c>
      <c r="B461" s="6">
        <v>0.14249999999999999</v>
      </c>
      <c r="C461" s="6">
        <f t="shared" si="12"/>
        <v>0.14149999999999999</v>
      </c>
    </row>
    <row r="462" spans="1:3" x14ac:dyDescent="0.25">
      <c r="A462" s="1">
        <v>45772</v>
      </c>
      <c r="B462" s="6">
        <v>0.14249999999999999</v>
      </c>
      <c r="C462" s="6">
        <f t="shared" si="12"/>
        <v>0.14149999999999999</v>
      </c>
    </row>
    <row r="463" spans="1:3" x14ac:dyDescent="0.25">
      <c r="A463" s="1">
        <v>45775</v>
      </c>
      <c r="B463" s="6">
        <v>0.14249999999999999</v>
      </c>
      <c r="C463" s="6">
        <f t="shared" si="12"/>
        <v>0.14149999999999999</v>
      </c>
    </row>
    <row r="464" spans="1:3" x14ac:dyDescent="0.25">
      <c r="A464" s="1">
        <v>45776</v>
      </c>
      <c r="B464" s="6">
        <v>0.14249999999999999</v>
      </c>
      <c r="C464" s="6">
        <f t="shared" si="12"/>
        <v>0.14149999999999999</v>
      </c>
    </row>
    <row r="465" spans="1:3" x14ac:dyDescent="0.25">
      <c r="A465" s="1">
        <v>45777</v>
      </c>
      <c r="B465" s="6">
        <v>0.14249999999999999</v>
      </c>
      <c r="C465" s="6">
        <f t="shared" si="12"/>
        <v>0.14149999999999999</v>
      </c>
    </row>
    <row r="466" spans="1:3" x14ac:dyDescent="0.25">
      <c r="A466" s="1">
        <v>45779</v>
      </c>
      <c r="B466" s="6">
        <v>0.14249999999999999</v>
      </c>
      <c r="C466" s="6">
        <f t="shared" ref="C466:C529" si="13">B466-0.1%</f>
        <v>0.14149999999999999</v>
      </c>
    </row>
    <row r="467" spans="1:3" x14ac:dyDescent="0.25">
      <c r="A467" s="1">
        <v>45782</v>
      </c>
      <c r="B467" s="6">
        <v>0.14249999999999999</v>
      </c>
      <c r="C467" s="6">
        <f t="shared" si="13"/>
        <v>0.14149999999999999</v>
      </c>
    </row>
    <row r="468" spans="1:3" x14ac:dyDescent="0.25">
      <c r="A468" s="1">
        <v>45783</v>
      </c>
      <c r="B468" s="6">
        <v>0.14249999999999999</v>
      </c>
      <c r="C468" s="6">
        <f t="shared" si="13"/>
        <v>0.14149999999999999</v>
      </c>
    </row>
    <row r="469" spans="1:3" x14ac:dyDescent="0.25">
      <c r="A469" s="1">
        <v>45784</v>
      </c>
      <c r="B469" s="6">
        <v>0.14249999999999999</v>
      </c>
      <c r="C469" s="6">
        <f t="shared" si="13"/>
        <v>0.14149999999999999</v>
      </c>
    </row>
    <row r="470" spans="1:3" x14ac:dyDescent="0.25">
      <c r="A470" s="1">
        <v>45785</v>
      </c>
      <c r="B470" s="6">
        <v>0.14749999999999999</v>
      </c>
      <c r="C470" s="6">
        <f t="shared" si="13"/>
        <v>0.14649999999999999</v>
      </c>
    </row>
    <row r="471" spans="1:3" x14ac:dyDescent="0.25">
      <c r="A471" s="1">
        <v>45786</v>
      </c>
      <c r="B471" s="6">
        <v>0.14749999999999999</v>
      </c>
      <c r="C471" s="6">
        <f t="shared" si="13"/>
        <v>0.14649999999999999</v>
      </c>
    </row>
    <row r="472" spans="1:3" x14ac:dyDescent="0.25">
      <c r="A472" s="1">
        <v>45789</v>
      </c>
      <c r="B472" s="6">
        <v>0.14749999999999999</v>
      </c>
      <c r="C472" s="6">
        <f t="shared" si="13"/>
        <v>0.14649999999999999</v>
      </c>
    </row>
    <row r="473" spans="1:3" x14ac:dyDescent="0.25">
      <c r="A473" s="1">
        <v>45790</v>
      </c>
      <c r="B473" s="6">
        <v>0.14749999999999999</v>
      </c>
      <c r="C473" s="6">
        <f t="shared" si="13"/>
        <v>0.14649999999999999</v>
      </c>
    </row>
    <row r="474" spans="1:3" x14ac:dyDescent="0.25">
      <c r="A474" s="1">
        <v>45791</v>
      </c>
      <c r="B474" s="6">
        <v>0.14749999999999999</v>
      </c>
      <c r="C474" s="6">
        <f t="shared" si="13"/>
        <v>0.14649999999999999</v>
      </c>
    </row>
    <row r="475" spans="1:3" x14ac:dyDescent="0.25">
      <c r="A475" s="1">
        <v>45792</v>
      </c>
      <c r="B475" s="6">
        <v>0.14749999999999999</v>
      </c>
      <c r="C475" s="6">
        <f t="shared" si="13"/>
        <v>0.14649999999999999</v>
      </c>
    </row>
    <row r="476" spans="1:3" x14ac:dyDescent="0.25">
      <c r="A476" s="1">
        <v>45793</v>
      </c>
      <c r="B476" s="6">
        <v>0.14749999999999999</v>
      </c>
      <c r="C476" s="6">
        <f t="shared" si="13"/>
        <v>0.14649999999999999</v>
      </c>
    </row>
    <row r="477" spans="1:3" x14ac:dyDescent="0.25">
      <c r="A477" s="1">
        <v>45796</v>
      </c>
      <c r="B477" s="6">
        <v>0.14749999999999999</v>
      </c>
      <c r="C477" s="6">
        <f t="shared" si="13"/>
        <v>0.14649999999999999</v>
      </c>
    </row>
    <row r="478" spans="1:3" x14ac:dyDescent="0.25">
      <c r="A478" s="1">
        <v>45797</v>
      </c>
      <c r="B478" s="6">
        <v>0.14749999999999999</v>
      </c>
      <c r="C478" s="6">
        <f t="shared" si="13"/>
        <v>0.14649999999999999</v>
      </c>
    </row>
    <row r="479" spans="1:3" x14ac:dyDescent="0.25">
      <c r="A479" s="1">
        <v>45798</v>
      </c>
      <c r="B479" s="6">
        <v>0.14749999999999999</v>
      </c>
      <c r="C479" s="6">
        <f t="shared" si="13"/>
        <v>0.14649999999999999</v>
      </c>
    </row>
    <row r="480" spans="1:3" x14ac:dyDescent="0.25">
      <c r="A480" s="1">
        <v>45799</v>
      </c>
      <c r="B480" s="6">
        <v>0.14749999999999999</v>
      </c>
      <c r="C480" s="6">
        <f t="shared" si="13"/>
        <v>0.14649999999999999</v>
      </c>
    </row>
    <row r="481" spans="1:3" x14ac:dyDescent="0.25">
      <c r="A481" s="1">
        <v>45800</v>
      </c>
      <c r="B481" s="6">
        <v>0.14749999999999999</v>
      </c>
      <c r="C481" s="6">
        <f t="shared" si="13"/>
        <v>0.14649999999999999</v>
      </c>
    </row>
    <row r="482" spans="1:3" x14ac:dyDescent="0.25">
      <c r="A482" s="1">
        <v>45803</v>
      </c>
      <c r="B482" s="6">
        <v>0.14749999999999999</v>
      </c>
      <c r="C482" s="6">
        <f t="shared" si="13"/>
        <v>0.14649999999999999</v>
      </c>
    </row>
    <row r="483" spans="1:3" x14ac:dyDescent="0.25">
      <c r="A483" s="1">
        <v>45804</v>
      </c>
      <c r="B483" s="6">
        <v>0.14749999999999999</v>
      </c>
      <c r="C483" s="6">
        <f t="shared" si="13"/>
        <v>0.14649999999999999</v>
      </c>
    </row>
    <row r="484" spans="1:3" x14ac:dyDescent="0.25">
      <c r="A484" s="1">
        <v>45805</v>
      </c>
      <c r="B484" s="6">
        <v>0.14749999999999999</v>
      </c>
      <c r="C484" s="6">
        <f t="shared" si="13"/>
        <v>0.14649999999999999</v>
      </c>
    </row>
    <row r="485" spans="1:3" x14ac:dyDescent="0.25">
      <c r="A485" s="1">
        <v>45806</v>
      </c>
      <c r="B485" s="6">
        <v>0.14749999999999999</v>
      </c>
      <c r="C485" s="6">
        <f t="shared" si="13"/>
        <v>0.14649999999999999</v>
      </c>
    </row>
    <row r="486" spans="1:3" x14ac:dyDescent="0.25">
      <c r="A486" s="1">
        <v>45807</v>
      </c>
      <c r="B486" s="6">
        <v>0.14749999999999999</v>
      </c>
      <c r="C486" s="6">
        <f t="shared" si="13"/>
        <v>0.14649999999999999</v>
      </c>
    </row>
    <row r="487" spans="1:3" x14ac:dyDescent="0.25">
      <c r="A487" s="1">
        <v>45810</v>
      </c>
      <c r="B487" s="6">
        <v>0.14749999999999999</v>
      </c>
      <c r="C487" s="6">
        <f t="shared" si="13"/>
        <v>0.14649999999999999</v>
      </c>
    </row>
    <row r="488" spans="1:3" x14ac:dyDescent="0.25">
      <c r="A488" s="1">
        <v>45811</v>
      </c>
      <c r="B488" s="6">
        <v>0.14749999999999999</v>
      </c>
      <c r="C488" s="6">
        <f t="shared" si="13"/>
        <v>0.14649999999999999</v>
      </c>
    </row>
    <row r="489" spans="1:3" x14ac:dyDescent="0.25">
      <c r="A489" s="1">
        <v>45812</v>
      </c>
      <c r="B489" s="6">
        <v>0.14749999999999999</v>
      </c>
      <c r="C489" s="6">
        <f t="shared" si="13"/>
        <v>0.14649999999999999</v>
      </c>
    </row>
    <row r="490" spans="1:3" x14ac:dyDescent="0.25">
      <c r="A490" s="1">
        <v>45813</v>
      </c>
      <c r="B490" s="6">
        <v>0.14749999999999999</v>
      </c>
      <c r="C490" s="6">
        <f t="shared" si="13"/>
        <v>0.14649999999999999</v>
      </c>
    </row>
    <row r="491" spans="1:3" x14ac:dyDescent="0.25">
      <c r="A491" s="1">
        <v>45814</v>
      </c>
      <c r="B491" s="6">
        <v>0.14749999999999999</v>
      </c>
      <c r="C491" s="6">
        <f t="shared" si="13"/>
        <v>0.14649999999999999</v>
      </c>
    </row>
    <row r="492" spans="1:3" x14ac:dyDescent="0.25">
      <c r="A492" s="1">
        <v>45817</v>
      </c>
      <c r="B492" s="6">
        <v>0.14749999999999999</v>
      </c>
      <c r="C492" s="6">
        <f t="shared" si="13"/>
        <v>0.14649999999999999</v>
      </c>
    </row>
    <row r="493" spans="1:3" x14ac:dyDescent="0.25">
      <c r="A493" s="1">
        <v>45818</v>
      </c>
      <c r="B493" s="6">
        <v>0.14749999999999999</v>
      </c>
      <c r="C493" s="6">
        <f t="shared" si="13"/>
        <v>0.14649999999999999</v>
      </c>
    </row>
    <row r="494" spans="1:3" x14ac:dyDescent="0.25">
      <c r="A494" s="1">
        <v>45819</v>
      </c>
      <c r="B494" s="6">
        <v>0.14749999999999999</v>
      </c>
      <c r="C494" s="6">
        <f t="shared" si="13"/>
        <v>0.14649999999999999</v>
      </c>
    </row>
    <row r="495" spans="1:3" x14ac:dyDescent="0.25">
      <c r="A495" s="1">
        <v>45820</v>
      </c>
      <c r="B495" s="6">
        <v>0.14749999999999999</v>
      </c>
      <c r="C495" s="6">
        <f t="shared" si="13"/>
        <v>0.14649999999999999</v>
      </c>
    </row>
    <row r="496" spans="1:3" x14ac:dyDescent="0.25">
      <c r="A496" s="1">
        <v>45821</v>
      </c>
      <c r="B496" s="6">
        <v>0.14749999999999999</v>
      </c>
      <c r="C496" s="6">
        <f t="shared" si="13"/>
        <v>0.14649999999999999</v>
      </c>
    </row>
    <row r="497" spans="1:3" x14ac:dyDescent="0.25">
      <c r="A497" s="1">
        <v>45824</v>
      </c>
      <c r="B497" s="6">
        <v>0.14749999999999999</v>
      </c>
      <c r="C497" s="6">
        <f t="shared" si="13"/>
        <v>0.14649999999999999</v>
      </c>
    </row>
    <row r="498" spans="1:3" x14ac:dyDescent="0.25">
      <c r="A498" s="1">
        <v>45825</v>
      </c>
      <c r="B498" s="6">
        <v>0.14749999999999999</v>
      </c>
      <c r="C498" s="6">
        <f t="shared" si="13"/>
        <v>0.14649999999999999</v>
      </c>
    </row>
    <row r="499" spans="1:3" x14ac:dyDescent="0.25">
      <c r="A499" s="1">
        <v>45826</v>
      </c>
      <c r="B499" s="6">
        <v>0.14749999999999999</v>
      </c>
      <c r="C499" s="6">
        <f t="shared" si="13"/>
        <v>0.14649999999999999</v>
      </c>
    </row>
    <row r="500" spans="1:3" x14ac:dyDescent="0.25">
      <c r="A500" s="1">
        <v>45828</v>
      </c>
      <c r="B500" s="6">
        <v>0.15</v>
      </c>
      <c r="C500" s="6">
        <f t="shared" si="13"/>
        <v>0.14899999999999999</v>
      </c>
    </row>
    <row r="501" spans="1:3" x14ac:dyDescent="0.25">
      <c r="A501" s="1">
        <v>45831</v>
      </c>
      <c r="B501" s="6">
        <v>0.15</v>
      </c>
      <c r="C501" s="6">
        <f t="shared" si="13"/>
        <v>0.14899999999999999</v>
      </c>
    </row>
    <row r="502" spans="1:3" x14ac:dyDescent="0.25">
      <c r="A502" s="1">
        <v>45832</v>
      </c>
      <c r="B502" s="6">
        <v>0.15</v>
      </c>
      <c r="C502" s="6">
        <f t="shared" si="13"/>
        <v>0.14899999999999999</v>
      </c>
    </row>
    <row r="503" spans="1:3" x14ac:dyDescent="0.25">
      <c r="A503" s="1">
        <v>45833</v>
      </c>
      <c r="B503" s="6">
        <v>0.15</v>
      </c>
      <c r="C503" s="6">
        <f t="shared" si="13"/>
        <v>0.14899999999999999</v>
      </c>
    </row>
    <row r="504" spans="1:3" x14ac:dyDescent="0.25">
      <c r="A504" s="1">
        <v>45834</v>
      </c>
      <c r="B504" s="6">
        <v>0.15</v>
      </c>
      <c r="C504" s="6">
        <f t="shared" si="13"/>
        <v>0.14899999999999999</v>
      </c>
    </row>
    <row r="505" spans="1:3" x14ac:dyDescent="0.25">
      <c r="A505" s="1">
        <v>45835</v>
      </c>
      <c r="B505" s="6">
        <v>0.15</v>
      </c>
      <c r="C505" s="6">
        <f t="shared" si="13"/>
        <v>0.14899999999999999</v>
      </c>
    </row>
    <row r="506" spans="1:3" x14ac:dyDescent="0.25">
      <c r="A506" s="1">
        <v>45838</v>
      </c>
      <c r="B506" s="6">
        <v>0.15</v>
      </c>
      <c r="C506" s="6">
        <f t="shared" si="13"/>
        <v>0.14899999999999999</v>
      </c>
    </row>
    <row r="507" spans="1:3" x14ac:dyDescent="0.25">
      <c r="A507" s="1">
        <v>45839</v>
      </c>
      <c r="B507" s="6">
        <v>0.15</v>
      </c>
      <c r="C507" s="6">
        <f t="shared" si="13"/>
        <v>0.14899999999999999</v>
      </c>
    </row>
    <row r="508" spans="1:3" x14ac:dyDescent="0.25">
      <c r="A508" s="1">
        <v>45840</v>
      </c>
      <c r="B508" s="6">
        <v>0.15</v>
      </c>
      <c r="C508" s="6">
        <f t="shared" si="13"/>
        <v>0.14899999999999999</v>
      </c>
    </row>
    <row r="509" spans="1:3" x14ac:dyDescent="0.25">
      <c r="A509" s="1">
        <v>45841</v>
      </c>
      <c r="B509" s="6">
        <v>0.15</v>
      </c>
      <c r="C509" s="6">
        <f t="shared" si="13"/>
        <v>0.14899999999999999</v>
      </c>
    </row>
    <row r="510" spans="1:3" x14ac:dyDescent="0.25">
      <c r="A510" s="1">
        <v>45842</v>
      </c>
      <c r="B510" s="6">
        <v>0.15</v>
      </c>
      <c r="C510" s="6">
        <f t="shared" si="13"/>
        <v>0.14899999999999999</v>
      </c>
    </row>
    <row r="511" spans="1:3" x14ac:dyDescent="0.25">
      <c r="A511" s="1">
        <v>45845</v>
      </c>
      <c r="B511" s="6">
        <v>0.15</v>
      </c>
      <c r="C511" s="6">
        <f t="shared" si="13"/>
        <v>0.14899999999999999</v>
      </c>
    </row>
    <row r="512" spans="1:3" x14ac:dyDescent="0.25">
      <c r="A512" s="1">
        <v>45846</v>
      </c>
      <c r="B512" s="6">
        <v>0.15</v>
      </c>
      <c r="C512" s="6">
        <f t="shared" si="13"/>
        <v>0.14899999999999999</v>
      </c>
    </row>
    <row r="513" spans="1:3" x14ac:dyDescent="0.25">
      <c r="A513" s="1">
        <v>45847</v>
      </c>
      <c r="B513" s="6">
        <v>0.15</v>
      </c>
      <c r="C513" s="6">
        <f t="shared" si="13"/>
        <v>0.14899999999999999</v>
      </c>
    </row>
    <row r="514" spans="1:3" x14ac:dyDescent="0.25">
      <c r="A514" s="1">
        <v>45848</v>
      </c>
      <c r="B514" s="6">
        <v>0.15</v>
      </c>
      <c r="C514" s="6">
        <f t="shared" si="13"/>
        <v>0.14899999999999999</v>
      </c>
    </row>
    <row r="515" spans="1:3" x14ac:dyDescent="0.25">
      <c r="A515" s="1">
        <v>45849</v>
      </c>
      <c r="B515" s="6">
        <v>0.15</v>
      </c>
      <c r="C515" s="6">
        <f t="shared" si="13"/>
        <v>0.14899999999999999</v>
      </c>
    </row>
    <row r="516" spans="1:3" x14ac:dyDescent="0.25">
      <c r="A516" s="1">
        <v>45852</v>
      </c>
      <c r="B516" s="6">
        <v>0.15</v>
      </c>
      <c r="C516" s="6">
        <f t="shared" si="13"/>
        <v>0.14899999999999999</v>
      </c>
    </row>
    <row r="517" spans="1:3" x14ac:dyDescent="0.25">
      <c r="A517" s="1">
        <v>45853</v>
      </c>
      <c r="B517" s="6">
        <v>0.15</v>
      </c>
      <c r="C517" s="6">
        <f t="shared" si="13"/>
        <v>0.14899999999999999</v>
      </c>
    </row>
    <row r="518" spans="1:3" x14ac:dyDescent="0.25">
      <c r="A518" s="1">
        <v>45854</v>
      </c>
      <c r="B518" s="6">
        <v>0.15</v>
      </c>
      <c r="C518" s="6">
        <f t="shared" si="13"/>
        <v>0.14899999999999999</v>
      </c>
    </row>
    <row r="519" spans="1:3" x14ac:dyDescent="0.25">
      <c r="A519" s="1">
        <v>45855</v>
      </c>
      <c r="B519" s="6">
        <v>0.15</v>
      </c>
      <c r="C519" s="6">
        <f t="shared" si="13"/>
        <v>0.14899999999999999</v>
      </c>
    </row>
    <row r="520" spans="1:3" x14ac:dyDescent="0.25">
      <c r="A520" s="1">
        <v>45856</v>
      </c>
      <c r="B520" s="6">
        <v>0.15</v>
      </c>
      <c r="C520" s="6">
        <f t="shared" si="13"/>
        <v>0.14899999999999999</v>
      </c>
    </row>
    <row r="521" spans="1:3" x14ac:dyDescent="0.25">
      <c r="A521" s="1">
        <v>45859</v>
      </c>
      <c r="B521" s="6">
        <v>0.15</v>
      </c>
      <c r="C521" s="6">
        <f t="shared" si="13"/>
        <v>0.14899999999999999</v>
      </c>
    </row>
    <row r="522" spans="1:3" x14ac:dyDescent="0.25">
      <c r="A522" s="1">
        <v>45860</v>
      </c>
      <c r="B522" s="6">
        <v>0.15</v>
      </c>
      <c r="C522" s="6">
        <f t="shared" si="13"/>
        <v>0.14899999999999999</v>
      </c>
    </row>
    <row r="523" spans="1:3" x14ac:dyDescent="0.25">
      <c r="A523" s="1">
        <v>45861</v>
      </c>
      <c r="B523" s="6">
        <v>0.15</v>
      </c>
      <c r="C523" s="6">
        <f t="shared" si="13"/>
        <v>0.14899999999999999</v>
      </c>
    </row>
    <row r="524" spans="1:3" x14ac:dyDescent="0.25">
      <c r="A524" s="1">
        <v>45862</v>
      </c>
      <c r="B524" s="6">
        <v>0.15</v>
      </c>
      <c r="C524" s="6">
        <f t="shared" si="13"/>
        <v>0.14899999999999999</v>
      </c>
    </row>
    <row r="525" spans="1:3" x14ac:dyDescent="0.25">
      <c r="A525" s="1">
        <v>45863</v>
      </c>
      <c r="B525" s="6">
        <v>0.15</v>
      </c>
      <c r="C525" s="6">
        <f t="shared" si="13"/>
        <v>0.14899999999999999</v>
      </c>
    </row>
    <row r="526" spans="1:3" x14ac:dyDescent="0.25">
      <c r="A526" s="1">
        <v>45866</v>
      </c>
      <c r="B526" s="6">
        <v>0.15</v>
      </c>
      <c r="C526" s="6">
        <f t="shared" si="13"/>
        <v>0.14899999999999999</v>
      </c>
    </row>
    <row r="527" spans="1:3" x14ac:dyDescent="0.25">
      <c r="A527" s="1">
        <v>45867</v>
      </c>
      <c r="B527" s="6">
        <v>0.15</v>
      </c>
      <c r="C527" s="6">
        <f t="shared" si="13"/>
        <v>0.14899999999999999</v>
      </c>
    </row>
    <row r="528" spans="1:3" x14ac:dyDescent="0.25">
      <c r="A528" s="1">
        <v>45868</v>
      </c>
      <c r="B528" s="6">
        <v>0.15</v>
      </c>
      <c r="C528" s="6">
        <f t="shared" si="13"/>
        <v>0.14899999999999999</v>
      </c>
    </row>
    <row r="529" spans="1:3" x14ac:dyDescent="0.25">
      <c r="A529" s="1">
        <v>45869</v>
      </c>
      <c r="B529" s="6">
        <v>0.15</v>
      </c>
      <c r="C529" s="6">
        <f t="shared" si="13"/>
        <v>0.14899999999999999</v>
      </c>
    </row>
    <row r="530" spans="1:3" x14ac:dyDescent="0.25">
      <c r="A530" s="1">
        <v>45870</v>
      </c>
      <c r="B530" s="6">
        <v>0.15</v>
      </c>
      <c r="C530" s="6">
        <f t="shared" ref="C530:C533" si="14">B530-0.1%</f>
        <v>0.14899999999999999</v>
      </c>
    </row>
    <row r="531" spans="1:3" x14ac:dyDescent="0.25">
      <c r="A531" s="1">
        <v>45873</v>
      </c>
      <c r="B531" s="6">
        <v>0.15</v>
      </c>
      <c r="C531" s="6">
        <f t="shared" si="14"/>
        <v>0.14899999999999999</v>
      </c>
    </row>
    <row r="532" spans="1:3" x14ac:dyDescent="0.25">
      <c r="A532" s="1">
        <v>45874</v>
      </c>
      <c r="B532" s="6">
        <v>0.15</v>
      </c>
      <c r="C532" s="6">
        <f t="shared" si="14"/>
        <v>0.14899999999999999</v>
      </c>
    </row>
    <row r="533" spans="1:3" x14ac:dyDescent="0.25">
      <c r="A533" s="1">
        <v>45875</v>
      </c>
      <c r="B533" s="6">
        <v>0.15</v>
      </c>
      <c r="C533" s="6">
        <f t="shared" si="14"/>
        <v>0.14899999999999999</v>
      </c>
    </row>
    <row r="534" spans="1:3" x14ac:dyDescent="0.25">
      <c r="A534" s="1">
        <v>45876</v>
      </c>
      <c r="B534" s="6">
        <v>0.15</v>
      </c>
      <c r="C534" s="6">
        <f t="shared" ref="C534:C537" si="15">B534-0.1%</f>
        <v>0.14899999999999999</v>
      </c>
    </row>
    <row r="535" spans="1:3" x14ac:dyDescent="0.25">
      <c r="A535" s="1">
        <v>45877</v>
      </c>
      <c r="B535" s="6">
        <v>0.15</v>
      </c>
      <c r="C535" s="6">
        <f t="shared" si="15"/>
        <v>0.14899999999999999</v>
      </c>
    </row>
    <row r="536" spans="1:3" x14ac:dyDescent="0.25">
      <c r="A536" s="1">
        <v>45880</v>
      </c>
      <c r="B536" s="6">
        <v>0.15</v>
      </c>
      <c r="C536" s="6">
        <f t="shared" si="15"/>
        <v>0.14899999999999999</v>
      </c>
    </row>
    <row r="537" spans="1:3" x14ac:dyDescent="0.25">
      <c r="A537" s="1">
        <v>45881</v>
      </c>
      <c r="B537" s="6">
        <v>0.15</v>
      </c>
      <c r="C537" s="6">
        <f t="shared" si="15"/>
        <v>0.14899999999999999</v>
      </c>
    </row>
    <row r="538" spans="1:3" x14ac:dyDescent="0.25">
      <c r="A538" s="1">
        <v>45882</v>
      </c>
      <c r="B538" s="6">
        <v>0.15</v>
      </c>
      <c r="C538" s="6">
        <f t="shared" ref="C538:C550" si="16">B538-0.1%</f>
        <v>0.14899999999999999</v>
      </c>
    </row>
    <row r="539" spans="1:3" x14ac:dyDescent="0.25">
      <c r="A539" s="1">
        <v>45883</v>
      </c>
      <c r="B539" s="6">
        <v>0.15</v>
      </c>
      <c r="C539" s="6">
        <f t="shared" si="16"/>
        <v>0.14899999999999999</v>
      </c>
    </row>
    <row r="540" spans="1:3" x14ac:dyDescent="0.25">
      <c r="A540" s="1">
        <v>45884</v>
      </c>
      <c r="B540" s="6">
        <v>0.15</v>
      </c>
      <c r="C540" s="6">
        <f t="shared" si="16"/>
        <v>0.14899999999999999</v>
      </c>
    </row>
    <row r="541" spans="1:3" x14ac:dyDescent="0.25">
      <c r="A541" s="1">
        <v>45887</v>
      </c>
      <c r="B541" s="6">
        <v>0.15</v>
      </c>
      <c r="C541" s="6">
        <f t="shared" si="16"/>
        <v>0.14899999999999999</v>
      </c>
    </row>
    <row r="542" spans="1:3" x14ac:dyDescent="0.25">
      <c r="A542" s="1">
        <v>45888</v>
      </c>
      <c r="B542" s="6">
        <v>0.15</v>
      </c>
      <c r="C542" s="6">
        <f t="shared" si="16"/>
        <v>0.14899999999999999</v>
      </c>
    </row>
    <row r="543" spans="1:3" x14ac:dyDescent="0.25">
      <c r="A543" s="1">
        <v>45889</v>
      </c>
      <c r="B543" s="6">
        <v>0.15</v>
      </c>
      <c r="C543" s="6">
        <f t="shared" si="16"/>
        <v>0.14899999999999999</v>
      </c>
    </row>
    <row r="544" spans="1:3" x14ac:dyDescent="0.25">
      <c r="A544" s="1">
        <v>45890</v>
      </c>
      <c r="B544" s="6">
        <v>0.15</v>
      </c>
      <c r="C544" s="6">
        <f t="shared" si="16"/>
        <v>0.14899999999999999</v>
      </c>
    </row>
    <row r="545" spans="1:3" x14ac:dyDescent="0.25">
      <c r="A545" s="1">
        <v>45891</v>
      </c>
      <c r="B545" s="6">
        <v>0.15</v>
      </c>
      <c r="C545" s="6">
        <f t="shared" si="16"/>
        <v>0.14899999999999999</v>
      </c>
    </row>
    <row r="546" spans="1:3" x14ac:dyDescent="0.25">
      <c r="A546" s="1">
        <v>45894</v>
      </c>
      <c r="B546" s="6">
        <v>0.15</v>
      </c>
      <c r="C546" s="6">
        <f t="shared" si="16"/>
        <v>0.14899999999999999</v>
      </c>
    </row>
    <row r="547" spans="1:3" x14ac:dyDescent="0.25">
      <c r="A547" s="1">
        <v>45895</v>
      </c>
      <c r="B547" s="6">
        <v>0.15</v>
      </c>
      <c r="C547" s="6">
        <f t="shared" si="16"/>
        <v>0.14899999999999999</v>
      </c>
    </row>
    <row r="548" spans="1:3" x14ac:dyDescent="0.25">
      <c r="A548" s="1">
        <v>45896</v>
      </c>
      <c r="B548" s="6">
        <v>0.15</v>
      </c>
      <c r="C548" s="6">
        <f t="shared" si="16"/>
        <v>0.14899999999999999</v>
      </c>
    </row>
    <row r="549" spans="1:3" x14ac:dyDescent="0.25">
      <c r="A549" s="1">
        <v>45897</v>
      </c>
      <c r="B549" s="6">
        <v>0.15</v>
      </c>
      <c r="C549" s="6">
        <f t="shared" si="16"/>
        <v>0.14899999999999999</v>
      </c>
    </row>
    <row r="550" spans="1:3" x14ac:dyDescent="0.25">
      <c r="A550" s="1">
        <v>45898</v>
      </c>
      <c r="B550" s="6">
        <v>0.15</v>
      </c>
      <c r="C550" s="6">
        <f t="shared" si="16"/>
        <v>0.14899999999999999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BF07-1C87-442B-8494-C2FA27868F2C}">
  <dimension ref="A1:E543"/>
  <sheetViews>
    <sheetView topLeftCell="A520" workbookViewId="0">
      <selection activeCell="G541" sqref="G541"/>
    </sheetView>
  </sheetViews>
  <sheetFormatPr defaultRowHeight="15" x14ac:dyDescent="0.25"/>
  <cols>
    <col min="1" max="1" width="10.140625" bestFit="1" customWidth="1"/>
    <col min="2" max="2" width="11.5703125" bestFit="1" customWidth="1"/>
    <col min="3" max="3" width="14.42578125" bestFit="1" customWidth="1"/>
    <col min="4" max="4" width="12.5703125" bestFit="1" customWidth="1"/>
    <col min="5" max="5" width="15.5703125" bestFit="1" customWidth="1"/>
  </cols>
  <sheetData>
    <row r="1" spans="1:5" x14ac:dyDescent="0.25">
      <c r="A1" t="s">
        <v>41</v>
      </c>
      <c r="B1" t="s">
        <v>42</v>
      </c>
      <c r="C1" t="s">
        <v>45</v>
      </c>
      <c r="D1" t="s">
        <v>43</v>
      </c>
      <c r="E1" t="s">
        <v>44</v>
      </c>
    </row>
    <row r="2" spans="1:5" x14ac:dyDescent="0.25">
      <c r="A2" s="1">
        <v>44904</v>
      </c>
      <c r="B2" s="2">
        <v>37801.839999999997</v>
      </c>
      <c r="C2" s="2">
        <f>IFERROR(B2-B1,0)</f>
        <v>0</v>
      </c>
      <c r="D2" s="2">
        <v>80427.42</v>
      </c>
      <c r="E2" s="2">
        <f>IFERROR(D2-D1,0)</f>
        <v>0</v>
      </c>
    </row>
    <row r="3" spans="1:5" x14ac:dyDescent="0.25">
      <c r="A3" s="1">
        <v>44907</v>
      </c>
      <c r="B3" s="2">
        <v>37237.730000000003</v>
      </c>
      <c r="C3" s="2">
        <f t="shared" ref="C3:C66" si="0">IFERROR(B3-B2,0)</f>
        <v>-564.10999999999331</v>
      </c>
      <c r="D3" s="2">
        <v>79974.44</v>
      </c>
      <c r="E3" s="2">
        <f>IFERROR(D3-D2,0)</f>
        <v>-452.97999999999593</v>
      </c>
    </row>
    <row r="4" spans="1:5" x14ac:dyDescent="0.25">
      <c r="A4" s="1">
        <v>44908</v>
      </c>
      <c r="B4" s="2">
        <v>36662.987999999998</v>
      </c>
      <c r="C4" s="2">
        <f t="shared" si="0"/>
        <v>-574.74200000000565</v>
      </c>
      <c r="D4" s="2">
        <v>79718.05</v>
      </c>
      <c r="E4" s="2">
        <f t="shared" ref="E4:E66" si="1">IFERROR(D4-D3,0)</f>
        <v>-256.38999999999942</v>
      </c>
    </row>
    <row r="5" spans="1:5" x14ac:dyDescent="0.25">
      <c r="A5" s="1">
        <v>44909</v>
      </c>
      <c r="B5" s="2">
        <v>36137.012000000002</v>
      </c>
      <c r="C5" s="2">
        <f t="shared" si="0"/>
        <v>-525.97599999999511</v>
      </c>
      <c r="D5" s="2">
        <v>79572.89</v>
      </c>
      <c r="E5" s="2">
        <f t="shared" si="1"/>
        <v>-145.16000000000349</v>
      </c>
    </row>
    <row r="6" spans="1:5" x14ac:dyDescent="0.25">
      <c r="A6" s="1">
        <v>44910</v>
      </c>
      <c r="B6" s="2">
        <v>36782.43</v>
      </c>
      <c r="C6" s="2">
        <f t="shared" si="0"/>
        <v>645.41799999999785</v>
      </c>
      <c r="D6" s="2">
        <v>79812.08</v>
      </c>
      <c r="E6" s="2">
        <f t="shared" si="1"/>
        <v>239.19000000000233</v>
      </c>
    </row>
    <row r="7" spans="1:5" x14ac:dyDescent="0.25">
      <c r="A7" s="1">
        <v>44911</v>
      </c>
      <c r="B7" s="2">
        <v>36377.809000000001</v>
      </c>
      <c r="C7" s="2">
        <f t="shared" si="0"/>
        <v>-404.62099999999919</v>
      </c>
      <c r="D7" s="2">
        <v>79502.87</v>
      </c>
      <c r="E7" s="2">
        <f t="shared" si="1"/>
        <v>-309.2100000000064</v>
      </c>
    </row>
    <row r="8" spans="1:5" x14ac:dyDescent="0.25">
      <c r="A8" s="1">
        <v>44914</v>
      </c>
      <c r="B8" s="2">
        <v>36519.281000000003</v>
      </c>
      <c r="C8" s="2">
        <f t="shared" si="0"/>
        <v>141.47200000000157</v>
      </c>
      <c r="D8" s="2">
        <v>79495.360000000001</v>
      </c>
      <c r="E8" s="2">
        <f t="shared" si="1"/>
        <v>-7.5099999999947613</v>
      </c>
    </row>
    <row r="9" spans="1:5" x14ac:dyDescent="0.25">
      <c r="A9" s="1">
        <v>44915</v>
      </c>
      <c r="B9" s="2">
        <v>37286.699000000001</v>
      </c>
      <c r="C9" s="2">
        <f t="shared" si="0"/>
        <v>767.41799999999785</v>
      </c>
      <c r="D9" s="2">
        <v>80007.839999999997</v>
      </c>
      <c r="E9" s="2">
        <f t="shared" si="1"/>
        <v>512.47999999999593</v>
      </c>
    </row>
    <row r="10" spans="1:5" x14ac:dyDescent="0.25">
      <c r="A10" s="1">
        <v>44916</v>
      </c>
      <c r="B10" s="2">
        <v>37587.699000000001</v>
      </c>
      <c r="C10" s="2">
        <f t="shared" si="0"/>
        <v>301</v>
      </c>
      <c r="D10" s="2">
        <v>79862.720000000001</v>
      </c>
      <c r="E10" s="2">
        <f t="shared" si="1"/>
        <v>-145.11999999999534</v>
      </c>
    </row>
    <row r="11" spans="1:5" x14ac:dyDescent="0.25">
      <c r="A11" s="1">
        <v>44917</v>
      </c>
      <c r="B11" s="2">
        <v>37867.038999999997</v>
      </c>
      <c r="C11" s="2">
        <f t="shared" si="0"/>
        <v>279.33999999999651</v>
      </c>
      <c r="D11" s="2">
        <v>79991.8</v>
      </c>
      <c r="E11" s="2">
        <f t="shared" si="1"/>
        <v>129.08000000000175</v>
      </c>
    </row>
    <row r="12" spans="1:5" x14ac:dyDescent="0.25">
      <c r="A12" s="1">
        <v>44918</v>
      </c>
      <c r="B12" s="2">
        <v>38126.870999999999</v>
      </c>
      <c r="C12" s="2">
        <f t="shared" si="0"/>
        <v>259.83200000000215</v>
      </c>
      <c r="D12" s="2">
        <v>80340.73</v>
      </c>
      <c r="E12" s="2">
        <f t="shared" si="1"/>
        <v>348.92999999999302</v>
      </c>
    </row>
    <row r="13" spans="1:5" x14ac:dyDescent="0.25">
      <c r="A13" s="1">
        <v>44921</v>
      </c>
      <c r="B13" s="2">
        <v>38045.671999999999</v>
      </c>
      <c r="C13" s="2">
        <f t="shared" si="0"/>
        <v>-81.199000000000524</v>
      </c>
      <c r="D13" s="2">
        <v>80332.41</v>
      </c>
      <c r="E13" s="2">
        <f t="shared" si="1"/>
        <v>-8.319999999992433</v>
      </c>
    </row>
    <row r="14" spans="1:5" x14ac:dyDescent="0.25">
      <c r="A14" s="1">
        <v>44922</v>
      </c>
      <c r="B14" s="2">
        <v>37900.578000000001</v>
      </c>
      <c r="C14" s="2">
        <f t="shared" si="0"/>
        <v>-145.09399999999732</v>
      </c>
      <c r="D14" s="2">
        <v>80351.62</v>
      </c>
      <c r="E14" s="2">
        <f t="shared" si="1"/>
        <v>19.209999999991851</v>
      </c>
    </row>
    <row r="15" spans="1:5" x14ac:dyDescent="0.25">
      <c r="A15" s="1">
        <v>44923</v>
      </c>
      <c r="B15" s="2">
        <v>38517.398000000001</v>
      </c>
      <c r="C15" s="2">
        <f t="shared" si="0"/>
        <v>616.81999999999971</v>
      </c>
      <c r="D15" s="2">
        <v>80673.47</v>
      </c>
      <c r="E15" s="2">
        <f t="shared" si="1"/>
        <v>321.85000000000582</v>
      </c>
    </row>
    <row r="16" spans="1:5" x14ac:dyDescent="0.25">
      <c r="A16" s="1">
        <v>44924</v>
      </c>
      <c r="B16" s="2">
        <v>38751.262000000002</v>
      </c>
      <c r="C16" s="2">
        <f t="shared" si="0"/>
        <v>233.8640000000014</v>
      </c>
      <c r="D16" s="2">
        <v>80692.42</v>
      </c>
      <c r="E16" s="2">
        <f t="shared" si="1"/>
        <v>18.94999999999709</v>
      </c>
    </row>
    <row r="17" spans="1:5" x14ac:dyDescent="0.25">
      <c r="A17" s="1">
        <v>44928</v>
      </c>
      <c r="B17" s="2">
        <v>38038.120999999999</v>
      </c>
      <c r="C17" s="2">
        <f t="shared" si="0"/>
        <v>-713.14100000000326</v>
      </c>
      <c r="D17" s="2">
        <v>80319.09</v>
      </c>
      <c r="E17" s="2">
        <f t="shared" si="1"/>
        <v>-373.33000000000175</v>
      </c>
    </row>
    <row r="18" spans="1:5" x14ac:dyDescent="0.25">
      <c r="A18" s="1">
        <v>44929</v>
      </c>
      <c r="B18" s="2">
        <v>37527.898000000001</v>
      </c>
      <c r="C18" s="2">
        <f t="shared" si="0"/>
        <v>-510.22299999999814</v>
      </c>
      <c r="D18" s="2">
        <v>80093.16</v>
      </c>
      <c r="E18" s="2">
        <f t="shared" si="1"/>
        <v>-225.92999999999302</v>
      </c>
    </row>
    <row r="19" spans="1:5" x14ac:dyDescent="0.25">
      <c r="A19" s="1">
        <v>44930</v>
      </c>
      <c r="B19" s="2">
        <v>37142.891000000003</v>
      </c>
      <c r="C19" s="2">
        <f t="shared" si="0"/>
        <v>-385.00699999999779</v>
      </c>
      <c r="D19" s="2">
        <v>79976.97</v>
      </c>
      <c r="E19" s="2">
        <f t="shared" si="1"/>
        <v>-116.19000000000233</v>
      </c>
    </row>
    <row r="20" spans="1:5" x14ac:dyDescent="0.25">
      <c r="A20" s="1">
        <v>44931</v>
      </c>
      <c r="B20" s="2">
        <v>37797.379000000001</v>
      </c>
      <c r="C20" s="2">
        <f t="shared" si="0"/>
        <v>654.48799999999756</v>
      </c>
      <c r="D20" s="2">
        <v>80213.75</v>
      </c>
      <c r="E20" s="2">
        <f t="shared" si="1"/>
        <v>236.77999999999884</v>
      </c>
    </row>
    <row r="21" spans="1:5" x14ac:dyDescent="0.25">
      <c r="A21" s="1">
        <v>44932</v>
      </c>
      <c r="B21" s="2">
        <v>38296.839999999997</v>
      </c>
      <c r="C21" s="2">
        <f t="shared" si="0"/>
        <v>499.46099999999569</v>
      </c>
      <c r="D21" s="2">
        <v>80532.740000000005</v>
      </c>
      <c r="E21" s="2">
        <f t="shared" si="1"/>
        <v>318.99000000000524</v>
      </c>
    </row>
    <row r="22" spans="1:5" x14ac:dyDescent="0.25">
      <c r="A22" s="1">
        <v>44935</v>
      </c>
      <c r="B22" s="2">
        <v>38466.300999999999</v>
      </c>
      <c r="C22" s="2">
        <f t="shared" si="0"/>
        <v>169.46100000000297</v>
      </c>
      <c r="D22" s="2">
        <v>80579.240000000005</v>
      </c>
      <c r="E22" s="2">
        <f t="shared" si="1"/>
        <v>46.5</v>
      </c>
    </row>
    <row r="23" spans="1:5" x14ac:dyDescent="0.25">
      <c r="A23" s="1">
        <v>44936</v>
      </c>
      <c r="B23" s="2">
        <v>38925.487999999998</v>
      </c>
      <c r="C23" s="2">
        <f t="shared" si="0"/>
        <v>459.18699999999808</v>
      </c>
      <c r="D23" s="2">
        <v>80871.62</v>
      </c>
      <c r="E23" s="2">
        <f t="shared" si="1"/>
        <v>292.3799999999901</v>
      </c>
    </row>
    <row r="24" spans="1:5" x14ac:dyDescent="0.25">
      <c r="A24" s="1">
        <v>44937</v>
      </c>
      <c r="B24" s="2">
        <v>39487.578000000001</v>
      </c>
      <c r="C24" s="2">
        <f t="shared" si="0"/>
        <v>562.09000000000378</v>
      </c>
      <c r="D24" s="2">
        <v>81219.67</v>
      </c>
      <c r="E24" s="2">
        <f t="shared" si="1"/>
        <v>348.05000000000291</v>
      </c>
    </row>
    <row r="25" spans="1:5" x14ac:dyDescent="0.25">
      <c r="A25" s="1">
        <v>44938</v>
      </c>
      <c r="B25" s="2">
        <v>40032.781000000003</v>
      </c>
      <c r="C25" s="2">
        <f t="shared" si="0"/>
        <v>545.20300000000134</v>
      </c>
      <c r="D25" s="2">
        <v>81375.86</v>
      </c>
      <c r="E25" s="2">
        <f t="shared" si="1"/>
        <v>156.19000000000233</v>
      </c>
    </row>
    <row r="26" spans="1:5" x14ac:dyDescent="0.25">
      <c r="A26" s="1">
        <v>44939</v>
      </c>
      <c r="B26" s="2">
        <v>39803.589999999997</v>
      </c>
      <c r="C26" s="2">
        <f t="shared" si="0"/>
        <v>-229.19100000000617</v>
      </c>
      <c r="D26" s="2">
        <v>81394.44</v>
      </c>
      <c r="E26" s="2">
        <f t="shared" si="1"/>
        <v>18.580000000001746</v>
      </c>
    </row>
    <row r="27" spans="1:5" x14ac:dyDescent="0.25">
      <c r="A27" s="1">
        <v>44942</v>
      </c>
      <c r="B27" s="2">
        <v>39034.737999999998</v>
      </c>
      <c r="C27" s="2">
        <f t="shared" si="0"/>
        <v>-768.85199999999895</v>
      </c>
      <c r="D27" s="2">
        <v>81166.16</v>
      </c>
      <c r="E27" s="2">
        <f t="shared" si="1"/>
        <v>-228.27999999999884</v>
      </c>
    </row>
    <row r="28" spans="1:5" x14ac:dyDescent="0.25">
      <c r="A28" s="1">
        <v>44943</v>
      </c>
      <c r="B28" s="2">
        <v>39322.82</v>
      </c>
      <c r="C28" s="2">
        <f t="shared" si="0"/>
        <v>288.08200000000215</v>
      </c>
      <c r="D28" s="2">
        <v>81514.02</v>
      </c>
      <c r="E28" s="2">
        <f t="shared" si="1"/>
        <v>347.86000000000058</v>
      </c>
    </row>
    <row r="29" spans="1:5" x14ac:dyDescent="0.25">
      <c r="A29" s="1">
        <v>44944</v>
      </c>
      <c r="B29" s="2">
        <v>39115.487999999998</v>
      </c>
      <c r="C29" s="2">
        <f t="shared" si="0"/>
        <v>-207.33200000000215</v>
      </c>
      <c r="D29" s="2">
        <v>81450.19</v>
      </c>
      <c r="E29" s="2">
        <f t="shared" si="1"/>
        <v>-63.830000000001746</v>
      </c>
    </row>
    <row r="30" spans="1:5" x14ac:dyDescent="0.25">
      <c r="A30" s="1">
        <v>44945</v>
      </c>
      <c r="B30" s="2">
        <v>38846.987999999998</v>
      </c>
      <c r="C30" s="2">
        <f t="shared" si="0"/>
        <v>-268.5</v>
      </c>
      <c r="D30" s="2">
        <v>81688.42</v>
      </c>
      <c r="E30" s="2">
        <f t="shared" si="1"/>
        <v>238.22999999999593</v>
      </c>
    </row>
    <row r="31" spans="1:5" x14ac:dyDescent="0.25">
      <c r="A31" s="1">
        <v>44946</v>
      </c>
      <c r="B31" s="2">
        <v>37984.262000000002</v>
      </c>
      <c r="C31" s="2">
        <f t="shared" si="0"/>
        <v>-862.72599999999511</v>
      </c>
      <c r="D31" s="2">
        <v>81542.16</v>
      </c>
      <c r="E31" s="2">
        <f t="shared" si="1"/>
        <v>-146.25999999999476</v>
      </c>
    </row>
    <row r="32" spans="1:5" x14ac:dyDescent="0.25">
      <c r="A32" s="1">
        <v>44949</v>
      </c>
      <c r="B32" s="2">
        <v>37481.730000000003</v>
      </c>
      <c r="C32" s="2">
        <f t="shared" si="0"/>
        <v>-502.53199999999924</v>
      </c>
      <c r="D32" s="2">
        <v>81478.62</v>
      </c>
      <c r="E32" s="2">
        <f t="shared" si="1"/>
        <v>-63.540000000008149</v>
      </c>
    </row>
    <row r="33" spans="1:5" x14ac:dyDescent="0.25">
      <c r="A33" s="1">
        <v>44950</v>
      </c>
      <c r="B33" s="2">
        <v>37846.68</v>
      </c>
      <c r="C33" s="2">
        <f t="shared" si="0"/>
        <v>364.94999999999709</v>
      </c>
      <c r="D33" s="2">
        <v>81634.009999999995</v>
      </c>
      <c r="E33" s="2">
        <f t="shared" si="1"/>
        <v>155.38999999999942</v>
      </c>
    </row>
    <row r="34" spans="1:5" x14ac:dyDescent="0.25">
      <c r="A34" s="1">
        <v>44951</v>
      </c>
      <c r="B34" s="2">
        <v>38295.300999999999</v>
      </c>
      <c r="C34" s="2">
        <f t="shared" si="0"/>
        <v>448.62099999999919</v>
      </c>
      <c r="D34" s="2">
        <v>81652.53</v>
      </c>
      <c r="E34" s="2">
        <f t="shared" si="1"/>
        <v>18.520000000004075</v>
      </c>
    </row>
    <row r="35" spans="1:5" x14ac:dyDescent="0.25">
      <c r="A35" s="1">
        <v>44952</v>
      </c>
      <c r="B35" s="2">
        <v>38135.269999999997</v>
      </c>
      <c r="C35" s="2">
        <f t="shared" si="0"/>
        <v>-160.03100000000268</v>
      </c>
      <c r="D35" s="2">
        <v>81561.8</v>
      </c>
      <c r="E35" s="2">
        <f t="shared" si="1"/>
        <v>-90.729999999995925</v>
      </c>
    </row>
    <row r="36" spans="1:5" x14ac:dyDescent="0.25">
      <c r="A36" s="1">
        <v>44953</v>
      </c>
      <c r="B36" s="2">
        <v>37723.32</v>
      </c>
      <c r="C36" s="2">
        <f t="shared" si="0"/>
        <v>-411.94999999999709</v>
      </c>
      <c r="D36" s="2">
        <v>81281.23</v>
      </c>
      <c r="E36" s="2">
        <f t="shared" si="1"/>
        <v>-280.57000000000698</v>
      </c>
    </row>
    <row r="37" spans="1:5" x14ac:dyDescent="0.25">
      <c r="A37" s="1">
        <v>44956</v>
      </c>
      <c r="B37" s="2">
        <v>37825.940999999999</v>
      </c>
      <c r="C37" s="2">
        <f t="shared" si="0"/>
        <v>102.62099999999919</v>
      </c>
      <c r="D37" s="2">
        <v>81354.36</v>
      </c>
      <c r="E37" s="2">
        <f t="shared" si="1"/>
        <v>73.130000000004657</v>
      </c>
    </row>
    <row r="38" spans="1:5" x14ac:dyDescent="0.25">
      <c r="A38" s="1">
        <v>44957</v>
      </c>
      <c r="B38" s="2">
        <v>38156.339999999997</v>
      </c>
      <c r="C38" s="2">
        <f t="shared" si="0"/>
        <v>330.39899999999761</v>
      </c>
      <c r="D38" s="2">
        <v>81319.009999999995</v>
      </c>
      <c r="E38" s="2">
        <f t="shared" si="1"/>
        <v>-35.350000000005821</v>
      </c>
    </row>
    <row r="39" spans="1:5" x14ac:dyDescent="0.25">
      <c r="A39" s="1">
        <v>44958</v>
      </c>
      <c r="B39" s="2">
        <v>37828.870999999999</v>
      </c>
      <c r="C39" s="2">
        <f t="shared" si="0"/>
        <v>-327.46899999999732</v>
      </c>
      <c r="D39" s="2">
        <v>81229.75</v>
      </c>
      <c r="E39" s="2">
        <f t="shared" si="1"/>
        <v>-89.259999999994761</v>
      </c>
    </row>
    <row r="40" spans="1:5" x14ac:dyDescent="0.25">
      <c r="A40" s="1">
        <v>44959</v>
      </c>
      <c r="B40" s="2">
        <v>38135.089999999997</v>
      </c>
      <c r="C40" s="2">
        <f t="shared" si="0"/>
        <v>306.21899999999732</v>
      </c>
      <c r="D40" s="2">
        <v>81033.179999999993</v>
      </c>
      <c r="E40" s="2">
        <f t="shared" si="1"/>
        <v>-196.57000000000698</v>
      </c>
    </row>
    <row r="41" spans="1:5" x14ac:dyDescent="0.25">
      <c r="A41" s="1">
        <v>44960</v>
      </c>
      <c r="B41" s="2">
        <v>37321.269999999997</v>
      </c>
      <c r="C41" s="2">
        <f t="shared" si="0"/>
        <v>-813.81999999999971</v>
      </c>
      <c r="D41" s="2">
        <v>80757.42</v>
      </c>
      <c r="E41" s="2">
        <f t="shared" si="1"/>
        <v>-275.75999999999476</v>
      </c>
    </row>
    <row r="42" spans="1:5" x14ac:dyDescent="0.25">
      <c r="A42" s="1">
        <v>44963</v>
      </c>
      <c r="B42" s="2">
        <v>37448.608999999997</v>
      </c>
      <c r="C42" s="2">
        <f t="shared" si="0"/>
        <v>127.33899999999994</v>
      </c>
      <c r="D42" s="2">
        <v>80964.25</v>
      </c>
      <c r="E42" s="2">
        <f t="shared" si="1"/>
        <v>206.83000000000175</v>
      </c>
    </row>
    <row r="43" spans="1:5" x14ac:dyDescent="0.25">
      <c r="A43" s="1">
        <v>44964</v>
      </c>
      <c r="B43" s="2">
        <v>37239.75</v>
      </c>
      <c r="C43" s="2">
        <f t="shared" si="0"/>
        <v>-208.85899999999674</v>
      </c>
      <c r="D43" s="2">
        <v>81037.14</v>
      </c>
      <c r="E43" s="2">
        <f t="shared" si="1"/>
        <v>72.889999999999418</v>
      </c>
    </row>
    <row r="44" spans="1:5" x14ac:dyDescent="0.25">
      <c r="A44" s="1">
        <v>44965</v>
      </c>
      <c r="B44" s="2">
        <v>37472.858999999997</v>
      </c>
      <c r="C44" s="2">
        <f t="shared" si="0"/>
        <v>233.10899999999674</v>
      </c>
      <c r="D44" s="2">
        <v>81540.31</v>
      </c>
      <c r="E44" s="2">
        <f t="shared" si="1"/>
        <v>503.16999999999825</v>
      </c>
    </row>
    <row r="45" spans="1:5" x14ac:dyDescent="0.25">
      <c r="A45" s="1">
        <v>44966</v>
      </c>
      <c r="B45" s="2">
        <v>36829.269999999997</v>
      </c>
      <c r="C45" s="2">
        <f t="shared" si="0"/>
        <v>-643.58899999999994</v>
      </c>
      <c r="D45" s="2">
        <v>81559.14</v>
      </c>
      <c r="E45" s="2">
        <f t="shared" si="1"/>
        <v>18.830000000001746</v>
      </c>
    </row>
    <row r="46" spans="1:5" x14ac:dyDescent="0.25">
      <c r="A46" s="1">
        <v>44967</v>
      </c>
      <c r="B46" s="2">
        <v>36934.410000000003</v>
      </c>
      <c r="C46" s="2">
        <f t="shared" si="0"/>
        <v>105.14000000000669</v>
      </c>
      <c r="D46" s="2">
        <v>81658.83</v>
      </c>
      <c r="E46" s="2">
        <f t="shared" si="1"/>
        <v>99.690000000002328</v>
      </c>
    </row>
    <row r="47" spans="1:5" x14ac:dyDescent="0.25">
      <c r="A47" s="1">
        <v>44970</v>
      </c>
      <c r="B47" s="2">
        <v>37126.75</v>
      </c>
      <c r="C47" s="2">
        <f t="shared" si="0"/>
        <v>192.33999999999651</v>
      </c>
      <c r="D47" s="2">
        <v>81704.55</v>
      </c>
      <c r="E47" s="2">
        <f t="shared" si="1"/>
        <v>45.720000000001164</v>
      </c>
    </row>
    <row r="48" spans="1:5" x14ac:dyDescent="0.25">
      <c r="A48" s="1">
        <v>44971</v>
      </c>
      <c r="B48" s="2">
        <v>36923.328000000001</v>
      </c>
      <c r="C48" s="2">
        <f t="shared" si="0"/>
        <v>-203.42199999999866</v>
      </c>
      <c r="D48" s="2">
        <v>81939.14</v>
      </c>
      <c r="E48" s="2">
        <f t="shared" si="1"/>
        <v>234.58999999999651</v>
      </c>
    </row>
    <row r="49" spans="1:5" x14ac:dyDescent="0.25">
      <c r="A49" s="1">
        <v>44972</v>
      </c>
      <c r="B49" s="2">
        <v>37540.129000000001</v>
      </c>
      <c r="C49" s="2">
        <f t="shared" si="0"/>
        <v>616.80099999999948</v>
      </c>
      <c r="D49" s="2">
        <v>82065.789999999994</v>
      </c>
      <c r="E49" s="2">
        <f t="shared" si="1"/>
        <v>126.64999999999418</v>
      </c>
    </row>
    <row r="50" spans="1:5" x14ac:dyDescent="0.25">
      <c r="A50" s="1">
        <v>44973</v>
      </c>
      <c r="B50" s="2">
        <v>37141.769999999997</v>
      </c>
      <c r="C50" s="2">
        <f t="shared" si="0"/>
        <v>-398.35900000000402</v>
      </c>
      <c r="D50" s="2">
        <v>82627.02</v>
      </c>
      <c r="E50" s="2">
        <f t="shared" si="1"/>
        <v>561.23000000001048</v>
      </c>
    </row>
    <row r="51" spans="1:5" x14ac:dyDescent="0.25">
      <c r="A51" s="1">
        <v>44974</v>
      </c>
      <c r="B51" s="2">
        <v>37730.660000000003</v>
      </c>
      <c r="C51" s="2">
        <f t="shared" si="0"/>
        <v>588.89000000000669</v>
      </c>
      <c r="D51" s="2">
        <v>82726.720000000001</v>
      </c>
      <c r="E51" s="2">
        <f t="shared" si="1"/>
        <v>99.69999999999709</v>
      </c>
    </row>
    <row r="52" spans="1:5" x14ac:dyDescent="0.25">
      <c r="A52" s="1">
        <v>44979</v>
      </c>
      <c r="B52" s="2">
        <v>37590.968999999997</v>
      </c>
      <c r="C52" s="2">
        <f t="shared" si="0"/>
        <v>-139.69100000000617</v>
      </c>
      <c r="D52" s="2">
        <v>82472.800000000003</v>
      </c>
      <c r="E52" s="2">
        <f t="shared" si="1"/>
        <v>-253.91999999999825</v>
      </c>
    </row>
    <row r="53" spans="1:5" x14ac:dyDescent="0.25">
      <c r="A53" s="1">
        <v>44980</v>
      </c>
      <c r="B53" s="2">
        <v>37552.737999999998</v>
      </c>
      <c r="C53" s="2">
        <f t="shared" si="0"/>
        <v>-38.230999999999767</v>
      </c>
      <c r="D53" s="2">
        <v>82463.86</v>
      </c>
      <c r="E53" s="2">
        <f t="shared" si="1"/>
        <v>-8.9400000000023283</v>
      </c>
    </row>
    <row r="54" spans="1:5" x14ac:dyDescent="0.25">
      <c r="A54" s="1">
        <v>44981</v>
      </c>
      <c r="B54" s="2">
        <v>37150.101999999999</v>
      </c>
      <c r="C54" s="2">
        <f t="shared" si="0"/>
        <v>-402.6359999999986</v>
      </c>
      <c r="D54" s="2">
        <v>82185.039999999994</v>
      </c>
      <c r="E54" s="2">
        <f t="shared" si="1"/>
        <v>-278.82000000000698</v>
      </c>
    </row>
    <row r="55" spans="1:5" x14ac:dyDescent="0.25">
      <c r="A55" s="1">
        <v>44984</v>
      </c>
      <c r="B55" s="2">
        <v>37821.059000000001</v>
      </c>
      <c r="C55" s="2">
        <f t="shared" si="0"/>
        <v>670.95700000000215</v>
      </c>
      <c r="D55" s="2">
        <v>82419.149999999994</v>
      </c>
      <c r="E55" s="2">
        <f t="shared" si="1"/>
        <v>234.11000000000058</v>
      </c>
    </row>
    <row r="56" spans="1:5" x14ac:dyDescent="0.25">
      <c r="A56" s="1">
        <v>44985</v>
      </c>
      <c r="B56" s="2">
        <v>37590.781000000003</v>
      </c>
      <c r="C56" s="2">
        <f t="shared" si="0"/>
        <v>-230.27799999999843</v>
      </c>
      <c r="D56" s="2">
        <v>82356.52</v>
      </c>
      <c r="E56" s="2">
        <f t="shared" si="1"/>
        <v>-62.629999999990105</v>
      </c>
    </row>
    <row r="57" spans="1:5" x14ac:dyDescent="0.25">
      <c r="A57" s="1">
        <v>44986</v>
      </c>
      <c r="B57" s="2">
        <v>37094.148000000001</v>
      </c>
      <c r="C57" s="2">
        <f t="shared" si="0"/>
        <v>-496.63300000000163</v>
      </c>
      <c r="D57" s="2">
        <v>82347.94</v>
      </c>
      <c r="E57" s="2">
        <f t="shared" si="1"/>
        <v>-8.5800000000017462</v>
      </c>
    </row>
    <row r="58" spans="1:5" x14ac:dyDescent="0.25">
      <c r="A58" s="1">
        <v>44987</v>
      </c>
      <c r="B58" s="2">
        <v>36756.120999999999</v>
      </c>
      <c r="C58" s="2">
        <f t="shared" si="0"/>
        <v>-338.02700000000186</v>
      </c>
      <c r="D58" s="2">
        <v>82071.289999999994</v>
      </c>
      <c r="E58" s="2">
        <f t="shared" si="1"/>
        <v>-276.65000000000873</v>
      </c>
    </row>
    <row r="59" spans="1:5" x14ac:dyDescent="0.25">
      <c r="A59" s="1">
        <v>44988</v>
      </c>
      <c r="B59" s="2">
        <v>36764.809000000001</v>
      </c>
      <c r="C59" s="2">
        <f t="shared" si="0"/>
        <v>8.6880000000019209</v>
      </c>
      <c r="D59" s="2">
        <v>82143.42</v>
      </c>
      <c r="E59" s="2">
        <f t="shared" si="1"/>
        <v>72.130000000004657</v>
      </c>
    </row>
    <row r="60" spans="1:5" x14ac:dyDescent="0.25">
      <c r="A60" s="1">
        <v>44991</v>
      </c>
      <c r="B60" s="2">
        <v>36902.031000000003</v>
      </c>
      <c r="C60" s="2">
        <f t="shared" si="0"/>
        <v>137.22200000000157</v>
      </c>
      <c r="D60" s="2">
        <v>82242.259999999995</v>
      </c>
      <c r="E60" s="2">
        <f t="shared" si="1"/>
        <v>98.839999999996508</v>
      </c>
    </row>
    <row r="61" spans="1:5" x14ac:dyDescent="0.25">
      <c r="A61" s="1">
        <v>44992</v>
      </c>
      <c r="B61" s="2">
        <v>37197.18</v>
      </c>
      <c r="C61" s="2">
        <f t="shared" si="0"/>
        <v>295.14899999999761</v>
      </c>
      <c r="D61" s="2">
        <v>82475.06</v>
      </c>
      <c r="E61" s="2">
        <f t="shared" si="1"/>
        <v>232.80000000000291</v>
      </c>
    </row>
    <row r="62" spans="1:5" x14ac:dyDescent="0.25">
      <c r="A62" s="1">
        <v>44993</v>
      </c>
      <c r="B62" s="2">
        <v>37543.487999999998</v>
      </c>
      <c r="C62" s="2">
        <f t="shared" si="0"/>
        <v>346.30799999999726</v>
      </c>
      <c r="D62" s="2">
        <v>82735.09</v>
      </c>
      <c r="E62" s="2">
        <f t="shared" si="1"/>
        <v>260.02999999999884</v>
      </c>
    </row>
    <row r="63" spans="1:5" x14ac:dyDescent="0.25">
      <c r="A63" s="1">
        <v>44994</v>
      </c>
      <c r="B63" s="2">
        <v>38340.108999999997</v>
      </c>
      <c r="C63" s="2">
        <f t="shared" si="0"/>
        <v>796.62099999999919</v>
      </c>
      <c r="D63" s="2">
        <v>82968.61</v>
      </c>
      <c r="E63" s="2">
        <f t="shared" si="1"/>
        <v>233.52000000000407</v>
      </c>
    </row>
    <row r="64" spans="1:5" x14ac:dyDescent="0.25">
      <c r="A64" s="1">
        <v>44995</v>
      </c>
      <c r="B64" s="2">
        <v>38107.199000000001</v>
      </c>
      <c r="C64" s="2">
        <f t="shared" si="0"/>
        <v>-232.90999999999622</v>
      </c>
      <c r="D64" s="2">
        <v>82825.05</v>
      </c>
      <c r="E64" s="2">
        <f t="shared" si="1"/>
        <v>-143.55999999999767</v>
      </c>
    </row>
    <row r="65" spans="1:5" x14ac:dyDescent="0.25">
      <c r="A65" s="1">
        <v>44998</v>
      </c>
      <c r="B65" s="2">
        <v>38652.480000000003</v>
      </c>
      <c r="C65" s="2">
        <f t="shared" si="0"/>
        <v>545.28100000000268</v>
      </c>
      <c r="D65" s="2">
        <v>83139.179999999993</v>
      </c>
      <c r="E65" s="2">
        <f t="shared" si="1"/>
        <v>314.1299999999901</v>
      </c>
    </row>
    <row r="66" spans="1:5" x14ac:dyDescent="0.25">
      <c r="A66" s="1">
        <v>44999</v>
      </c>
      <c r="B66" s="2">
        <v>38252.078000000001</v>
      </c>
      <c r="C66" s="2">
        <f t="shared" si="0"/>
        <v>-400.40200000000186</v>
      </c>
      <c r="D66" s="2">
        <v>83022.36</v>
      </c>
      <c r="E66" s="2">
        <f t="shared" si="1"/>
        <v>-116.81999999999243</v>
      </c>
    </row>
    <row r="67" spans="1:5" x14ac:dyDescent="0.25">
      <c r="A67" s="1">
        <v>45000</v>
      </c>
      <c r="B67" s="2">
        <v>38312.839999999997</v>
      </c>
      <c r="C67" s="2">
        <f t="shared" ref="C67:C130" si="2">IFERROR(B67-B66,0)</f>
        <v>60.761999999995169</v>
      </c>
      <c r="D67" s="2">
        <v>83067.149999999994</v>
      </c>
      <c r="E67" s="2">
        <f t="shared" ref="E67:E130" si="3">IFERROR(D67-D66,0)</f>
        <v>44.789999999993597</v>
      </c>
    </row>
    <row r="68" spans="1:5" x14ac:dyDescent="0.25">
      <c r="A68" s="1">
        <v>45001</v>
      </c>
      <c r="B68" s="2">
        <v>38195.519999999997</v>
      </c>
      <c r="C68" s="2">
        <f t="shared" si="2"/>
        <v>-117.31999999999971</v>
      </c>
      <c r="D68" s="2">
        <v>83058.210000000006</v>
      </c>
      <c r="E68" s="2">
        <f t="shared" si="3"/>
        <v>-8.9399999999877764</v>
      </c>
    </row>
    <row r="69" spans="1:5" x14ac:dyDescent="0.25">
      <c r="A69" s="1">
        <v>45002</v>
      </c>
      <c r="B69" s="2">
        <v>38405.641000000003</v>
      </c>
      <c r="C69" s="2">
        <f t="shared" si="2"/>
        <v>210.12100000000646</v>
      </c>
      <c r="D69" s="2">
        <v>83183.5</v>
      </c>
      <c r="E69" s="2">
        <f t="shared" si="3"/>
        <v>125.2899999999936</v>
      </c>
    </row>
    <row r="70" spans="1:5" x14ac:dyDescent="0.25">
      <c r="A70" s="1">
        <v>45005</v>
      </c>
      <c r="B70" s="2">
        <v>38535.019999999997</v>
      </c>
      <c r="C70" s="2">
        <f t="shared" si="2"/>
        <v>129.37899999999354</v>
      </c>
      <c r="D70" s="2">
        <v>83094.070000000007</v>
      </c>
      <c r="E70" s="2">
        <f t="shared" si="3"/>
        <v>-89.429999999993015</v>
      </c>
    </row>
    <row r="71" spans="1:5" x14ac:dyDescent="0.25">
      <c r="A71" s="1">
        <v>45006</v>
      </c>
      <c r="B71" s="2">
        <v>38488.031000000003</v>
      </c>
      <c r="C71" s="2">
        <f t="shared" si="2"/>
        <v>-46.988999999994121</v>
      </c>
      <c r="D71" s="2">
        <v>83085.240000000005</v>
      </c>
      <c r="E71" s="2">
        <f t="shared" si="3"/>
        <v>-8.8300000000017462</v>
      </c>
    </row>
    <row r="72" spans="1:5" x14ac:dyDescent="0.25">
      <c r="A72" s="1">
        <v>45007</v>
      </c>
      <c r="B72" s="2">
        <v>38794.870999999999</v>
      </c>
      <c r="C72" s="2">
        <f t="shared" si="2"/>
        <v>306.83999999999651</v>
      </c>
      <c r="D72" s="2">
        <v>83290.61</v>
      </c>
      <c r="E72" s="2">
        <f t="shared" si="3"/>
        <v>205.36999999999534</v>
      </c>
    </row>
    <row r="73" spans="1:5" x14ac:dyDescent="0.25">
      <c r="A73" s="1">
        <v>45008</v>
      </c>
      <c r="B73" s="2">
        <v>38578.421999999999</v>
      </c>
      <c r="C73" s="2">
        <f t="shared" si="2"/>
        <v>-216.44900000000052</v>
      </c>
      <c r="D73" s="2">
        <v>83174.62</v>
      </c>
      <c r="E73" s="2">
        <f t="shared" si="3"/>
        <v>-115.99000000000524</v>
      </c>
    </row>
    <row r="74" spans="1:5" x14ac:dyDescent="0.25">
      <c r="A74" s="1">
        <v>45009</v>
      </c>
      <c r="B74" s="2">
        <v>38668.512000000002</v>
      </c>
      <c r="C74" s="2">
        <f t="shared" si="2"/>
        <v>90.090000000003783</v>
      </c>
      <c r="D74" s="2">
        <v>83460.13</v>
      </c>
      <c r="E74" s="2">
        <f t="shared" si="3"/>
        <v>285.51000000000931</v>
      </c>
    </row>
    <row r="75" spans="1:5" x14ac:dyDescent="0.25">
      <c r="A75" s="1">
        <v>45012</v>
      </c>
      <c r="B75" s="2">
        <v>39011.031000000003</v>
      </c>
      <c r="C75" s="2">
        <f t="shared" si="2"/>
        <v>342.51900000000023</v>
      </c>
      <c r="D75" s="2">
        <v>83531.399999999994</v>
      </c>
      <c r="E75" s="2">
        <f t="shared" si="3"/>
        <v>71.269999999989523</v>
      </c>
    </row>
    <row r="76" spans="1:5" x14ac:dyDescent="0.25">
      <c r="A76" s="1">
        <v>45013</v>
      </c>
      <c r="B76" s="2">
        <v>39139.358999999997</v>
      </c>
      <c r="C76" s="2">
        <f t="shared" si="2"/>
        <v>128.32799999999406</v>
      </c>
      <c r="D76" s="2">
        <v>83228.399999999994</v>
      </c>
      <c r="E76" s="2">
        <f t="shared" si="3"/>
        <v>-303</v>
      </c>
    </row>
    <row r="77" spans="1:5" x14ac:dyDescent="0.25">
      <c r="A77" s="1">
        <v>45014</v>
      </c>
      <c r="B77" s="2">
        <v>39048.809000000001</v>
      </c>
      <c r="C77" s="2">
        <f t="shared" si="2"/>
        <v>-90.549999999995634</v>
      </c>
      <c r="D77" s="2">
        <v>83113.34</v>
      </c>
      <c r="E77" s="2">
        <f t="shared" si="3"/>
        <v>-115.05999999999767</v>
      </c>
    </row>
    <row r="78" spans="1:5" x14ac:dyDescent="0.25">
      <c r="A78" s="1">
        <v>45015</v>
      </c>
      <c r="B78" s="2">
        <v>39515.648000000001</v>
      </c>
      <c r="C78" s="2">
        <f t="shared" si="2"/>
        <v>466.83899999999994</v>
      </c>
      <c r="D78" s="2">
        <v>83450.75</v>
      </c>
      <c r="E78" s="2">
        <f t="shared" si="3"/>
        <v>337.41000000000349</v>
      </c>
    </row>
    <row r="79" spans="1:5" x14ac:dyDescent="0.25">
      <c r="A79" s="1">
        <v>45016</v>
      </c>
      <c r="B79" s="2">
        <v>39550.75</v>
      </c>
      <c r="C79" s="2">
        <f t="shared" si="2"/>
        <v>35.101999999998952</v>
      </c>
      <c r="D79" s="2">
        <v>83255.649999999994</v>
      </c>
      <c r="E79" s="2">
        <f t="shared" si="3"/>
        <v>-195.10000000000582</v>
      </c>
    </row>
    <row r="80" spans="1:5" x14ac:dyDescent="0.25">
      <c r="A80" s="1">
        <v>45019</v>
      </c>
      <c r="B80" s="2">
        <v>39710.370999999999</v>
      </c>
      <c r="C80" s="2">
        <f t="shared" si="2"/>
        <v>159.62099999999919</v>
      </c>
      <c r="D80" s="2">
        <v>83300.160000000003</v>
      </c>
      <c r="E80" s="2">
        <f t="shared" si="3"/>
        <v>44.510000000009313</v>
      </c>
    </row>
    <row r="81" spans="1:5" x14ac:dyDescent="0.25">
      <c r="A81" s="1">
        <v>45020</v>
      </c>
      <c r="B81" s="2">
        <v>40004.190999999999</v>
      </c>
      <c r="C81" s="2">
        <f t="shared" si="2"/>
        <v>293.81999999999971</v>
      </c>
      <c r="D81" s="2">
        <v>83397.740000000005</v>
      </c>
      <c r="E81" s="2">
        <f t="shared" si="3"/>
        <v>97.580000000001746</v>
      </c>
    </row>
    <row r="82" spans="1:5" x14ac:dyDescent="0.25">
      <c r="A82" s="1">
        <v>45021</v>
      </c>
      <c r="B82" s="2">
        <v>40275.379000000001</v>
      </c>
      <c r="C82" s="2">
        <f t="shared" si="2"/>
        <v>271.18800000000192</v>
      </c>
      <c r="D82" s="2">
        <v>83575</v>
      </c>
      <c r="E82" s="2">
        <f t="shared" si="3"/>
        <v>177.25999999999476</v>
      </c>
    </row>
    <row r="83" spans="1:5" x14ac:dyDescent="0.25">
      <c r="A83" s="1">
        <v>45022</v>
      </c>
      <c r="B83" s="2">
        <v>40091.230000000003</v>
      </c>
      <c r="C83" s="2">
        <f t="shared" si="2"/>
        <v>-184.14899999999761</v>
      </c>
      <c r="D83" s="2">
        <v>83433.490000000005</v>
      </c>
      <c r="E83" s="2">
        <f t="shared" si="3"/>
        <v>-141.50999999999476</v>
      </c>
    </row>
    <row r="84" spans="1:5" x14ac:dyDescent="0.25">
      <c r="A84" s="1">
        <v>45026</v>
      </c>
      <c r="B84" s="2">
        <v>40047.281000000003</v>
      </c>
      <c r="C84" s="2">
        <f t="shared" si="2"/>
        <v>-43.949000000000524</v>
      </c>
      <c r="D84" s="2">
        <v>83424.91</v>
      </c>
      <c r="E84" s="2">
        <f t="shared" si="3"/>
        <v>-8.5800000000017462</v>
      </c>
    </row>
    <row r="85" spans="1:5" x14ac:dyDescent="0.25">
      <c r="A85" s="1">
        <v>45027</v>
      </c>
      <c r="B85" s="2">
        <v>40641.620999999999</v>
      </c>
      <c r="C85" s="2">
        <f t="shared" si="2"/>
        <v>594.33999999999651</v>
      </c>
      <c r="D85" s="2">
        <v>83840.7</v>
      </c>
      <c r="E85" s="2">
        <f t="shared" si="3"/>
        <v>415.7899999999936</v>
      </c>
    </row>
    <row r="86" spans="1:5" x14ac:dyDescent="0.25">
      <c r="A86" s="1">
        <v>45028</v>
      </c>
      <c r="B86" s="2">
        <v>40721.648000000001</v>
      </c>
      <c r="C86" s="2">
        <f t="shared" si="2"/>
        <v>80.027000000001863</v>
      </c>
      <c r="D86" s="2">
        <v>83751.990000000005</v>
      </c>
      <c r="E86" s="2">
        <f t="shared" si="3"/>
        <v>-88.709999999991851</v>
      </c>
    </row>
    <row r="87" spans="1:5" x14ac:dyDescent="0.25">
      <c r="A87" s="1">
        <v>45029</v>
      </c>
      <c r="B87" s="2">
        <v>41168.398000000001</v>
      </c>
      <c r="C87" s="2">
        <f t="shared" si="2"/>
        <v>446.75</v>
      </c>
      <c r="D87" s="2">
        <v>83928.9</v>
      </c>
      <c r="E87" s="2">
        <f t="shared" si="3"/>
        <v>176.90999999998894</v>
      </c>
    </row>
    <row r="88" spans="1:5" x14ac:dyDescent="0.25">
      <c r="A88" s="1">
        <v>45030</v>
      </c>
      <c r="B88" s="2">
        <v>41035.737999999998</v>
      </c>
      <c r="C88" s="2">
        <f t="shared" si="2"/>
        <v>-132.66000000000349</v>
      </c>
      <c r="D88" s="2">
        <v>83866.78</v>
      </c>
      <c r="E88" s="2">
        <f t="shared" si="3"/>
        <v>-62.119999999995343</v>
      </c>
    </row>
    <row r="89" spans="1:5" x14ac:dyDescent="0.25">
      <c r="A89" s="1">
        <v>45033</v>
      </c>
      <c r="B89" s="2">
        <v>41155.629000000001</v>
      </c>
      <c r="C89" s="2">
        <f t="shared" si="2"/>
        <v>119.89100000000326</v>
      </c>
      <c r="D89" s="2">
        <v>83857.86</v>
      </c>
      <c r="E89" s="2">
        <f t="shared" si="3"/>
        <v>-8.9199999999982538</v>
      </c>
    </row>
    <row r="90" spans="1:5" x14ac:dyDescent="0.25">
      <c r="A90" s="1">
        <v>45034</v>
      </c>
      <c r="B90" s="2">
        <v>40958.949000000001</v>
      </c>
      <c r="C90" s="2">
        <f t="shared" si="2"/>
        <v>-196.68000000000029</v>
      </c>
      <c r="D90" s="2">
        <v>83743.320000000007</v>
      </c>
      <c r="E90" s="2">
        <f t="shared" si="3"/>
        <v>-114.5399999999936</v>
      </c>
    </row>
    <row r="91" spans="1:5" x14ac:dyDescent="0.25">
      <c r="A91" s="1">
        <v>45035</v>
      </c>
      <c r="B91" s="2">
        <v>40133.620999999999</v>
      </c>
      <c r="C91" s="2">
        <f t="shared" si="2"/>
        <v>-825.32800000000134</v>
      </c>
      <c r="D91" s="2">
        <v>83681.97</v>
      </c>
      <c r="E91" s="2">
        <f t="shared" si="3"/>
        <v>-61.350000000005821</v>
      </c>
    </row>
    <row r="92" spans="1:5" x14ac:dyDescent="0.25">
      <c r="A92" s="1">
        <v>45036</v>
      </c>
      <c r="B92" s="2">
        <v>40420.839999999997</v>
      </c>
      <c r="C92" s="2">
        <f t="shared" si="2"/>
        <v>287.21899999999732</v>
      </c>
      <c r="D92" s="2">
        <v>83778.78</v>
      </c>
      <c r="E92" s="2">
        <f t="shared" si="3"/>
        <v>96.809999999997672</v>
      </c>
    </row>
    <row r="93" spans="1:5" x14ac:dyDescent="0.25">
      <c r="A93" s="1">
        <v>45040</v>
      </c>
      <c r="B93" s="2">
        <v>40599.519999999997</v>
      </c>
      <c r="C93" s="2">
        <f t="shared" si="2"/>
        <v>178.68000000000029</v>
      </c>
      <c r="D93" s="2">
        <v>83954.66</v>
      </c>
      <c r="E93" s="2">
        <f t="shared" si="3"/>
        <v>175.88000000000466</v>
      </c>
    </row>
    <row r="94" spans="1:5" x14ac:dyDescent="0.25">
      <c r="A94" s="1">
        <v>45041</v>
      </c>
      <c r="B94" s="2">
        <v>40920.531000000003</v>
      </c>
      <c r="C94" s="2">
        <f t="shared" si="2"/>
        <v>321.01100000000588</v>
      </c>
      <c r="D94" s="2">
        <v>83972.24</v>
      </c>
      <c r="E94" s="2">
        <f t="shared" si="3"/>
        <v>17.580000000001746</v>
      </c>
    </row>
    <row r="95" spans="1:5" x14ac:dyDescent="0.25">
      <c r="A95" s="1">
        <v>45042</v>
      </c>
      <c r="B95" s="2">
        <v>41187.987999999998</v>
      </c>
      <c r="C95" s="2">
        <f t="shared" si="2"/>
        <v>267.45699999999488</v>
      </c>
      <c r="D95" s="2">
        <v>83989.83</v>
      </c>
      <c r="E95" s="2">
        <f t="shared" si="3"/>
        <v>17.589999999996508</v>
      </c>
    </row>
    <row r="96" spans="1:5" x14ac:dyDescent="0.25">
      <c r="A96" s="1">
        <v>45043</v>
      </c>
      <c r="B96" s="2">
        <v>41465.601999999999</v>
      </c>
      <c r="C96" s="2">
        <f t="shared" si="2"/>
        <v>277.6140000000014</v>
      </c>
      <c r="D96" s="2">
        <v>84060.07</v>
      </c>
      <c r="E96" s="2">
        <f t="shared" si="3"/>
        <v>70.240000000005239</v>
      </c>
    </row>
    <row r="97" spans="1:5" x14ac:dyDescent="0.25">
      <c r="A97" s="1">
        <v>45044</v>
      </c>
      <c r="B97" s="2">
        <v>41144.828000000001</v>
      </c>
      <c r="C97" s="2">
        <f t="shared" si="2"/>
        <v>-320.77399999999761</v>
      </c>
      <c r="D97" s="2">
        <v>83815.100000000006</v>
      </c>
      <c r="E97" s="2">
        <f t="shared" si="3"/>
        <v>-244.97000000000116</v>
      </c>
    </row>
    <row r="98" spans="1:5" x14ac:dyDescent="0.25">
      <c r="A98" s="1">
        <v>45048</v>
      </c>
      <c r="B98" s="2">
        <v>41219.769999999997</v>
      </c>
      <c r="C98" s="2">
        <f t="shared" si="2"/>
        <v>74.94199999999546</v>
      </c>
      <c r="D98" s="2">
        <v>83728.3</v>
      </c>
      <c r="E98" s="2">
        <f t="shared" si="3"/>
        <v>-86.80000000000291</v>
      </c>
    </row>
    <row r="99" spans="1:5" x14ac:dyDescent="0.25">
      <c r="A99" s="1">
        <v>45049</v>
      </c>
      <c r="B99" s="2">
        <v>41697.851999999999</v>
      </c>
      <c r="C99" s="2">
        <f t="shared" si="2"/>
        <v>478.08200000000215</v>
      </c>
      <c r="D99" s="2">
        <v>83929.21</v>
      </c>
      <c r="E99" s="2">
        <f t="shared" si="3"/>
        <v>200.91000000000349</v>
      </c>
    </row>
    <row r="100" spans="1:5" x14ac:dyDescent="0.25">
      <c r="A100" s="1">
        <v>45050</v>
      </c>
      <c r="B100" s="2">
        <v>41975.620999999999</v>
      </c>
      <c r="C100" s="2">
        <f t="shared" si="2"/>
        <v>277.76900000000023</v>
      </c>
      <c r="D100" s="2">
        <v>84156.5</v>
      </c>
      <c r="E100" s="2">
        <f t="shared" si="3"/>
        <v>227.2899999999936</v>
      </c>
    </row>
    <row r="101" spans="1:5" x14ac:dyDescent="0.25">
      <c r="A101" s="1">
        <v>45051</v>
      </c>
      <c r="B101" s="2">
        <v>41929.031000000003</v>
      </c>
      <c r="C101" s="2">
        <f t="shared" si="2"/>
        <v>-46.589999999996508</v>
      </c>
      <c r="D101" s="2">
        <v>84384.06</v>
      </c>
      <c r="E101" s="2">
        <f t="shared" si="3"/>
        <v>227.55999999999767</v>
      </c>
    </row>
    <row r="102" spans="1:5" x14ac:dyDescent="0.25">
      <c r="A102" s="1">
        <v>45054</v>
      </c>
      <c r="B102" s="2">
        <v>41604.980000000003</v>
      </c>
      <c r="C102" s="2">
        <f t="shared" si="2"/>
        <v>-324.05099999999948</v>
      </c>
      <c r="D102" s="2">
        <v>84375.13</v>
      </c>
      <c r="E102" s="2">
        <f t="shared" si="3"/>
        <v>-8.9299999999930151</v>
      </c>
    </row>
    <row r="103" spans="1:5" x14ac:dyDescent="0.25">
      <c r="A103" s="1">
        <v>45055</v>
      </c>
      <c r="B103" s="2">
        <v>41340.101999999999</v>
      </c>
      <c r="C103" s="2">
        <f t="shared" si="2"/>
        <v>-264.87800000000425</v>
      </c>
      <c r="D103" s="2">
        <v>84418.72</v>
      </c>
      <c r="E103" s="2">
        <f t="shared" si="3"/>
        <v>43.589999999996508</v>
      </c>
    </row>
    <row r="104" spans="1:5" x14ac:dyDescent="0.25">
      <c r="A104" s="1">
        <v>45056</v>
      </c>
      <c r="B104" s="2">
        <v>41770.230000000003</v>
      </c>
      <c r="C104" s="2">
        <f t="shared" si="2"/>
        <v>430.12800000000425</v>
      </c>
      <c r="D104" s="2">
        <v>84383.64</v>
      </c>
      <c r="E104" s="2">
        <f t="shared" si="3"/>
        <v>-35.080000000001746</v>
      </c>
    </row>
    <row r="105" spans="1:5" x14ac:dyDescent="0.25">
      <c r="A105" s="1">
        <v>45057</v>
      </c>
      <c r="B105" s="2">
        <v>42431.82</v>
      </c>
      <c r="C105" s="2">
        <f t="shared" si="2"/>
        <v>661.58999999999651</v>
      </c>
      <c r="D105" s="2">
        <v>84453.39</v>
      </c>
      <c r="E105" s="2">
        <f t="shared" si="3"/>
        <v>69.75</v>
      </c>
    </row>
    <row r="106" spans="1:5" x14ac:dyDescent="0.25">
      <c r="A106" s="1">
        <v>45058</v>
      </c>
      <c r="B106" s="2">
        <v>42815.487999999998</v>
      </c>
      <c r="C106" s="2">
        <f t="shared" si="2"/>
        <v>383.66799999999785</v>
      </c>
      <c r="D106" s="2">
        <v>84444.57</v>
      </c>
      <c r="E106" s="2">
        <f t="shared" si="3"/>
        <v>-8.819999999992433</v>
      </c>
    </row>
    <row r="107" spans="1:5" x14ac:dyDescent="0.25">
      <c r="A107" s="1">
        <v>45061</v>
      </c>
      <c r="B107" s="2">
        <v>43284.968999999997</v>
      </c>
      <c r="C107" s="2">
        <f t="shared" si="2"/>
        <v>469.48099999999977</v>
      </c>
      <c r="D107" s="2">
        <v>84514.22</v>
      </c>
      <c r="E107" s="2">
        <f t="shared" si="3"/>
        <v>69.649999999994179</v>
      </c>
    </row>
    <row r="108" spans="1:5" x14ac:dyDescent="0.25">
      <c r="A108" s="1">
        <v>45062</v>
      </c>
      <c r="B108" s="2">
        <v>43072.18</v>
      </c>
      <c r="C108" s="2">
        <f t="shared" si="2"/>
        <v>-212.78899999999703</v>
      </c>
      <c r="D108" s="2">
        <v>84348.95</v>
      </c>
      <c r="E108" s="2">
        <f t="shared" si="3"/>
        <v>-165.27000000000407</v>
      </c>
    </row>
    <row r="109" spans="1:5" x14ac:dyDescent="0.25">
      <c r="A109" s="1">
        <v>45063</v>
      </c>
      <c r="B109" s="2">
        <v>42808.538999999997</v>
      </c>
      <c r="C109" s="2">
        <f t="shared" si="2"/>
        <v>-263.64100000000326</v>
      </c>
      <c r="D109" s="2">
        <v>84210.52</v>
      </c>
      <c r="E109" s="2">
        <f t="shared" si="3"/>
        <v>-138.42999999999302</v>
      </c>
    </row>
    <row r="110" spans="1:5" x14ac:dyDescent="0.25">
      <c r="A110" s="1">
        <v>45064</v>
      </c>
      <c r="B110" s="2">
        <v>42868.211000000003</v>
      </c>
      <c r="C110" s="2">
        <f t="shared" si="2"/>
        <v>59.672000000005937</v>
      </c>
      <c r="D110" s="2">
        <v>84046.92</v>
      </c>
      <c r="E110" s="2">
        <f t="shared" si="3"/>
        <v>-163.60000000000582</v>
      </c>
    </row>
    <row r="111" spans="1:5" x14ac:dyDescent="0.25">
      <c r="A111" s="1">
        <v>45065</v>
      </c>
      <c r="B111" s="2">
        <v>42721.98</v>
      </c>
      <c r="C111" s="2">
        <f t="shared" si="2"/>
        <v>-146.23099999999977</v>
      </c>
      <c r="D111" s="2">
        <v>84013.13</v>
      </c>
      <c r="E111" s="2">
        <f t="shared" si="3"/>
        <v>-33.789999999993597</v>
      </c>
    </row>
    <row r="112" spans="1:5" x14ac:dyDescent="0.25">
      <c r="A112" s="1">
        <v>45068</v>
      </c>
      <c r="B112" s="2">
        <v>42819.190999999999</v>
      </c>
      <c r="C112" s="2">
        <f t="shared" si="2"/>
        <v>97.210999999995693</v>
      </c>
      <c r="D112" s="2">
        <v>83850.789999999994</v>
      </c>
      <c r="E112" s="2">
        <f t="shared" si="3"/>
        <v>-162.34000000001106</v>
      </c>
    </row>
    <row r="113" spans="1:5" x14ac:dyDescent="0.25">
      <c r="A113" s="1">
        <v>45069</v>
      </c>
      <c r="B113" s="2">
        <v>43231.519999999997</v>
      </c>
      <c r="C113" s="2">
        <f t="shared" si="2"/>
        <v>412.3289999999979</v>
      </c>
      <c r="D113" s="2">
        <v>84048.960000000006</v>
      </c>
      <c r="E113" s="2">
        <f t="shared" si="3"/>
        <v>198.17000000001281</v>
      </c>
    </row>
    <row r="114" spans="1:5" x14ac:dyDescent="0.25">
      <c r="A114" s="1">
        <v>45070</v>
      </c>
      <c r="B114" s="2">
        <v>43420.75</v>
      </c>
      <c r="C114" s="2">
        <f t="shared" si="2"/>
        <v>189.2300000000032</v>
      </c>
      <c r="D114" s="2">
        <v>84144.13</v>
      </c>
      <c r="E114" s="2">
        <f t="shared" si="3"/>
        <v>95.169999999998254</v>
      </c>
    </row>
    <row r="115" spans="1:5" x14ac:dyDescent="0.25">
      <c r="A115" s="1">
        <v>45071</v>
      </c>
      <c r="B115" s="2">
        <v>43663.921999999999</v>
      </c>
      <c r="C115" s="2">
        <f t="shared" si="2"/>
        <v>243.17199999999866</v>
      </c>
      <c r="D115" s="2">
        <v>84290.81</v>
      </c>
      <c r="E115" s="2">
        <f t="shared" si="3"/>
        <v>146.67999999999302</v>
      </c>
    </row>
    <row r="116" spans="1:5" x14ac:dyDescent="0.25">
      <c r="A116" s="1">
        <v>45072</v>
      </c>
      <c r="B116" s="2">
        <v>43834.059000000001</v>
      </c>
      <c r="C116" s="2">
        <f t="shared" si="2"/>
        <v>170.13700000000244</v>
      </c>
      <c r="D116" s="2">
        <v>84231.28</v>
      </c>
      <c r="E116" s="2">
        <f t="shared" si="3"/>
        <v>-59.529999999998836</v>
      </c>
    </row>
    <row r="117" spans="1:5" x14ac:dyDescent="0.25">
      <c r="A117" s="1">
        <v>45075</v>
      </c>
      <c r="B117" s="2">
        <v>43829.300999999999</v>
      </c>
      <c r="C117" s="2">
        <f t="shared" si="2"/>
        <v>-4.7580000000016298</v>
      </c>
      <c r="D117" s="2">
        <v>84300.52</v>
      </c>
      <c r="E117" s="2">
        <f t="shared" si="3"/>
        <v>69.240000000005239</v>
      </c>
    </row>
    <row r="118" spans="1:5" x14ac:dyDescent="0.25">
      <c r="A118" s="1">
        <v>45076</v>
      </c>
      <c r="B118" s="2">
        <v>43999.921999999999</v>
      </c>
      <c r="C118" s="2">
        <f t="shared" si="2"/>
        <v>170.62099999999919</v>
      </c>
      <c r="D118" s="2">
        <v>84343.98</v>
      </c>
      <c r="E118" s="2">
        <f t="shared" si="3"/>
        <v>43.459999999991851</v>
      </c>
    </row>
    <row r="119" spans="1:5" x14ac:dyDescent="0.25">
      <c r="A119" s="1">
        <v>45077</v>
      </c>
      <c r="B119" s="2">
        <v>44021.898000000001</v>
      </c>
      <c r="C119" s="2">
        <f t="shared" si="2"/>
        <v>21.976000000002387</v>
      </c>
      <c r="D119" s="2">
        <v>84361.71</v>
      </c>
      <c r="E119" s="2">
        <f t="shared" si="3"/>
        <v>17.730000000010477</v>
      </c>
    </row>
    <row r="120" spans="1:5" x14ac:dyDescent="0.25">
      <c r="A120" s="1">
        <v>45078</v>
      </c>
      <c r="B120" s="2">
        <v>44127.370999999999</v>
      </c>
      <c r="C120" s="2">
        <f t="shared" si="2"/>
        <v>105.47299999999814</v>
      </c>
      <c r="D120" s="2">
        <v>84507.87</v>
      </c>
      <c r="E120" s="2">
        <f t="shared" si="3"/>
        <v>146.15999999998894</v>
      </c>
    </row>
    <row r="121" spans="1:5" x14ac:dyDescent="0.25">
      <c r="A121" s="1">
        <v>45079</v>
      </c>
      <c r="B121" s="2">
        <v>44587.601999999999</v>
      </c>
      <c r="C121" s="2">
        <f t="shared" si="2"/>
        <v>460.23099999999977</v>
      </c>
      <c r="D121" s="2">
        <v>84474.13</v>
      </c>
      <c r="E121" s="2">
        <f t="shared" si="3"/>
        <v>-33.739999999990687</v>
      </c>
    </row>
    <row r="122" spans="1:5" x14ac:dyDescent="0.25">
      <c r="A122" s="1">
        <v>45082</v>
      </c>
      <c r="B122" s="2">
        <v>45175.031000000003</v>
      </c>
      <c r="C122" s="2">
        <f t="shared" si="2"/>
        <v>587.42900000000373</v>
      </c>
      <c r="D122" s="2">
        <v>84748.67</v>
      </c>
      <c r="E122" s="2">
        <f t="shared" si="3"/>
        <v>274.5399999999936</v>
      </c>
    </row>
    <row r="123" spans="1:5" x14ac:dyDescent="0.25">
      <c r="A123" s="1">
        <v>45083</v>
      </c>
      <c r="B123" s="2">
        <v>45390.370999999999</v>
      </c>
      <c r="C123" s="2">
        <f t="shared" si="2"/>
        <v>215.33999999999651</v>
      </c>
      <c r="D123" s="2">
        <v>84714.67</v>
      </c>
      <c r="E123" s="2">
        <f t="shared" si="3"/>
        <v>-34</v>
      </c>
    </row>
    <row r="124" spans="1:5" x14ac:dyDescent="0.25">
      <c r="A124" s="1">
        <v>45084</v>
      </c>
      <c r="B124" s="2">
        <v>45075.358999999997</v>
      </c>
      <c r="C124" s="2">
        <f t="shared" si="2"/>
        <v>-315.01200000000244</v>
      </c>
      <c r="D124" s="2">
        <v>84552.72</v>
      </c>
      <c r="E124" s="2">
        <f t="shared" si="3"/>
        <v>-161.94999999999709</v>
      </c>
    </row>
    <row r="125" spans="1:5" x14ac:dyDescent="0.25">
      <c r="A125" s="1">
        <v>45086</v>
      </c>
      <c r="B125" s="2">
        <v>45354.43</v>
      </c>
      <c r="C125" s="2">
        <f t="shared" si="2"/>
        <v>279.07100000000355</v>
      </c>
      <c r="D125" s="2">
        <v>84621.52</v>
      </c>
      <c r="E125" s="2">
        <f t="shared" si="3"/>
        <v>68.80000000000291</v>
      </c>
    </row>
    <row r="126" spans="1:5" x14ac:dyDescent="0.25">
      <c r="A126" s="1">
        <v>45089</v>
      </c>
      <c r="B126" s="2">
        <v>45312.012000000002</v>
      </c>
      <c r="C126" s="2">
        <f t="shared" si="2"/>
        <v>-42.417999999997846</v>
      </c>
      <c r="D126" s="2">
        <v>84511.44</v>
      </c>
      <c r="E126" s="2">
        <f t="shared" si="3"/>
        <v>-110.08000000000175</v>
      </c>
    </row>
    <row r="127" spans="1:5" x14ac:dyDescent="0.25">
      <c r="A127" s="1">
        <v>45090</v>
      </c>
      <c r="B127" s="2">
        <v>44801.211000000003</v>
      </c>
      <c r="C127" s="2">
        <f t="shared" si="2"/>
        <v>-510.80099999999948</v>
      </c>
      <c r="D127" s="2">
        <v>84274.84</v>
      </c>
      <c r="E127" s="2">
        <f t="shared" si="3"/>
        <v>-236.60000000000582</v>
      </c>
    </row>
    <row r="128" spans="1:5" x14ac:dyDescent="0.25">
      <c r="A128" s="1">
        <v>45091</v>
      </c>
      <c r="B128" s="2">
        <v>45053.75</v>
      </c>
      <c r="C128" s="2">
        <f t="shared" si="2"/>
        <v>252.53899999999703</v>
      </c>
      <c r="D128" s="2">
        <v>84470.58</v>
      </c>
      <c r="E128" s="2">
        <f t="shared" si="3"/>
        <v>195.74000000000524</v>
      </c>
    </row>
    <row r="129" spans="1:5" x14ac:dyDescent="0.25">
      <c r="A129" s="1">
        <v>45092</v>
      </c>
      <c r="B129" s="2">
        <v>45353.538999999997</v>
      </c>
      <c r="C129" s="2">
        <f t="shared" si="2"/>
        <v>299.78899999999703</v>
      </c>
      <c r="D129" s="2">
        <v>84513.81</v>
      </c>
      <c r="E129" s="2">
        <f t="shared" si="3"/>
        <v>43.229999999995925</v>
      </c>
    </row>
    <row r="130" spans="1:5" x14ac:dyDescent="0.25">
      <c r="A130" s="1">
        <v>45093</v>
      </c>
      <c r="B130" s="2">
        <v>45470.629000000001</v>
      </c>
      <c r="C130" s="2">
        <f t="shared" si="2"/>
        <v>117.09000000000378</v>
      </c>
      <c r="D130" s="2">
        <v>84557</v>
      </c>
      <c r="E130" s="2">
        <f t="shared" si="3"/>
        <v>43.190000000002328</v>
      </c>
    </row>
    <row r="131" spans="1:5" x14ac:dyDescent="0.25">
      <c r="A131" s="1">
        <v>45096</v>
      </c>
      <c r="B131" s="2">
        <v>45425.18</v>
      </c>
      <c r="C131" s="2">
        <f t="shared" ref="C131:C194" si="4">IFERROR(B131-B130,0)</f>
        <v>-45.449000000000524</v>
      </c>
      <c r="D131" s="2">
        <v>84549.41</v>
      </c>
      <c r="E131" s="2">
        <f t="shared" ref="E131:E194" si="5">IFERROR(D131-D130,0)</f>
        <v>-7.5899999999965075</v>
      </c>
    </row>
    <row r="132" spans="1:5" x14ac:dyDescent="0.25">
      <c r="A132" s="1">
        <v>45097</v>
      </c>
      <c r="B132" s="2">
        <v>45419.648000000001</v>
      </c>
      <c r="C132" s="2">
        <f t="shared" si="4"/>
        <v>-5.5319999999992433</v>
      </c>
      <c r="D132" s="2">
        <v>84668.63</v>
      </c>
      <c r="E132" s="2">
        <f t="shared" si="5"/>
        <v>119.22000000000116</v>
      </c>
    </row>
    <row r="133" spans="1:5" x14ac:dyDescent="0.25">
      <c r="A133" s="1">
        <v>45098</v>
      </c>
      <c r="B133" s="2">
        <v>45795.449000000001</v>
      </c>
      <c r="C133" s="2">
        <f t="shared" si="4"/>
        <v>375.80099999999948</v>
      </c>
      <c r="D133" s="2">
        <v>84711.679999999993</v>
      </c>
      <c r="E133" s="2">
        <f t="shared" si="5"/>
        <v>43.049999999988358</v>
      </c>
    </row>
    <row r="134" spans="1:5" x14ac:dyDescent="0.25">
      <c r="A134" s="1">
        <v>45099</v>
      </c>
      <c r="B134" s="2">
        <v>45901</v>
      </c>
      <c r="C134" s="2">
        <f t="shared" si="4"/>
        <v>105.55099999999948</v>
      </c>
      <c r="D134" s="2">
        <v>84729.36</v>
      </c>
      <c r="E134" s="2">
        <f t="shared" si="5"/>
        <v>17.680000000007567</v>
      </c>
    </row>
    <row r="135" spans="1:5" x14ac:dyDescent="0.25">
      <c r="A135" s="1">
        <v>45100</v>
      </c>
      <c r="B135" s="2">
        <v>46146.550999999999</v>
      </c>
      <c r="C135" s="2">
        <f t="shared" si="4"/>
        <v>245.55099999999948</v>
      </c>
      <c r="D135" s="2">
        <v>84873.68</v>
      </c>
      <c r="E135" s="2">
        <f t="shared" si="5"/>
        <v>144.31999999999243</v>
      </c>
    </row>
    <row r="136" spans="1:5" x14ac:dyDescent="0.25">
      <c r="A136" s="1">
        <v>45103</v>
      </c>
      <c r="B136" s="2">
        <v>46459.108999999997</v>
      </c>
      <c r="C136" s="2">
        <f t="shared" si="4"/>
        <v>312.55799999999726</v>
      </c>
      <c r="D136" s="2">
        <v>84865.919999999998</v>
      </c>
      <c r="E136" s="2">
        <f t="shared" si="5"/>
        <v>-7.7599999999947613</v>
      </c>
    </row>
    <row r="137" spans="1:5" x14ac:dyDescent="0.25">
      <c r="A137" s="1">
        <v>45104</v>
      </c>
      <c r="B137" s="2">
        <v>46515.648000000001</v>
      </c>
      <c r="C137" s="2">
        <f t="shared" si="4"/>
        <v>56.539000000004307</v>
      </c>
      <c r="D137" s="2">
        <v>84984.74</v>
      </c>
      <c r="E137" s="2">
        <f t="shared" si="5"/>
        <v>118.82000000000698</v>
      </c>
    </row>
    <row r="138" spans="1:5" x14ac:dyDescent="0.25">
      <c r="A138" s="1">
        <v>45105</v>
      </c>
      <c r="B138" s="2">
        <v>46337.41</v>
      </c>
      <c r="C138" s="2">
        <f t="shared" si="4"/>
        <v>-178.23799999999756</v>
      </c>
      <c r="D138" s="2">
        <v>84800.13</v>
      </c>
      <c r="E138" s="2">
        <f t="shared" si="5"/>
        <v>-184.61000000000058</v>
      </c>
    </row>
    <row r="139" spans="1:5" x14ac:dyDescent="0.25">
      <c r="A139" s="1">
        <v>45106</v>
      </c>
      <c r="B139" s="2">
        <v>46387.578000000001</v>
      </c>
      <c r="C139" s="2">
        <f t="shared" si="4"/>
        <v>50.167999999997846</v>
      </c>
      <c r="D139" s="2">
        <v>84943.93</v>
      </c>
      <c r="E139" s="2">
        <f t="shared" si="5"/>
        <v>143.79999999998836</v>
      </c>
    </row>
    <row r="140" spans="1:5" x14ac:dyDescent="0.25">
      <c r="A140" s="1">
        <v>45107</v>
      </c>
      <c r="B140" s="2">
        <v>47039.190999999999</v>
      </c>
      <c r="C140" s="2">
        <f t="shared" si="4"/>
        <v>651.61299999999756</v>
      </c>
      <c r="D140" s="2">
        <v>85264.83</v>
      </c>
      <c r="E140" s="2">
        <f t="shared" si="5"/>
        <v>320.90000000000873</v>
      </c>
    </row>
    <row r="141" spans="1:5" x14ac:dyDescent="0.25">
      <c r="A141" s="1">
        <v>45110</v>
      </c>
      <c r="B141" s="2">
        <v>47417.987999999998</v>
      </c>
      <c r="C141" s="2">
        <f t="shared" si="4"/>
        <v>378.79699999999866</v>
      </c>
      <c r="D141" s="2">
        <v>85434.12</v>
      </c>
      <c r="E141" s="2">
        <f t="shared" si="5"/>
        <v>169.2899999999936</v>
      </c>
    </row>
    <row r="142" spans="1:5" x14ac:dyDescent="0.25">
      <c r="A142" s="1">
        <v>45111</v>
      </c>
      <c r="B142" s="2">
        <v>47169.012000000002</v>
      </c>
      <c r="C142" s="2">
        <f t="shared" si="4"/>
        <v>-248.97599999999511</v>
      </c>
      <c r="D142" s="2">
        <v>85349.92</v>
      </c>
      <c r="E142" s="2">
        <f t="shared" si="5"/>
        <v>-84.19999999999709</v>
      </c>
    </row>
    <row r="143" spans="1:5" x14ac:dyDescent="0.25">
      <c r="A143" s="1">
        <v>45112</v>
      </c>
      <c r="B143" s="2">
        <v>46779.987999999998</v>
      </c>
      <c r="C143" s="2">
        <f t="shared" si="4"/>
        <v>-389.02400000000489</v>
      </c>
      <c r="D143" s="2">
        <v>85316.59</v>
      </c>
      <c r="E143" s="2">
        <f t="shared" si="5"/>
        <v>-33.330000000001746</v>
      </c>
    </row>
    <row r="144" spans="1:5" x14ac:dyDescent="0.25">
      <c r="A144" s="1">
        <v>45113</v>
      </c>
      <c r="B144" s="2">
        <v>46532.370999999999</v>
      </c>
      <c r="C144" s="2">
        <f t="shared" si="4"/>
        <v>-247.61699999999837</v>
      </c>
      <c r="D144" s="2">
        <v>85182.65</v>
      </c>
      <c r="E144" s="2">
        <f t="shared" si="5"/>
        <v>-133.94000000000233</v>
      </c>
    </row>
    <row r="145" spans="1:5" x14ac:dyDescent="0.25">
      <c r="A145" s="1">
        <v>45114</v>
      </c>
      <c r="B145" s="2">
        <v>47200.262000000002</v>
      </c>
      <c r="C145" s="2">
        <f t="shared" si="4"/>
        <v>667.89100000000326</v>
      </c>
      <c r="D145" s="2">
        <v>85477.25</v>
      </c>
      <c r="E145" s="2">
        <f t="shared" si="5"/>
        <v>294.60000000000582</v>
      </c>
    </row>
    <row r="146" spans="1:5" x14ac:dyDescent="0.25">
      <c r="A146" s="1">
        <v>45117</v>
      </c>
      <c r="B146" s="2">
        <v>47101.870999999999</v>
      </c>
      <c r="C146" s="2">
        <f t="shared" si="4"/>
        <v>-98.39100000000326</v>
      </c>
      <c r="D146" s="2">
        <v>85318.05</v>
      </c>
      <c r="E146" s="2">
        <f t="shared" si="5"/>
        <v>-159.19999999999709</v>
      </c>
    </row>
    <row r="147" spans="1:5" x14ac:dyDescent="0.25">
      <c r="A147" s="1">
        <v>45118</v>
      </c>
      <c r="B147" s="2">
        <v>47203.171999999999</v>
      </c>
      <c r="C147" s="2">
        <f t="shared" si="4"/>
        <v>101.30099999999948</v>
      </c>
      <c r="D147" s="2">
        <v>85310.25</v>
      </c>
      <c r="E147" s="2">
        <f t="shared" si="5"/>
        <v>-7.8000000000029104</v>
      </c>
    </row>
    <row r="148" spans="1:5" x14ac:dyDescent="0.25">
      <c r="A148" s="1">
        <v>45119</v>
      </c>
      <c r="B148" s="2">
        <v>47403.23</v>
      </c>
      <c r="C148" s="2">
        <f t="shared" si="4"/>
        <v>200.05800000000454</v>
      </c>
      <c r="D148" s="2">
        <v>85252.38</v>
      </c>
      <c r="E148" s="2">
        <f t="shared" si="5"/>
        <v>-57.869999999995343</v>
      </c>
    </row>
    <row r="149" spans="1:5" x14ac:dyDescent="0.25">
      <c r="A149" s="1">
        <v>45120</v>
      </c>
      <c r="B149" s="2">
        <v>47120.718999999997</v>
      </c>
      <c r="C149" s="2">
        <f t="shared" si="4"/>
        <v>-282.51100000000588</v>
      </c>
      <c r="D149" s="2">
        <v>85294.86</v>
      </c>
      <c r="E149" s="2">
        <f t="shared" si="5"/>
        <v>42.479999999995925</v>
      </c>
    </row>
    <row r="150" spans="1:5" x14ac:dyDescent="0.25">
      <c r="A150" s="1">
        <v>45121</v>
      </c>
      <c r="B150" s="2">
        <v>46868.718999999997</v>
      </c>
      <c r="C150" s="2">
        <f t="shared" si="4"/>
        <v>-252</v>
      </c>
      <c r="D150" s="2">
        <v>85212.29</v>
      </c>
      <c r="E150" s="2">
        <f t="shared" si="5"/>
        <v>-82.570000000006985</v>
      </c>
    </row>
    <row r="151" spans="1:5" x14ac:dyDescent="0.25">
      <c r="A151" s="1">
        <v>45124</v>
      </c>
      <c r="B151" s="2">
        <v>46963.148000000001</v>
      </c>
      <c r="C151" s="2">
        <f t="shared" si="4"/>
        <v>94.429000000003725</v>
      </c>
      <c r="D151" s="2">
        <v>85254.77</v>
      </c>
      <c r="E151" s="2">
        <f t="shared" si="5"/>
        <v>42.480000000010477</v>
      </c>
    </row>
    <row r="152" spans="1:5" x14ac:dyDescent="0.25">
      <c r="A152" s="1">
        <v>45125</v>
      </c>
      <c r="B152" s="2">
        <v>47174.449000000001</v>
      </c>
      <c r="C152" s="2">
        <f t="shared" si="4"/>
        <v>211.30099999999948</v>
      </c>
      <c r="D152" s="2">
        <v>85372.09</v>
      </c>
      <c r="E152" s="2">
        <f t="shared" si="5"/>
        <v>117.31999999999243</v>
      </c>
    </row>
    <row r="153" spans="1:5" x14ac:dyDescent="0.25">
      <c r="A153" s="1">
        <v>45126</v>
      </c>
      <c r="B153" s="2">
        <v>46866.141000000003</v>
      </c>
      <c r="C153" s="2">
        <f t="shared" si="4"/>
        <v>-308.30799999999726</v>
      </c>
      <c r="D153" s="2">
        <v>85364.55</v>
      </c>
      <c r="E153" s="2">
        <f t="shared" si="5"/>
        <v>-7.5399999999935972</v>
      </c>
    </row>
    <row r="154" spans="1:5" x14ac:dyDescent="0.25">
      <c r="A154" s="1">
        <v>45127</v>
      </c>
      <c r="B154" s="2">
        <v>46467.32</v>
      </c>
      <c r="C154" s="2">
        <f t="shared" si="4"/>
        <v>-398.82100000000355</v>
      </c>
      <c r="D154" s="2">
        <v>85381.98</v>
      </c>
      <c r="E154" s="2">
        <f t="shared" si="5"/>
        <v>17.429999999993015</v>
      </c>
    </row>
    <row r="155" spans="1:5" x14ac:dyDescent="0.25">
      <c r="A155" s="1">
        <v>45128</v>
      </c>
      <c r="B155" s="2">
        <v>46750.940999999999</v>
      </c>
      <c r="C155" s="2">
        <f t="shared" si="4"/>
        <v>283.62099999999919</v>
      </c>
      <c r="D155" s="2">
        <v>85523.95</v>
      </c>
      <c r="E155" s="2">
        <f t="shared" si="5"/>
        <v>141.97000000000116</v>
      </c>
    </row>
    <row r="156" spans="1:5" x14ac:dyDescent="0.25">
      <c r="A156" s="1">
        <v>45131</v>
      </c>
      <c r="B156" s="2">
        <v>46929.52</v>
      </c>
      <c r="C156" s="2">
        <f t="shared" si="4"/>
        <v>178.5789999999979</v>
      </c>
      <c r="D156" s="2">
        <v>85665.89</v>
      </c>
      <c r="E156" s="2">
        <f t="shared" si="5"/>
        <v>141.94000000000233</v>
      </c>
    </row>
    <row r="157" spans="1:5" x14ac:dyDescent="0.25">
      <c r="A157" s="1">
        <v>45132</v>
      </c>
      <c r="B157" s="2">
        <v>46992.461000000003</v>
      </c>
      <c r="C157" s="2">
        <f t="shared" si="4"/>
        <v>62.94100000000617</v>
      </c>
      <c r="D157" s="2">
        <v>85757.87</v>
      </c>
      <c r="E157" s="2">
        <f t="shared" si="5"/>
        <v>91.979999999995925</v>
      </c>
    </row>
    <row r="158" spans="1:5" x14ac:dyDescent="0.25">
      <c r="A158" s="1">
        <v>45133</v>
      </c>
      <c r="B158" s="2">
        <v>47039.75</v>
      </c>
      <c r="C158" s="2">
        <f t="shared" si="4"/>
        <v>47.288999999997031</v>
      </c>
      <c r="D158" s="2">
        <v>85924.69</v>
      </c>
      <c r="E158" s="2">
        <f t="shared" si="5"/>
        <v>166.82000000000698</v>
      </c>
    </row>
    <row r="159" spans="1:5" x14ac:dyDescent="0.25">
      <c r="A159" s="1">
        <v>45134</v>
      </c>
      <c r="B159" s="2">
        <v>46699.487999999998</v>
      </c>
      <c r="C159" s="2">
        <f t="shared" si="4"/>
        <v>-340.26200000000244</v>
      </c>
      <c r="D159" s="2">
        <v>85941.62</v>
      </c>
      <c r="E159" s="2">
        <f t="shared" si="5"/>
        <v>16.929999999993015</v>
      </c>
    </row>
    <row r="160" spans="1:5" x14ac:dyDescent="0.25">
      <c r="A160" s="1">
        <v>45135</v>
      </c>
      <c r="B160" s="2">
        <v>46749.718999999997</v>
      </c>
      <c r="C160" s="2">
        <f t="shared" si="4"/>
        <v>50.230999999999767</v>
      </c>
      <c r="D160" s="2">
        <v>85933.63</v>
      </c>
      <c r="E160" s="2">
        <f t="shared" si="5"/>
        <v>-7.9899999999906868</v>
      </c>
    </row>
    <row r="161" spans="1:5" x14ac:dyDescent="0.25">
      <c r="A161" s="1">
        <v>45138</v>
      </c>
      <c r="B161" s="2">
        <v>47046.77</v>
      </c>
      <c r="C161" s="2">
        <f t="shared" si="4"/>
        <v>297.05099999999948</v>
      </c>
      <c r="D161" s="2">
        <v>86025.31</v>
      </c>
      <c r="E161" s="2">
        <f t="shared" si="5"/>
        <v>91.679999999993015</v>
      </c>
    </row>
    <row r="162" spans="1:5" x14ac:dyDescent="0.25">
      <c r="A162" s="1">
        <v>45139</v>
      </c>
      <c r="B162" s="2">
        <v>47103.468999999997</v>
      </c>
      <c r="C162" s="2">
        <f t="shared" si="4"/>
        <v>56.699000000000524</v>
      </c>
      <c r="D162" s="2">
        <v>85942.7</v>
      </c>
      <c r="E162" s="2">
        <f t="shared" si="5"/>
        <v>-82.610000000000582</v>
      </c>
    </row>
    <row r="163" spans="1:5" x14ac:dyDescent="0.25">
      <c r="A163" s="1">
        <v>45140</v>
      </c>
      <c r="B163" s="2">
        <v>47374.16</v>
      </c>
      <c r="C163" s="2">
        <f t="shared" si="4"/>
        <v>270.69100000000617</v>
      </c>
      <c r="D163" s="2">
        <v>85984.53</v>
      </c>
      <c r="E163" s="2">
        <f t="shared" si="5"/>
        <v>41.830000000001746</v>
      </c>
    </row>
    <row r="164" spans="1:5" x14ac:dyDescent="0.25">
      <c r="A164" s="1">
        <v>45141</v>
      </c>
      <c r="B164" s="2">
        <v>46857.351999999999</v>
      </c>
      <c r="C164" s="2">
        <f t="shared" si="4"/>
        <v>-516.80800000000454</v>
      </c>
      <c r="D164" s="2">
        <v>86374.7</v>
      </c>
      <c r="E164" s="2">
        <f t="shared" si="5"/>
        <v>390.16999999999825</v>
      </c>
    </row>
    <row r="165" spans="1:5" x14ac:dyDescent="0.25">
      <c r="A165" s="1">
        <v>45142</v>
      </c>
      <c r="B165" s="2">
        <v>47013.699000000001</v>
      </c>
      <c r="C165" s="2">
        <f t="shared" si="4"/>
        <v>156.34700000000157</v>
      </c>
      <c r="D165" s="2">
        <v>86640.98</v>
      </c>
      <c r="E165" s="2">
        <f t="shared" si="5"/>
        <v>266.27999999999884</v>
      </c>
    </row>
    <row r="166" spans="1:5" x14ac:dyDescent="0.25">
      <c r="A166" s="1">
        <v>45145</v>
      </c>
      <c r="B166" s="2">
        <v>46901.870999999999</v>
      </c>
      <c r="C166" s="2">
        <f t="shared" si="4"/>
        <v>-111.82800000000134</v>
      </c>
      <c r="D166" s="2">
        <v>86557.37</v>
      </c>
      <c r="E166" s="2">
        <f t="shared" si="5"/>
        <v>-83.610000000000582</v>
      </c>
    </row>
    <row r="167" spans="1:5" x14ac:dyDescent="0.25">
      <c r="A167" s="1">
        <v>45146</v>
      </c>
      <c r="B167" s="2">
        <v>47280.550999999999</v>
      </c>
      <c r="C167" s="2">
        <f t="shared" si="4"/>
        <v>378.68000000000029</v>
      </c>
      <c r="D167" s="2">
        <v>86723.5</v>
      </c>
      <c r="E167" s="2">
        <f t="shared" si="5"/>
        <v>166.13000000000466</v>
      </c>
    </row>
    <row r="168" spans="1:5" x14ac:dyDescent="0.25">
      <c r="A168" s="1">
        <v>45147</v>
      </c>
      <c r="B168" s="2">
        <v>47018.078000000001</v>
      </c>
      <c r="C168" s="2">
        <f t="shared" si="4"/>
        <v>-262.47299999999814</v>
      </c>
      <c r="D168" s="2">
        <v>86864.62</v>
      </c>
      <c r="E168" s="2">
        <f t="shared" si="5"/>
        <v>141.11999999999534</v>
      </c>
    </row>
    <row r="169" spans="1:5" x14ac:dyDescent="0.25">
      <c r="A169" s="1">
        <v>45148</v>
      </c>
      <c r="B169" s="2">
        <v>46965.59</v>
      </c>
      <c r="C169" s="2">
        <f t="shared" si="4"/>
        <v>-52.488000000004831</v>
      </c>
      <c r="D169" s="2">
        <v>87030.74</v>
      </c>
      <c r="E169" s="2">
        <f t="shared" si="5"/>
        <v>166.1200000000099</v>
      </c>
    </row>
    <row r="170" spans="1:5" x14ac:dyDescent="0.25">
      <c r="A170" s="1">
        <v>45149</v>
      </c>
      <c r="B170" s="2">
        <v>46950.550999999999</v>
      </c>
      <c r="C170" s="2">
        <f t="shared" si="4"/>
        <v>-15.038999999997031</v>
      </c>
      <c r="D170" s="2">
        <v>87046.66</v>
      </c>
      <c r="E170" s="2">
        <f t="shared" si="5"/>
        <v>15.919999999998254</v>
      </c>
    </row>
    <row r="171" spans="1:5" x14ac:dyDescent="0.25">
      <c r="A171" s="1">
        <v>45152</v>
      </c>
      <c r="B171" s="2">
        <v>46502.93</v>
      </c>
      <c r="C171" s="2">
        <f t="shared" si="4"/>
        <v>-447.62099999999919</v>
      </c>
      <c r="D171" s="2">
        <v>86912.92</v>
      </c>
      <c r="E171" s="2">
        <f t="shared" si="5"/>
        <v>-133.74000000000524</v>
      </c>
    </row>
    <row r="172" spans="1:5" x14ac:dyDescent="0.25">
      <c r="A172" s="1">
        <v>45153</v>
      </c>
      <c r="B172" s="2">
        <v>46310.671999999999</v>
      </c>
      <c r="C172" s="2">
        <f t="shared" si="4"/>
        <v>-192.25800000000163</v>
      </c>
      <c r="D172" s="2">
        <v>86829.55</v>
      </c>
      <c r="E172" s="2">
        <f t="shared" si="5"/>
        <v>-83.369999999995343</v>
      </c>
    </row>
    <row r="173" spans="1:5" x14ac:dyDescent="0.25">
      <c r="A173" s="1">
        <v>45154</v>
      </c>
      <c r="B173" s="2">
        <v>46250.550999999999</v>
      </c>
      <c r="C173" s="2">
        <f t="shared" si="4"/>
        <v>-60.120999999999185</v>
      </c>
      <c r="D173" s="2">
        <v>86845.77</v>
      </c>
      <c r="E173" s="2">
        <f t="shared" si="5"/>
        <v>16.220000000001164</v>
      </c>
    </row>
    <row r="174" spans="1:5" x14ac:dyDescent="0.25">
      <c r="A174" s="1">
        <v>45155</v>
      </c>
      <c r="B174" s="2">
        <v>45944.711000000003</v>
      </c>
      <c r="C174" s="2">
        <f t="shared" si="4"/>
        <v>-305.83999999999651</v>
      </c>
      <c r="D174" s="2">
        <v>86738.14</v>
      </c>
      <c r="E174" s="2">
        <f t="shared" si="5"/>
        <v>-107.63000000000466</v>
      </c>
    </row>
    <row r="175" spans="1:5" x14ac:dyDescent="0.25">
      <c r="A175" s="1">
        <v>45156</v>
      </c>
      <c r="B175" s="2">
        <v>46082.27</v>
      </c>
      <c r="C175" s="2">
        <f t="shared" si="4"/>
        <v>137.55899999999383</v>
      </c>
      <c r="D175" s="2">
        <v>86754.51</v>
      </c>
      <c r="E175" s="2">
        <f t="shared" si="5"/>
        <v>16.369999999995343</v>
      </c>
    </row>
    <row r="176" spans="1:5" x14ac:dyDescent="0.25">
      <c r="A176" s="1">
        <v>45159</v>
      </c>
      <c r="B176" s="2">
        <v>45745.101999999999</v>
      </c>
      <c r="C176" s="2">
        <f t="shared" si="4"/>
        <v>-337.16799999999785</v>
      </c>
      <c r="D176" s="2">
        <v>86450.69</v>
      </c>
      <c r="E176" s="2">
        <f t="shared" si="5"/>
        <v>-303.81999999999243</v>
      </c>
    </row>
    <row r="177" spans="1:5" x14ac:dyDescent="0.25">
      <c r="A177" s="1">
        <v>45160</v>
      </c>
      <c r="B177" s="2">
        <v>46048.23</v>
      </c>
      <c r="C177" s="2">
        <f t="shared" si="4"/>
        <v>303.12800000000425</v>
      </c>
      <c r="D177" s="2">
        <v>86590.25</v>
      </c>
      <c r="E177" s="2">
        <f t="shared" si="5"/>
        <v>139.55999999999767</v>
      </c>
    </row>
    <row r="178" spans="1:5" x14ac:dyDescent="0.25">
      <c r="A178" s="1">
        <v>45161</v>
      </c>
      <c r="B178" s="2">
        <v>46610.288999999997</v>
      </c>
      <c r="C178" s="2">
        <f t="shared" si="4"/>
        <v>562.05899999999383</v>
      </c>
      <c r="D178" s="2">
        <v>86852.92</v>
      </c>
      <c r="E178" s="2">
        <f t="shared" si="5"/>
        <v>262.66999999999825</v>
      </c>
    </row>
    <row r="179" spans="1:5" x14ac:dyDescent="0.25">
      <c r="A179" s="1">
        <v>45162</v>
      </c>
      <c r="B179" s="2">
        <v>46718.699000000001</v>
      </c>
      <c r="C179" s="2">
        <f t="shared" si="4"/>
        <v>108.41000000000349</v>
      </c>
      <c r="D179" s="2">
        <v>86795.41</v>
      </c>
      <c r="E179" s="2">
        <f t="shared" si="5"/>
        <v>-57.509999999994761</v>
      </c>
    </row>
    <row r="180" spans="1:5" x14ac:dyDescent="0.25">
      <c r="A180" s="1">
        <v>45163</v>
      </c>
      <c r="B180" s="2">
        <v>46593.75</v>
      </c>
      <c r="C180" s="2">
        <f t="shared" si="4"/>
        <v>-124.94900000000052</v>
      </c>
      <c r="D180" s="2">
        <v>86787.26</v>
      </c>
      <c r="E180" s="2">
        <f t="shared" si="5"/>
        <v>-8.1500000000087311</v>
      </c>
    </row>
    <row r="181" spans="1:5" x14ac:dyDescent="0.25">
      <c r="A181" s="1">
        <v>45166</v>
      </c>
      <c r="B181" s="2">
        <v>46803.487999999998</v>
      </c>
      <c r="C181" s="2">
        <f t="shared" si="4"/>
        <v>209.73799999999756</v>
      </c>
      <c r="D181" s="2">
        <v>86779.18</v>
      </c>
      <c r="E181" s="2">
        <f t="shared" si="5"/>
        <v>-8.0800000000017462</v>
      </c>
    </row>
    <row r="182" spans="1:5" x14ac:dyDescent="0.25">
      <c r="A182" s="1">
        <v>45167</v>
      </c>
      <c r="B182" s="2">
        <v>47156.550999999999</v>
      </c>
      <c r="C182" s="2">
        <f t="shared" si="4"/>
        <v>353.06300000000192</v>
      </c>
      <c r="D182" s="2">
        <v>86795.65</v>
      </c>
      <c r="E182" s="2">
        <f t="shared" si="5"/>
        <v>16.470000000001164</v>
      </c>
    </row>
    <row r="183" spans="1:5" x14ac:dyDescent="0.25">
      <c r="A183" s="1">
        <v>45168</v>
      </c>
      <c r="B183" s="2">
        <v>47039.559000000001</v>
      </c>
      <c r="C183" s="2">
        <f t="shared" si="4"/>
        <v>-116.99199999999837</v>
      </c>
      <c r="D183" s="2">
        <v>86689.91</v>
      </c>
      <c r="E183" s="2">
        <f t="shared" si="5"/>
        <v>-105.73999999999069</v>
      </c>
    </row>
    <row r="184" spans="1:5" x14ac:dyDescent="0.25">
      <c r="A184" s="1">
        <v>45169</v>
      </c>
      <c r="B184" s="2">
        <v>46454.288999999997</v>
      </c>
      <c r="C184" s="2">
        <f t="shared" si="4"/>
        <v>-585.27000000000407</v>
      </c>
      <c r="D184" s="2">
        <v>86390.22</v>
      </c>
      <c r="E184" s="2">
        <f t="shared" si="5"/>
        <v>-299.69000000000233</v>
      </c>
    </row>
    <row r="185" spans="1:5" x14ac:dyDescent="0.25">
      <c r="A185" s="1">
        <v>45170</v>
      </c>
      <c r="B185" s="2">
        <v>46543.82</v>
      </c>
      <c r="C185" s="2">
        <f t="shared" si="4"/>
        <v>89.531000000002678</v>
      </c>
      <c r="D185" s="2">
        <v>86455.72</v>
      </c>
      <c r="E185" s="2">
        <f t="shared" si="5"/>
        <v>65.5</v>
      </c>
    </row>
    <row r="186" spans="1:5" x14ac:dyDescent="0.25">
      <c r="A186" s="1">
        <v>45173</v>
      </c>
      <c r="B186" s="2">
        <v>46514.43</v>
      </c>
      <c r="C186" s="2">
        <f t="shared" si="4"/>
        <v>-29.389999999999418</v>
      </c>
      <c r="D186" s="2">
        <v>86351.59</v>
      </c>
      <c r="E186" s="2">
        <f t="shared" si="5"/>
        <v>-104.13000000000466</v>
      </c>
    </row>
    <row r="187" spans="1:5" x14ac:dyDescent="0.25">
      <c r="A187" s="1">
        <v>45174</v>
      </c>
      <c r="B187" s="2">
        <v>46052.25</v>
      </c>
      <c r="C187" s="2">
        <f t="shared" si="4"/>
        <v>-462.18000000000029</v>
      </c>
      <c r="D187" s="2">
        <v>86368.67</v>
      </c>
      <c r="E187" s="2">
        <f t="shared" si="5"/>
        <v>17.080000000001746</v>
      </c>
    </row>
    <row r="188" spans="1:5" x14ac:dyDescent="0.25">
      <c r="A188" s="1">
        <v>45175</v>
      </c>
      <c r="B188" s="2">
        <v>45948.487999999998</v>
      </c>
      <c r="C188" s="2">
        <f t="shared" si="4"/>
        <v>-103.76200000000244</v>
      </c>
      <c r="D188" s="2">
        <v>86434.04</v>
      </c>
      <c r="E188" s="2">
        <f t="shared" si="5"/>
        <v>65.369999999995343</v>
      </c>
    </row>
    <row r="189" spans="1:5" x14ac:dyDescent="0.25">
      <c r="A189" s="1">
        <v>45177</v>
      </c>
      <c r="B189" s="2">
        <v>46073.171999999999</v>
      </c>
      <c r="C189" s="2">
        <f t="shared" si="4"/>
        <v>124.68400000000111</v>
      </c>
      <c r="D189" s="2">
        <v>86499.33</v>
      </c>
      <c r="E189" s="2">
        <f t="shared" si="5"/>
        <v>65.290000000008149</v>
      </c>
    </row>
    <row r="190" spans="1:5" x14ac:dyDescent="0.25">
      <c r="A190" s="1">
        <v>45180</v>
      </c>
      <c r="B190" s="2">
        <v>46216.218999999997</v>
      </c>
      <c r="C190" s="2">
        <f t="shared" si="4"/>
        <v>143.04699999999866</v>
      </c>
      <c r="D190" s="2">
        <v>86564.56</v>
      </c>
      <c r="E190" s="2">
        <f t="shared" si="5"/>
        <v>65.229999999995925</v>
      </c>
    </row>
    <row r="191" spans="1:5" x14ac:dyDescent="0.25">
      <c r="A191" s="1">
        <v>45181</v>
      </c>
      <c r="B191" s="2">
        <v>46444.449000000001</v>
      </c>
      <c r="C191" s="2">
        <f t="shared" si="4"/>
        <v>228.2300000000032</v>
      </c>
      <c r="D191" s="2">
        <v>86702.12</v>
      </c>
      <c r="E191" s="2">
        <f t="shared" si="5"/>
        <v>137.55999999999767</v>
      </c>
    </row>
    <row r="192" spans="1:5" x14ac:dyDescent="0.25">
      <c r="A192" s="1">
        <v>45182</v>
      </c>
      <c r="B192" s="2">
        <v>46555</v>
      </c>
      <c r="C192" s="2">
        <f t="shared" si="4"/>
        <v>110.55099999999948</v>
      </c>
      <c r="D192" s="2">
        <v>86694.79</v>
      </c>
      <c r="E192" s="2">
        <f t="shared" si="5"/>
        <v>-7.3300000000017462</v>
      </c>
    </row>
    <row r="193" spans="1:5" x14ac:dyDescent="0.25">
      <c r="A193" s="1">
        <v>45183</v>
      </c>
      <c r="B193" s="2">
        <v>46559.288999999997</v>
      </c>
      <c r="C193" s="2">
        <f t="shared" si="4"/>
        <v>4.2889999999970314</v>
      </c>
      <c r="D193" s="2">
        <v>86687.53</v>
      </c>
      <c r="E193" s="2">
        <f t="shared" si="5"/>
        <v>-7.2599999999947613</v>
      </c>
    </row>
    <row r="194" spans="1:5" x14ac:dyDescent="0.25">
      <c r="A194" s="1">
        <v>45184</v>
      </c>
      <c r="B194" s="2">
        <v>46330.461000000003</v>
      </c>
      <c r="C194" s="2">
        <f t="shared" si="4"/>
        <v>-228.82799999999406</v>
      </c>
      <c r="D194" s="2">
        <v>86656.3</v>
      </c>
      <c r="E194" s="2">
        <f t="shared" si="5"/>
        <v>-31.229999999995925</v>
      </c>
    </row>
    <row r="195" spans="1:5" x14ac:dyDescent="0.25">
      <c r="A195" s="1">
        <v>45187</v>
      </c>
      <c r="B195" s="2">
        <v>46371.120999999999</v>
      </c>
      <c r="C195" s="2">
        <f t="shared" ref="C195:C258" si="6">IFERROR(B195-B194,0)</f>
        <v>40.659999999996217</v>
      </c>
      <c r="D195" s="2">
        <v>86601.25</v>
      </c>
      <c r="E195" s="2">
        <f t="shared" ref="E195:E258" si="7">IFERROR(D195-D194,0)</f>
        <v>-55.05000000000291</v>
      </c>
    </row>
    <row r="196" spans="1:5" x14ac:dyDescent="0.25">
      <c r="A196" s="1">
        <v>45188</v>
      </c>
      <c r="B196" s="2">
        <v>46092.788999999997</v>
      </c>
      <c r="C196" s="2">
        <f t="shared" si="6"/>
        <v>-278.33200000000215</v>
      </c>
      <c r="D196" s="2">
        <v>86498.63</v>
      </c>
      <c r="E196" s="2">
        <f t="shared" si="7"/>
        <v>-102.61999999999534</v>
      </c>
    </row>
    <row r="197" spans="1:5" x14ac:dyDescent="0.25">
      <c r="A197" s="1">
        <v>45189</v>
      </c>
      <c r="B197" s="2">
        <v>46289.601999999999</v>
      </c>
      <c r="C197" s="2">
        <f t="shared" si="6"/>
        <v>196.81300000000192</v>
      </c>
      <c r="D197" s="2">
        <v>86539.65</v>
      </c>
      <c r="E197" s="2">
        <f t="shared" si="7"/>
        <v>41.019999999989523</v>
      </c>
    </row>
    <row r="198" spans="1:5" x14ac:dyDescent="0.25">
      <c r="A198" s="1">
        <v>45190</v>
      </c>
      <c r="B198" s="2">
        <v>45952.538999999997</v>
      </c>
      <c r="C198" s="2">
        <f t="shared" si="6"/>
        <v>-337.06300000000192</v>
      </c>
      <c r="D198" s="2">
        <v>86413.79</v>
      </c>
      <c r="E198" s="2">
        <f t="shared" si="7"/>
        <v>-125.86000000000058</v>
      </c>
    </row>
    <row r="199" spans="1:5" x14ac:dyDescent="0.25">
      <c r="A199" s="1">
        <v>45191</v>
      </c>
      <c r="B199" s="2">
        <v>45933.391000000003</v>
      </c>
      <c r="C199" s="2">
        <f t="shared" si="6"/>
        <v>-19.147999999993772</v>
      </c>
      <c r="D199" s="2">
        <v>86407.31</v>
      </c>
      <c r="E199" s="2">
        <f t="shared" si="7"/>
        <v>-6.4799999999959255</v>
      </c>
    </row>
    <row r="200" spans="1:5" x14ac:dyDescent="0.25">
      <c r="A200" s="1">
        <v>45194</v>
      </c>
      <c r="B200" s="2">
        <v>45526.16</v>
      </c>
      <c r="C200" s="2">
        <f t="shared" si="6"/>
        <v>-407.23099999999977</v>
      </c>
      <c r="D200" s="2">
        <v>86235.01</v>
      </c>
      <c r="E200" s="2">
        <f t="shared" si="7"/>
        <v>-172.30000000000291</v>
      </c>
    </row>
    <row r="201" spans="1:5" x14ac:dyDescent="0.25">
      <c r="A201" s="1">
        <v>45195</v>
      </c>
      <c r="B201" s="2">
        <v>45068.148000000001</v>
      </c>
      <c r="C201" s="2">
        <f t="shared" si="6"/>
        <v>-458.01200000000244</v>
      </c>
      <c r="D201" s="2">
        <v>85781.5</v>
      </c>
      <c r="E201" s="2">
        <f t="shared" si="7"/>
        <v>-453.50999999999476</v>
      </c>
    </row>
    <row r="202" spans="1:5" x14ac:dyDescent="0.25">
      <c r="A202" s="1">
        <v>45196</v>
      </c>
      <c r="B202" s="2">
        <v>44656.281000000003</v>
      </c>
      <c r="C202" s="2">
        <f t="shared" si="6"/>
        <v>-411.86699999999837</v>
      </c>
      <c r="D202" s="2">
        <v>85355.81</v>
      </c>
      <c r="E202" s="2">
        <f t="shared" si="7"/>
        <v>-425.69000000000233</v>
      </c>
    </row>
    <row r="203" spans="1:5" x14ac:dyDescent="0.25">
      <c r="A203" s="1">
        <v>45197</v>
      </c>
      <c r="B203" s="2">
        <v>44936.199000000001</v>
      </c>
      <c r="C203" s="2">
        <f t="shared" si="6"/>
        <v>279.91799999999785</v>
      </c>
      <c r="D203" s="2">
        <v>85630.68</v>
      </c>
      <c r="E203" s="2">
        <f t="shared" si="7"/>
        <v>274.86999999999534</v>
      </c>
    </row>
    <row r="204" spans="1:5" x14ac:dyDescent="0.25">
      <c r="A204" s="1">
        <v>45198</v>
      </c>
      <c r="B204" s="2">
        <v>45399.18</v>
      </c>
      <c r="C204" s="2">
        <f t="shared" si="6"/>
        <v>462.98099999999977</v>
      </c>
      <c r="D204" s="2">
        <v>85812.42</v>
      </c>
      <c r="E204" s="2">
        <f t="shared" si="7"/>
        <v>181.74000000000524</v>
      </c>
    </row>
    <row r="205" spans="1:5" x14ac:dyDescent="0.25">
      <c r="A205" s="1">
        <v>45201</v>
      </c>
      <c r="B205" s="2">
        <v>44886.02</v>
      </c>
      <c r="C205" s="2">
        <f t="shared" si="6"/>
        <v>-513.16000000000349</v>
      </c>
      <c r="D205" s="2">
        <v>85597.51</v>
      </c>
      <c r="E205" s="2">
        <f t="shared" si="7"/>
        <v>-214.91000000000349</v>
      </c>
    </row>
    <row r="206" spans="1:5" x14ac:dyDescent="0.25">
      <c r="A206" s="1">
        <v>45202</v>
      </c>
      <c r="B206" s="2">
        <v>44197.870999999999</v>
      </c>
      <c r="C206" s="2">
        <f t="shared" si="6"/>
        <v>-688.14899999999761</v>
      </c>
      <c r="D206" s="2">
        <v>85222.15</v>
      </c>
      <c r="E206" s="2">
        <f t="shared" si="7"/>
        <v>-375.36000000000058</v>
      </c>
    </row>
    <row r="207" spans="1:5" x14ac:dyDescent="0.25">
      <c r="A207" s="1">
        <v>45203</v>
      </c>
      <c r="B207" s="2">
        <v>44677.73</v>
      </c>
      <c r="C207" s="2">
        <f t="shared" si="6"/>
        <v>479.85900000000402</v>
      </c>
      <c r="D207" s="2">
        <v>85333.35</v>
      </c>
      <c r="E207" s="2">
        <f t="shared" si="7"/>
        <v>111.20000000001164</v>
      </c>
    </row>
    <row r="208" spans="1:5" x14ac:dyDescent="0.25">
      <c r="A208" s="1">
        <v>45204</v>
      </c>
      <c r="B208" s="2">
        <v>44534.141000000003</v>
      </c>
      <c r="C208" s="2">
        <f t="shared" si="6"/>
        <v>-143.58899999999994</v>
      </c>
      <c r="D208" s="2">
        <v>85306</v>
      </c>
      <c r="E208" s="2">
        <f t="shared" si="7"/>
        <v>-27.350000000005821</v>
      </c>
    </row>
    <row r="209" spans="1:5" x14ac:dyDescent="0.25">
      <c r="A209" s="1">
        <v>45205</v>
      </c>
      <c r="B209" s="2">
        <v>44734.699000000001</v>
      </c>
      <c r="C209" s="2">
        <f t="shared" si="6"/>
        <v>200.55799999999726</v>
      </c>
      <c r="D209" s="2">
        <v>85463.14</v>
      </c>
      <c r="E209" s="2">
        <f t="shared" si="7"/>
        <v>157.13999999999942</v>
      </c>
    </row>
    <row r="210" spans="1:5" x14ac:dyDescent="0.25">
      <c r="A210" s="1">
        <v>45208</v>
      </c>
      <c r="B210" s="2">
        <v>45269.512000000002</v>
      </c>
      <c r="C210" s="2">
        <f t="shared" si="6"/>
        <v>534.81300000000192</v>
      </c>
      <c r="D210" s="2">
        <v>85735.89</v>
      </c>
      <c r="E210" s="2">
        <f t="shared" si="7"/>
        <v>272.75</v>
      </c>
    </row>
    <row r="211" spans="1:5" x14ac:dyDescent="0.25">
      <c r="A211" s="1">
        <v>45209</v>
      </c>
      <c r="B211" s="2">
        <v>45581.550999999999</v>
      </c>
      <c r="C211" s="2">
        <f t="shared" si="6"/>
        <v>312.03899999999703</v>
      </c>
      <c r="D211" s="2">
        <v>85846.8</v>
      </c>
      <c r="E211" s="2">
        <f t="shared" si="7"/>
        <v>110.91000000000349</v>
      </c>
    </row>
    <row r="212" spans="1:5" x14ac:dyDescent="0.25">
      <c r="A212" s="1">
        <v>45210</v>
      </c>
      <c r="B212" s="2">
        <v>45510.550999999999</v>
      </c>
      <c r="C212" s="2">
        <f t="shared" si="6"/>
        <v>-71</v>
      </c>
      <c r="D212" s="2">
        <v>85473.2</v>
      </c>
      <c r="E212" s="2">
        <f t="shared" si="7"/>
        <v>-373.60000000000582</v>
      </c>
    </row>
    <row r="213" spans="1:5" x14ac:dyDescent="0.25">
      <c r="A213" s="1">
        <v>45212</v>
      </c>
      <c r="B213" s="2">
        <v>45137.370999999999</v>
      </c>
      <c r="C213" s="2">
        <f t="shared" si="6"/>
        <v>-373.18000000000029</v>
      </c>
      <c r="D213" s="2">
        <v>85354.37</v>
      </c>
      <c r="E213" s="2">
        <f t="shared" si="7"/>
        <v>-118.83000000000175</v>
      </c>
    </row>
    <row r="214" spans="1:5" x14ac:dyDescent="0.25">
      <c r="A214" s="1">
        <v>45215</v>
      </c>
      <c r="B214" s="2">
        <v>45480.059000000001</v>
      </c>
      <c r="C214" s="2">
        <f t="shared" si="6"/>
        <v>342.68800000000192</v>
      </c>
      <c r="D214" s="2">
        <v>85487.76</v>
      </c>
      <c r="E214" s="2">
        <f t="shared" si="7"/>
        <v>133.38999999999942</v>
      </c>
    </row>
    <row r="215" spans="1:5" x14ac:dyDescent="0.25">
      <c r="A215" s="1">
        <v>45216</v>
      </c>
      <c r="B215" s="2">
        <v>45075.891000000003</v>
      </c>
      <c r="C215" s="2">
        <f t="shared" si="6"/>
        <v>-404.16799999999785</v>
      </c>
      <c r="D215" s="2">
        <v>85164.11</v>
      </c>
      <c r="E215" s="2">
        <f t="shared" si="7"/>
        <v>-323.64999999999418</v>
      </c>
    </row>
    <row r="216" spans="1:5" x14ac:dyDescent="0.25">
      <c r="A216" s="1">
        <v>45217</v>
      </c>
      <c r="B216" s="2">
        <v>45220.190999999999</v>
      </c>
      <c r="C216" s="2">
        <f t="shared" si="6"/>
        <v>144.29999999999563</v>
      </c>
      <c r="D216" s="2">
        <v>85069.7</v>
      </c>
      <c r="E216" s="2">
        <f t="shared" si="7"/>
        <v>-94.410000000003492</v>
      </c>
    </row>
    <row r="217" spans="1:5" x14ac:dyDescent="0.25">
      <c r="A217" s="1">
        <v>45218</v>
      </c>
      <c r="B217" s="2">
        <v>44699.141000000003</v>
      </c>
      <c r="C217" s="2">
        <f t="shared" si="6"/>
        <v>-521.04999999999563</v>
      </c>
      <c r="D217" s="2">
        <v>84862.71</v>
      </c>
      <c r="E217" s="2">
        <f t="shared" si="7"/>
        <v>-206.98999999999069</v>
      </c>
    </row>
    <row r="218" spans="1:5" x14ac:dyDescent="0.25">
      <c r="A218" s="1">
        <v>45219</v>
      </c>
      <c r="B218" s="2">
        <v>45011.648000000001</v>
      </c>
      <c r="C218" s="2">
        <f t="shared" si="6"/>
        <v>312.50699999999779</v>
      </c>
      <c r="D218" s="2">
        <v>85131</v>
      </c>
      <c r="E218" s="2">
        <f t="shared" si="7"/>
        <v>268.2899999999936</v>
      </c>
    </row>
    <row r="219" spans="1:5" x14ac:dyDescent="0.25">
      <c r="A219" s="1">
        <v>45222</v>
      </c>
      <c r="B219" s="2">
        <v>45048.858999999997</v>
      </c>
      <c r="C219" s="2">
        <f t="shared" si="6"/>
        <v>37.210999999995693</v>
      </c>
      <c r="D219" s="2">
        <v>85127.679999999993</v>
      </c>
      <c r="E219" s="2">
        <f t="shared" si="7"/>
        <v>-3.3200000000069849</v>
      </c>
    </row>
    <row r="220" spans="1:5" x14ac:dyDescent="0.25">
      <c r="A220" s="1">
        <v>45223</v>
      </c>
      <c r="B220" s="2">
        <v>45473.98</v>
      </c>
      <c r="C220" s="2">
        <f t="shared" si="6"/>
        <v>425.12100000000646</v>
      </c>
      <c r="D220" s="2">
        <v>85305.36</v>
      </c>
      <c r="E220" s="2">
        <f t="shared" si="7"/>
        <v>177.68000000000757</v>
      </c>
    </row>
    <row r="221" spans="1:5" x14ac:dyDescent="0.25">
      <c r="A221" s="1">
        <v>45224</v>
      </c>
      <c r="B221" s="2">
        <v>45508.440999999999</v>
      </c>
      <c r="C221" s="2">
        <f t="shared" si="6"/>
        <v>34.460999999995693</v>
      </c>
      <c r="D221" s="2">
        <v>85234.09</v>
      </c>
      <c r="E221" s="2">
        <f t="shared" si="7"/>
        <v>-71.270000000004075</v>
      </c>
    </row>
    <row r="222" spans="1:5" x14ac:dyDescent="0.25">
      <c r="A222" s="1">
        <v>45225</v>
      </c>
      <c r="B222" s="2">
        <v>46262.34</v>
      </c>
      <c r="C222" s="2">
        <f t="shared" si="6"/>
        <v>753.89899999999761</v>
      </c>
      <c r="D222" s="2">
        <v>85570.02</v>
      </c>
      <c r="E222" s="2">
        <f t="shared" si="7"/>
        <v>335.93000000000757</v>
      </c>
    </row>
    <row r="223" spans="1:5" x14ac:dyDescent="0.25">
      <c r="A223" s="1">
        <v>45226</v>
      </c>
      <c r="B223" s="2">
        <v>45778.75</v>
      </c>
      <c r="C223" s="2">
        <f t="shared" si="6"/>
        <v>-483.58999999999651</v>
      </c>
      <c r="D223" s="2">
        <v>85317.7</v>
      </c>
      <c r="E223" s="2">
        <f t="shared" si="7"/>
        <v>-252.32000000000698</v>
      </c>
    </row>
    <row r="224" spans="1:5" x14ac:dyDescent="0.25">
      <c r="A224" s="1">
        <v>45229</v>
      </c>
      <c r="B224" s="2">
        <v>45197.66</v>
      </c>
      <c r="C224" s="2">
        <f t="shared" si="6"/>
        <v>-581.08999999999651</v>
      </c>
      <c r="D224" s="2">
        <v>84955.17</v>
      </c>
      <c r="E224" s="2">
        <f t="shared" si="7"/>
        <v>-362.52999999999884</v>
      </c>
    </row>
    <row r="225" spans="1:5" x14ac:dyDescent="0.25">
      <c r="A225" s="1">
        <v>45230</v>
      </c>
      <c r="B225" s="2">
        <v>45278.199000000001</v>
      </c>
      <c r="C225" s="2">
        <f t="shared" si="6"/>
        <v>80.538999999997031</v>
      </c>
      <c r="D225" s="2">
        <v>84907.8</v>
      </c>
      <c r="E225" s="2">
        <f t="shared" si="7"/>
        <v>-47.369999999995343</v>
      </c>
    </row>
    <row r="226" spans="1:5" x14ac:dyDescent="0.25">
      <c r="A226" s="1">
        <v>45231</v>
      </c>
      <c r="B226" s="2">
        <v>45820.961000000003</v>
      </c>
      <c r="C226" s="2">
        <f t="shared" si="6"/>
        <v>542.76200000000244</v>
      </c>
      <c r="D226" s="2">
        <v>85195.86</v>
      </c>
      <c r="E226" s="2">
        <f t="shared" si="7"/>
        <v>288.05999999999767</v>
      </c>
    </row>
    <row r="227" spans="1:5" x14ac:dyDescent="0.25">
      <c r="A227" s="1">
        <v>45233</v>
      </c>
      <c r="B227" s="2">
        <v>46501.012000000002</v>
      </c>
      <c r="C227" s="2">
        <f t="shared" si="6"/>
        <v>680.05099999999948</v>
      </c>
      <c r="D227" s="2">
        <v>85394.6</v>
      </c>
      <c r="E227" s="2">
        <f t="shared" si="7"/>
        <v>198.74000000000524</v>
      </c>
    </row>
    <row r="228" spans="1:5" x14ac:dyDescent="0.25">
      <c r="A228" s="1">
        <v>45236</v>
      </c>
      <c r="B228" s="2">
        <v>46086.52</v>
      </c>
      <c r="C228" s="2">
        <f t="shared" si="6"/>
        <v>-414.49200000000565</v>
      </c>
      <c r="D228" s="2">
        <v>85301.86</v>
      </c>
      <c r="E228" s="2">
        <f t="shared" si="7"/>
        <v>-92.740000000005239</v>
      </c>
    </row>
    <row r="229" spans="1:5" x14ac:dyDescent="0.25">
      <c r="A229" s="1">
        <v>45237</v>
      </c>
      <c r="B229" s="2">
        <v>46644.828000000001</v>
      </c>
      <c r="C229" s="2">
        <f t="shared" si="6"/>
        <v>558.30800000000454</v>
      </c>
      <c r="D229" s="2">
        <v>85433.08</v>
      </c>
      <c r="E229" s="2">
        <f t="shared" si="7"/>
        <v>131.22000000000116</v>
      </c>
    </row>
    <row r="230" spans="1:5" x14ac:dyDescent="0.25">
      <c r="A230" s="1">
        <v>45238</v>
      </c>
      <c r="B230" s="2">
        <v>46864.671999999999</v>
      </c>
      <c r="C230" s="2">
        <f t="shared" si="6"/>
        <v>219.84399999999732</v>
      </c>
      <c r="D230" s="2">
        <v>85541.84</v>
      </c>
      <c r="E230" s="2">
        <f t="shared" si="7"/>
        <v>108.75999999999476</v>
      </c>
    </row>
    <row r="231" spans="1:5" x14ac:dyDescent="0.25">
      <c r="A231" s="1">
        <v>45239</v>
      </c>
      <c r="B231" s="2">
        <v>46788.898000000001</v>
      </c>
      <c r="C231" s="2">
        <f t="shared" si="6"/>
        <v>-75.773999999997613</v>
      </c>
      <c r="D231" s="2">
        <v>85560.98</v>
      </c>
      <c r="E231" s="2">
        <f t="shared" si="7"/>
        <v>19.139999999999418</v>
      </c>
    </row>
    <row r="232" spans="1:5" x14ac:dyDescent="0.25">
      <c r="A232" s="1">
        <v>45240</v>
      </c>
      <c r="B232" s="2">
        <v>47150.391000000003</v>
      </c>
      <c r="C232" s="2">
        <f t="shared" si="6"/>
        <v>361.49300000000221</v>
      </c>
      <c r="D232" s="2">
        <v>85759.11</v>
      </c>
      <c r="E232" s="2">
        <f t="shared" si="7"/>
        <v>198.13000000000466</v>
      </c>
    </row>
    <row r="233" spans="1:5" x14ac:dyDescent="0.25">
      <c r="A233" s="1">
        <v>45243</v>
      </c>
      <c r="B233" s="2">
        <v>47140.141000000003</v>
      </c>
      <c r="C233" s="2">
        <f t="shared" si="6"/>
        <v>-10.25</v>
      </c>
      <c r="D233" s="2">
        <v>85643.92</v>
      </c>
      <c r="E233" s="2">
        <f t="shared" si="7"/>
        <v>-115.19000000000233</v>
      </c>
    </row>
    <row r="234" spans="1:5" x14ac:dyDescent="0.25">
      <c r="A234" s="1">
        <v>45244</v>
      </c>
      <c r="B234" s="2">
        <v>47671.141000000003</v>
      </c>
      <c r="C234" s="2">
        <f t="shared" si="6"/>
        <v>531</v>
      </c>
      <c r="D234" s="2">
        <v>86043.3</v>
      </c>
      <c r="E234" s="2">
        <f t="shared" si="7"/>
        <v>399.38000000000466</v>
      </c>
    </row>
    <row r="235" spans="1:5" x14ac:dyDescent="0.25">
      <c r="A235" s="1">
        <v>45246</v>
      </c>
      <c r="B235" s="2">
        <v>47852.5</v>
      </c>
      <c r="C235" s="2">
        <f t="shared" si="6"/>
        <v>181.35899999999674</v>
      </c>
      <c r="D235" s="2">
        <v>86263.95</v>
      </c>
      <c r="E235" s="2">
        <f t="shared" si="7"/>
        <v>220.64999999999418</v>
      </c>
    </row>
    <row r="236" spans="1:5" x14ac:dyDescent="0.25">
      <c r="A236" s="1">
        <v>45247</v>
      </c>
      <c r="B236" s="2">
        <v>48117.309000000001</v>
      </c>
      <c r="C236" s="2">
        <f t="shared" si="6"/>
        <v>264.80900000000111</v>
      </c>
      <c r="D236" s="2">
        <v>86394.72</v>
      </c>
      <c r="E236" s="2">
        <f t="shared" si="7"/>
        <v>130.77000000000407</v>
      </c>
    </row>
    <row r="237" spans="1:5" x14ac:dyDescent="0.25">
      <c r="A237" s="1">
        <v>45250</v>
      </c>
      <c r="B237" s="2">
        <v>48008.237999999998</v>
      </c>
      <c r="C237" s="2">
        <f t="shared" si="6"/>
        <v>-109.07100000000355</v>
      </c>
      <c r="D237" s="2">
        <v>86390.51</v>
      </c>
      <c r="E237" s="2">
        <f t="shared" si="7"/>
        <v>-4.2100000000064028</v>
      </c>
    </row>
    <row r="238" spans="1:5" x14ac:dyDescent="0.25">
      <c r="A238" s="1">
        <v>45251</v>
      </c>
      <c r="B238" s="2">
        <v>47719.898000000001</v>
      </c>
      <c r="C238" s="2">
        <f t="shared" si="6"/>
        <v>-288.33999999999651</v>
      </c>
      <c r="D238" s="2">
        <v>86319.15</v>
      </c>
      <c r="E238" s="2">
        <f t="shared" si="7"/>
        <v>-71.360000000000582</v>
      </c>
    </row>
    <row r="239" spans="1:5" x14ac:dyDescent="0.25">
      <c r="A239" s="1">
        <v>45252</v>
      </c>
      <c r="B239" s="2">
        <v>47974.358999999997</v>
      </c>
      <c r="C239" s="2">
        <f t="shared" si="6"/>
        <v>254.46099999999569</v>
      </c>
      <c r="D239" s="2">
        <v>86427.1</v>
      </c>
      <c r="E239" s="2">
        <f t="shared" si="7"/>
        <v>107.95000000001164</v>
      </c>
    </row>
    <row r="240" spans="1:5" x14ac:dyDescent="0.25">
      <c r="A240" s="1">
        <v>45253</v>
      </c>
      <c r="B240" s="2">
        <v>47911.737999999998</v>
      </c>
      <c r="C240" s="2">
        <f t="shared" si="6"/>
        <v>-62.620999999999185</v>
      </c>
      <c r="D240" s="2">
        <v>86467.78</v>
      </c>
      <c r="E240" s="2">
        <f t="shared" si="7"/>
        <v>40.679999999993015</v>
      </c>
    </row>
    <row r="241" spans="1:5" x14ac:dyDescent="0.25">
      <c r="A241" s="1">
        <v>45254</v>
      </c>
      <c r="B241" s="2">
        <v>47913.262000000002</v>
      </c>
      <c r="C241" s="2">
        <f t="shared" si="6"/>
        <v>1.5240000000048894</v>
      </c>
      <c r="D241" s="2">
        <v>86530.78</v>
      </c>
      <c r="E241" s="2">
        <f t="shared" si="7"/>
        <v>63</v>
      </c>
    </row>
    <row r="242" spans="1:5" x14ac:dyDescent="0.25">
      <c r="A242" s="1">
        <v>45257</v>
      </c>
      <c r="B242" s="2">
        <v>48278.828000000001</v>
      </c>
      <c r="C242" s="2">
        <f t="shared" si="6"/>
        <v>365.56599999999889</v>
      </c>
      <c r="D242" s="2">
        <v>86660.82</v>
      </c>
      <c r="E242" s="2">
        <f t="shared" si="7"/>
        <v>130.04000000000815</v>
      </c>
    </row>
    <row r="243" spans="1:5" x14ac:dyDescent="0.25">
      <c r="A243" s="1">
        <v>45258</v>
      </c>
      <c r="B243" s="2">
        <v>48545.07</v>
      </c>
      <c r="C243" s="2">
        <f t="shared" si="6"/>
        <v>266.24199999999837</v>
      </c>
      <c r="D243" s="2">
        <v>86678.91</v>
      </c>
      <c r="E243" s="2">
        <f t="shared" si="7"/>
        <v>18.089999999996508</v>
      </c>
    </row>
    <row r="244" spans="1:5" x14ac:dyDescent="0.25">
      <c r="A244" s="1">
        <v>45259</v>
      </c>
      <c r="B244" s="2">
        <v>48781.608999999997</v>
      </c>
      <c r="C244" s="2">
        <f t="shared" si="6"/>
        <v>236.53899999999703</v>
      </c>
      <c r="D244" s="2">
        <v>86652.36</v>
      </c>
      <c r="E244" s="2">
        <f t="shared" si="7"/>
        <v>-26.55000000000291</v>
      </c>
    </row>
    <row r="245" spans="1:5" x14ac:dyDescent="0.25">
      <c r="A245" s="1">
        <v>45260</v>
      </c>
      <c r="B245" s="2">
        <v>48767.199000000001</v>
      </c>
      <c r="C245" s="2">
        <f t="shared" si="6"/>
        <v>-14.409999999996217</v>
      </c>
      <c r="D245" s="2">
        <v>86759.71</v>
      </c>
      <c r="E245" s="2">
        <f t="shared" si="7"/>
        <v>107.35000000000582</v>
      </c>
    </row>
    <row r="246" spans="1:5" x14ac:dyDescent="0.25">
      <c r="A246" s="1">
        <v>45261</v>
      </c>
      <c r="B246" s="2">
        <v>48839.690999999999</v>
      </c>
      <c r="C246" s="2">
        <f t="shared" si="6"/>
        <v>72.49199999999837</v>
      </c>
      <c r="D246" s="2">
        <v>86755.47</v>
      </c>
      <c r="E246" s="2">
        <f t="shared" si="7"/>
        <v>-4.2400000000052387</v>
      </c>
    </row>
    <row r="247" spans="1:5" x14ac:dyDescent="0.25">
      <c r="A247" s="1">
        <v>45264</v>
      </c>
      <c r="B247" s="2">
        <v>48417.718999999997</v>
      </c>
      <c r="C247" s="2">
        <f t="shared" si="6"/>
        <v>-421.97200000000157</v>
      </c>
      <c r="D247" s="2">
        <v>86773.54</v>
      </c>
      <c r="E247" s="2">
        <f t="shared" si="7"/>
        <v>18.069999999992433</v>
      </c>
    </row>
    <row r="248" spans="1:5" x14ac:dyDescent="0.25">
      <c r="A248" s="1">
        <v>45265</v>
      </c>
      <c r="B248" s="2">
        <v>48483.641000000003</v>
      </c>
      <c r="C248" s="2">
        <f t="shared" si="6"/>
        <v>65.922000000005937</v>
      </c>
      <c r="D248" s="2">
        <v>86791.62</v>
      </c>
      <c r="E248" s="2">
        <f t="shared" si="7"/>
        <v>18.080000000001746</v>
      </c>
    </row>
    <row r="249" spans="1:5" x14ac:dyDescent="0.25">
      <c r="A249" s="1">
        <v>45266</v>
      </c>
      <c r="B249" s="2">
        <v>48855.48</v>
      </c>
      <c r="C249" s="2">
        <f t="shared" si="6"/>
        <v>371.83899999999994</v>
      </c>
      <c r="D249" s="2">
        <v>86831.9</v>
      </c>
      <c r="E249" s="2">
        <f t="shared" si="7"/>
        <v>40.279999999998836</v>
      </c>
    </row>
    <row r="250" spans="1:5" x14ac:dyDescent="0.25">
      <c r="A250" s="1">
        <v>45267</v>
      </c>
      <c r="B250" s="2">
        <v>48834.961000000003</v>
      </c>
      <c r="C250" s="2">
        <f t="shared" si="6"/>
        <v>-20.519000000000233</v>
      </c>
      <c r="D250" s="2">
        <v>86872.14</v>
      </c>
      <c r="E250" s="2">
        <f t="shared" si="7"/>
        <v>40.240000000005239</v>
      </c>
    </row>
    <row r="251" spans="1:5" x14ac:dyDescent="0.25">
      <c r="A251" s="1">
        <v>45268</v>
      </c>
      <c r="B251" s="2">
        <v>48740.309000000001</v>
      </c>
      <c r="C251" s="2">
        <f t="shared" si="6"/>
        <v>-94.652000000001863</v>
      </c>
      <c r="D251" s="2">
        <v>86845.88</v>
      </c>
      <c r="E251" s="2">
        <f t="shared" si="7"/>
        <v>-26.259999999994761</v>
      </c>
    </row>
    <row r="252" spans="1:5" x14ac:dyDescent="0.25">
      <c r="A252" s="1">
        <v>45271</v>
      </c>
      <c r="B252" s="2">
        <v>48735.421999999999</v>
      </c>
      <c r="C252" s="2">
        <f t="shared" si="6"/>
        <v>-4.8870000000024447</v>
      </c>
      <c r="D252" s="2">
        <v>86908.21</v>
      </c>
      <c r="E252" s="2">
        <f t="shared" si="7"/>
        <v>62.330000000001746</v>
      </c>
    </row>
    <row r="253" spans="1:5" x14ac:dyDescent="0.25">
      <c r="A253" s="1">
        <v>45272</v>
      </c>
      <c r="B253" s="2">
        <v>48919.101999999999</v>
      </c>
      <c r="C253" s="2">
        <f t="shared" si="6"/>
        <v>183.68000000000029</v>
      </c>
      <c r="D253" s="2">
        <v>87103.28</v>
      </c>
      <c r="E253" s="2">
        <f t="shared" si="7"/>
        <v>195.06999999999243</v>
      </c>
    </row>
    <row r="254" spans="1:5" x14ac:dyDescent="0.25">
      <c r="A254" s="1">
        <v>45273</v>
      </c>
      <c r="B254" s="2">
        <v>49387.211000000003</v>
      </c>
      <c r="C254" s="2">
        <f t="shared" si="6"/>
        <v>468.10900000000402</v>
      </c>
      <c r="D254" s="2">
        <v>87453.93</v>
      </c>
      <c r="E254" s="2">
        <f t="shared" si="7"/>
        <v>350.64999999999418</v>
      </c>
    </row>
    <row r="255" spans="1:5" x14ac:dyDescent="0.25">
      <c r="A255" s="1">
        <v>45274</v>
      </c>
      <c r="B255" s="2">
        <v>49635.968999999997</v>
      </c>
      <c r="C255" s="2">
        <f t="shared" si="6"/>
        <v>248.75799999999435</v>
      </c>
      <c r="D255" s="2">
        <v>87382.51</v>
      </c>
      <c r="E255" s="2">
        <f t="shared" si="7"/>
        <v>-71.419999999998254</v>
      </c>
    </row>
    <row r="256" spans="1:5" x14ac:dyDescent="0.25">
      <c r="A256" s="1">
        <v>45275</v>
      </c>
      <c r="B256" s="2">
        <v>49860.59</v>
      </c>
      <c r="C256" s="2">
        <f t="shared" si="6"/>
        <v>224.62099999999919</v>
      </c>
      <c r="D256" s="2">
        <v>87555.33</v>
      </c>
      <c r="E256" s="2">
        <f t="shared" si="7"/>
        <v>172.82000000000698</v>
      </c>
    </row>
    <row r="257" spans="1:5" x14ac:dyDescent="0.25">
      <c r="A257" s="1">
        <v>45278</v>
      </c>
      <c r="B257" s="2">
        <v>49832.898000000001</v>
      </c>
      <c r="C257" s="2">
        <f t="shared" si="6"/>
        <v>-27.69199999999546</v>
      </c>
      <c r="D257" s="2">
        <v>87705.89</v>
      </c>
      <c r="E257" s="2">
        <f t="shared" si="7"/>
        <v>150.55999999999767</v>
      </c>
    </row>
    <row r="258" spans="1:5" x14ac:dyDescent="0.25">
      <c r="A258" s="1">
        <v>45279</v>
      </c>
      <c r="B258" s="2">
        <v>50070.858999999997</v>
      </c>
      <c r="C258" s="2">
        <f t="shared" si="6"/>
        <v>237.96099999999569</v>
      </c>
      <c r="D258" s="2">
        <v>87678.65</v>
      </c>
      <c r="E258" s="2">
        <f t="shared" si="7"/>
        <v>-27.240000000005239</v>
      </c>
    </row>
    <row r="259" spans="1:5" x14ac:dyDescent="0.25">
      <c r="A259" s="1">
        <v>45280</v>
      </c>
      <c r="B259" s="2">
        <v>50357.66</v>
      </c>
      <c r="C259" s="2">
        <f t="shared" ref="C259:C322" si="8">IFERROR(B259-B258,0)</f>
        <v>286.80100000000675</v>
      </c>
      <c r="D259" s="2">
        <v>87806.74</v>
      </c>
      <c r="E259" s="2">
        <f t="shared" ref="E259:E322" si="9">IFERROR(D259-D258,0)</f>
        <v>128.09000000001106</v>
      </c>
    </row>
    <row r="260" spans="1:5" x14ac:dyDescent="0.25">
      <c r="A260" s="1">
        <v>45281</v>
      </c>
      <c r="B260" s="2">
        <v>50380.468999999997</v>
      </c>
      <c r="C260" s="2">
        <f t="shared" si="8"/>
        <v>22.80899999999383</v>
      </c>
      <c r="D260" s="2">
        <v>87757.34</v>
      </c>
      <c r="E260" s="2">
        <f t="shared" si="9"/>
        <v>-49.400000000008731</v>
      </c>
    </row>
    <row r="261" spans="1:5" x14ac:dyDescent="0.25">
      <c r="A261" s="1">
        <v>45282</v>
      </c>
      <c r="B261" s="2">
        <v>50543.851999999999</v>
      </c>
      <c r="C261" s="2">
        <f t="shared" si="8"/>
        <v>163.38300000000163</v>
      </c>
      <c r="D261" s="2">
        <v>87730.29</v>
      </c>
      <c r="E261" s="2">
        <f t="shared" si="9"/>
        <v>-27.05000000000291</v>
      </c>
    </row>
    <row r="262" spans="1:5" x14ac:dyDescent="0.25">
      <c r="A262" s="1">
        <v>45286</v>
      </c>
      <c r="B262" s="2">
        <v>50656.32</v>
      </c>
      <c r="C262" s="2">
        <f t="shared" si="8"/>
        <v>112.46800000000076</v>
      </c>
      <c r="D262" s="2">
        <v>87703.38</v>
      </c>
      <c r="E262" s="2">
        <f t="shared" si="9"/>
        <v>-26.909999999988941</v>
      </c>
    </row>
    <row r="263" spans="1:5" x14ac:dyDescent="0.25">
      <c r="A263" s="1">
        <v>45287</v>
      </c>
      <c r="B263" s="2">
        <v>50868.641000000003</v>
      </c>
      <c r="C263" s="2">
        <f t="shared" si="8"/>
        <v>212.32100000000355</v>
      </c>
      <c r="D263" s="2">
        <v>87698.63</v>
      </c>
      <c r="E263" s="2">
        <f t="shared" si="9"/>
        <v>-4.75</v>
      </c>
    </row>
    <row r="264" spans="1:5" x14ac:dyDescent="0.25">
      <c r="A264" s="1">
        <v>45288</v>
      </c>
      <c r="B264" s="2">
        <v>50586.711000000003</v>
      </c>
      <c r="C264" s="2">
        <f t="shared" si="8"/>
        <v>-281.93000000000029</v>
      </c>
      <c r="D264" s="2">
        <v>87781.95</v>
      </c>
      <c r="E264" s="2">
        <f t="shared" si="9"/>
        <v>83.319999999992433</v>
      </c>
    </row>
    <row r="265" spans="1:5" x14ac:dyDescent="0.25">
      <c r="A265" s="1">
        <v>45293</v>
      </c>
      <c r="B265" s="2">
        <v>50479.25</v>
      </c>
      <c r="C265" s="2">
        <f t="shared" si="8"/>
        <v>-107.46100000000297</v>
      </c>
      <c r="D265" s="2">
        <v>87772.52</v>
      </c>
      <c r="E265" s="2">
        <f t="shared" si="9"/>
        <v>-9.4299999999930151</v>
      </c>
    </row>
    <row r="266" spans="1:5" x14ac:dyDescent="0.25">
      <c r="A266" s="1">
        <v>45294</v>
      </c>
      <c r="B266" s="2">
        <v>50352.690999999999</v>
      </c>
      <c r="C266" s="2">
        <f t="shared" si="8"/>
        <v>-126.55900000000111</v>
      </c>
      <c r="D266" s="2">
        <v>87855.58</v>
      </c>
      <c r="E266" s="2">
        <f t="shared" si="9"/>
        <v>83.059999999997672</v>
      </c>
    </row>
    <row r="267" spans="1:5" x14ac:dyDescent="0.25">
      <c r="A267" s="1">
        <v>45295</v>
      </c>
      <c r="B267" s="2">
        <v>50166.629000000001</v>
      </c>
      <c r="C267" s="2">
        <f t="shared" si="8"/>
        <v>-186.06199999999808</v>
      </c>
      <c r="D267" s="2">
        <v>87807.11</v>
      </c>
      <c r="E267" s="2">
        <f t="shared" si="9"/>
        <v>-48.470000000001164</v>
      </c>
    </row>
    <row r="268" spans="1:5" x14ac:dyDescent="0.25">
      <c r="A268" s="1">
        <v>45296</v>
      </c>
      <c r="B268" s="2">
        <v>50126.43</v>
      </c>
      <c r="C268" s="2">
        <f t="shared" si="8"/>
        <v>-40.199000000000524</v>
      </c>
      <c r="D268" s="2">
        <v>87868.14</v>
      </c>
      <c r="E268" s="2">
        <f t="shared" si="9"/>
        <v>61.029999999998836</v>
      </c>
    </row>
    <row r="269" spans="1:5" x14ac:dyDescent="0.25">
      <c r="A269" s="1">
        <v>45299</v>
      </c>
      <c r="B269" s="2">
        <v>49998.27</v>
      </c>
      <c r="C269" s="2">
        <f t="shared" si="8"/>
        <v>-128.16000000000349</v>
      </c>
      <c r="D269" s="2">
        <v>87819.89</v>
      </c>
      <c r="E269" s="2">
        <f t="shared" si="9"/>
        <v>-48.25</v>
      </c>
    </row>
    <row r="270" spans="1:5" x14ac:dyDescent="0.25">
      <c r="A270" s="1">
        <v>45300</v>
      </c>
      <c r="B270" s="2">
        <v>49933.328000000001</v>
      </c>
      <c r="C270" s="2">
        <f t="shared" si="8"/>
        <v>-64.94199999999546</v>
      </c>
      <c r="D270" s="2">
        <v>87771.9</v>
      </c>
      <c r="E270" s="2">
        <f t="shared" si="9"/>
        <v>-47.990000000005239</v>
      </c>
    </row>
    <row r="271" spans="1:5" x14ac:dyDescent="0.25">
      <c r="A271" s="1">
        <v>45301</v>
      </c>
      <c r="B271" s="2">
        <v>50034.75</v>
      </c>
      <c r="C271" s="2">
        <f t="shared" si="8"/>
        <v>101.42199999999866</v>
      </c>
      <c r="D271" s="2">
        <v>87767.59</v>
      </c>
      <c r="E271" s="2">
        <f t="shared" si="9"/>
        <v>-4.3099999999976717</v>
      </c>
    </row>
    <row r="272" spans="1:5" x14ac:dyDescent="0.25">
      <c r="A272" s="1">
        <v>45302</v>
      </c>
      <c r="B272" s="2">
        <v>50164.629000000001</v>
      </c>
      <c r="C272" s="2">
        <f t="shared" si="8"/>
        <v>129.87900000000081</v>
      </c>
      <c r="D272" s="2">
        <v>87828.47</v>
      </c>
      <c r="E272" s="2">
        <f t="shared" si="9"/>
        <v>60.880000000004657</v>
      </c>
    </row>
    <row r="273" spans="1:5" x14ac:dyDescent="0.25">
      <c r="A273" s="1">
        <v>45303</v>
      </c>
      <c r="B273" s="2">
        <v>50395.839999999997</v>
      </c>
      <c r="C273" s="2">
        <f t="shared" si="8"/>
        <v>231.21099999999569</v>
      </c>
      <c r="D273" s="2">
        <v>87954.4</v>
      </c>
      <c r="E273" s="2">
        <f t="shared" si="9"/>
        <v>125.92999999999302</v>
      </c>
    </row>
    <row r="274" spans="1:5" x14ac:dyDescent="0.25">
      <c r="A274" s="1">
        <v>45306</v>
      </c>
      <c r="B274" s="2">
        <v>50421.949000000001</v>
      </c>
      <c r="C274" s="2">
        <f t="shared" si="8"/>
        <v>26.109000000004016</v>
      </c>
      <c r="D274" s="2">
        <v>87993.36</v>
      </c>
      <c r="E274" s="2">
        <f t="shared" si="9"/>
        <v>38.960000000006403</v>
      </c>
    </row>
    <row r="275" spans="1:5" x14ac:dyDescent="0.25">
      <c r="A275" s="1">
        <v>45307</v>
      </c>
      <c r="B275" s="2">
        <v>49854.358999999997</v>
      </c>
      <c r="C275" s="2">
        <f t="shared" si="8"/>
        <v>-567.59000000000378</v>
      </c>
      <c r="D275" s="2">
        <v>87686.32</v>
      </c>
      <c r="E275" s="2">
        <f t="shared" si="9"/>
        <v>-307.0399999999936</v>
      </c>
    </row>
    <row r="276" spans="1:5" x14ac:dyDescent="0.25">
      <c r="A276" s="1">
        <v>45308</v>
      </c>
      <c r="B276" s="2">
        <v>49696.809000000001</v>
      </c>
      <c r="C276" s="2">
        <f t="shared" si="8"/>
        <v>-157.54999999999563</v>
      </c>
      <c r="D276" s="2">
        <v>87596.41</v>
      </c>
      <c r="E276" s="2">
        <f t="shared" si="9"/>
        <v>-89.910000000003492</v>
      </c>
    </row>
    <row r="277" spans="1:5" x14ac:dyDescent="0.25">
      <c r="A277" s="1">
        <v>45309</v>
      </c>
      <c r="B277" s="2">
        <v>49785.141000000003</v>
      </c>
      <c r="C277" s="2">
        <f t="shared" si="8"/>
        <v>88.332000000002154</v>
      </c>
      <c r="D277" s="2">
        <v>87657.18</v>
      </c>
      <c r="E277" s="2">
        <f t="shared" si="9"/>
        <v>60.769999999989523</v>
      </c>
    </row>
    <row r="278" spans="1:5" x14ac:dyDescent="0.25">
      <c r="A278" s="1">
        <v>45310</v>
      </c>
      <c r="B278" s="2">
        <v>49948.398000000001</v>
      </c>
      <c r="C278" s="2">
        <f t="shared" si="8"/>
        <v>163.25699999999779</v>
      </c>
      <c r="D278" s="2">
        <v>87632.06</v>
      </c>
      <c r="E278" s="2">
        <f t="shared" si="9"/>
        <v>-25.119999999995343</v>
      </c>
    </row>
    <row r="279" spans="1:5" x14ac:dyDescent="0.25">
      <c r="A279" s="1">
        <v>45313</v>
      </c>
      <c r="B279" s="2">
        <v>49703.891000000003</v>
      </c>
      <c r="C279" s="2">
        <f t="shared" si="8"/>
        <v>-244.50699999999779</v>
      </c>
      <c r="D279" s="2">
        <v>87607.07</v>
      </c>
      <c r="E279" s="2">
        <f t="shared" si="9"/>
        <v>-24.989999999990687</v>
      </c>
    </row>
    <row r="280" spans="1:5" x14ac:dyDescent="0.25">
      <c r="A280" s="1">
        <v>45314</v>
      </c>
      <c r="B280" s="2">
        <v>49829.43</v>
      </c>
      <c r="C280" s="2">
        <f t="shared" si="8"/>
        <v>125.53899999999703</v>
      </c>
      <c r="D280" s="2">
        <v>87731.9</v>
      </c>
      <c r="E280" s="2">
        <f t="shared" si="9"/>
        <v>124.82999999998719</v>
      </c>
    </row>
    <row r="281" spans="1:5" x14ac:dyDescent="0.25">
      <c r="A281" s="1">
        <v>45315</v>
      </c>
      <c r="B281" s="2">
        <v>49924.050999999999</v>
      </c>
      <c r="C281" s="2">
        <f t="shared" si="8"/>
        <v>94.620999999999185</v>
      </c>
      <c r="D281" s="2">
        <v>87749.65</v>
      </c>
      <c r="E281" s="2">
        <f t="shared" si="9"/>
        <v>17.75</v>
      </c>
    </row>
    <row r="282" spans="1:5" x14ac:dyDescent="0.25">
      <c r="A282" s="1">
        <v>45316</v>
      </c>
      <c r="B282" s="2">
        <v>50134.288999999997</v>
      </c>
      <c r="C282" s="2">
        <f t="shared" si="8"/>
        <v>210.23799999999756</v>
      </c>
      <c r="D282" s="2">
        <v>87788.75</v>
      </c>
      <c r="E282" s="2">
        <f t="shared" si="9"/>
        <v>39.100000000005821</v>
      </c>
    </row>
    <row r="283" spans="1:5" x14ac:dyDescent="0.25">
      <c r="A283" s="1">
        <v>45317</v>
      </c>
      <c r="B283" s="2">
        <v>50339.031000000003</v>
      </c>
      <c r="C283" s="2">
        <f t="shared" si="8"/>
        <v>204.74200000000565</v>
      </c>
      <c r="D283" s="2">
        <v>87785.16</v>
      </c>
      <c r="E283" s="2">
        <f t="shared" si="9"/>
        <v>-3.5899999999965075</v>
      </c>
    </row>
    <row r="284" spans="1:5" x14ac:dyDescent="0.25">
      <c r="A284" s="1">
        <v>45320</v>
      </c>
      <c r="B284" s="2">
        <v>50142.93</v>
      </c>
      <c r="C284" s="2">
        <f t="shared" si="8"/>
        <v>-196.10100000000239</v>
      </c>
      <c r="D284" s="2">
        <v>87739.08</v>
      </c>
      <c r="E284" s="2">
        <f t="shared" si="9"/>
        <v>-46.080000000001746</v>
      </c>
    </row>
    <row r="285" spans="1:5" x14ac:dyDescent="0.25">
      <c r="A285" s="1">
        <v>45321</v>
      </c>
      <c r="B285" s="2">
        <v>50081.77</v>
      </c>
      <c r="C285" s="2">
        <f t="shared" si="8"/>
        <v>-61.160000000003492</v>
      </c>
      <c r="D285" s="2">
        <v>87714.47</v>
      </c>
      <c r="E285" s="2">
        <f t="shared" si="9"/>
        <v>-24.610000000000582</v>
      </c>
    </row>
    <row r="286" spans="1:5" x14ac:dyDescent="0.25">
      <c r="A286" s="1">
        <v>45322</v>
      </c>
      <c r="B286" s="2">
        <v>50395.641000000003</v>
      </c>
      <c r="C286" s="2">
        <f t="shared" si="8"/>
        <v>313.87100000000646</v>
      </c>
      <c r="D286" s="2">
        <v>87690</v>
      </c>
      <c r="E286" s="2">
        <f t="shared" si="9"/>
        <v>-24.470000000001164</v>
      </c>
    </row>
    <row r="287" spans="1:5" x14ac:dyDescent="0.25">
      <c r="A287" s="1">
        <v>45323</v>
      </c>
      <c r="B287" s="2">
        <v>50569.531000000003</v>
      </c>
      <c r="C287" s="2">
        <f t="shared" si="8"/>
        <v>173.88999999999942</v>
      </c>
      <c r="D287" s="2">
        <v>87707.97</v>
      </c>
      <c r="E287" s="2">
        <f t="shared" si="9"/>
        <v>17.970000000001164</v>
      </c>
    </row>
    <row r="288" spans="1:5" x14ac:dyDescent="0.25">
      <c r="A288" s="1">
        <v>45324</v>
      </c>
      <c r="B288" s="2">
        <v>50225.91</v>
      </c>
      <c r="C288" s="2">
        <f t="shared" si="8"/>
        <v>-343.62099999999919</v>
      </c>
      <c r="D288" s="2">
        <v>87641.5</v>
      </c>
      <c r="E288" s="2">
        <f t="shared" si="9"/>
        <v>-66.470000000001164</v>
      </c>
    </row>
    <row r="289" spans="1:5" x14ac:dyDescent="0.25">
      <c r="A289" s="1">
        <v>45327</v>
      </c>
      <c r="B289" s="2">
        <v>50155.5</v>
      </c>
      <c r="C289" s="2">
        <f t="shared" si="8"/>
        <v>-70.410000000003492</v>
      </c>
      <c r="D289" s="2">
        <v>87554.34</v>
      </c>
      <c r="E289" s="2">
        <f t="shared" si="9"/>
        <v>-87.160000000003492</v>
      </c>
    </row>
    <row r="290" spans="1:5" x14ac:dyDescent="0.25">
      <c r="A290" s="1">
        <v>45328</v>
      </c>
      <c r="B290" s="2">
        <v>50412.77</v>
      </c>
      <c r="C290" s="2">
        <f t="shared" si="8"/>
        <v>257.2699999999968</v>
      </c>
      <c r="D290" s="2">
        <v>87572.59</v>
      </c>
      <c r="E290" s="2">
        <f t="shared" si="9"/>
        <v>18.25</v>
      </c>
    </row>
    <row r="291" spans="1:5" x14ac:dyDescent="0.25">
      <c r="A291" s="1">
        <v>45329</v>
      </c>
      <c r="B291" s="2">
        <v>50420.218999999997</v>
      </c>
      <c r="C291" s="2">
        <f t="shared" si="8"/>
        <v>7.4490000000005239</v>
      </c>
      <c r="D291" s="2">
        <v>87653.79</v>
      </c>
      <c r="E291" s="2">
        <f t="shared" si="9"/>
        <v>81.19999999999709</v>
      </c>
    </row>
    <row r="292" spans="1:5" x14ac:dyDescent="0.25">
      <c r="A292" s="1">
        <v>45330</v>
      </c>
      <c r="B292" s="2">
        <v>50162.671999999999</v>
      </c>
      <c r="C292" s="2">
        <f t="shared" si="8"/>
        <v>-257.54699999999866</v>
      </c>
      <c r="D292" s="2">
        <v>87609.08</v>
      </c>
      <c r="E292" s="2">
        <f t="shared" si="9"/>
        <v>-44.709999999991851</v>
      </c>
    </row>
    <row r="293" spans="1:5" x14ac:dyDescent="0.25">
      <c r="A293" s="1">
        <v>45331</v>
      </c>
      <c r="B293" s="2">
        <v>50160.968999999997</v>
      </c>
      <c r="C293" s="2">
        <f t="shared" si="8"/>
        <v>-1.7030000000013388</v>
      </c>
      <c r="D293" s="2">
        <v>87648.25</v>
      </c>
      <c r="E293" s="2">
        <f t="shared" si="9"/>
        <v>39.169999999998254</v>
      </c>
    </row>
    <row r="294" spans="1:5" x14ac:dyDescent="0.25">
      <c r="A294" s="1">
        <v>45336</v>
      </c>
      <c r="B294" s="2">
        <v>49927.078000000001</v>
      </c>
      <c r="C294" s="2">
        <f t="shared" si="8"/>
        <v>-233.89099999999598</v>
      </c>
      <c r="D294" s="2">
        <v>87624.7</v>
      </c>
      <c r="E294" s="2">
        <f t="shared" si="9"/>
        <v>-23.55000000000291</v>
      </c>
    </row>
    <row r="295" spans="1:5" x14ac:dyDescent="0.25">
      <c r="A295" s="1">
        <v>45337</v>
      </c>
      <c r="B295" s="2">
        <v>49971.891000000003</v>
      </c>
      <c r="C295" s="2">
        <f t="shared" si="8"/>
        <v>44.813000000001921</v>
      </c>
      <c r="D295" s="2">
        <v>87663.85</v>
      </c>
      <c r="E295" s="2">
        <f t="shared" si="9"/>
        <v>39.150000000008731</v>
      </c>
    </row>
    <row r="296" spans="1:5" x14ac:dyDescent="0.25">
      <c r="A296" s="1">
        <v>45338</v>
      </c>
      <c r="B296" s="2">
        <v>49964.218999999997</v>
      </c>
      <c r="C296" s="2">
        <f t="shared" si="8"/>
        <v>-7.6720000000059372</v>
      </c>
      <c r="D296" s="2">
        <v>87661.29</v>
      </c>
      <c r="E296" s="2">
        <f t="shared" si="9"/>
        <v>-2.5600000000122236</v>
      </c>
    </row>
    <row r="297" spans="1:5" x14ac:dyDescent="0.25">
      <c r="A297" s="1">
        <v>45341</v>
      </c>
      <c r="B297" s="2">
        <v>50039.93</v>
      </c>
      <c r="C297" s="2">
        <f t="shared" si="8"/>
        <v>75.711000000002969</v>
      </c>
      <c r="D297" s="2">
        <v>87596.45</v>
      </c>
      <c r="E297" s="2">
        <f t="shared" si="9"/>
        <v>-64.839999999996508</v>
      </c>
    </row>
    <row r="298" spans="1:5" x14ac:dyDescent="0.25">
      <c r="A298" s="1">
        <v>45342</v>
      </c>
      <c r="B298" s="2">
        <v>50214.788999999997</v>
      </c>
      <c r="C298" s="2">
        <f t="shared" si="8"/>
        <v>174.85899999999674</v>
      </c>
      <c r="D298" s="2">
        <v>87594.13</v>
      </c>
      <c r="E298" s="2">
        <f t="shared" si="9"/>
        <v>-2.319999999992433</v>
      </c>
    </row>
    <row r="299" spans="1:5" x14ac:dyDescent="0.25">
      <c r="A299" s="1">
        <v>45343</v>
      </c>
      <c r="B299" s="2">
        <v>50241.09</v>
      </c>
      <c r="C299" s="2">
        <f t="shared" si="8"/>
        <v>26.300999999999476</v>
      </c>
      <c r="D299" s="2">
        <v>87695.45</v>
      </c>
      <c r="E299" s="2">
        <f t="shared" si="9"/>
        <v>101.31999999999243</v>
      </c>
    </row>
    <row r="300" spans="1:5" x14ac:dyDescent="0.25">
      <c r="A300" s="1">
        <v>45344</v>
      </c>
      <c r="B300" s="2">
        <v>50060.190999999999</v>
      </c>
      <c r="C300" s="2">
        <f t="shared" si="8"/>
        <v>-180.89899999999761</v>
      </c>
      <c r="D300" s="2">
        <v>87693.09</v>
      </c>
      <c r="E300" s="2">
        <f t="shared" si="9"/>
        <v>-2.3600000000005821</v>
      </c>
    </row>
    <row r="301" spans="1:5" x14ac:dyDescent="0.25">
      <c r="A301" s="1">
        <v>45345</v>
      </c>
      <c r="B301" s="2">
        <v>50018.690999999999</v>
      </c>
      <c r="C301" s="2">
        <f t="shared" si="8"/>
        <v>-41.5</v>
      </c>
      <c r="D301" s="2">
        <v>87587.57</v>
      </c>
      <c r="E301" s="2">
        <f t="shared" si="9"/>
        <v>-105.51999999998952</v>
      </c>
    </row>
    <row r="302" spans="1:5" x14ac:dyDescent="0.25">
      <c r="A302" s="1">
        <v>45348</v>
      </c>
      <c r="B302" s="2">
        <v>49820.737999999998</v>
      </c>
      <c r="C302" s="2">
        <f t="shared" si="8"/>
        <v>-197.95300000000134</v>
      </c>
      <c r="D302" s="2">
        <v>87400.47</v>
      </c>
      <c r="E302" s="2">
        <f t="shared" si="9"/>
        <v>-187.10000000000582</v>
      </c>
    </row>
    <row r="303" spans="1:5" x14ac:dyDescent="0.25">
      <c r="A303" s="1">
        <v>45349</v>
      </c>
      <c r="B303" s="2">
        <v>50012.879000000001</v>
      </c>
      <c r="C303" s="2">
        <f t="shared" si="8"/>
        <v>192.14100000000326</v>
      </c>
      <c r="D303" s="2">
        <v>87542.44</v>
      </c>
      <c r="E303" s="2">
        <f t="shared" si="9"/>
        <v>141.97000000000116</v>
      </c>
    </row>
    <row r="304" spans="1:5" x14ac:dyDescent="0.25">
      <c r="A304" s="1">
        <v>45350</v>
      </c>
      <c r="B304" s="2">
        <v>49962.398000000001</v>
      </c>
      <c r="C304" s="2">
        <f t="shared" si="8"/>
        <v>-50.480999999999767</v>
      </c>
      <c r="D304" s="2">
        <v>87479.1</v>
      </c>
      <c r="E304" s="2">
        <f t="shared" si="9"/>
        <v>-63.339999999996508</v>
      </c>
    </row>
    <row r="305" spans="1:5" x14ac:dyDescent="0.25">
      <c r="A305" s="1">
        <v>45351</v>
      </c>
      <c r="B305" s="2">
        <v>50219.66</v>
      </c>
      <c r="C305" s="2">
        <f t="shared" si="8"/>
        <v>257.26200000000244</v>
      </c>
      <c r="D305" s="2">
        <v>87538.82</v>
      </c>
      <c r="E305" s="2">
        <f t="shared" si="9"/>
        <v>59.720000000001164</v>
      </c>
    </row>
    <row r="306" spans="1:5" x14ac:dyDescent="0.25">
      <c r="A306" s="1">
        <v>45352</v>
      </c>
      <c r="B306" s="2">
        <v>50354.18</v>
      </c>
      <c r="C306" s="2">
        <f t="shared" si="8"/>
        <v>134.5199999999968</v>
      </c>
      <c r="D306" s="2">
        <v>87516.68</v>
      </c>
      <c r="E306" s="2">
        <f t="shared" si="9"/>
        <v>-22.14000000001397</v>
      </c>
    </row>
    <row r="307" spans="1:5" x14ac:dyDescent="0.25">
      <c r="A307" s="1">
        <v>45355</v>
      </c>
      <c r="B307" s="2">
        <v>50426.98</v>
      </c>
      <c r="C307" s="2">
        <f t="shared" si="8"/>
        <v>72.80000000000291</v>
      </c>
      <c r="D307" s="2">
        <v>87535.47</v>
      </c>
      <c r="E307" s="2">
        <f t="shared" si="9"/>
        <v>18.790000000008149</v>
      </c>
    </row>
    <row r="308" spans="1:5" x14ac:dyDescent="0.25">
      <c r="A308" s="1">
        <v>45356</v>
      </c>
      <c r="B308" s="2">
        <v>50630.237999999998</v>
      </c>
      <c r="C308" s="2">
        <f t="shared" si="8"/>
        <v>203.25799999999435</v>
      </c>
      <c r="D308" s="2">
        <v>87595.03</v>
      </c>
      <c r="E308" s="2">
        <f t="shared" si="9"/>
        <v>59.559999999997672</v>
      </c>
    </row>
    <row r="309" spans="1:5" x14ac:dyDescent="0.25">
      <c r="A309" s="1">
        <v>45357</v>
      </c>
      <c r="B309" s="2">
        <v>50637.949000000001</v>
      </c>
      <c r="C309" s="2">
        <f t="shared" si="8"/>
        <v>7.7110000000029686</v>
      </c>
      <c r="D309" s="2">
        <v>87654.5</v>
      </c>
      <c r="E309" s="2">
        <f t="shared" si="9"/>
        <v>59.470000000001164</v>
      </c>
    </row>
    <row r="310" spans="1:5" x14ac:dyDescent="0.25">
      <c r="A310" s="1">
        <v>45358</v>
      </c>
      <c r="B310" s="2">
        <v>50546.370999999999</v>
      </c>
      <c r="C310" s="2">
        <f t="shared" si="8"/>
        <v>-91.578000000001339</v>
      </c>
      <c r="D310" s="2">
        <v>87652.85</v>
      </c>
      <c r="E310" s="2">
        <f t="shared" si="9"/>
        <v>-1.6499999999941792</v>
      </c>
    </row>
    <row r="311" spans="1:5" x14ac:dyDescent="0.25">
      <c r="A311" s="1">
        <v>45359</v>
      </c>
      <c r="B311" s="2">
        <v>50233.101999999999</v>
      </c>
      <c r="C311" s="2">
        <f t="shared" si="8"/>
        <v>-313.26900000000023</v>
      </c>
      <c r="D311" s="2">
        <v>87590.399999999994</v>
      </c>
      <c r="E311" s="2">
        <f t="shared" si="9"/>
        <v>-62.450000000011642</v>
      </c>
    </row>
    <row r="312" spans="1:5" x14ac:dyDescent="0.25">
      <c r="A312" s="1">
        <v>45362</v>
      </c>
      <c r="B312" s="2">
        <v>50388.870999999999</v>
      </c>
      <c r="C312" s="2">
        <f t="shared" si="8"/>
        <v>155.76900000000023</v>
      </c>
      <c r="D312" s="2">
        <v>87588.99</v>
      </c>
      <c r="E312" s="2">
        <f t="shared" si="9"/>
        <v>-1.4099999999889405</v>
      </c>
    </row>
    <row r="313" spans="1:5" x14ac:dyDescent="0.25">
      <c r="A313" s="1">
        <v>45363</v>
      </c>
      <c r="B313" s="2">
        <v>50387.519999999997</v>
      </c>
      <c r="C313" s="2">
        <f t="shared" si="8"/>
        <v>-1.3510000000023865</v>
      </c>
      <c r="D313" s="2">
        <v>87709.04</v>
      </c>
      <c r="E313" s="2">
        <f t="shared" si="9"/>
        <v>120.04999999998836</v>
      </c>
    </row>
    <row r="314" spans="1:5" x14ac:dyDescent="0.25">
      <c r="A314" s="1">
        <v>45364</v>
      </c>
      <c r="B314" s="2">
        <v>50432.440999999999</v>
      </c>
      <c r="C314" s="2">
        <f t="shared" si="8"/>
        <v>44.921000000002095</v>
      </c>
      <c r="D314" s="2">
        <v>87667.14</v>
      </c>
      <c r="E314" s="2">
        <f t="shared" si="9"/>
        <v>-41.899999999994179</v>
      </c>
    </row>
    <row r="315" spans="1:5" x14ac:dyDescent="0.25">
      <c r="A315" s="1">
        <v>45365</v>
      </c>
      <c r="B315" s="2">
        <v>50072.02</v>
      </c>
      <c r="C315" s="2">
        <f t="shared" si="8"/>
        <v>-360.4210000000021</v>
      </c>
      <c r="D315" s="2">
        <v>87524.78</v>
      </c>
      <c r="E315" s="2">
        <f t="shared" si="9"/>
        <v>-142.36000000000058</v>
      </c>
    </row>
    <row r="316" spans="1:5" x14ac:dyDescent="0.25">
      <c r="A316" s="1">
        <v>45366</v>
      </c>
      <c r="B316" s="2">
        <v>49787.809000000001</v>
      </c>
      <c r="C316" s="2">
        <f t="shared" si="8"/>
        <v>-284.21099999999569</v>
      </c>
      <c r="D316" s="2">
        <v>87363.27</v>
      </c>
      <c r="E316" s="2">
        <f t="shared" si="9"/>
        <v>-161.50999999999476</v>
      </c>
    </row>
    <row r="317" spans="1:5" x14ac:dyDescent="0.25">
      <c r="A317" s="1">
        <v>45369</v>
      </c>
      <c r="B317" s="2">
        <v>49671.879000000001</v>
      </c>
      <c r="C317" s="2">
        <f t="shared" si="8"/>
        <v>-115.93000000000029</v>
      </c>
      <c r="D317" s="2">
        <v>87342.59</v>
      </c>
      <c r="E317" s="2">
        <f t="shared" si="9"/>
        <v>-20.680000000007567</v>
      </c>
    </row>
    <row r="318" spans="1:5" x14ac:dyDescent="0.25">
      <c r="A318" s="1">
        <v>45370</v>
      </c>
      <c r="B318" s="2">
        <v>49892.358999999997</v>
      </c>
      <c r="C318" s="2">
        <f t="shared" si="8"/>
        <v>220.47999999999593</v>
      </c>
      <c r="D318" s="2">
        <v>87441.88</v>
      </c>
      <c r="E318" s="2">
        <f t="shared" si="9"/>
        <v>99.290000000008149</v>
      </c>
    </row>
    <row r="319" spans="1:5" x14ac:dyDescent="0.25">
      <c r="A319" s="1">
        <v>45371</v>
      </c>
      <c r="B319" s="2">
        <v>50101.487999999998</v>
      </c>
      <c r="C319" s="2">
        <f t="shared" si="8"/>
        <v>209.12900000000081</v>
      </c>
      <c r="D319" s="2">
        <v>87601.04</v>
      </c>
      <c r="E319" s="2">
        <f t="shared" si="9"/>
        <v>159.15999999998894</v>
      </c>
    </row>
    <row r="320" spans="1:5" x14ac:dyDescent="0.25">
      <c r="A320" s="1">
        <v>45372</v>
      </c>
      <c r="B320" s="2">
        <v>50012.199000000001</v>
      </c>
      <c r="C320" s="2">
        <f t="shared" si="8"/>
        <v>-89.288999999997031</v>
      </c>
      <c r="D320" s="2">
        <v>87520.31</v>
      </c>
      <c r="E320" s="2">
        <f t="shared" si="9"/>
        <v>-80.729999999995925</v>
      </c>
    </row>
    <row r="321" spans="1:5" x14ac:dyDescent="0.25">
      <c r="A321" s="1">
        <v>45373</v>
      </c>
      <c r="B321" s="2">
        <v>49880.762000000002</v>
      </c>
      <c r="C321" s="2">
        <f t="shared" si="8"/>
        <v>-131.43699999999808</v>
      </c>
      <c r="D321" s="2">
        <v>87539.53</v>
      </c>
      <c r="E321" s="2">
        <f t="shared" si="9"/>
        <v>19.220000000001164</v>
      </c>
    </row>
    <row r="322" spans="1:5" x14ac:dyDescent="0.25">
      <c r="A322" s="1">
        <v>45376</v>
      </c>
      <c r="B322" s="2">
        <v>50089.52</v>
      </c>
      <c r="C322" s="2">
        <f t="shared" si="8"/>
        <v>208.75799999999435</v>
      </c>
      <c r="D322" s="2">
        <v>87598.55</v>
      </c>
      <c r="E322" s="2">
        <f t="shared" si="9"/>
        <v>59.020000000004075</v>
      </c>
    </row>
    <row r="323" spans="1:5" x14ac:dyDescent="0.25">
      <c r="A323" s="1">
        <v>45377</v>
      </c>
      <c r="B323" s="2">
        <v>49982.288999999997</v>
      </c>
      <c r="C323" s="2">
        <f t="shared" ref="C323:C386" si="10">IFERROR(B323-B322,0)</f>
        <v>-107.23099999999977</v>
      </c>
      <c r="D323" s="2">
        <v>87637.6</v>
      </c>
      <c r="E323" s="2">
        <f t="shared" ref="E323:E386" si="11">IFERROR(D323-D322,0)</f>
        <v>39.05000000000291</v>
      </c>
    </row>
    <row r="324" spans="1:5" x14ac:dyDescent="0.25">
      <c r="A324" s="1">
        <v>45378</v>
      </c>
      <c r="B324" s="2">
        <v>49902.73</v>
      </c>
      <c r="C324" s="2">
        <f t="shared" si="10"/>
        <v>-79.55899999999383</v>
      </c>
      <c r="D324" s="2">
        <v>87795.86</v>
      </c>
      <c r="E324" s="2">
        <f t="shared" si="11"/>
        <v>158.25999999999476</v>
      </c>
    </row>
    <row r="325" spans="1:5" x14ac:dyDescent="0.25">
      <c r="A325" s="1">
        <v>45379</v>
      </c>
      <c r="B325" s="2">
        <v>49865.73</v>
      </c>
      <c r="C325" s="2">
        <f t="shared" si="10"/>
        <v>-37</v>
      </c>
      <c r="D325" s="2">
        <v>87834.68</v>
      </c>
      <c r="E325" s="2">
        <f t="shared" si="11"/>
        <v>38.819999999992433</v>
      </c>
    </row>
    <row r="326" spans="1:5" x14ac:dyDescent="0.25">
      <c r="A326" s="1">
        <v>45383</v>
      </c>
      <c r="B326" s="2">
        <v>49567.078000000001</v>
      </c>
      <c r="C326" s="2">
        <f t="shared" si="10"/>
        <v>-298.65200000000186</v>
      </c>
      <c r="D326" s="2">
        <v>87853.61</v>
      </c>
      <c r="E326" s="2">
        <f t="shared" si="11"/>
        <v>18.930000000007567</v>
      </c>
    </row>
    <row r="327" spans="1:5" x14ac:dyDescent="0.25">
      <c r="A327" s="1">
        <v>45384</v>
      </c>
      <c r="B327" s="2">
        <v>49381.18</v>
      </c>
      <c r="C327" s="2">
        <f t="shared" si="10"/>
        <v>-185.89800000000105</v>
      </c>
      <c r="D327" s="2">
        <v>87793.33</v>
      </c>
      <c r="E327" s="2">
        <f t="shared" si="11"/>
        <v>-60.279999999998836</v>
      </c>
    </row>
    <row r="328" spans="1:5" x14ac:dyDescent="0.25">
      <c r="A328" s="1">
        <v>45385</v>
      </c>
      <c r="B328" s="2">
        <v>49303.41</v>
      </c>
      <c r="C328" s="2">
        <f t="shared" si="10"/>
        <v>-77.769999999996799</v>
      </c>
      <c r="D328" s="2">
        <v>87812.38</v>
      </c>
      <c r="E328" s="2">
        <f t="shared" si="11"/>
        <v>19.05000000000291</v>
      </c>
    </row>
    <row r="329" spans="1:5" x14ac:dyDescent="0.25">
      <c r="A329" s="1">
        <v>45386</v>
      </c>
      <c r="B329" s="2">
        <v>49300.218999999997</v>
      </c>
      <c r="C329" s="2">
        <f t="shared" si="10"/>
        <v>-3.19100000000617</v>
      </c>
      <c r="D329" s="2">
        <v>87910.42</v>
      </c>
      <c r="E329" s="2">
        <f t="shared" si="11"/>
        <v>98.039999999993597</v>
      </c>
    </row>
    <row r="330" spans="1:5" x14ac:dyDescent="0.25">
      <c r="A330" s="1">
        <v>45387</v>
      </c>
      <c r="B330" s="2">
        <v>49033.27</v>
      </c>
      <c r="C330" s="2">
        <f t="shared" si="10"/>
        <v>-266.94900000000052</v>
      </c>
      <c r="D330" s="2">
        <v>87929.36</v>
      </c>
      <c r="E330" s="2">
        <f t="shared" si="11"/>
        <v>18.940000000002328</v>
      </c>
    </row>
    <row r="331" spans="1:5" x14ac:dyDescent="0.25">
      <c r="A331" s="1">
        <v>45390</v>
      </c>
      <c r="B331" s="2">
        <v>49151.57</v>
      </c>
      <c r="C331" s="2">
        <f t="shared" si="10"/>
        <v>118.30000000000291</v>
      </c>
      <c r="D331" s="2">
        <v>87849.88</v>
      </c>
      <c r="E331" s="2">
        <f t="shared" si="11"/>
        <v>-79.479999999995925</v>
      </c>
    </row>
    <row r="332" spans="1:5" x14ac:dyDescent="0.25">
      <c r="A332" s="1">
        <v>45391</v>
      </c>
      <c r="B332" s="2">
        <v>49353.23</v>
      </c>
      <c r="C332" s="2">
        <f t="shared" si="10"/>
        <v>201.66000000000349</v>
      </c>
      <c r="D332" s="2">
        <v>87908.28</v>
      </c>
      <c r="E332" s="2">
        <f t="shared" si="11"/>
        <v>58.399999999994179</v>
      </c>
    </row>
    <row r="333" spans="1:5" x14ac:dyDescent="0.25">
      <c r="A333" s="1">
        <v>45392</v>
      </c>
      <c r="B333" s="2">
        <v>48868.57</v>
      </c>
      <c r="C333" s="2">
        <f t="shared" si="10"/>
        <v>-484.66000000000349</v>
      </c>
      <c r="D333" s="2">
        <v>87614.12</v>
      </c>
      <c r="E333" s="2">
        <f t="shared" si="11"/>
        <v>-294.16000000000349</v>
      </c>
    </row>
    <row r="334" spans="1:5" x14ac:dyDescent="0.25">
      <c r="A334" s="1">
        <v>45393</v>
      </c>
      <c r="B334" s="2">
        <v>48748.578000000001</v>
      </c>
      <c r="C334" s="2">
        <f t="shared" si="10"/>
        <v>-119.99199999999837</v>
      </c>
      <c r="D334" s="2">
        <v>87536.22</v>
      </c>
      <c r="E334" s="2">
        <f t="shared" si="11"/>
        <v>-77.899999999994179</v>
      </c>
    </row>
    <row r="335" spans="1:5" x14ac:dyDescent="0.25">
      <c r="A335" s="1">
        <v>45394</v>
      </c>
      <c r="B335" s="2">
        <v>48661.211000000003</v>
      </c>
      <c r="C335" s="2">
        <f t="shared" si="10"/>
        <v>-87.36699999999837</v>
      </c>
      <c r="D335" s="2">
        <v>87575.31</v>
      </c>
      <c r="E335" s="2">
        <f t="shared" si="11"/>
        <v>39.089999999996508</v>
      </c>
    </row>
    <row r="336" spans="1:5" x14ac:dyDescent="0.25">
      <c r="A336" s="1">
        <v>45397</v>
      </c>
      <c r="B336" s="2">
        <v>48093.578000000001</v>
      </c>
      <c r="C336" s="2">
        <f t="shared" si="10"/>
        <v>-567.63300000000163</v>
      </c>
      <c r="D336" s="2">
        <v>87478.56</v>
      </c>
      <c r="E336" s="2">
        <f t="shared" si="11"/>
        <v>-96.75</v>
      </c>
    </row>
    <row r="337" spans="1:5" x14ac:dyDescent="0.25">
      <c r="A337" s="1">
        <v>45398</v>
      </c>
      <c r="B337" s="2">
        <v>47372.858999999997</v>
      </c>
      <c r="C337" s="2">
        <f t="shared" si="10"/>
        <v>-720.7190000000046</v>
      </c>
      <c r="D337" s="2">
        <v>87074.14</v>
      </c>
      <c r="E337" s="2">
        <f t="shared" si="11"/>
        <v>-404.41999999999825</v>
      </c>
    </row>
    <row r="338" spans="1:5" x14ac:dyDescent="0.25">
      <c r="A338" s="1">
        <v>45399</v>
      </c>
      <c r="B338" s="2">
        <v>47885.828000000001</v>
      </c>
      <c r="C338" s="2">
        <f t="shared" si="10"/>
        <v>512.9690000000046</v>
      </c>
      <c r="D338" s="2">
        <v>86750.16</v>
      </c>
      <c r="E338" s="2">
        <f t="shared" si="11"/>
        <v>-323.97999999999593</v>
      </c>
    </row>
    <row r="339" spans="1:5" x14ac:dyDescent="0.25">
      <c r="A339" s="1">
        <v>45400</v>
      </c>
      <c r="B339" s="2">
        <v>48193.800999999999</v>
      </c>
      <c r="C339" s="2">
        <f t="shared" si="10"/>
        <v>307.97299999999814</v>
      </c>
      <c r="D339" s="2">
        <v>86885.51</v>
      </c>
      <c r="E339" s="2">
        <f t="shared" si="11"/>
        <v>135.34999999999127</v>
      </c>
    </row>
    <row r="340" spans="1:5" x14ac:dyDescent="0.25">
      <c r="A340" s="1">
        <v>45401</v>
      </c>
      <c r="B340" s="2">
        <v>48564.578000000001</v>
      </c>
      <c r="C340" s="2">
        <f t="shared" si="10"/>
        <v>370.77700000000186</v>
      </c>
      <c r="D340" s="2">
        <v>87020.76</v>
      </c>
      <c r="E340" s="2">
        <f t="shared" si="11"/>
        <v>135.25</v>
      </c>
    </row>
    <row r="341" spans="1:5" x14ac:dyDescent="0.25">
      <c r="A341" s="1">
        <v>45404</v>
      </c>
      <c r="B341" s="2">
        <v>48533.262000000002</v>
      </c>
      <c r="C341" s="2">
        <f t="shared" si="10"/>
        <v>-31.315999999998894</v>
      </c>
      <c r="D341" s="2">
        <v>87155.88</v>
      </c>
      <c r="E341" s="2">
        <f t="shared" si="11"/>
        <v>135.1200000000099</v>
      </c>
    </row>
    <row r="342" spans="1:5" x14ac:dyDescent="0.25">
      <c r="A342" s="1">
        <v>45405</v>
      </c>
      <c r="B342" s="2">
        <v>48545.48</v>
      </c>
      <c r="C342" s="2">
        <f t="shared" si="10"/>
        <v>12.218000000000757</v>
      </c>
      <c r="D342" s="2">
        <v>87119.13</v>
      </c>
      <c r="E342" s="2">
        <f t="shared" si="11"/>
        <v>-36.75</v>
      </c>
    </row>
    <row r="343" spans="1:5" x14ac:dyDescent="0.25">
      <c r="A343" s="1">
        <v>45406</v>
      </c>
      <c r="B343" s="2">
        <v>48260.370999999999</v>
      </c>
      <c r="C343" s="2">
        <f t="shared" si="10"/>
        <v>-285.10900000000402</v>
      </c>
      <c r="D343" s="2">
        <v>87063.6</v>
      </c>
      <c r="E343" s="2">
        <f t="shared" si="11"/>
        <v>-55.529999999998836</v>
      </c>
    </row>
    <row r="344" spans="1:5" x14ac:dyDescent="0.25">
      <c r="A344" s="1">
        <v>45407</v>
      </c>
      <c r="B344" s="2">
        <v>48017.57</v>
      </c>
      <c r="C344" s="2">
        <f t="shared" si="10"/>
        <v>-242.80099999999948</v>
      </c>
      <c r="D344" s="2">
        <v>87103.24</v>
      </c>
      <c r="E344" s="2">
        <f t="shared" si="11"/>
        <v>39.639999999999418</v>
      </c>
    </row>
    <row r="345" spans="1:5" x14ac:dyDescent="0.25">
      <c r="A345" s="1">
        <v>45408</v>
      </c>
      <c r="B345" s="2">
        <v>48262.101999999999</v>
      </c>
      <c r="C345" s="2">
        <f t="shared" si="10"/>
        <v>244.53199999999924</v>
      </c>
      <c r="D345" s="2">
        <v>87313.72</v>
      </c>
      <c r="E345" s="2">
        <f t="shared" si="11"/>
        <v>210.47999999999593</v>
      </c>
    </row>
    <row r="346" spans="1:5" x14ac:dyDescent="0.25">
      <c r="A346" s="1">
        <v>45411</v>
      </c>
      <c r="B346" s="2">
        <v>48360.737999999998</v>
      </c>
      <c r="C346" s="2">
        <f t="shared" si="10"/>
        <v>98.635999999998603</v>
      </c>
      <c r="D346" s="2">
        <v>87391.06</v>
      </c>
      <c r="E346" s="2">
        <f t="shared" si="11"/>
        <v>77.339999999996508</v>
      </c>
    </row>
    <row r="347" spans="1:5" x14ac:dyDescent="0.25">
      <c r="A347" s="1">
        <v>45412</v>
      </c>
      <c r="B347" s="2">
        <v>47807.351999999999</v>
      </c>
      <c r="C347" s="2">
        <f t="shared" si="10"/>
        <v>-553.3859999999986</v>
      </c>
      <c r="D347" s="2">
        <v>87127.360000000001</v>
      </c>
      <c r="E347" s="2">
        <f t="shared" si="11"/>
        <v>-263.69999999999709</v>
      </c>
    </row>
    <row r="348" spans="1:5" x14ac:dyDescent="0.25">
      <c r="A348" s="1">
        <v>45414</v>
      </c>
      <c r="B348" s="2">
        <v>48552.620999999999</v>
      </c>
      <c r="C348" s="2">
        <f t="shared" si="10"/>
        <v>745.26900000000023</v>
      </c>
      <c r="D348" s="2">
        <v>87261.32</v>
      </c>
      <c r="E348" s="2">
        <f t="shared" si="11"/>
        <v>133.9600000000064</v>
      </c>
    </row>
    <row r="349" spans="1:5" x14ac:dyDescent="0.25">
      <c r="A349" s="1">
        <v>45415</v>
      </c>
      <c r="B349" s="2">
        <v>48965.120999999999</v>
      </c>
      <c r="C349" s="2">
        <f t="shared" si="10"/>
        <v>412.5</v>
      </c>
      <c r="D349" s="2">
        <v>87376.27</v>
      </c>
      <c r="E349" s="2">
        <f t="shared" si="11"/>
        <v>114.94999999999709</v>
      </c>
    </row>
    <row r="350" spans="1:5" x14ac:dyDescent="0.25">
      <c r="A350" s="1">
        <v>45418</v>
      </c>
      <c r="B350" s="2">
        <v>48785.550999999999</v>
      </c>
      <c r="C350" s="2">
        <f t="shared" si="10"/>
        <v>-179.56999999999971</v>
      </c>
      <c r="D350" s="2">
        <v>87283.57</v>
      </c>
      <c r="E350" s="2">
        <f t="shared" si="11"/>
        <v>-92.69999999999709</v>
      </c>
    </row>
    <row r="351" spans="1:5" x14ac:dyDescent="0.25">
      <c r="A351" s="1">
        <v>45419</v>
      </c>
      <c r="B351" s="2">
        <v>48911.012000000002</v>
      </c>
      <c r="C351" s="2">
        <f t="shared" si="10"/>
        <v>125.46100000000297</v>
      </c>
      <c r="D351" s="2">
        <v>87341.77</v>
      </c>
      <c r="E351" s="2">
        <f t="shared" si="11"/>
        <v>58.19999999999709</v>
      </c>
    </row>
    <row r="352" spans="1:5" x14ac:dyDescent="0.25">
      <c r="A352" s="1">
        <v>45420</v>
      </c>
      <c r="B352" s="2">
        <v>48639.550999999999</v>
      </c>
      <c r="C352" s="2">
        <f t="shared" si="10"/>
        <v>-271.46100000000297</v>
      </c>
      <c r="D352" s="2">
        <v>87381.08</v>
      </c>
      <c r="E352" s="2">
        <f t="shared" si="11"/>
        <v>39.309999999997672</v>
      </c>
    </row>
    <row r="353" spans="1:5" x14ac:dyDescent="0.25">
      <c r="A353" s="1">
        <v>45421</v>
      </c>
      <c r="B353" s="2">
        <v>48201.512000000002</v>
      </c>
      <c r="C353" s="2">
        <f t="shared" si="10"/>
        <v>-438.03899999999703</v>
      </c>
      <c r="D353" s="2">
        <v>87627.19</v>
      </c>
      <c r="E353" s="2">
        <f t="shared" si="11"/>
        <v>246.11000000000058</v>
      </c>
    </row>
    <row r="354" spans="1:5" x14ac:dyDescent="0.25">
      <c r="A354" s="1">
        <v>45422</v>
      </c>
      <c r="B354" s="2">
        <v>48017.711000000003</v>
      </c>
      <c r="C354" s="2">
        <f t="shared" si="10"/>
        <v>-183.80099999999948</v>
      </c>
      <c r="D354" s="2">
        <v>87590.96</v>
      </c>
      <c r="E354" s="2">
        <f t="shared" si="11"/>
        <v>-36.229999999995925</v>
      </c>
    </row>
    <row r="355" spans="1:5" x14ac:dyDescent="0.25">
      <c r="A355" s="1">
        <v>45425</v>
      </c>
      <c r="B355" s="2">
        <v>48084.309000000001</v>
      </c>
      <c r="C355" s="2">
        <f t="shared" si="10"/>
        <v>66.597999999998137</v>
      </c>
      <c r="D355" s="2">
        <v>87498.75</v>
      </c>
      <c r="E355" s="2">
        <f t="shared" si="11"/>
        <v>-92.210000000006403</v>
      </c>
    </row>
    <row r="356" spans="1:5" x14ac:dyDescent="0.25">
      <c r="A356" s="1">
        <v>45426</v>
      </c>
      <c r="B356" s="2">
        <v>48447.839999999997</v>
      </c>
      <c r="C356" s="2">
        <f t="shared" si="10"/>
        <v>363.5309999999954</v>
      </c>
      <c r="D356" s="2">
        <v>87519.19</v>
      </c>
      <c r="E356" s="2">
        <f t="shared" si="11"/>
        <v>20.440000000002328</v>
      </c>
    </row>
    <row r="357" spans="1:5" x14ac:dyDescent="0.25">
      <c r="A357" s="1">
        <v>45427</v>
      </c>
      <c r="B357" s="2">
        <v>48646.91</v>
      </c>
      <c r="C357" s="2">
        <f t="shared" si="10"/>
        <v>199.07000000000698</v>
      </c>
      <c r="D357" s="2">
        <v>87558.29</v>
      </c>
      <c r="E357" s="2">
        <f t="shared" si="11"/>
        <v>39.099999999991269</v>
      </c>
    </row>
    <row r="358" spans="1:5" x14ac:dyDescent="0.25">
      <c r="A358" s="1">
        <v>45428</v>
      </c>
      <c r="B358" s="2">
        <v>48558.858999999997</v>
      </c>
      <c r="C358" s="2">
        <f t="shared" si="10"/>
        <v>-88.051000000006752</v>
      </c>
      <c r="D358" s="2">
        <v>87709.37</v>
      </c>
      <c r="E358" s="2">
        <f t="shared" si="11"/>
        <v>151.08000000000175</v>
      </c>
    </row>
    <row r="359" spans="1:5" x14ac:dyDescent="0.25">
      <c r="A359" s="1">
        <v>45429</v>
      </c>
      <c r="B359" s="2">
        <v>48228.699000000001</v>
      </c>
      <c r="C359" s="2">
        <f t="shared" si="10"/>
        <v>-330.15999999999622</v>
      </c>
      <c r="D359" s="2">
        <v>87710.93</v>
      </c>
      <c r="E359" s="2">
        <f t="shared" si="11"/>
        <v>1.5599999999976717</v>
      </c>
    </row>
    <row r="360" spans="1:5" x14ac:dyDescent="0.25">
      <c r="A360" s="1">
        <v>45432</v>
      </c>
      <c r="B360" s="2">
        <v>48116.461000000003</v>
      </c>
      <c r="C360" s="2">
        <f t="shared" si="10"/>
        <v>-112.23799999999756</v>
      </c>
      <c r="D360" s="2">
        <v>87693.95</v>
      </c>
      <c r="E360" s="2">
        <f t="shared" si="11"/>
        <v>-16.979999999995925</v>
      </c>
    </row>
    <row r="361" spans="1:5" x14ac:dyDescent="0.25">
      <c r="A361" s="1">
        <v>45433</v>
      </c>
      <c r="B361" s="2">
        <v>48302.379000000001</v>
      </c>
      <c r="C361" s="2">
        <f t="shared" si="10"/>
        <v>185.91799999999785</v>
      </c>
      <c r="D361" s="2">
        <v>87677.1</v>
      </c>
      <c r="E361" s="2">
        <f t="shared" si="11"/>
        <v>-16.849999999991269</v>
      </c>
    </row>
    <row r="362" spans="1:5" x14ac:dyDescent="0.25">
      <c r="A362" s="1">
        <v>45434</v>
      </c>
      <c r="B362" s="2">
        <v>47944.108999999997</v>
      </c>
      <c r="C362" s="2">
        <f t="shared" si="10"/>
        <v>-358.27000000000407</v>
      </c>
      <c r="D362" s="2">
        <v>87697.48</v>
      </c>
      <c r="E362" s="2">
        <f t="shared" si="11"/>
        <v>20.379999999990105</v>
      </c>
    </row>
    <row r="363" spans="1:5" x14ac:dyDescent="0.25">
      <c r="A363" s="1">
        <v>45435</v>
      </c>
      <c r="B363" s="2">
        <v>48253.879000000001</v>
      </c>
      <c r="C363" s="2">
        <f t="shared" si="10"/>
        <v>309.77000000000407</v>
      </c>
      <c r="D363" s="2">
        <v>87643.839999999997</v>
      </c>
      <c r="E363" s="2">
        <f t="shared" si="11"/>
        <v>-53.639999999999418</v>
      </c>
    </row>
    <row r="364" spans="1:5" x14ac:dyDescent="0.25">
      <c r="A364" s="1">
        <v>45436</v>
      </c>
      <c r="B364" s="2">
        <v>48215.57</v>
      </c>
      <c r="C364" s="2">
        <f t="shared" si="10"/>
        <v>-38.309000000001106</v>
      </c>
      <c r="D364" s="2">
        <v>87590.52</v>
      </c>
      <c r="E364" s="2">
        <f t="shared" si="11"/>
        <v>-53.319999999992433</v>
      </c>
    </row>
    <row r="365" spans="1:5" x14ac:dyDescent="0.25">
      <c r="A365" s="1">
        <v>45439</v>
      </c>
      <c r="B365" s="2">
        <v>48464.101999999999</v>
      </c>
      <c r="C365" s="2">
        <f t="shared" si="10"/>
        <v>248.53199999999924</v>
      </c>
      <c r="D365" s="2">
        <v>87647.98</v>
      </c>
      <c r="E365" s="2">
        <f t="shared" si="11"/>
        <v>57.459999999991851</v>
      </c>
    </row>
    <row r="366" spans="1:5" x14ac:dyDescent="0.25">
      <c r="A366" s="1">
        <v>45440</v>
      </c>
      <c r="B366" s="2">
        <v>48351.68</v>
      </c>
      <c r="C366" s="2">
        <f t="shared" si="10"/>
        <v>-112.42199999999866</v>
      </c>
      <c r="D366" s="2">
        <v>87705.35</v>
      </c>
      <c r="E366" s="2">
        <f t="shared" si="11"/>
        <v>57.370000000009895</v>
      </c>
    </row>
    <row r="367" spans="1:5" x14ac:dyDescent="0.25">
      <c r="A367" s="1">
        <v>45441</v>
      </c>
      <c r="B367" s="2">
        <v>47739.09</v>
      </c>
      <c r="C367" s="2">
        <f t="shared" si="10"/>
        <v>-612.59000000000378</v>
      </c>
      <c r="D367" s="2">
        <v>87579</v>
      </c>
      <c r="E367" s="2">
        <f t="shared" si="11"/>
        <v>-126.35000000000582</v>
      </c>
    </row>
    <row r="368" spans="1:5" x14ac:dyDescent="0.25">
      <c r="A368" s="1">
        <v>45443</v>
      </c>
      <c r="B368" s="2">
        <v>48077.538999999997</v>
      </c>
      <c r="C368" s="2">
        <f t="shared" si="10"/>
        <v>338.44900000000052</v>
      </c>
      <c r="D368" s="2">
        <v>87673.02</v>
      </c>
      <c r="E368" s="2">
        <f t="shared" si="11"/>
        <v>94.020000000004075</v>
      </c>
    </row>
    <row r="369" spans="1:5" x14ac:dyDescent="0.25">
      <c r="A369" s="1">
        <v>45446</v>
      </c>
      <c r="B369" s="2">
        <v>48081.98</v>
      </c>
      <c r="C369" s="2">
        <f t="shared" si="10"/>
        <v>4.44100000000617</v>
      </c>
      <c r="D369" s="2">
        <v>87675.36</v>
      </c>
      <c r="E369" s="2">
        <f t="shared" si="11"/>
        <v>2.3399999999965075</v>
      </c>
    </row>
    <row r="370" spans="1:5" x14ac:dyDescent="0.25">
      <c r="A370" s="1">
        <v>45447</v>
      </c>
      <c r="B370" s="2">
        <v>48033.012000000002</v>
      </c>
      <c r="C370" s="2">
        <f t="shared" si="10"/>
        <v>-48.968000000000757</v>
      </c>
      <c r="D370" s="2">
        <v>87659.5</v>
      </c>
      <c r="E370" s="2">
        <f t="shared" si="11"/>
        <v>-15.860000000000582</v>
      </c>
    </row>
    <row r="371" spans="1:5" x14ac:dyDescent="0.25">
      <c r="A371" s="1">
        <v>45448</v>
      </c>
      <c r="B371" s="2">
        <v>48104.98</v>
      </c>
      <c r="C371" s="2">
        <f t="shared" si="10"/>
        <v>71.968000000000757</v>
      </c>
      <c r="D371" s="2">
        <v>87570.98</v>
      </c>
      <c r="E371" s="2">
        <f t="shared" si="11"/>
        <v>-88.520000000004075</v>
      </c>
    </row>
    <row r="372" spans="1:5" x14ac:dyDescent="0.25">
      <c r="A372" s="1">
        <v>45449</v>
      </c>
      <c r="B372" s="2">
        <v>48332.148000000001</v>
      </c>
      <c r="C372" s="2">
        <f t="shared" si="10"/>
        <v>227.16799999999785</v>
      </c>
      <c r="D372" s="2">
        <v>87682.78</v>
      </c>
      <c r="E372" s="2">
        <f t="shared" si="11"/>
        <v>111.80000000000291</v>
      </c>
    </row>
    <row r="373" spans="1:5" x14ac:dyDescent="0.25">
      <c r="A373" s="1">
        <v>45450</v>
      </c>
      <c r="B373" s="2">
        <v>47120.141000000003</v>
      </c>
      <c r="C373" s="2">
        <f t="shared" si="10"/>
        <v>-1212.0069999999978</v>
      </c>
      <c r="D373" s="2">
        <v>87359.42</v>
      </c>
      <c r="E373" s="2">
        <f t="shared" si="11"/>
        <v>-323.36000000000058</v>
      </c>
    </row>
    <row r="374" spans="1:5" x14ac:dyDescent="0.25">
      <c r="A374" s="1">
        <v>45453</v>
      </c>
      <c r="B374" s="2">
        <v>47516.358999999997</v>
      </c>
      <c r="C374" s="2">
        <f t="shared" si="10"/>
        <v>396.21799999999348</v>
      </c>
      <c r="D374" s="2">
        <v>87344.68</v>
      </c>
      <c r="E374" s="2">
        <f t="shared" si="11"/>
        <v>-14.740000000005239</v>
      </c>
    </row>
    <row r="375" spans="1:5" x14ac:dyDescent="0.25">
      <c r="A375" s="1">
        <v>45454</v>
      </c>
      <c r="B375" s="2">
        <v>47670.898000000001</v>
      </c>
      <c r="C375" s="2">
        <f t="shared" si="10"/>
        <v>154.53900000000431</v>
      </c>
      <c r="D375" s="2">
        <v>87330.08</v>
      </c>
      <c r="E375" s="2">
        <f t="shared" si="11"/>
        <v>-14.599999999991269</v>
      </c>
    </row>
    <row r="376" spans="1:5" x14ac:dyDescent="0.25">
      <c r="A376" s="1">
        <v>45455</v>
      </c>
      <c r="B376" s="2">
        <v>46985.148000000001</v>
      </c>
      <c r="C376" s="2">
        <f t="shared" si="10"/>
        <v>-685.75</v>
      </c>
      <c r="D376" s="2">
        <v>87154.34</v>
      </c>
      <c r="E376" s="2">
        <f t="shared" si="11"/>
        <v>-175.74000000000524</v>
      </c>
    </row>
    <row r="377" spans="1:5" x14ac:dyDescent="0.25">
      <c r="A377" s="1">
        <v>45456</v>
      </c>
      <c r="B377" s="2">
        <v>47192.68</v>
      </c>
      <c r="C377" s="2">
        <f t="shared" si="10"/>
        <v>207.53199999999924</v>
      </c>
      <c r="D377" s="2">
        <v>87211.839999999997</v>
      </c>
      <c r="E377" s="2">
        <f t="shared" si="11"/>
        <v>57.5</v>
      </c>
    </row>
    <row r="378" spans="1:5" x14ac:dyDescent="0.25">
      <c r="A378" s="1">
        <v>45457</v>
      </c>
      <c r="B378" s="2">
        <v>47602.41</v>
      </c>
      <c r="C378" s="2">
        <f t="shared" si="10"/>
        <v>409.7300000000032</v>
      </c>
      <c r="D378" s="2">
        <v>87215.69</v>
      </c>
      <c r="E378" s="2">
        <f t="shared" si="11"/>
        <v>3.8500000000058208</v>
      </c>
    </row>
    <row r="379" spans="1:5" x14ac:dyDescent="0.25">
      <c r="A379" s="1">
        <v>45460</v>
      </c>
      <c r="B379" s="2">
        <v>47574.199000000001</v>
      </c>
      <c r="C379" s="2">
        <f t="shared" si="10"/>
        <v>-28.211000000002969</v>
      </c>
      <c r="D379" s="2">
        <v>87148.41</v>
      </c>
      <c r="E379" s="2">
        <f t="shared" si="11"/>
        <v>-67.279999999998836</v>
      </c>
    </row>
    <row r="380" spans="1:5" x14ac:dyDescent="0.25">
      <c r="A380" s="1">
        <v>45461</v>
      </c>
      <c r="B380" s="2">
        <v>47457.91</v>
      </c>
      <c r="C380" s="2">
        <f t="shared" si="10"/>
        <v>-116.28899999999703</v>
      </c>
      <c r="D380" s="2">
        <v>87188.05</v>
      </c>
      <c r="E380" s="2">
        <f t="shared" si="11"/>
        <v>39.639999999999418</v>
      </c>
    </row>
    <row r="381" spans="1:5" x14ac:dyDescent="0.25">
      <c r="A381" s="1">
        <v>45462</v>
      </c>
      <c r="B381" s="2">
        <v>47413.5</v>
      </c>
      <c r="C381" s="2">
        <f t="shared" si="10"/>
        <v>-44.410000000003492</v>
      </c>
      <c r="D381" s="2">
        <v>87209.91</v>
      </c>
      <c r="E381" s="2">
        <f t="shared" si="11"/>
        <v>21.860000000000582</v>
      </c>
    </row>
    <row r="382" spans="1:5" x14ac:dyDescent="0.25">
      <c r="A382" s="1">
        <v>45463</v>
      </c>
      <c r="B382" s="2">
        <v>47377.449000000001</v>
      </c>
      <c r="C382" s="2">
        <f t="shared" si="10"/>
        <v>-36.050999999999476</v>
      </c>
      <c r="D382" s="2">
        <v>87462.45</v>
      </c>
      <c r="E382" s="2">
        <f t="shared" si="11"/>
        <v>252.5399999999936</v>
      </c>
    </row>
    <row r="383" spans="1:5" x14ac:dyDescent="0.25">
      <c r="A383" s="1">
        <v>45464</v>
      </c>
      <c r="B383" s="2">
        <v>47740.608999999997</v>
      </c>
      <c r="C383" s="2">
        <f t="shared" si="10"/>
        <v>363.15999999999622</v>
      </c>
      <c r="D383" s="2">
        <v>87590.56</v>
      </c>
      <c r="E383" s="2">
        <f t="shared" si="11"/>
        <v>128.11000000000058</v>
      </c>
    </row>
    <row r="384" spans="1:5" x14ac:dyDescent="0.25">
      <c r="A384" s="1">
        <v>45467</v>
      </c>
      <c r="B384" s="2">
        <v>47986.788999999997</v>
      </c>
      <c r="C384" s="2">
        <f t="shared" si="10"/>
        <v>246.18000000000029</v>
      </c>
      <c r="D384" s="2">
        <v>87700.73</v>
      </c>
      <c r="E384" s="2">
        <f t="shared" si="11"/>
        <v>110.16999999999825</v>
      </c>
    </row>
    <row r="385" spans="1:5" x14ac:dyDescent="0.25">
      <c r="A385" s="1">
        <v>45468</v>
      </c>
      <c r="B385" s="2">
        <v>47725.762000000002</v>
      </c>
      <c r="C385" s="2">
        <f t="shared" si="10"/>
        <v>-261.02699999999459</v>
      </c>
      <c r="D385" s="2">
        <v>87757.45</v>
      </c>
      <c r="E385" s="2">
        <f t="shared" si="11"/>
        <v>56.720000000001164</v>
      </c>
    </row>
    <row r="386" spans="1:5" x14ac:dyDescent="0.25">
      <c r="A386" s="1">
        <v>45469</v>
      </c>
      <c r="B386" s="2">
        <v>47431.129000000001</v>
      </c>
      <c r="C386" s="2">
        <f t="shared" si="10"/>
        <v>-294.63300000000163</v>
      </c>
      <c r="D386" s="2">
        <v>87689.99</v>
      </c>
      <c r="E386" s="2">
        <f t="shared" si="11"/>
        <v>-67.459999999991851</v>
      </c>
    </row>
    <row r="387" spans="1:5" x14ac:dyDescent="0.25">
      <c r="A387" s="1">
        <v>45470</v>
      </c>
      <c r="B387" s="2">
        <v>47296.968999999997</v>
      </c>
      <c r="C387" s="2">
        <f t="shared" ref="C387:C450" si="12">IFERROR(B387-B386,0)</f>
        <v>-134.16000000000349</v>
      </c>
      <c r="D387" s="2">
        <v>87746.65</v>
      </c>
      <c r="E387" s="2">
        <f t="shared" ref="E387:E450" si="13">IFERROR(D387-D386,0)</f>
        <v>56.659999999988941</v>
      </c>
    </row>
    <row r="388" spans="1:5" x14ac:dyDescent="0.25">
      <c r="A388" s="1">
        <v>45471</v>
      </c>
      <c r="B388" s="2">
        <v>46870.98</v>
      </c>
      <c r="C388" s="2">
        <f t="shared" si="12"/>
        <v>-425.98899999999412</v>
      </c>
      <c r="D388" s="2">
        <v>87450.83</v>
      </c>
      <c r="E388" s="2">
        <f t="shared" si="13"/>
        <v>-295.81999999999243</v>
      </c>
    </row>
    <row r="389" spans="1:5" x14ac:dyDescent="0.25">
      <c r="A389" s="1">
        <v>45474</v>
      </c>
      <c r="B389" s="2">
        <v>46795.75</v>
      </c>
      <c r="C389" s="2">
        <f t="shared" si="12"/>
        <v>-75.230000000003201</v>
      </c>
      <c r="D389" s="2">
        <v>87175.15</v>
      </c>
      <c r="E389" s="2">
        <f t="shared" si="13"/>
        <v>-275.68000000000757</v>
      </c>
    </row>
    <row r="390" spans="1:5" x14ac:dyDescent="0.25">
      <c r="A390" s="1">
        <v>45475</v>
      </c>
      <c r="B390" s="2">
        <v>46817.559000000001</v>
      </c>
      <c r="C390" s="2">
        <f t="shared" si="12"/>
        <v>21.809000000001106</v>
      </c>
      <c r="D390" s="2">
        <v>87179.97</v>
      </c>
      <c r="E390" s="2">
        <f t="shared" si="13"/>
        <v>4.8200000000069849</v>
      </c>
    </row>
    <row r="391" spans="1:5" x14ac:dyDescent="0.25">
      <c r="A391" s="1">
        <v>45476</v>
      </c>
      <c r="B391" s="2">
        <v>47253.16</v>
      </c>
      <c r="C391" s="2">
        <f t="shared" si="12"/>
        <v>435.60100000000239</v>
      </c>
      <c r="D391" s="2">
        <v>87324.11</v>
      </c>
      <c r="E391" s="2">
        <f t="shared" si="13"/>
        <v>144.13999999999942</v>
      </c>
    </row>
    <row r="392" spans="1:5" x14ac:dyDescent="0.25">
      <c r="A392" s="1">
        <v>45477</v>
      </c>
      <c r="B392" s="2">
        <v>47789.078000000001</v>
      </c>
      <c r="C392" s="2">
        <f t="shared" si="12"/>
        <v>535.91799999999785</v>
      </c>
      <c r="D392" s="2">
        <v>87642.72</v>
      </c>
      <c r="E392" s="2">
        <f t="shared" si="13"/>
        <v>318.61000000000058</v>
      </c>
    </row>
    <row r="393" spans="1:5" x14ac:dyDescent="0.25">
      <c r="A393" s="1">
        <v>45478</v>
      </c>
      <c r="B393" s="2">
        <v>48031.48</v>
      </c>
      <c r="C393" s="2">
        <f t="shared" si="12"/>
        <v>242.40200000000186</v>
      </c>
      <c r="D393" s="2">
        <v>87681.79</v>
      </c>
      <c r="E393" s="2">
        <f t="shared" si="13"/>
        <v>39.069999999992433</v>
      </c>
    </row>
    <row r="394" spans="1:5" x14ac:dyDescent="0.25">
      <c r="A394" s="1">
        <v>45481</v>
      </c>
      <c r="B394" s="2">
        <v>48083.578000000001</v>
      </c>
      <c r="C394" s="2">
        <f t="shared" si="12"/>
        <v>52.097999999998137</v>
      </c>
      <c r="D394" s="2">
        <v>87720.81</v>
      </c>
      <c r="E394" s="2">
        <f t="shared" si="13"/>
        <v>39.020000000004075</v>
      </c>
    </row>
    <row r="395" spans="1:5" x14ac:dyDescent="0.25">
      <c r="A395" s="1">
        <v>45482</v>
      </c>
      <c r="B395" s="2">
        <v>48302.199000000001</v>
      </c>
      <c r="C395" s="2">
        <f t="shared" si="12"/>
        <v>218.62099999999919</v>
      </c>
      <c r="D395" s="2">
        <v>87812.06</v>
      </c>
      <c r="E395" s="2">
        <f t="shared" si="13"/>
        <v>91.25</v>
      </c>
    </row>
    <row r="396" spans="1:5" x14ac:dyDescent="0.25">
      <c r="A396" s="1">
        <v>45483</v>
      </c>
      <c r="B396" s="2">
        <v>48858.211000000003</v>
      </c>
      <c r="C396" s="2">
        <f t="shared" si="12"/>
        <v>556.01200000000244</v>
      </c>
      <c r="D396" s="2">
        <v>87955.46</v>
      </c>
      <c r="E396" s="2">
        <f t="shared" si="13"/>
        <v>143.40000000000873</v>
      </c>
    </row>
    <row r="397" spans="1:5" x14ac:dyDescent="0.25">
      <c r="A397" s="1">
        <v>45484</v>
      </c>
      <c r="B397" s="2">
        <v>49029.237999999998</v>
      </c>
      <c r="C397" s="2">
        <f t="shared" si="12"/>
        <v>171.02699999999459</v>
      </c>
      <c r="D397" s="2">
        <v>88081.27</v>
      </c>
      <c r="E397" s="2">
        <f t="shared" si="13"/>
        <v>125.80999999999767</v>
      </c>
    </row>
    <row r="398" spans="1:5" x14ac:dyDescent="0.25">
      <c r="A398" s="1">
        <v>45485</v>
      </c>
      <c r="B398" s="2">
        <v>48968.961000000003</v>
      </c>
      <c r="C398" s="2">
        <f t="shared" si="12"/>
        <v>-60.276999999994587</v>
      </c>
      <c r="D398" s="2">
        <v>88119.78</v>
      </c>
      <c r="E398" s="2">
        <f t="shared" si="13"/>
        <v>38.509999999994761</v>
      </c>
    </row>
    <row r="399" spans="1:5" x14ac:dyDescent="0.25">
      <c r="A399" s="1">
        <v>45488</v>
      </c>
      <c r="B399" s="2">
        <v>48617.32</v>
      </c>
      <c r="C399" s="2">
        <f t="shared" si="12"/>
        <v>-351.64100000000326</v>
      </c>
      <c r="D399" s="2">
        <v>88140.85</v>
      </c>
      <c r="E399" s="2">
        <f t="shared" si="13"/>
        <v>21.070000000006985</v>
      </c>
    </row>
    <row r="400" spans="1:5" x14ac:dyDescent="0.25">
      <c r="A400" s="1">
        <v>45489</v>
      </c>
      <c r="B400" s="2">
        <v>48711.648000000001</v>
      </c>
      <c r="C400" s="2">
        <f t="shared" si="12"/>
        <v>94.328000000001339</v>
      </c>
      <c r="D400" s="2">
        <v>88214.03</v>
      </c>
      <c r="E400" s="2">
        <f t="shared" si="13"/>
        <v>73.179999999993015</v>
      </c>
    </row>
    <row r="401" spans="1:5" x14ac:dyDescent="0.25">
      <c r="A401" s="1">
        <v>45490</v>
      </c>
      <c r="B401" s="2">
        <v>48585.288999999997</v>
      </c>
      <c r="C401" s="2">
        <f t="shared" si="12"/>
        <v>-126.35900000000402</v>
      </c>
      <c r="D401" s="2">
        <v>88131.04</v>
      </c>
      <c r="E401" s="2">
        <f t="shared" si="13"/>
        <v>-82.990000000005239</v>
      </c>
    </row>
    <row r="402" spans="1:5" x14ac:dyDescent="0.25">
      <c r="A402" s="1">
        <v>45491</v>
      </c>
      <c r="B402" s="2">
        <v>48146.809000000001</v>
      </c>
      <c r="C402" s="2">
        <f t="shared" si="12"/>
        <v>-438.47999999999593</v>
      </c>
      <c r="D402" s="2">
        <v>87824.67</v>
      </c>
      <c r="E402" s="2">
        <f t="shared" si="13"/>
        <v>-306.36999999999534</v>
      </c>
    </row>
    <row r="403" spans="1:5" x14ac:dyDescent="0.25">
      <c r="A403" s="1">
        <v>45492</v>
      </c>
      <c r="B403" s="2">
        <v>48039.23</v>
      </c>
      <c r="C403" s="2">
        <f t="shared" si="12"/>
        <v>-107.5789999999979</v>
      </c>
      <c r="D403" s="2">
        <v>87863.56</v>
      </c>
      <c r="E403" s="2">
        <f t="shared" si="13"/>
        <v>38.889999999999418</v>
      </c>
    </row>
    <row r="404" spans="1:5" x14ac:dyDescent="0.25">
      <c r="A404" s="1">
        <v>45495</v>
      </c>
      <c r="B404" s="2">
        <v>48325.620999999999</v>
      </c>
      <c r="C404" s="2">
        <f t="shared" si="12"/>
        <v>286.39099999999598</v>
      </c>
      <c r="D404" s="2">
        <v>87850.99</v>
      </c>
      <c r="E404" s="2">
        <f t="shared" si="13"/>
        <v>-12.569999999992433</v>
      </c>
    </row>
    <row r="405" spans="1:5" x14ac:dyDescent="0.25">
      <c r="A405" s="1">
        <v>45496</v>
      </c>
      <c r="B405" s="2">
        <v>47910.148000000001</v>
      </c>
      <c r="C405" s="2">
        <f t="shared" si="12"/>
        <v>-415.47299999999814</v>
      </c>
      <c r="D405" s="2">
        <v>87770.23</v>
      </c>
      <c r="E405" s="2">
        <f t="shared" si="13"/>
        <v>-80.760000000009313</v>
      </c>
    </row>
    <row r="406" spans="1:5" x14ac:dyDescent="0.25">
      <c r="A406" s="1">
        <v>45497</v>
      </c>
      <c r="B406" s="2">
        <v>47841.84</v>
      </c>
      <c r="C406" s="2">
        <f t="shared" si="12"/>
        <v>-68.30800000000454</v>
      </c>
      <c r="D406" s="2">
        <v>87707.01</v>
      </c>
      <c r="E406" s="2">
        <f t="shared" si="13"/>
        <v>-63.220000000001164</v>
      </c>
    </row>
    <row r="407" spans="1:5" x14ac:dyDescent="0.25">
      <c r="A407" s="1">
        <v>45498</v>
      </c>
      <c r="B407" s="2">
        <v>47629.711000000003</v>
      </c>
      <c r="C407" s="2">
        <f t="shared" si="12"/>
        <v>-212.12899999999354</v>
      </c>
      <c r="D407" s="2">
        <v>87627.25</v>
      </c>
      <c r="E407" s="2">
        <f t="shared" si="13"/>
        <v>-79.759999999994761</v>
      </c>
    </row>
    <row r="408" spans="1:5" x14ac:dyDescent="0.25">
      <c r="A408" s="1">
        <v>45499</v>
      </c>
      <c r="B408" s="2">
        <v>48041.391000000003</v>
      </c>
      <c r="C408" s="2">
        <f t="shared" si="12"/>
        <v>411.68000000000029</v>
      </c>
      <c r="D408" s="2">
        <v>87649.51</v>
      </c>
      <c r="E408" s="2">
        <f t="shared" si="13"/>
        <v>22.259999999994761</v>
      </c>
    </row>
    <row r="409" spans="1:5" x14ac:dyDescent="0.25">
      <c r="A409" s="1">
        <v>45502</v>
      </c>
      <c r="B409" s="2">
        <v>47940.23</v>
      </c>
      <c r="C409" s="2">
        <f t="shared" si="12"/>
        <v>-101.16100000000006</v>
      </c>
      <c r="D409" s="2">
        <v>87739.43</v>
      </c>
      <c r="E409" s="2">
        <f t="shared" si="13"/>
        <v>89.919999999998254</v>
      </c>
    </row>
    <row r="410" spans="1:5" x14ac:dyDescent="0.25">
      <c r="A410" s="1">
        <v>45503</v>
      </c>
      <c r="B410" s="2">
        <v>48189.288999999997</v>
      </c>
      <c r="C410" s="2">
        <f t="shared" si="12"/>
        <v>249.05899999999383</v>
      </c>
      <c r="D410" s="2">
        <v>87846.12</v>
      </c>
      <c r="E410" s="2">
        <f t="shared" si="13"/>
        <v>106.69000000000233</v>
      </c>
    </row>
    <row r="411" spans="1:5" x14ac:dyDescent="0.25">
      <c r="A411" s="1">
        <v>45504</v>
      </c>
      <c r="B411" s="2">
        <v>48541.737999999998</v>
      </c>
      <c r="C411" s="2">
        <f t="shared" si="12"/>
        <v>352.44900000000052</v>
      </c>
      <c r="D411" s="2">
        <v>87901.93</v>
      </c>
      <c r="E411" s="2">
        <f t="shared" si="13"/>
        <v>55.809999999997672</v>
      </c>
    </row>
    <row r="412" spans="1:5" x14ac:dyDescent="0.25">
      <c r="A412" s="1">
        <v>45505</v>
      </c>
      <c r="B412" s="2">
        <v>48342.93</v>
      </c>
      <c r="C412" s="2">
        <f t="shared" si="12"/>
        <v>-198.80799999999726</v>
      </c>
      <c r="D412" s="2">
        <v>88194.47</v>
      </c>
      <c r="E412" s="2">
        <f t="shared" si="13"/>
        <v>292.54000000000815</v>
      </c>
    </row>
    <row r="413" spans="1:5" x14ac:dyDescent="0.25">
      <c r="A413" s="1">
        <v>45506</v>
      </c>
      <c r="B413" s="2">
        <v>49055.25</v>
      </c>
      <c r="C413" s="2">
        <f t="shared" si="12"/>
        <v>712.31999999999971</v>
      </c>
      <c r="D413" s="2">
        <v>88555.37</v>
      </c>
      <c r="E413" s="2">
        <f t="shared" si="13"/>
        <v>360.89999999999418</v>
      </c>
    </row>
    <row r="414" spans="1:5" x14ac:dyDescent="0.25">
      <c r="A414" s="1">
        <v>45509</v>
      </c>
      <c r="B414" s="2">
        <v>49158.148000000001</v>
      </c>
      <c r="C414" s="2">
        <f t="shared" si="12"/>
        <v>102.89800000000105</v>
      </c>
      <c r="D414" s="2">
        <v>88644.3</v>
      </c>
      <c r="E414" s="2">
        <f t="shared" si="13"/>
        <v>88.930000000007567</v>
      </c>
    </row>
    <row r="415" spans="1:5" x14ac:dyDescent="0.25">
      <c r="A415" s="1">
        <v>45510</v>
      </c>
      <c r="B415" s="2">
        <v>48964.851999999999</v>
      </c>
      <c r="C415" s="2">
        <f t="shared" si="12"/>
        <v>-193.2960000000021</v>
      </c>
      <c r="D415" s="2">
        <v>88309.65</v>
      </c>
      <c r="E415" s="2">
        <f t="shared" si="13"/>
        <v>-334.65000000000873</v>
      </c>
    </row>
    <row r="416" spans="1:5" x14ac:dyDescent="0.25">
      <c r="A416" s="1">
        <v>45511</v>
      </c>
      <c r="B416" s="2">
        <v>49070.300999999999</v>
      </c>
      <c r="C416" s="2">
        <f t="shared" si="12"/>
        <v>105.44900000000052</v>
      </c>
      <c r="D416" s="2">
        <v>88364.800000000003</v>
      </c>
      <c r="E416" s="2">
        <f t="shared" si="13"/>
        <v>55.150000000008731</v>
      </c>
    </row>
    <row r="417" spans="1:5" x14ac:dyDescent="0.25">
      <c r="A417" s="1">
        <v>45512</v>
      </c>
      <c r="B417" s="2">
        <v>49080.93</v>
      </c>
      <c r="C417" s="2">
        <f t="shared" si="12"/>
        <v>10.629000000000815</v>
      </c>
      <c r="D417" s="2">
        <v>88403.02</v>
      </c>
      <c r="E417" s="2">
        <f t="shared" si="13"/>
        <v>38.220000000001164</v>
      </c>
    </row>
    <row r="418" spans="1:5" x14ac:dyDescent="0.25">
      <c r="A418" s="1">
        <v>45513</v>
      </c>
      <c r="B418" s="2">
        <v>49726.48</v>
      </c>
      <c r="C418" s="2">
        <f t="shared" si="12"/>
        <v>645.55000000000291</v>
      </c>
      <c r="D418" s="2">
        <v>88390.79</v>
      </c>
      <c r="E418" s="2">
        <f t="shared" si="13"/>
        <v>-12.230000000010477</v>
      </c>
    </row>
    <row r="419" spans="1:5" x14ac:dyDescent="0.25">
      <c r="A419" s="1">
        <v>45516</v>
      </c>
      <c r="B419" s="2">
        <v>49810.487999999998</v>
      </c>
      <c r="C419" s="2">
        <f t="shared" si="12"/>
        <v>84.007999999994354</v>
      </c>
      <c r="D419" s="2">
        <v>88328.45</v>
      </c>
      <c r="E419" s="2">
        <f t="shared" si="13"/>
        <v>-62.339999999996508</v>
      </c>
    </row>
    <row r="420" spans="1:5" x14ac:dyDescent="0.25">
      <c r="A420" s="1">
        <v>45517</v>
      </c>
      <c r="B420" s="2">
        <v>50336.608999999997</v>
      </c>
      <c r="C420" s="2">
        <f t="shared" si="12"/>
        <v>526.12099999999919</v>
      </c>
      <c r="D420" s="2">
        <v>88483.89</v>
      </c>
      <c r="E420" s="2">
        <f t="shared" si="13"/>
        <v>155.44000000000233</v>
      </c>
    </row>
    <row r="421" spans="1:5" x14ac:dyDescent="0.25">
      <c r="A421" s="1">
        <v>45518</v>
      </c>
      <c r="B421" s="2">
        <v>50438.538999999997</v>
      </c>
      <c r="C421" s="2">
        <f t="shared" si="12"/>
        <v>101.93000000000029</v>
      </c>
      <c r="D421" s="2">
        <v>88505.25</v>
      </c>
      <c r="E421" s="2">
        <f t="shared" si="13"/>
        <v>21.360000000000582</v>
      </c>
    </row>
    <row r="422" spans="1:5" x14ac:dyDescent="0.25">
      <c r="A422" s="1">
        <v>45519</v>
      </c>
      <c r="B422" s="2">
        <v>50111.328000000001</v>
      </c>
      <c r="C422" s="2">
        <f t="shared" si="12"/>
        <v>-327.21099999999569</v>
      </c>
      <c r="D422" s="2">
        <v>88376.56</v>
      </c>
      <c r="E422" s="2">
        <f t="shared" si="13"/>
        <v>-128.69000000000233</v>
      </c>
    </row>
    <row r="423" spans="1:5" x14ac:dyDescent="0.25">
      <c r="A423" s="1">
        <v>45520</v>
      </c>
      <c r="B423" s="2">
        <v>50244.199000000001</v>
      </c>
      <c r="C423" s="2">
        <f t="shared" si="12"/>
        <v>132.87099999999919</v>
      </c>
      <c r="D423" s="2">
        <v>88083.199999999997</v>
      </c>
      <c r="E423" s="2">
        <f t="shared" si="13"/>
        <v>-293.36000000000058</v>
      </c>
    </row>
    <row r="424" spans="1:5" x14ac:dyDescent="0.25">
      <c r="A424" s="1">
        <v>45523</v>
      </c>
      <c r="B424" s="2">
        <v>50543.578000000001</v>
      </c>
      <c r="C424" s="2">
        <f t="shared" si="12"/>
        <v>299.37900000000081</v>
      </c>
      <c r="D424" s="2">
        <v>88006.43</v>
      </c>
      <c r="E424" s="2">
        <f t="shared" si="13"/>
        <v>-76.770000000004075</v>
      </c>
    </row>
    <row r="425" spans="1:5" x14ac:dyDescent="0.25">
      <c r="A425" s="1">
        <v>45524</v>
      </c>
      <c r="B425" s="2">
        <v>50239.07</v>
      </c>
      <c r="C425" s="2">
        <f t="shared" si="12"/>
        <v>-304.50800000000163</v>
      </c>
      <c r="D425" s="2">
        <v>88061.7</v>
      </c>
      <c r="E425" s="2">
        <f t="shared" si="13"/>
        <v>55.270000000004075</v>
      </c>
    </row>
    <row r="426" spans="1:5" x14ac:dyDescent="0.25">
      <c r="A426" s="1">
        <v>45525</v>
      </c>
      <c r="B426" s="2">
        <v>50280.73</v>
      </c>
      <c r="C426" s="2">
        <f t="shared" si="12"/>
        <v>41.660000000003492</v>
      </c>
      <c r="D426" s="2">
        <v>88182.66</v>
      </c>
      <c r="E426" s="2">
        <f t="shared" si="13"/>
        <v>120.9600000000064</v>
      </c>
    </row>
    <row r="427" spans="1:5" x14ac:dyDescent="0.25">
      <c r="A427" s="1">
        <v>45526</v>
      </c>
      <c r="B427" s="2">
        <v>49702.34</v>
      </c>
      <c r="C427" s="2">
        <f t="shared" si="12"/>
        <v>-578.39000000000669</v>
      </c>
      <c r="D427" s="2">
        <v>88139.12</v>
      </c>
      <c r="E427" s="2">
        <f t="shared" si="13"/>
        <v>-43.540000000008149</v>
      </c>
    </row>
    <row r="428" spans="1:5" x14ac:dyDescent="0.25">
      <c r="A428" s="1">
        <v>45527</v>
      </c>
      <c r="B428" s="2">
        <v>50082.59</v>
      </c>
      <c r="C428" s="2">
        <f t="shared" si="12"/>
        <v>380.25</v>
      </c>
      <c r="D428" s="2">
        <v>88259.75</v>
      </c>
      <c r="E428" s="2">
        <f t="shared" si="13"/>
        <v>120.63000000000466</v>
      </c>
    </row>
    <row r="429" spans="1:5" x14ac:dyDescent="0.25">
      <c r="A429" s="1">
        <v>45530</v>
      </c>
      <c r="B429" s="2">
        <v>50180.93</v>
      </c>
      <c r="C429" s="2">
        <f t="shared" si="12"/>
        <v>98.340000000003783</v>
      </c>
      <c r="D429" s="2">
        <v>88380.2</v>
      </c>
      <c r="E429" s="2">
        <f t="shared" si="13"/>
        <v>120.44999999999709</v>
      </c>
    </row>
    <row r="430" spans="1:5" x14ac:dyDescent="0.25">
      <c r="A430" s="1">
        <v>45531</v>
      </c>
      <c r="B430" s="2">
        <v>50018.629000000001</v>
      </c>
      <c r="C430" s="2">
        <f t="shared" si="12"/>
        <v>-162.30099999999948</v>
      </c>
      <c r="D430" s="2">
        <v>88336.65</v>
      </c>
      <c r="E430" s="2">
        <f t="shared" si="13"/>
        <v>-43.55000000000291</v>
      </c>
    </row>
    <row r="431" spans="1:5" x14ac:dyDescent="0.25">
      <c r="A431" s="1">
        <v>45532</v>
      </c>
      <c r="B431" s="2">
        <v>49736.391000000003</v>
      </c>
      <c r="C431" s="2">
        <f t="shared" si="12"/>
        <v>-282.23799999999756</v>
      </c>
      <c r="D431" s="2">
        <v>88146.77</v>
      </c>
      <c r="E431" s="2">
        <f t="shared" si="13"/>
        <v>-189.8799999999901</v>
      </c>
    </row>
    <row r="432" spans="1:5" x14ac:dyDescent="0.25">
      <c r="A432" s="1">
        <v>45533</v>
      </c>
      <c r="B432" s="2">
        <v>49409.09</v>
      </c>
      <c r="C432" s="2">
        <f t="shared" si="12"/>
        <v>-327.30100000000675</v>
      </c>
      <c r="D432" s="2">
        <v>88055.6</v>
      </c>
      <c r="E432" s="2">
        <f t="shared" si="13"/>
        <v>-91.169999999998254</v>
      </c>
    </row>
    <row r="433" spans="1:5" x14ac:dyDescent="0.25">
      <c r="A433" s="1">
        <v>45534</v>
      </c>
      <c r="B433" s="2">
        <v>48744.038999999997</v>
      </c>
      <c r="C433" s="2">
        <f t="shared" si="12"/>
        <v>-665.05099999999948</v>
      </c>
      <c r="D433" s="2">
        <v>88224.07</v>
      </c>
      <c r="E433" s="2">
        <f t="shared" si="13"/>
        <v>168.47000000000116</v>
      </c>
    </row>
    <row r="434" spans="1:5" x14ac:dyDescent="0.25">
      <c r="A434" s="1">
        <v>45537</v>
      </c>
      <c r="B434" s="2">
        <v>48594.101999999999</v>
      </c>
      <c r="C434" s="2">
        <f t="shared" si="12"/>
        <v>-149.93699999999808</v>
      </c>
      <c r="D434" s="2">
        <v>88295.05</v>
      </c>
      <c r="E434" s="2">
        <f t="shared" si="13"/>
        <v>70.979999999995925</v>
      </c>
    </row>
    <row r="435" spans="1:5" x14ac:dyDescent="0.25">
      <c r="A435" s="1">
        <v>45538</v>
      </c>
      <c r="B435" s="2">
        <v>48760.879000000001</v>
      </c>
      <c r="C435" s="2">
        <f t="shared" si="12"/>
        <v>166.77700000000186</v>
      </c>
      <c r="D435" s="2">
        <v>88204.2</v>
      </c>
      <c r="E435" s="2">
        <f t="shared" si="13"/>
        <v>-90.850000000005821</v>
      </c>
    </row>
    <row r="436" spans="1:5" x14ac:dyDescent="0.25">
      <c r="A436" s="1">
        <v>45539</v>
      </c>
      <c r="B436" s="2">
        <v>49244.737999999998</v>
      </c>
      <c r="C436" s="2">
        <f t="shared" si="12"/>
        <v>483.85899999999674</v>
      </c>
      <c r="D436" s="2">
        <v>88371.96</v>
      </c>
      <c r="E436" s="2">
        <f t="shared" si="13"/>
        <v>167.76000000000931</v>
      </c>
    </row>
    <row r="437" spans="1:5" x14ac:dyDescent="0.25">
      <c r="A437" s="1">
        <v>45540</v>
      </c>
      <c r="B437" s="2">
        <v>49532.870999999999</v>
      </c>
      <c r="C437" s="2">
        <f t="shared" si="12"/>
        <v>288.13300000000163</v>
      </c>
      <c r="D437" s="2">
        <v>88442.63</v>
      </c>
      <c r="E437" s="2">
        <f t="shared" si="13"/>
        <v>70.669999999998254</v>
      </c>
    </row>
    <row r="438" spans="1:5" x14ac:dyDescent="0.25">
      <c r="A438" s="1">
        <v>45541</v>
      </c>
      <c r="B438" s="2">
        <v>49719.190999999999</v>
      </c>
      <c r="C438" s="2">
        <f t="shared" si="12"/>
        <v>186.31999999999971</v>
      </c>
      <c r="D438" s="2">
        <v>88416.47</v>
      </c>
      <c r="E438" s="2">
        <f t="shared" si="13"/>
        <v>-26.160000000003492</v>
      </c>
    </row>
    <row r="439" spans="1:5" x14ac:dyDescent="0.25">
      <c r="A439" s="1">
        <v>45544</v>
      </c>
      <c r="B439" s="2">
        <v>49791.421999999999</v>
      </c>
      <c r="C439" s="2">
        <f t="shared" si="12"/>
        <v>72.230999999999767</v>
      </c>
      <c r="D439" s="2">
        <v>88422.66</v>
      </c>
      <c r="E439" s="2">
        <f t="shared" si="13"/>
        <v>6.1900000000023283</v>
      </c>
    </row>
    <row r="440" spans="1:5" x14ac:dyDescent="0.25">
      <c r="A440" s="1">
        <v>45545</v>
      </c>
      <c r="B440" s="2">
        <v>49710.199000000001</v>
      </c>
      <c r="C440" s="2">
        <f t="shared" si="12"/>
        <v>-81.222999999998137</v>
      </c>
      <c r="D440" s="2">
        <v>88493.1</v>
      </c>
      <c r="E440" s="2">
        <f t="shared" si="13"/>
        <v>70.440000000002328</v>
      </c>
    </row>
    <row r="441" spans="1:5" x14ac:dyDescent="0.25">
      <c r="A441" s="1">
        <v>45546</v>
      </c>
      <c r="B441" s="2">
        <v>49838.18</v>
      </c>
      <c r="C441" s="2">
        <f t="shared" si="12"/>
        <v>127.98099999999977</v>
      </c>
      <c r="D441" s="2">
        <v>88579.45</v>
      </c>
      <c r="E441" s="2">
        <f t="shared" si="13"/>
        <v>86.349999999991269</v>
      </c>
    </row>
    <row r="442" spans="1:5" x14ac:dyDescent="0.25">
      <c r="A442" s="1">
        <v>45547</v>
      </c>
      <c r="B442" s="2">
        <v>49360.578000000001</v>
      </c>
      <c r="C442" s="2">
        <f t="shared" si="12"/>
        <v>-477.60199999999895</v>
      </c>
      <c r="D442" s="2">
        <v>88521.54</v>
      </c>
      <c r="E442" s="2">
        <f t="shared" si="13"/>
        <v>-57.910000000003492</v>
      </c>
    </row>
    <row r="443" spans="1:5" x14ac:dyDescent="0.25">
      <c r="A443" s="1">
        <v>45548</v>
      </c>
      <c r="B443" s="2">
        <v>49548.538999999997</v>
      </c>
      <c r="C443" s="2">
        <f t="shared" si="12"/>
        <v>187.96099999999569</v>
      </c>
      <c r="D443" s="2">
        <v>88639.65</v>
      </c>
      <c r="E443" s="2">
        <f t="shared" si="13"/>
        <v>118.11000000000058</v>
      </c>
    </row>
    <row r="444" spans="1:5" x14ac:dyDescent="0.25">
      <c r="A444" s="1">
        <v>45551</v>
      </c>
      <c r="B444" s="2">
        <v>49346.91</v>
      </c>
      <c r="C444" s="2">
        <f t="shared" si="12"/>
        <v>-201.62899999999354</v>
      </c>
      <c r="D444" s="2">
        <v>88645.78</v>
      </c>
      <c r="E444" s="2">
        <f t="shared" si="13"/>
        <v>6.1300000000046566</v>
      </c>
    </row>
    <row r="445" spans="1:5" x14ac:dyDescent="0.25">
      <c r="A445" s="1">
        <v>45552</v>
      </c>
      <c r="B445" s="2">
        <v>49187.66</v>
      </c>
      <c r="C445" s="2">
        <f t="shared" si="12"/>
        <v>-159.25</v>
      </c>
      <c r="D445" s="2">
        <v>88747.59</v>
      </c>
      <c r="E445" s="2">
        <f t="shared" si="13"/>
        <v>101.80999999999767</v>
      </c>
    </row>
    <row r="446" spans="1:5" x14ac:dyDescent="0.25">
      <c r="A446" s="1">
        <v>45553</v>
      </c>
      <c r="B446" s="2">
        <v>49344.398000000001</v>
      </c>
      <c r="C446" s="2">
        <f t="shared" si="12"/>
        <v>156.73799999999756</v>
      </c>
      <c r="D446" s="2">
        <v>88753.66</v>
      </c>
      <c r="E446" s="2">
        <f t="shared" si="13"/>
        <v>6.0700000000069849</v>
      </c>
    </row>
    <row r="447" spans="1:5" x14ac:dyDescent="0.25">
      <c r="A447" s="1">
        <v>45554</v>
      </c>
      <c r="B447" s="2">
        <v>49048.75</v>
      </c>
      <c r="C447" s="2">
        <f t="shared" si="12"/>
        <v>-295.64800000000105</v>
      </c>
      <c r="D447" s="2">
        <v>88537.88</v>
      </c>
      <c r="E447" s="2">
        <f t="shared" si="13"/>
        <v>-215.77999999999884</v>
      </c>
    </row>
    <row r="448" spans="1:5" x14ac:dyDescent="0.25">
      <c r="A448" s="1">
        <v>45555</v>
      </c>
      <c r="B448" s="2">
        <v>48303</v>
      </c>
      <c r="C448" s="2">
        <f t="shared" si="12"/>
        <v>-745.75</v>
      </c>
      <c r="D448" s="2">
        <v>88355.42</v>
      </c>
      <c r="E448" s="2">
        <f t="shared" si="13"/>
        <v>-182.4600000000064</v>
      </c>
    </row>
    <row r="449" spans="1:5" x14ac:dyDescent="0.25">
      <c r="A449" s="1">
        <v>45558</v>
      </c>
      <c r="B449" s="2">
        <v>47830.038999999997</v>
      </c>
      <c r="C449" s="2">
        <f t="shared" si="12"/>
        <v>-472.96100000000297</v>
      </c>
      <c r="D449" s="2">
        <v>88409.68</v>
      </c>
      <c r="E449" s="2">
        <f t="shared" si="13"/>
        <v>54.259999999994761</v>
      </c>
    </row>
    <row r="450" spans="1:5" x14ac:dyDescent="0.25">
      <c r="A450" s="1">
        <v>45559</v>
      </c>
      <c r="B450" s="2">
        <v>48573.370999999999</v>
      </c>
      <c r="C450" s="2">
        <f t="shared" si="12"/>
        <v>743.33200000000215</v>
      </c>
      <c r="D450" s="2">
        <v>88526.66</v>
      </c>
      <c r="E450" s="2">
        <f t="shared" si="13"/>
        <v>116.98000000001048</v>
      </c>
    </row>
    <row r="451" spans="1:5" x14ac:dyDescent="0.25">
      <c r="A451" s="1">
        <v>45560</v>
      </c>
      <c r="B451" s="2">
        <v>48717.078000000001</v>
      </c>
      <c r="C451" s="2">
        <f t="shared" ref="C451:C514" si="14">IFERROR(B451-B450,0)</f>
        <v>143.70700000000215</v>
      </c>
      <c r="D451" s="2">
        <v>88580.66</v>
      </c>
      <c r="E451" s="2">
        <f t="shared" ref="E451:E514" si="15">IFERROR(D451-D450,0)</f>
        <v>54</v>
      </c>
    </row>
    <row r="452" spans="1:5" x14ac:dyDescent="0.25">
      <c r="A452" s="1">
        <v>45561</v>
      </c>
      <c r="B452" s="2">
        <v>48612.718999999997</v>
      </c>
      <c r="C452" s="2">
        <f t="shared" si="14"/>
        <v>-104.35900000000402</v>
      </c>
      <c r="D452" s="2">
        <v>88493.69</v>
      </c>
      <c r="E452" s="2">
        <f t="shared" si="15"/>
        <v>-86.970000000001164</v>
      </c>
    </row>
    <row r="453" spans="1:5" x14ac:dyDescent="0.25">
      <c r="A453" s="1">
        <v>45562</v>
      </c>
      <c r="B453" s="2">
        <v>48473.93</v>
      </c>
      <c r="C453" s="2">
        <f t="shared" si="14"/>
        <v>-138.78899999999703</v>
      </c>
      <c r="D453" s="2">
        <v>88500.86</v>
      </c>
      <c r="E453" s="2">
        <f t="shared" si="15"/>
        <v>7.1699999999982538</v>
      </c>
    </row>
    <row r="454" spans="1:5" x14ac:dyDescent="0.25">
      <c r="A454" s="1">
        <v>45565</v>
      </c>
      <c r="B454" s="2">
        <v>48287.800999999999</v>
      </c>
      <c r="C454" s="2">
        <f t="shared" si="14"/>
        <v>-186.12900000000081</v>
      </c>
      <c r="D454" s="2">
        <v>88399.24</v>
      </c>
      <c r="E454" s="2">
        <f t="shared" si="15"/>
        <v>-101.61999999999534</v>
      </c>
    </row>
    <row r="455" spans="1:5" x14ac:dyDescent="0.25">
      <c r="A455" s="1">
        <v>45566</v>
      </c>
      <c r="B455" s="2">
        <v>48401.031000000003</v>
      </c>
      <c r="C455" s="2">
        <f t="shared" si="14"/>
        <v>113.2300000000032</v>
      </c>
      <c r="D455" s="2">
        <v>88422.29</v>
      </c>
      <c r="E455" s="2">
        <f t="shared" si="15"/>
        <v>23.049999999988358</v>
      </c>
    </row>
    <row r="456" spans="1:5" x14ac:dyDescent="0.25">
      <c r="A456" s="1">
        <v>45567</v>
      </c>
      <c r="B456" s="2">
        <v>48576.07</v>
      </c>
      <c r="C456" s="2">
        <f t="shared" si="14"/>
        <v>175.03899999999703</v>
      </c>
      <c r="D456" s="2">
        <v>88522.79</v>
      </c>
      <c r="E456" s="2">
        <f t="shared" si="15"/>
        <v>100.5</v>
      </c>
    </row>
    <row r="457" spans="1:5" x14ac:dyDescent="0.25">
      <c r="A457" s="1">
        <v>45568</v>
      </c>
      <c r="B457" s="2">
        <v>48496.75</v>
      </c>
      <c r="C457" s="2">
        <f t="shared" si="14"/>
        <v>-79.319999999999709</v>
      </c>
      <c r="D457" s="2">
        <v>88561.18</v>
      </c>
      <c r="E457" s="2">
        <f t="shared" si="15"/>
        <v>38.389999999999418</v>
      </c>
    </row>
    <row r="458" spans="1:5" x14ac:dyDescent="0.25">
      <c r="A458" s="1">
        <v>45569</v>
      </c>
      <c r="B458" s="2">
        <v>48431.07</v>
      </c>
      <c r="C458" s="2">
        <f t="shared" si="14"/>
        <v>-65.680000000000291</v>
      </c>
      <c r="D458" s="2">
        <v>88537.75</v>
      </c>
      <c r="E458" s="2">
        <f t="shared" si="15"/>
        <v>-23.429999999993015</v>
      </c>
    </row>
    <row r="459" spans="1:5" x14ac:dyDescent="0.25">
      <c r="A459" s="1">
        <v>45572</v>
      </c>
      <c r="B459" s="2">
        <v>48648.800999999999</v>
      </c>
      <c r="C459" s="2">
        <f t="shared" si="14"/>
        <v>217.73099999999977</v>
      </c>
      <c r="D459" s="2">
        <v>88637.82</v>
      </c>
      <c r="E459" s="2">
        <f t="shared" si="15"/>
        <v>100.07000000000698</v>
      </c>
    </row>
    <row r="460" spans="1:5" x14ac:dyDescent="0.25">
      <c r="A460" s="1">
        <v>45573</v>
      </c>
      <c r="B460" s="2">
        <v>48872.781000000003</v>
      </c>
      <c r="C460" s="2">
        <f t="shared" si="14"/>
        <v>223.9800000000032</v>
      </c>
      <c r="D460" s="2">
        <v>88645.27</v>
      </c>
      <c r="E460" s="2">
        <f t="shared" si="15"/>
        <v>7.4499999999970896</v>
      </c>
    </row>
    <row r="461" spans="1:5" x14ac:dyDescent="0.25">
      <c r="A461" s="1">
        <v>45574</v>
      </c>
      <c r="B461" s="2">
        <v>48190.34</v>
      </c>
      <c r="C461" s="2">
        <f t="shared" si="14"/>
        <v>-682.44100000000617</v>
      </c>
      <c r="D461" s="2">
        <v>88453.46</v>
      </c>
      <c r="E461" s="2">
        <f t="shared" si="15"/>
        <v>-191.80999999999767</v>
      </c>
    </row>
    <row r="462" spans="1:5" x14ac:dyDescent="0.25">
      <c r="A462" s="1">
        <v>45575</v>
      </c>
      <c r="B462" s="2">
        <v>48075.5</v>
      </c>
      <c r="C462" s="2">
        <f t="shared" si="14"/>
        <v>-114.83999999999651</v>
      </c>
      <c r="D462" s="2">
        <v>88537.89</v>
      </c>
      <c r="E462" s="2">
        <f t="shared" si="15"/>
        <v>84.429999999993015</v>
      </c>
    </row>
    <row r="463" spans="1:5" x14ac:dyDescent="0.25">
      <c r="A463" s="1">
        <v>45576</v>
      </c>
      <c r="B463" s="2">
        <v>47579.101999999999</v>
      </c>
      <c r="C463" s="2">
        <f t="shared" si="14"/>
        <v>-496.39800000000105</v>
      </c>
      <c r="D463" s="2">
        <v>88668.03</v>
      </c>
      <c r="E463" s="2">
        <f t="shared" si="15"/>
        <v>130.13999999999942</v>
      </c>
    </row>
    <row r="464" spans="1:5" x14ac:dyDescent="0.25">
      <c r="A464" s="1">
        <v>45579</v>
      </c>
      <c r="B464" s="2">
        <v>48120.75</v>
      </c>
      <c r="C464" s="2">
        <f t="shared" si="14"/>
        <v>541.64800000000105</v>
      </c>
      <c r="D464" s="2">
        <v>88706.29</v>
      </c>
      <c r="E464" s="2">
        <f t="shared" si="15"/>
        <v>38.259999999994761</v>
      </c>
    </row>
    <row r="465" spans="1:5" x14ac:dyDescent="0.25">
      <c r="A465" s="1">
        <v>45580</v>
      </c>
      <c r="B465" s="2">
        <v>47883.16</v>
      </c>
      <c r="C465" s="2">
        <f t="shared" si="14"/>
        <v>-237.58999999999651</v>
      </c>
      <c r="D465" s="2">
        <v>88592.25</v>
      </c>
      <c r="E465" s="2">
        <f t="shared" si="15"/>
        <v>-114.0399999999936</v>
      </c>
    </row>
    <row r="466" spans="1:5" x14ac:dyDescent="0.25">
      <c r="A466" s="1">
        <v>45581</v>
      </c>
      <c r="B466" s="2">
        <v>47605.648000000001</v>
      </c>
      <c r="C466" s="2">
        <f t="shared" si="14"/>
        <v>-277.51200000000244</v>
      </c>
      <c r="D466" s="2">
        <v>88706.6</v>
      </c>
      <c r="E466" s="2">
        <f t="shared" si="15"/>
        <v>114.35000000000582</v>
      </c>
    </row>
    <row r="467" spans="1:5" x14ac:dyDescent="0.25">
      <c r="A467" s="1">
        <v>45582</v>
      </c>
      <c r="B467" s="2">
        <v>47413.141000000003</v>
      </c>
      <c r="C467" s="2">
        <f t="shared" si="14"/>
        <v>-192.50699999999779</v>
      </c>
      <c r="D467" s="2">
        <v>88851.15</v>
      </c>
      <c r="E467" s="2">
        <f t="shared" si="15"/>
        <v>144.54999999998836</v>
      </c>
    </row>
    <row r="468" spans="1:5" x14ac:dyDescent="0.25">
      <c r="A468" s="1">
        <v>45583</v>
      </c>
      <c r="B468" s="2">
        <v>47309.41</v>
      </c>
      <c r="C468" s="2">
        <f t="shared" si="14"/>
        <v>-103.73099999999977</v>
      </c>
      <c r="D468" s="2">
        <v>88813.33</v>
      </c>
      <c r="E468" s="2">
        <f t="shared" si="15"/>
        <v>-37.819999999992433</v>
      </c>
    </row>
    <row r="469" spans="1:5" x14ac:dyDescent="0.25">
      <c r="A469" s="1">
        <v>45586</v>
      </c>
      <c r="B469" s="2">
        <v>47484.620999999999</v>
      </c>
      <c r="C469" s="2">
        <f t="shared" si="14"/>
        <v>175.21099999999569</v>
      </c>
      <c r="D469" s="2">
        <v>88806.04</v>
      </c>
      <c r="E469" s="2">
        <f t="shared" si="15"/>
        <v>-7.2900000000081491</v>
      </c>
    </row>
    <row r="470" spans="1:5" x14ac:dyDescent="0.25">
      <c r="A470" s="1">
        <v>45587</v>
      </c>
      <c r="B470" s="2">
        <v>47574.77</v>
      </c>
      <c r="C470" s="2">
        <f t="shared" si="14"/>
        <v>90.148999999997613</v>
      </c>
      <c r="D470" s="2">
        <v>88783.81</v>
      </c>
      <c r="E470" s="2">
        <f t="shared" si="15"/>
        <v>-22.229999999995925</v>
      </c>
    </row>
    <row r="471" spans="1:5" x14ac:dyDescent="0.25">
      <c r="A471" s="1">
        <v>45588</v>
      </c>
      <c r="B471" s="2">
        <v>47408.879000000001</v>
      </c>
      <c r="C471" s="2">
        <f t="shared" si="14"/>
        <v>-165.89099999999598</v>
      </c>
      <c r="D471" s="2">
        <v>88806.92</v>
      </c>
      <c r="E471" s="2">
        <f t="shared" si="15"/>
        <v>23.110000000000582</v>
      </c>
    </row>
    <row r="472" spans="1:5" x14ac:dyDescent="0.25">
      <c r="A472" s="1">
        <v>45589</v>
      </c>
      <c r="B472" s="2">
        <v>47989.940999999999</v>
      </c>
      <c r="C472" s="2">
        <f t="shared" si="14"/>
        <v>581.06199999999808</v>
      </c>
      <c r="D472" s="2">
        <v>89055.79</v>
      </c>
      <c r="E472" s="2">
        <f t="shared" si="15"/>
        <v>248.86999999999534</v>
      </c>
    </row>
    <row r="473" spans="1:5" x14ac:dyDescent="0.25">
      <c r="A473" s="1">
        <v>45590</v>
      </c>
      <c r="B473" s="2">
        <v>47887.461000000003</v>
      </c>
      <c r="C473" s="2">
        <f t="shared" si="14"/>
        <v>-102.47999999999593</v>
      </c>
      <c r="D473" s="2">
        <v>89018.31</v>
      </c>
      <c r="E473" s="2">
        <f t="shared" si="15"/>
        <v>-37.479999999995925</v>
      </c>
    </row>
    <row r="474" spans="1:5" x14ac:dyDescent="0.25">
      <c r="A474" s="1">
        <v>45593</v>
      </c>
      <c r="B474" s="2">
        <v>47777.629000000001</v>
      </c>
      <c r="C474" s="2">
        <f t="shared" si="14"/>
        <v>-109.83200000000215</v>
      </c>
      <c r="D474" s="2">
        <v>88921.21</v>
      </c>
      <c r="E474" s="2">
        <f t="shared" si="15"/>
        <v>-97.099999999991269</v>
      </c>
    </row>
    <row r="475" spans="1:5" x14ac:dyDescent="0.25">
      <c r="A475" s="1">
        <v>45594</v>
      </c>
      <c r="B475" s="2">
        <v>47572.629000000001</v>
      </c>
      <c r="C475" s="2">
        <f t="shared" si="14"/>
        <v>-205</v>
      </c>
      <c r="D475" s="2">
        <v>88765.2</v>
      </c>
      <c r="E475" s="2">
        <f t="shared" si="15"/>
        <v>-156.01000000000931</v>
      </c>
    </row>
    <row r="476" spans="1:5" x14ac:dyDescent="0.25">
      <c r="A476" s="1">
        <v>45595</v>
      </c>
      <c r="B476" s="2">
        <v>47711.858999999997</v>
      </c>
      <c r="C476" s="2">
        <f t="shared" si="14"/>
        <v>139.22999999999593</v>
      </c>
      <c r="D476" s="2">
        <v>88744.02</v>
      </c>
      <c r="E476" s="2">
        <f t="shared" si="15"/>
        <v>-21.179999999993015</v>
      </c>
    </row>
    <row r="477" spans="1:5" x14ac:dyDescent="0.25">
      <c r="A477" s="1">
        <v>45596</v>
      </c>
      <c r="B477" s="2">
        <v>47564.27</v>
      </c>
      <c r="C477" s="2">
        <f t="shared" si="14"/>
        <v>-147.58899999999994</v>
      </c>
      <c r="D477" s="2">
        <v>88708.24</v>
      </c>
      <c r="E477" s="2">
        <f t="shared" si="15"/>
        <v>-35.779999999998836</v>
      </c>
    </row>
    <row r="478" spans="1:5" x14ac:dyDescent="0.25">
      <c r="A478" s="1">
        <v>45597</v>
      </c>
      <c r="B478" s="2">
        <v>46803.578000000001</v>
      </c>
      <c r="C478" s="2">
        <f t="shared" si="14"/>
        <v>-760.69199999999546</v>
      </c>
      <c r="D478" s="2">
        <v>88554.73</v>
      </c>
      <c r="E478" s="2">
        <f t="shared" si="15"/>
        <v>-153.51000000000931</v>
      </c>
    </row>
    <row r="479" spans="1:5" x14ac:dyDescent="0.25">
      <c r="A479" s="1">
        <v>45600</v>
      </c>
      <c r="B479" s="2">
        <v>47448.120999999999</v>
      </c>
      <c r="C479" s="2">
        <f t="shared" si="14"/>
        <v>644.54299999999785</v>
      </c>
      <c r="D479" s="2">
        <v>88755.49</v>
      </c>
      <c r="E479" s="2">
        <f t="shared" si="15"/>
        <v>200.76000000000931</v>
      </c>
    </row>
    <row r="480" spans="1:5" x14ac:dyDescent="0.25">
      <c r="A480" s="1">
        <v>45601</v>
      </c>
      <c r="B480" s="2">
        <v>47609.898000000001</v>
      </c>
      <c r="C480" s="2">
        <f t="shared" si="14"/>
        <v>161.77700000000186</v>
      </c>
      <c r="D480" s="2">
        <v>88838.06</v>
      </c>
      <c r="E480" s="2">
        <f t="shared" si="15"/>
        <v>82.569999999992433</v>
      </c>
    </row>
    <row r="481" spans="1:5" x14ac:dyDescent="0.25">
      <c r="A481" s="1">
        <v>45602</v>
      </c>
      <c r="B481" s="2">
        <v>47743.718999999997</v>
      </c>
      <c r="C481" s="2">
        <f t="shared" si="14"/>
        <v>133.82099999999627</v>
      </c>
      <c r="D481" s="2">
        <v>88832.17</v>
      </c>
      <c r="E481" s="2">
        <f t="shared" si="15"/>
        <v>-5.8899999999994179</v>
      </c>
    </row>
    <row r="482" spans="1:5" x14ac:dyDescent="0.25">
      <c r="A482" s="1">
        <v>45603</v>
      </c>
      <c r="B482" s="2">
        <v>48020.391000000003</v>
      </c>
      <c r="C482" s="2">
        <f t="shared" si="14"/>
        <v>276.67200000000594</v>
      </c>
      <c r="D482" s="2">
        <v>88958.58</v>
      </c>
      <c r="E482" s="2">
        <f t="shared" si="15"/>
        <v>126.41000000000349</v>
      </c>
    </row>
    <row r="483" spans="1:5" x14ac:dyDescent="0.25">
      <c r="A483" s="1">
        <v>45604</v>
      </c>
      <c r="B483" s="2">
        <v>47942.18</v>
      </c>
      <c r="C483" s="2">
        <f t="shared" si="14"/>
        <v>-78.211000000002969</v>
      </c>
      <c r="D483" s="2">
        <v>89070.080000000002</v>
      </c>
      <c r="E483" s="2">
        <f t="shared" si="15"/>
        <v>111.5</v>
      </c>
    </row>
    <row r="484" spans="1:5" x14ac:dyDescent="0.25">
      <c r="A484" s="1">
        <v>45607</v>
      </c>
      <c r="B484" s="2">
        <v>47869.421999999999</v>
      </c>
      <c r="C484" s="2">
        <f t="shared" si="14"/>
        <v>-72.75800000000163</v>
      </c>
      <c r="D484" s="2">
        <v>88990.73</v>
      </c>
      <c r="E484" s="2">
        <f t="shared" si="15"/>
        <v>-79.350000000005821</v>
      </c>
    </row>
    <row r="485" spans="1:5" x14ac:dyDescent="0.25">
      <c r="A485" s="1">
        <v>45608</v>
      </c>
      <c r="B485" s="2">
        <v>47547.699000000001</v>
      </c>
      <c r="C485" s="2">
        <f t="shared" si="14"/>
        <v>-321.72299999999814</v>
      </c>
      <c r="D485" s="2">
        <v>88809.98</v>
      </c>
      <c r="E485" s="2">
        <f t="shared" si="15"/>
        <v>-180.75</v>
      </c>
    </row>
    <row r="486" spans="1:5" x14ac:dyDescent="0.25">
      <c r="A486" s="1">
        <v>45609</v>
      </c>
      <c r="B486" s="2">
        <v>47435.23</v>
      </c>
      <c r="C486" s="2">
        <f t="shared" si="14"/>
        <v>-112.46899999999732</v>
      </c>
      <c r="D486" s="2">
        <v>88732.22</v>
      </c>
      <c r="E486" s="2">
        <f t="shared" si="15"/>
        <v>-77.759999999994761</v>
      </c>
    </row>
    <row r="487" spans="1:5" x14ac:dyDescent="0.25">
      <c r="A487" s="1">
        <v>45610</v>
      </c>
      <c r="B487" s="2">
        <v>47496.608999999997</v>
      </c>
      <c r="C487" s="2">
        <f t="shared" si="14"/>
        <v>61.378999999993539</v>
      </c>
      <c r="D487" s="2">
        <v>88770.75</v>
      </c>
      <c r="E487" s="2">
        <f t="shared" si="15"/>
        <v>38.529999999998836</v>
      </c>
    </row>
    <row r="488" spans="1:5" x14ac:dyDescent="0.25">
      <c r="A488" s="1">
        <v>45614</v>
      </c>
      <c r="B488" s="2">
        <v>47326.038999999997</v>
      </c>
      <c r="C488" s="2">
        <f t="shared" si="14"/>
        <v>-170.56999999999971</v>
      </c>
      <c r="D488" s="2">
        <v>88650.49</v>
      </c>
      <c r="E488" s="2">
        <f t="shared" si="15"/>
        <v>-120.25999999999476</v>
      </c>
    </row>
    <row r="489" spans="1:5" x14ac:dyDescent="0.25">
      <c r="A489" s="1">
        <v>45615</v>
      </c>
      <c r="B489" s="2">
        <v>47504.512000000002</v>
      </c>
      <c r="C489" s="2">
        <f t="shared" si="14"/>
        <v>178.47300000000541</v>
      </c>
      <c r="D489" s="2">
        <v>88833.25</v>
      </c>
      <c r="E489" s="2">
        <f t="shared" si="15"/>
        <v>182.75999999999476</v>
      </c>
    </row>
    <row r="490" spans="1:5" x14ac:dyDescent="0.25">
      <c r="A490" s="1">
        <v>45617</v>
      </c>
      <c r="B490" s="2">
        <v>47650.262000000002</v>
      </c>
      <c r="C490" s="2">
        <f t="shared" si="14"/>
        <v>145.75</v>
      </c>
      <c r="D490" s="2">
        <v>89068.35</v>
      </c>
      <c r="E490" s="2">
        <f t="shared" si="15"/>
        <v>235.10000000000582</v>
      </c>
    </row>
    <row r="491" spans="1:5" x14ac:dyDescent="0.25">
      <c r="A491" s="1">
        <v>45618</v>
      </c>
      <c r="B491" s="2">
        <v>47540.550999999999</v>
      </c>
      <c r="C491" s="2">
        <f t="shared" si="14"/>
        <v>-109.71100000000297</v>
      </c>
      <c r="D491" s="2">
        <v>88991.41</v>
      </c>
      <c r="E491" s="2">
        <f t="shared" si="15"/>
        <v>-76.940000000002328</v>
      </c>
    </row>
    <row r="492" spans="1:5" x14ac:dyDescent="0.25">
      <c r="A492" s="1">
        <v>45621</v>
      </c>
      <c r="B492" s="2">
        <v>47819.440999999999</v>
      </c>
      <c r="C492" s="2">
        <f t="shared" si="14"/>
        <v>278.88999999999942</v>
      </c>
      <c r="D492" s="2">
        <v>89015.27</v>
      </c>
      <c r="E492" s="2">
        <f t="shared" si="15"/>
        <v>23.860000000000582</v>
      </c>
    </row>
    <row r="493" spans="1:5" x14ac:dyDescent="0.25">
      <c r="A493" s="1">
        <v>45622</v>
      </c>
      <c r="B493" s="2">
        <v>47909.288999999997</v>
      </c>
      <c r="C493" s="2">
        <f t="shared" si="14"/>
        <v>89.847999999998137</v>
      </c>
      <c r="D493" s="2">
        <v>88996.26</v>
      </c>
      <c r="E493" s="2">
        <f t="shared" si="15"/>
        <v>-19.010000000009313</v>
      </c>
    </row>
    <row r="494" spans="1:5" x14ac:dyDescent="0.25">
      <c r="A494" s="1">
        <v>45623</v>
      </c>
      <c r="B494" s="2">
        <v>46892.559000000001</v>
      </c>
      <c r="C494" s="2">
        <f t="shared" si="14"/>
        <v>-1016.7299999999959</v>
      </c>
      <c r="D494" s="2">
        <v>88806.73</v>
      </c>
      <c r="E494" s="2">
        <f t="shared" si="15"/>
        <v>-189.52999999999884</v>
      </c>
    </row>
    <row r="495" spans="1:5" x14ac:dyDescent="0.25">
      <c r="A495" s="1">
        <v>45624</v>
      </c>
      <c r="B495" s="2">
        <v>46174.211000000003</v>
      </c>
      <c r="C495" s="2">
        <f t="shared" si="14"/>
        <v>-718.34799999999814</v>
      </c>
      <c r="D495" s="2">
        <v>88873.68</v>
      </c>
      <c r="E495" s="2">
        <f t="shared" si="15"/>
        <v>66.94999999999709</v>
      </c>
    </row>
    <row r="496" spans="1:5" x14ac:dyDescent="0.25">
      <c r="A496" s="1">
        <v>45625</v>
      </c>
      <c r="B496" s="2">
        <v>46190.25</v>
      </c>
      <c r="C496" s="2">
        <f t="shared" si="14"/>
        <v>16.038999999997031</v>
      </c>
      <c r="D496" s="2">
        <v>88714.26</v>
      </c>
      <c r="E496" s="2">
        <f t="shared" si="15"/>
        <v>-159.41999999999825</v>
      </c>
    </row>
    <row r="497" spans="1:5" x14ac:dyDescent="0.25">
      <c r="A497" s="1">
        <v>45628</v>
      </c>
      <c r="B497" s="2">
        <v>46086.16</v>
      </c>
      <c r="C497" s="2">
        <f t="shared" si="14"/>
        <v>-104.08999999999651</v>
      </c>
      <c r="D497" s="2">
        <v>88865.85</v>
      </c>
      <c r="E497" s="2">
        <f t="shared" si="15"/>
        <v>151.59000000001106</v>
      </c>
    </row>
    <row r="498" spans="1:5" x14ac:dyDescent="0.25">
      <c r="A498" s="1">
        <v>45629</v>
      </c>
      <c r="B498" s="2">
        <v>45403.620999999999</v>
      </c>
      <c r="C498" s="2">
        <f t="shared" si="14"/>
        <v>-682.53900000000431</v>
      </c>
      <c r="D498" s="2">
        <v>88637.34</v>
      </c>
      <c r="E498" s="2">
        <f t="shared" si="15"/>
        <v>-228.51000000000931</v>
      </c>
    </row>
    <row r="499" spans="1:5" x14ac:dyDescent="0.25">
      <c r="A499" s="1">
        <v>45630</v>
      </c>
      <c r="B499" s="2">
        <v>45533.120999999999</v>
      </c>
      <c r="C499" s="2">
        <f t="shared" si="14"/>
        <v>129.5</v>
      </c>
      <c r="D499" s="2">
        <v>88564.45</v>
      </c>
      <c r="E499" s="2">
        <f t="shared" si="15"/>
        <v>-72.889999999999418</v>
      </c>
    </row>
    <row r="500" spans="1:5" x14ac:dyDescent="0.25">
      <c r="A500" s="1">
        <v>45631</v>
      </c>
      <c r="B500" s="2">
        <v>45636.309000000001</v>
      </c>
      <c r="C500" s="2">
        <f t="shared" si="14"/>
        <v>103.18800000000192</v>
      </c>
      <c r="D500" s="2">
        <v>88506.07</v>
      </c>
      <c r="E500" s="2">
        <f t="shared" si="15"/>
        <v>-58.379999999990105</v>
      </c>
    </row>
    <row r="501" spans="1:5" x14ac:dyDescent="0.25">
      <c r="A501" s="1">
        <v>45632</v>
      </c>
      <c r="B501" s="2">
        <v>44958.690999999999</v>
      </c>
      <c r="C501" s="2">
        <f t="shared" si="14"/>
        <v>-677.61800000000221</v>
      </c>
      <c r="D501" s="2">
        <v>88268.14</v>
      </c>
      <c r="E501" s="2">
        <f t="shared" si="15"/>
        <v>-237.93000000000757</v>
      </c>
    </row>
    <row r="502" spans="1:5" x14ac:dyDescent="0.25">
      <c r="A502" s="1">
        <v>45635</v>
      </c>
      <c r="B502" s="2">
        <v>44522.718999999997</v>
      </c>
      <c r="C502" s="2">
        <f t="shared" si="14"/>
        <v>-435.97200000000157</v>
      </c>
      <c r="D502" s="2">
        <v>88183.8</v>
      </c>
      <c r="E502" s="2">
        <f t="shared" si="15"/>
        <v>-84.339999999996508</v>
      </c>
    </row>
    <row r="503" spans="1:5" x14ac:dyDescent="0.25">
      <c r="A503" s="1">
        <v>45636</v>
      </c>
      <c r="B503" s="2">
        <v>45471.199000000001</v>
      </c>
      <c r="C503" s="2">
        <f t="shared" si="14"/>
        <v>948.4800000000032</v>
      </c>
      <c r="D503" s="2">
        <v>88388.88</v>
      </c>
      <c r="E503" s="2">
        <f t="shared" si="15"/>
        <v>205.08000000000175</v>
      </c>
    </row>
    <row r="504" spans="1:5" x14ac:dyDescent="0.25">
      <c r="A504" s="1">
        <v>45637</v>
      </c>
      <c r="B504" s="2">
        <v>45914.559000000001</v>
      </c>
      <c r="C504" s="2">
        <f t="shared" si="14"/>
        <v>443.36000000000058</v>
      </c>
      <c r="D504" s="2">
        <v>88511.05</v>
      </c>
      <c r="E504" s="2">
        <f t="shared" si="15"/>
        <v>122.16999999999825</v>
      </c>
    </row>
    <row r="505" spans="1:5" x14ac:dyDescent="0.25">
      <c r="A505" s="1">
        <v>45638</v>
      </c>
      <c r="B505" s="2">
        <v>45790.52</v>
      </c>
      <c r="C505" s="2">
        <f t="shared" si="14"/>
        <v>-124.03900000000431</v>
      </c>
      <c r="D505" s="2">
        <v>87839.73</v>
      </c>
      <c r="E505" s="2">
        <f t="shared" si="15"/>
        <v>-671.32000000000698</v>
      </c>
    </row>
    <row r="506" spans="1:5" x14ac:dyDescent="0.25">
      <c r="A506" s="1">
        <v>45639</v>
      </c>
      <c r="B506" s="2">
        <v>44866.870999999999</v>
      </c>
      <c r="C506" s="2">
        <f t="shared" si="14"/>
        <v>-923.64899999999761</v>
      </c>
      <c r="D506" s="2">
        <v>87799.07</v>
      </c>
      <c r="E506" s="2">
        <f t="shared" si="15"/>
        <v>-40.659999999988941</v>
      </c>
    </row>
    <row r="507" spans="1:5" x14ac:dyDescent="0.25">
      <c r="A507" s="1">
        <v>45642</v>
      </c>
      <c r="B507" s="2">
        <v>43688.93</v>
      </c>
      <c r="C507" s="2">
        <f t="shared" si="14"/>
        <v>-1177.9409999999989</v>
      </c>
      <c r="D507" s="2">
        <v>87650.98</v>
      </c>
      <c r="E507" s="2">
        <f t="shared" si="15"/>
        <v>-148.09000000001106</v>
      </c>
    </row>
    <row r="508" spans="1:5" x14ac:dyDescent="0.25">
      <c r="A508" s="1">
        <v>45643</v>
      </c>
      <c r="B508" s="2">
        <v>43728.851999999999</v>
      </c>
      <c r="C508" s="2">
        <f t="shared" si="14"/>
        <v>39.921999999998661</v>
      </c>
      <c r="D508" s="2">
        <v>87665.12</v>
      </c>
      <c r="E508" s="2">
        <f t="shared" si="15"/>
        <v>14.139999999999418</v>
      </c>
    </row>
    <row r="509" spans="1:5" x14ac:dyDescent="0.25">
      <c r="A509" s="1">
        <v>45644</v>
      </c>
      <c r="B509" s="2">
        <v>42612.538999999997</v>
      </c>
      <c r="C509" s="2">
        <f t="shared" si="14"/>
        <v>-1116.3130000000019</v>
      </c>
      <c r="D509" s="2">
        <v>87278.79</v>
      </c>
      <c r="E509" s="2">
        <f t="shared" si="15"/>
        <v>-386.33000000000175</v>
      </c>
    </row>
    <row r="510" spans="1:5" x14ac:dyDescent="0.25">
      <c r="A510" s="1">
        <v>45645</v>
      </c>
      <c r="B510" s="2">
        <v>44051.781000000003</v>
      </c>
      <c r="C510" s="2">
        <f t="shared" si="14"/>
        <v>1439.2420000000056</v>
      </c>
      <c r="D510" s="2">
        <v>87827.47</v>
      </c>
      <c r="E510" s="2">
        <f t="shared" si="15"/>
        <v>548.68000000000757</v>
      </c>
    </row>
    <row r="511" spans="1:5" x14ac:dyDescent="0.25">
      <c r="A511" s="1">
        <v>45646</v>
      </c>
      <c r="B511" s="2">
        <v>45073.120999999999</v>
      </c>
      <c r="C511" s="2">
        <f t="shared" si="14"/>
        <v>1021.3399999999965</v>
      </c>
      <c r="D511" s="2">
        <v>88271.06</v>
      </c>
      <c r="E511" s="2">
        <f t="shared" si="15"/>
        <v>443.58999999999651</v>
      </c>
    </row>
    <row r="512" spans="1:5" x14ac:dyDescent="0.25">
      <c r="A512" s="1">
        <v>45649</v>
      </c>
      <c r="B512" s="2">
        <v>44173.34</v>
      </c>
      <c r="C512" s="2">
        <f t="shared" si="14"/>
        <v>-899.78100000000268</v>
      </c>
      <c r="D512" s="2">
        <v>88123.05</v>
      </c>
      <c r="E512" s="2">
        <f t="shared" si="15"/>
        <v>-148.00999999999476</v>
      </c>
    </row>
    <row r="513" spans="1:5" x14ac:dyDescent="0.25">
      <c r="A513" s="1">
        <v>45652</v>
      </c>
      <c r="B513" s="2">
        <v>43479.898000000001</v>
      </c>
      <c r="C513" s="2">
        <f t="shared" si="14"/>
        <v>-693.44199999999546</v>
      </c>
      <c r="D513" s="2">
        <v>88190.25</v>
      </c>
      <c r="E513" s="2">
        <f t="shared" si="15"/>
        <v>67.19999999999709</v>
      </c>
    </row>
    <row r="514" spans="1:5" x14ac:dyDescent="0.25">
      <c r="A514" s="1">
        <v>45653</v>
      </c>
      <c r="B514" s="2">
        <v>42863.608999999997</v>
      </c>
      <c r="C514" s="2">
        <f t="shared" si="14"/>
        <v>-616.28900000000431</v>
      </c>
      <c r="D514" s="2">
        <v>88337.19</v>
      </c>
      <c r="E514" s="2">
        <f t="shared" si="15"/>
        <v>146.94000000000233</v>
      </c>
    </row>
    <row r="515" spans="1:5" x14ac:dyDescent="0.25">
      <c r="A515" s="1">
        <v>45656</v>
      </c>
      <c r="B515" s="2">
        <v>42455.309000000001</v>
      </c>
      <c r="C515" s="2">
        <f t="shared" ref="C515:C543" si="16">IFERROR(B515-B514,0)</f>
        <v>-408.29999999999563</v>
      </c>
      <c r="D515" s="2">
        <v>88297.27</v>
      </c>
      <c r="E515" s="2">
        <f t="shared" ref="E515:E543" si="17">IFERROR(D515-D514,0)</f>
        <v>-39.919999999998254</v>
      </c>
    </row>
    <row r="516" spans="1:5" x14ac:dyDescent="0.25">
      <c r="A516" s="1">
        <v>45659</v>
      </c>
      <c r="B516" s="2">
        <v>42922.788999999997</v>
      </c>
      <c r="C516" s="2">
        <f t="shared" si="16"/>
        <v>467.47999999999593</v>
      </c>
      <c r="D516" s="2">
        <v>88510.14</v>
      </c>
      <c r="E516" s="2">
        <f t="shared" si="17"/>
        <v>212.86999999999534</v>
      </c>
    </row>
    <row r="517" spans="1:5" x14ac:dyDescent="0.25">
      <c r="A517" s="1">
        <v>45660</v>
      </c>
      <c r="B517" s="2">
        <v>43406.737999999998</v>
      </c>
      <c r="C517" s="2">
        <f t="shared" si="16"/>
        <v>483.94900000000052</v>
      </c>
      <c r="D517" s="2">
        <v>88682.69</v>
      </c>
      <c r="E517" s="2">
        <f t="shared" si="17"/>
        <v>172.55000000000291</v>
      </c>
    </row>
    <row r="518" spans="1:5" x14ac:dyDescent="0.25">
      <c r="A518" s="1">
        <v>45663</v>
      </c>
      <c r="B518" s="2">
        <v>43964.629000000001</v>
      </c>
      <c r="C518" s="2">
        <f t="shared" si="16"/>
        <v>557.89100000000326</v>
      </c>
      <c r="D518" s="2">
        <v>88894.92</v>
      </c>
      <c r="E518" s="2">
        <f t="shared" si="17"/>
        <v>212.22999999999593</v>
      </c>
    </row>
    <row r="519" spans="1:5" x14ac:dyDescent="0.25">
      <c r="A519" s="1">
        <v>45664</v>
      </c>
      <c r="B519" s="2">
        <v>43752.620999999999</v>
      </c>
      <c r="C519" s="2">
        <f t="shared" si="16"/>
        <v>-212.00800000000163</v>
      </c>
      <c r="D519" s="2">
        <v>88880.86</v>
      </c>
      <c r="E519" s="2">
        <f t="shared" si="17"/>
        <v>-14.059999999997672</v>
      </c>
    </row>
    <row r="520" spans="1:5" x14ac:dyDescent="0.25">
      <c r="A520" s="1">
        <v>45665</v>
      </c>
      <c r="B520" s="2">
        <v>43501.711000000003</v>
      </c>
      <c r="C520" s="2">
        <f t="shared" si="16"/>
        <v>-250.90999999999622</v>
      </c>
      <c r="D520" s="2">
        <v>88959.74</v>
      </c>
      <c r="E520" s="2">
        <f t="shared" si="17"/>
        <v>78.880000000004657</v>
      </c>
    </row>
    <row r="521" spans="1:5" x14ac:dyDescent="0.25">
      <c r="A521" s="1">
        <v>45666</v>
      </c>
      <c r="B521" s="2">
        <v>43728.601999999999</v>
      </c>
      <c r="C521" s="2">
        <f t="shared" si="16"/>
        <v>226.89099999999598</v>
      </c>
      <c r="D521" s="2">
        <v>88813.8</v>
      </c>
      <c r="E521" s="2">
        <f t="shared" si="17"/>
        <v>-145.94000000000233</v>
      </c>
    </row>
    <row r="522" spans="1:5" x14ac:dyDescent="0.25">
      <c r="A522" s="1">
        <v>45667</v>
      </c>
      <c r="B522" s="2">
        <v>43179.16</v>
      </c>
      <c r="C522" s="2">
        <f t="shared" si="16"/>
        <v>-549.44199999999546</v>
      </c>
      <c r="D522" s="2">
        <v>88747.91</v>
      </c>
      <c r="E522" s="2">
        <f t="shared" si="17"/>
        <v>-65.889999999999418</v>
      </c>
    </row>
    <row r="523" spans="1:5" x14ac:dyDescent="0.25">
      <c r="A523" s="1">
        <v>45670</v>
      </c>
      <c r="B523" s="2">
        <v>43205.641000000003</v>
      </c>
      <c r="C523" s="2">
        <f t="shared" si="16"/>
        <v>26.480999999999767</v>
      </c>
      <c r="D523" s="2">
        <v>88774.27</v>
      </c>
      <c r="E523" s="2">
        <f t="shared" si="17"/>
        <v>26.360000000000582</v>
      </c>
    </row>
    <row r="524" spans="1:5" x14ac:dyDescent="0.25">
      <c r="A524" s="1">
        <v>45671</v>
      </c>
      <c r="B524" s="2">
        <v>43576.120999999999</v>
      </c>
      <c r="C524" s="2">
        <f t="shared" si="16"/>
        <v>370.47999999999593</v>
      </c>
      <c r="D524" s="2">
        <v>88787.55</v>
      </c>
      <c r="E524" s="2">
        <f t="shared" si="17"/>
        <v>13.279999999998836</v>
      </c>
    </row>
    <row r="525" spans="1:5" x14ac:dyDescent="0.25">
      <c r="A525" s="1">
        <v>45672</v>
      </c>
      <c r="B525" s="2">
        <v>44361.940999999999</v>
      </c>
      <c r="C525" s="2">
        <f t="shared" si="16"/>
        <v>785.81999999999971</v>
      </c>
      <c r="D525" s="2">
        <v>88866.17</v>
      </c>
      <c r="E525" s="2">
        <f t="shared" si="17"/>
        <v>78.619999999995343</v>
      </c>
    </row>
    <row r="526" spans="1:5" x14ac:dyDescent="0.25">
      <c r="A526" s="1">
        <v>45673</v>
      </c>
      <c r="B526" s="2">
        <v>43811.309000000001</v>
      </c>
      <c r="C526" s="2">
        <f t="shared" si="16"/>
        <v>-550.63199999999779</v>
      </c>
      <c r="D526" s="2">
        <v>88840.37</v>
      </c>
      <c r="E526" s="2">
        <f t="shared" si="17"/>
        <v>-25.80000000000291</v>
      </c>
    </row>
    <row r="527" spans="1:5" x14ac:dyDescent="0.25">
      <c r="A527" s="1">
        <v>45674</v>
      </c>
      <c r="B527" s="2">
        <v>43420.809000000001</v>
      </c>
      <c r="C527" s="2">
        <f t="shared" si="16"/>
        <v>-390.5</v>
      </c>
      <c r="D527" s="2">
        <v>88853.79</v>
      </c>
      <c r="E527" s="2">
        <f t="shared" si="17"/>
        <v>13.419999999998254</v>
      </c>
    </row>
    <row r="528" spans="1:5" x14ac:dyDescent="0.25">
      <c r="A528" s="1">
        <v>45677</v>
      </c>
      <c r="B528" s="2">
        <v>43814.781000000003</v>
      </c>
      <c r="C528" s="2">
        <f t="shared" si="16"/>
        <v>393.97200000000157</v>
      </c>
      <c r="D528" s="2">
        <v>88815.5</v>
      </c>
      <c r="E528" s="2">
        <f t="shared" si="17"/>
        <v>-38.289999999993597</v>
      </c>
    </row>
    <row r="529" spans="1:5" x14ac:dyDescent="0.25">
      <c r="A529" s="1">
        <v>45678</v>
      </c>
      <c r="B529" s="2">
        <v>43746.879000000001</v>
      </c>
      <c r="C529" s="2">
        <f t="shared" si="16"/>
        <v>-67.902000000001863</v>
      </c>
      <c r="D529" s="2">
        <v>88687.37</v>
      </c>
      <c r="E529" s="2">
        <f t="shared" si="17"/>
        <v>-128.13000000000466</v>
      </c>
    </row>
    <row r="530" spans="1:5" x14ac:dyDescent="0.25">
      <c r="A530" s="1">
        <v>45679</v>
      </c>
      <c r="B530" s="2">
        <v>43969.309000000001</v>
      </c>
      <c r="C530" s="2">
        <f t="shared" si="16"/>
        <v>222.43000000000029</v>
      </c>
      <c r="D530" s="2">
        <v>88727.18</v>
      </c>
      <c r="E530" s="2">
        <f t="shared" si="17"/>
        <v>39.809999999997672</v>
      </c>
    </row>
    <row r="531" spans="1:5" x14ac:dyDescent="0.25">
      <c r="A531" s="1">
        <v>45680</v>
      </c>
      <c r="B531" s="2">
        <v>43585.07</v>
      </c>
      <c r="C531" s="2">
        <f t="shared" si="16"/>
        <v>-384.2390000000014</v>
      </c>
      <c r="D531" s="2">
        <v>88690.04</v>
      </c>
      <c r="E531" s="2">
        <f t="shared" si="17"/>
        <v>-37.139999999999418</v>
      </c>
    </row>
    <row r="532" spans="1:5" x14ac:dyDescent="0.25">
      <c r="A532" s="1">
        <v>45681</v>
      </c>
      <c r="B532" s="2">
        <v>43571.512000000002</v>
      </c>
      <c r="C532" s="2">
        <f t="shared" si="16"/>
        <v>-13.557999999997264</v>
      </c>
      <c r="D532" s="2">
        <v>88857.87</v>
      </c>
      <c r="E532" s="2">
        <f t="shared" si="17"/>
        <v>167.83000000000175</v>
      </c>
    </row>
    <row r="533" spans="1:5" x14ac:dyDescent="0.25">
      <c r="A533" s="1">
        <v>45684</v>
      </c>
      <c r="B533" s="2">
        <v>43859.93</v>
      </c>
      <c r="C533" s="2">
        <f t="shared" si="16"/>
        <v>288.41799999999785</v>
      </c>
      <c r="D533" s="2">
        <v>88859.1</v>
      </c>
      <c r="E533" s="2">
        <f t="shared" si="17"/>
        <v>1.2300000000104774</v>
      </c>
    </row>
    <row r="534" spans="1:5" x14ac:dyDescent="0.25">
      <c r="A534" s="1">
        <v>45685</v>
      </c>
      <c r="B534" s="2">
        <v>43904.512000000002</v>
      </c>
      <c r="C534" s="2">
        <f t="shared" si="16"/>
        <v>44.582000000002154</v>
      </c>
      <c r="D534" s="2">
        <v>88873.2</v>
      </c>
      <c r="E534" s="2">
        <f t="shared" si="17"/>
        <v>14.099999999991269</v>
      </c>
    </row>
    <row r="535" spans="1:5" x14ac:dyDescent="0.25">
      <c r="A535" s="1">
        <v>45686</v>
      </c>
      <c r="B535" s="2">
        <v>43729.5</v>
      </c>
      <c r="C535" s="2">
        <f t="shared" si="16"/>
        <v>-175.01200000000244</v>
      </c>
      <c r="D535" s="2">
        <v>88861.95</v>
      </c>
      <c r="E535" s="2">
        <f t="shared" si="17"/>
        <v>-11.25</v>
      </c>
    </row>
    <row r="536" spans="1:5" x14ac:dyDescent="0.25">
      <c r="A536" s="1">
        <v>45687</v>
      </c>
      <c r="B536" s="2">
        <v>44466.578000000001</v>
      </c>
      <c r="C536" s="2">
        <f t="shared" si="16"/>
        <v>737.07800000000134</v>
      </c>
      <c r="D536" s="2">
        <v>89347.28</v>
      </c>
      <c r="E536" s="2">
        <f t="shared" si="17"/>
        <v>485.33000000000175</v>
      </c>
    </row>
    <row r="537" spans="1:5" x14ac:dyDescent="0.25">
      <c r="A537" s="1">
        <v>45688</v>
      </c>
      <c r="B537" s="2">
        <v>44746.73</v>
      </c>
      <c r="C537" s="2">
        <f t="shared" si="16"/>
        <v>280.15200000000186</v>
      </c>
      <c r="D537" s="2">
        <v>89334.97</v>
      </c>
      <c r="E537" s="2">
        <f t="shared" si="17"/>
        <v>-12.309999999997672</v>
      </c>
    </row>
    <row r="538" spans="1:5" x14ac:dyDescent="0.25">
      <c r="A538" s="1">
        <v>45691</v>
      </c>
      <c r="B538" s="2">
        <v>45218.18</v>
      </c>
      <c r="C538" s="2">
        <f t="shared" si="16"/>
        <v>471.44999999999709</v>
      </c>
      <c r="D538" s="2">
        <v>89475.59</v>
      </c>
      <c r="E538" s="2">
        <f t="shared" si="17"/>
        <v>140.61999999999534</v>
      </c>
    </row>
    <row r="539" spans="1:5" x14ac:dyDescent="0.25">
      <c r="A539" s="1">
        <v>45692</v>
      </c>
      <c r="B539" s="2">
        <v>45449.288999999997</v>
      </c>
      <c r="C539" s="2">
        <f t="shared" si="16"/>
        <v>231.10899999999674</v>
      </c>
      <c r="D539" s="2">
        <v>89272.97</v>
      </c>
      <c r="E539" s="2">
        <f t="shared" si="17"/>
        <v>-202.61999999999534</v>
      </c>
    </row>
    <row r="540" spans="1:5" x14ac:dyDescent="0.25">
      <c r="A540" s="1">
        <v>45693</v>
      </c>
      <c r="B540" s="2">
        <v>45037.98</v>
      </c>
      <c r="C540" s="2">
        <f t="shared" si="16"/>
        <v>-411.30899999999383</v>
      </c>
      <c r="D540" s="2">
        <v>89223.53</v>
      </c>
      <c r="E540" s="2">
        <f t="shared" si="17"/>
        <v>-49.440000000002328</v>
      </c>
    </row>
    <row r="541" spans="1:5" x14ac:dyDescent="0.25">
      <c r="A541" s="1">
        <v>45694</v>
      </c>
      <c r="B541" s="2">
        <v>44917.461000000003</v>
      </c>
      <c r="C541" s="2">
        <f t="shared" si="16"/>
        <v>-120.51900000000023</v>
      </c>
      <c r="D541" s="2">
        <v>89287.8</v>
      </c>
      <c r="E541" s="2">
        <f t="shared" si="17"/>
        <v>64.270000000004075</v>
      </c>
    </row>
    <row r="542" spans="1:5" x14ac:dyDescent="0.25">
      <c r="A542" s="1">
        <v>45695</v>
      </c>
      <c r="B542" s="2">
        <v>44544.629000000001</v>
      </c>
      <c r="C542" s="2">
        <f t="shared" si="16"/>
        <v>-372.83200000000215</v>
      </c>
      <c r="D542" s="2">
        <v>89402.26</v>
      </c>
      <c r="E542" s="2">
        <f t="shared" si="17"/>
        <v>114.45999999999185</v>
      </c>
    </row>
    <row r="543" spans="1:5" x14ac:dyDescent="0.25">
      <c r="A543" s="1">
        <v>45698</v>
      </c>
      <c r="B543" s="2">
        <v>44514.608999999997</v>
      </c>
      <c r="C543" s="2">
        <f t="shared" si="16"/>
        <v>-30.020000000004075</v>
      </c>
      <c r="D543" s="2">
        <v>89478.73</v>
      </c>
      <c r="E543" s="2">
        <f t="shared" si="17"/>
        <v>76.470000000001164</v>
      </c>
    </row>
  </sheetData>
  <autoFilter ref="A1:E543" xr:uid="{4BE4BF07-1C87-442B-8494-C2FA27868F2C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443C-321D-47F8-869C-A05485BBC36C}">
  <dimension ref="A1:J66"/>
  <sheetViews>
    <sheetView topLeftCell="A38" workbookViewId="0">
      <selection activeCell="C67" sqref="C67"/>
    </sheetView>
  </sheetViews>
  <sheetFormatPr defaultRowHeight="15" x14ac:dyDescent="0.25"/>
  <cols>
    <col min="1" max="1" width="14.85546875" bestFit="1" customWidth="1"/>
    <col min="2" max="2" width="16.5703125" customWidth="1"/>
    <col min="3" max="3" width="15.140625" bestFit="1" customWidth="1"/>
    <col min="4" max="4" width="12.140625" bestFit="1" customWidth="1"/>
    <col min="5" max="5" width="9.85546875" bestFit="1" customWidth="1"/>
    <col min="6" max="6" width="18" bestFit="1" customWidth="1"/>
    <col min="7" max="7" width="20" bestFit="1" customWidth="1"/>
    <col min="8" max="8" width="12.85546875" bestFit="1" customWidth="1"/>
    <col min="9" max="9" width="11.140625" bestFit="1" customWidth="1"/>
  </cols>
  <sheetData>
    <row r="1" spans="1:8" ht="32.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24</v>
      </c>
      <c r="H1" s="4" t="s">
        <v>80</v>
      </c>
    </row>
    <row r="2" spans="1:8" x14ac:dyDescent="0.25">
      <c r="A2" s="1">
        <v>45103</v>
      </c>
      <c r="B2" t="s">
        <v>20</v>
      </c>
      <c r="C2" s="1">
        <v>45519</v>
      </c>
      <c r="D2" s="3">
        <v>10000</v>
      </c>
      <c r="E2">
        <v>7.4690000000000003</v>
      </c>
      <c r="F2">
        <v>4154.2317890000004</v>
      </c>
      <c r="G2" s="7">
        <f>F2*D2</f>
        <v>41542317.890000001</v>
      </c>
    </row>
    <row r="3" spans="1:8" x14ac:dyDescent="0.25">
      <c r="A3" s="1">
        <v>45103</v>
      </c>
      <c r="B3" t="s">
        <v>6</v>
      </c>
      <c r="C3" s="1">
        <v>46980</v>
      </c>
      <c r="D3" s="3">
        <v>10000</v>
      </c>
      <c r="E3">
        <v>5.3289999999999997</v>
      </c>
      <c r="F3">
        <v>4338.3245049999996</v>
      </c>
      <c r="G3" s="7">
        <f t="shared" ref="G3:G57" si="0">F3*D3</f>
        <v>43383245.049999997</v>
      </c>
    </row>
    <row r="4" spans="1:8" x14ac:dyDescent="0.25">
      <c r="A4" s="1">
        <v>45103</v>
      </c>
      <c r="B4" t="s">
        <v>6</v>
      </c>
      <c r="C4" s="1">
        <v>46980</v>
      </c>
      <c r="D4" s="3">
        <v>10000</v>
      </c>
      <c r="E4">
        <v>5.319</v>
      </c>
      <c r="F4">
        <v>4340.1451200000001</v>
      </c>
      <c r="G4" s="7">
        <f t="shared" si="0"/>
        <v>43401451.200000003</v>
      </c>
    </row>
    <row r="5" spans="1:8" x14ac:dyDescent="0.25">
      <c r="A5" s="1">
        <v>45103</v>
      </c>
      <c r="B5" t="s">
        <v>21</v>
      </c>
      <c r="C5" s="1">
        <v>45792</v>
      </c>
      <c r="D5" s="3">
        <v>3000</v>
      </c>
      <c r="E5">
        <v>6.6189999999999998</v>
      </c>
      <c r="F5">
        <v>4145.9997999999996</v>
      </c>
      <c r="G5" s="7">
        <f t="shared" si="0"/>
        <v>12437999.399999999</v>
      </c>
    </row>
    <row r="6" spans="1:8" x14ac:dyDescent="0.25">
      <c r="A6" s="1">
        <v>45103</v>
      </c>
      <c r="B6" t="s">
        <v>21</v>
      </c>
      <c r="C6" s="1">
        <v>45792</v>
      </c>
      <c r="D6" s="3">
        <v>10000</v>
      </c>
      <c r="E6">
        <v>6.1589999999999998</v>
      </c>
      <c r="F6">
        <v>4146.7016240000003</v>
      </c>
      <c r="G6" s="7">
        <f t="shared" si="0"/>
        <v>41467016.240000002</v>
      </c>
    </row>
    <row r="7" spans="1:8" x14ac:dyDescent="0.25">
      <c r="A7" s="1">
        <v>45103</v>
      </c>
      <c r="B7" t="s">
        <v>21</v>
      </c>
      <c r="C7" s="1">
        <v>45792</v>
      </c>
      <c r="D7" s="3">
        <v>20000</v>
      </c>
      <c r="E7">
        <v>6.1689999999999996</v>
      </c>
      <c r="F7">
        <v>4145.9997999999996</v>
      </c>
      <c r="G7" s="7">
        <f t="shared" si="0"/>
        <v>82919995.999999985</v>
      </c>
    </row>
    <row r="8" spans="1:8" x14ac:dyDescent="0.25">
      <c r="A8" s="1">
        <v>45110</v>
      </c>
      <c r="B8" t="s">
        <v>6</v>
      </c>
      <c r="C8" s="1">
        <v>46980</v>
      </c>
      <c r="D8" s="3">
        <v>10000</v>
      </c>
      <c r="E8">
        <v>5.1589999999999998</v>
      </c>
      <c r="F8">
        <v>4371.1222889999999</v>
      </c>
      <c r="G8" s="7">
        <f t="shared" si="0"/>
        <v>43711222.890000001</v>
      </c>
    </row>
    <row r="9" spans="1:8" x14ac:dyDescent="0.25">
      <c r="A9" s="1">
        <v>45110</v>
      </c>
      <c r="B9" t="s">
        <v>6</v>
      </c>
      <c r="C9" s="1">
        <v>46980</v>
      </c>
      <c r="D9" s="3">
        <v>10000</v>
      </c>
      <c r="E9">
        <v>5.1689999999999996</v>
      </c>
      <c r="F9">
        <v>4369.2945229999996</v>
      </c>
      <c r="G9" s="7">
        <f t="shared" si="0"/>
        <v>43692945.229999997</v>
      </c>
    </row>
    <row r="10" spans="1:8" x14ac:dyDescent="0.25">
      <c r="A10" s="1">
        <v>45110</v>
      </c>
      <c r="B10" t="s">
        <v>6</v>
      </c>
      <c r="C10" s="1">
        <v>46980</v>
      </c>
      <c r="D10" s="3">
        <v>10000</v>
      </c>
      <c r="E10">
        <v>5.1790000000000003</v>
      </c>
      <c r="F10">
        <v>4367.4667559999998</v>
      </c>
      <c r="G10" s="7">
        <f t="shared" si="0"/>
        <v>43674667.559999995</v>
      </c>
    </row>
    <row r="11" spans="1:8" x14ac:dyDescent="0.25">
      <c r="A11" s="1">
        <v>45110</v>
      </c>
      <c r="B11" t="s">
        <v>22</v>
      </c>
      <c r="C11" s="1">
        <v>48441</v>
      </c>
      <c r="D11" s="3">
        <v>10000</v>
      </c>
      <c r="E11">
        <v>5.1289999999999996</v>
      </c>
      <c r="F11">
        <v>4474.9790380000004</v>
      </c>
      <c r="G11" s="7">
        <f t="shared" si="0"/>
        <v>44749790.380000003</v>
      </c>
    </row>
    <row r="12" spans="1:8" x14ac:dyDescent="0.25">
      <c r="A12" s="1">
        <v>45111</v>
      </c>
      <c r="B12" t="s">
        <v>20</v>
      </c>
      <c r="C12" s="1">
        <v>45519</v>
      </c>
      <c r="D12" s="3">
        <v>-10000</v>
      </c>
      <c r="E12">
        <v>7.2910000000000004</v>
      </c>
      <c r="F12">
        <v>4166.0438839999997</v>
      </c>
      <c r="G12" s="7">
        <f t="shared" si="0"/>
        <v>-41660438.839999996</v>
      </c>
    </row>
    <row r="13" spans="1:8" x14ac:dyDescent="0.25">
      <c r="A13" s="1">
        <v>45112</v>
      </c>
      <c r="B13" t="s">
        <v>54</v>
      </c>
      <c r="C13" s="1">
        <v>47849</v>
      </c>
      <c r="D13" s="3">
        <v>200</v>
      </c>
      <c r="E13">
        <v>6.2489999999999997</v>
      </c>
      <c r="F13">
        <v>8015.8720830000002</v>
      </c>
      <c r="G13" s="7">
        <f t="shared" si="0"/>
        <v>1603174.4166000001</v>
      </c>
    </row>
    <row r="14" spans="1:8" x14ac:dyDescent="0.25">
      <c r="A14" s="1">
        <v>45138</v>
      </c>
      <c r="B14" t="s">
        <v>20</v>
      </c>
      <c r="C14" s="1">
        <v>45519</v>
      </c>
      <c r="D14" s="3">
        <v>20000</v>
      </c>
      <c r="E14">
        <v>6.8689999999999998</v>
      </c>
      <c r="F14">
        <v>4205.4303010000003</v>
      </c>
      <c r="G14" s="7">
        <f t="shared" si="0"/>
        <v>84108606.020000011</v>
      </c>
    </row>
    <row r="15" spans="1:8" x14ac:dyDescent="0.25">
      <c r="A15" s="1">
        <v>45156</v>
      </c>
      <c r="B15" t="s">
        <v>20</v>
      </c>
      <c r="C15" s="1">
        <v>45519</v>
      </c>
      <c r="D15" s="3">
        <v>-20000</v>
      </c>
      <c r="E15">
        <v>6.681</v>
      </c>
      <c r="F15">
        <v>4110.161274</v>
      </c>
      <c r="G15" s="7">
        <f t="shared" si="0"/>
        <v>-82203225.480000004</v>
      </c>
    </row>
    <row r="16" spans="1:8" x14ac:dyDescent="0.25">
      <c r="A16" s="1">
        <v>45156</v>
      </c>
      <c r="B16" t="s">
        <v>6</v>
      </c>
      <c r="C16" s="1">
        <v>46980</v>
      </c>
      <c r="D16" s="3">
        <v>10200</v>
      </c>
      <c r="E16">
        <v>5.0590000000000002</v>
      </c>
      <c r="F16">
        <v>4301.8948030000001</v>
      </c>
      <c r="G16" s="7">
        <f t="shared" si="0"/>
        <v>43879326.990600005</v>
      </c>
    </row>
    <row r="17" spans="1:7" x14ac:dyDescent="0.25">
      <c r="A17" s="1">
        <v>45156</v>
      </c>
      <c r="B17" t="s">
        <v>6</v>
      </c>
      <c r="C17" s="1">
        <v>46980</v>
      </c>
      <c r="D17" s="3">
        <v>51500</v>
      </c>
      <c r="E17">
        <v>5.0490000000000004</v>
      </c>
      <c r="F17">
        <v>4303.6958549999999</v>
      </c>
      <c r="G17" s="7">
        <f t="shared" si="0"/>
        <v>221640336.5325</v>
      </c>
    </row>
    <row r="18" spans="1:7" x14ac:dyDescent="0.25">
      <c r="A18" s="1">
        <v>45156</v>
      </c>
      <c r="B18" t="s">
        <v>21</v>
      </c>
      <c r="C18" s="1">
        <v>45792</v>
      </c>
      <c r="D18" s="3">
        <v>-20000</v>
      </c>
      <c r="E18">
        <v>5.59</v>
      </c>
      <c r="F18">
        <v>4224.722213</v>
      </c>
      <c r="G18" s="7">
        <f t="shared" si="0"/>
        <v>-84494444.260000005</v>
      </c>
    </row>
    <row r="19" spans="1:7" x14ac:dyDescent="0.25">
      <c r="A19" s="1">
        <v>45156</v>
      </c>
      <c r="B19" t="s">
        <v>21</v>
      </c>
      <c r="C19" s="1">
        <v>45792</v>
      </c>
      <c r="D19" s="3">
        <v>-10000</v>
      </c>
      <c r="E19">
        <v>5.59</v>
      </c>
      <c r="F19">
        <v>4224.722213</v>
      </c>
      <c r="G19" s="7">
        <f t="shared" si="0"/>
        <v>-42247222.130000003</v>
      </c>
    </row>
    <row r="20" spans="1:7" x14ac:dyDescent="0.25">
      <c r="A20" s="1">
        <v>45156</v>
      </c>
      <c r="B20" t="s">
        <v>21</v>
      </c>
      <c r="C20" s="1">
        <v>45792</v>
      </c>
      <c r="D20" s="3">
        <v>-3000</v>
      </c>
      <c r="E20">
        <v>5.59</v>
      </c>
      <c r="F20">
        <v>4224.722213</v>
      </c>
      <c r="G20" s="7">
        <f t="shared" si="0"/>
        <v>-12674166.639</v>
      </c>
    </row>
    <row r="21" spans="1:7" x14ac:dyDescent="0.25">
      <c r="A21" s="1">
        <v>45156</v>
      </c>
      <c r="B21" t="s">
        <v>22</v>
      </c>
      <c r="C21" s="1">
        <v>48441</v>
      </c>
      <c r="D21" s="3">
        <v>-10000</v>
      </c>
      <c r="E21">
        <v>5.15</v>
      </c>
      <c r="F21">
        <v>4381.9383360000002</v>
      </c>
      <c r="G21" s="7">
        <f t="shared" si="0"/>
        <v>-43819383.359999999</v>
      </c>
    </row>
    <row r="22" spans="1:7" x14ac:dyDescent="0.25">
      <c r="A22" s="1">
        <v>45196</v>
      </c>
      <c r="B22" t="s">
        <v>7</v>
      </c>
      <c r="C22" s="1">
        <v>46249</v>
      </c>
      <c r="D22" s="3">
        <v>20000</v>
      </c>
      <c r="E22">
        <v>5.609</v>
      </c>
      <c r="F22">
        <v>4216.4097359999996</v>
      </c>
      <c r="G22" s="7">
        <f t="shared" si="0"/>
        <v>84328194.719999999</v>
      </c>
    </row>
    <row r="23" spans="1:7" x14ac:dyDescent="0.25">
      <c r="A23" s="1">
        <v>45196</v>
      </c>
      <c r="B23" t="s">
        <v>7</v>
      </c>
      <c r="C23" s="1">
        <v>46249</v>
      </c>
      <c r="D23" s="3">
        <v>20000</v>
      </c>
      <c r="E23">
        <v>5.5990000000000002</v>
      </c>
      <c r="F23">
        <v>4217.4750480000002</v>
      </c>
      <c r="G23" s="7">
        <f t="shared" si="0"/>
        <v>84349500.960000008</v>
      </c>
    </row>
    <row r="24" spans="1:7" x14ac:dyDescent="0.25">
      <c r="A24" s="1">
        <v>45196</v>
      </c>
      <c r="B24" t="s">
        <v>7</v>
      </c>
      <c r="C24" s="1">
        <v>46249</v>
      </c>
      <c r="D24" s="3">
        <v>7500</v>
      </c>
      <c r="E24">
        <v>5.5890000000000004</v>
      </c>
      <c r="F24">
        <v>4218.5445049999998</v>
      </c>
      <c r="G24" s="7">
        <f t="shared" si="0"/>
        <v>31639083.787499998</v>
      </c>
    </row>
    <row r="25" spans="1:7" x14ac:dyDescent="0.25">
      <c r="A25" s="1">
        <v>45196</v>
      </c>
      <c r="B25" t="s">
        <v>7</v>
      </c>
      <c r="C25" s="1">
        <v>46249</v>
      </c>
      <c r="D25" s="3">
        <v>-47500</v>
      </c>
      <c r="E25">
        <v>5.7504999999999997</v>
      </c>
      <c r="F25">
        <v>4201.3585759999996</v>
      </c>
      <c r="G25" s="7">
        <f t="shared" si="0"/>
        <v>-199564532.35999998</v>
      </c>
    </row>
    <row r="26" spans="1:7" x14ac:dyDescent="0.25">
      <c r="A26" s="1">
        <v>45196</v>
      </c>
      <c r="B26" t="s">
        <v>8</v>
      </c>
      <c r="C26" s="1">
        <v>46249</v>
      </c>
      <c r="D26" s="3">
        <v>-1280</v>
      </c>
      <c r="E26">
        <v>5.26</v>
      </c>
      <c r="F26">
        <v>86270.1</v>
      </c>
      <c r="G26" s="7">
        <f t="shared" si="0"/>
        <v>-110425728</v>
      </c>
    </row>
    <row r="27" spans="1:7" x14ac:dyDescent="0.25">
      <c r="A27" s="1">
        <v>45201</v>
      </c>
      <c r="B27" t="s">
        <v>7</v>
      </c>
      <c r="C27" s="1">
        <v>46249</v>
      </c>
      <c r="D27" s="3">
        <v>47500</v>
      </c>
      <c r="E27">
        <v>5.6790000000000003</v>
      </c>
      <c r="F27">
        <v>4213.7404159999996</v>
      </c>
      <c r="G27" s="7">
        <f t="shared" si="0"/>
        <v>200152669.75999999</v>
      </c>
    </row>
    <row r="28" spans="1:7" x14ac:dyDescent="0.25">
      <c r="A28" s="1">
        <v>45201</v>
      </c>
      <c r="B28" t="s">
        <v>8</v>
      </c>
      <c r="C28" s="1">
        <v>46249</v>
      </c>
      <c r="D28" s="3">
        <v>1280</v>
      </c>
      <c r="E28">
        <v>5.56</v>
      </c>
      <c r="F28">
        <v>85620.78</v>
      </c>
      <c r="G28" s="7">
        <f t="shared" si="0"/>
        <v>109594598.40000001</v>
      </c>
    </row>
    <row r="29" spans="1:7" x14ac:dyDescent="0.25">
      <c r="A29" s="1">
        <v>45239</v>
      </c>
      <c r="B29" t="s">
        <v>40</v>
      </c>
      <c r="C29" s="1">
        <v>54788</v>
      </c>
      <c r="D29" s="3">
        <v>350000</v>
      </c>
      <c r="E29">
        <v>32.765000000000001</v>
      </c>
      <c r="F29">
        <v>32.765000000000001</v>
      </c>
      <c r="G29" s="7">
        <f t="shared" si="0"/>
        <v>11467750</v>
      </c>
    </row>
    <row r="30" spans="1:7" x14ac:dyDescent="0.25">
      <c r="A30" s="1">
        <v>45279</v>
      </c>
      <c r="B30" t="s">
        <v>7</v>
      </c>
      <c r="C30" s="1">
        <v>46249</v>
      </c>
      <c r="D30" s="3">
        <v>30000</v>
      </c>
      <c r="E30">
        <v>5.1890000000000001</v>
      </c>
      <c r="F30">
        <v>4339.7780780000003</v>
      </c>
      <c r="G30" s="7">
        <f t="shared" si="0"/>
        <v>130193342.34</v>
      </c>
    </row>
    <row r="31" spans="1:7" x14ac:dyDescent="0.25">
      <c r="A31" s="1">
        <v>45279</v>
      </c>
      <c r="B31" t="s">
        <v>6</v>
      </c>
      <c r="C31" s="1">
        <v>46980</v>
      </c>
      <c r="D31" s="3">
        <v>-30000</v>
      </c>
      <c r="E31">
        <v>5.2709999999999999</v>
      </c>
      <c r="F31">
        <v>4382.1702349999996</v>
      </c>
      <c r="G31" s="7">
        <f t="shared" si="0"/>
        <v>-131465107.04999998</v>
      </c>
    </row>
    <row r="32" spans="1:7" x14ac:dyDescent="0.25">
      <c r="A32" s="1">
        <v>45527</v>
      </c>
      <c r="B32" t="s">
        <v>7</v>
      </c>
      <c r="C32" s="1">
        <v>46249</v>
      </c>
      <c r="D32" s="3">
        <v>4627</v>
      </c>
      <c r="E32">
        <v>6.6589999999999998</v>
      </c>
      <c r="F32">
        <v>4272.2958950000002</v>
      </c>
      <c r="G32" s="7">
        <f t="shared" si="0"/>
        <v>19767913.106164999</v>
      </c>
    </row>
    <row r="33" spans="1:7" x14ac:dyDescent="0.25">
      <c r="A33" s="1">
        <v>45527</v>
      </c>
      <c r="B33" t="s">
        <v>6</v>
      </c>
      <c r="C33" s="1">
        <v>46980</v>
      </c>
      <c r="D33" s="3">
        <v>4685</v>
      </c>
      <c r="E33">
        <v>6.399</v>
      </c>
      <c r="F33">
        <v>4268.3038420000003</v>
      </c>
      <c r="G33" s="7">
        <f t="shared" si="0"/>
        <v>19997003.499770001</v>
      </c>
    </row>
    <row r="34" spans="1:7" x14ac:dyDescent="0.25">
      <c r="A34" s="1">
        <v>45532</v>
      </c>
      <c r="B34" t="s">
        <v>9</v>
      </c>
      <c r="C34" s="1">
        <v>48580</v>
      </c>
      <c r="D34" s="3">
        <v>114000</v>
      </c>
      <c r="E34">
        <v>11.879</v>
      </c>
      <c r="F34">
        <v>925.15493900000001</v>
      </c>
      <c r="G34" s="7">
        <f t="shared" si="0"/>
        <v>105467663.046</v>
      </c>
    </row>
    <row r="35" spans="1:7" x14ac:dyDescent="0.25">
      <c r="A35" s="1">
        <v>45539</v>
      </c>
      <c r="B35" t="s">
        <v>40</v>
      </c>
      <c r="C35" s="1">
        <v>54788</v>
      </c>
      <c r="D35" s="3">
        <v>-350000</v>
      </c>
      <c r="E35">
        <v>32.97</v>
      </c>
      <c r="F35">
        <v>32.97</v>
      </c>
      <c r="G35" s="7">
        <f t="shared" si="0"/>
        <v>-11539500</v>
      </c>
    </row>
    <row r="36" spans="1:7" x14ac:dyDescent="0.25">
      <c r="A36" s="1">
        <v>45555</v>
      </c>
      <c r="B36" t="s">
        <v>7</v>
      </c>
      <c r="C36" s="1">
        <v>46249</v>
      </c>
      <c r="D36" s="3">
        <v>2800</v>
      </c>
      <c r="E36">
        <v>6.77</v>
      </c>
      <c r="F36">
        <v>4332.056098</v>
      </c>
      <c r="G36" s="7">
        <f t="shared" si="0"/>
        <v>12129757.0744</v>
      </c>
    </row>
    <row r="37" spans="1:7" x14ac:dyDescent="0.25">
      <c r="A37" s="1">
        <v>45573</v>
      </c>
      <c r="B37" t="s">
        <v>10</v>
      </c>
      <c r="C37" s="1">
        <v>47849</v>
      </c>
      <c r="D37" s="3">
        <v>58000</v>
      </c>
      <c r="E37">
        <v>12.298999999999999</v>
      </c>
      <c r="F37">
        <v>936.04348200000004</v>
      </c>
      <c r="G37" s="7">
        <f t="shared" si="0"/>
        <v>54290521.956</v>
      </c>
    </row>
    <row r="38" spans="1:7" x14ac:dyDescent="0.25">
      <c r="A38" s="1">
        <v>45573</v>
      </c>
      <c r="B38" t="s">
        <v>11</v>
      </c>
      <c r="C38" s="1">
        <v>49310</v>
      </c>
      <c r="D38" s="3">
        <v>59500</v>
      </c>
      <c r="E38">
        <v>12.148999999999999</v>
      </c>
      <c r="F38">
        <v>911.34259099999997</v>
      </c>
      <c r="G38" s="7">
        <f t="shared" si="0"/>
        <v>54224884.164499998</v>
      </c>
    </row>
    <row r="39" spans="1:7" x14ac:dyDescent="0.25">
      <c r="A39" s="1">
        <v>45604</v>
      </c>
      <c r="B39" t="s">
        <v>12</v>
      </c>
      <c r="C39" s="1">
        <v>47850</v>
      </c>
      <c r="D39" s="3">
        <v>-6135</v>
      </c>
      <c r="E39">
        <v>12.812934</v>
      </c>
      <c r="F39">
        <v>47957.89</v>
      </c>
      <c r="G39" s="7">
        <f t="shared" si="0"/>
        <v>-294221655.14999998</v>
      </c>
    </row>
    <row r="40" spans="1:7" x14ac:dyDescent="0.25">
      <c r="A40" s="1">
        <v>45607</v>
      </c>
      <c r="B40" t="s">
        <v>10</v>
      </c>
      <c r="C40" s="1">
        <v>47849</v>
      </c>
      <c r="D40" s="3">
        <v>195000</v>
      </c>
      <c r="E40">
        <v>12.944000000000001</v>
      </c>
      <c r="F40">
        <v>922.57935099999997</v>
      </c>
      <c r="G40" s="7">
        <f t="shared" si="0"/>
        <v>179902973.44499999</v>
      </c>
    </row>
    <row r="41" spans="1:7" x14ac:dyDescent="0.25">
      <c r="A41" s="1">
        <v>45607</v>
      </c>
      <c r="B41" t="s">
        <v>10</v>
      </c>
      <c r="C41" s="1">
        <v>47849</v>
      </c>
      <c r="D41" s="3">
        <v>40000</v>
      </c>
      <c r="E41">
        <v>12.949</v>
      </c>
      <c r="F41">
        <v>922.39779699999997</v>
      </c>
      <c r="G41" s="7">
        <f t="shared" si="0"/>
        <v>36895911.879999995</v>
      </c>
    </row>
    <row r="42" spans="1:7" x14ac:dyDescent="0.25">
      <c r="A42" s="1">
        <v>45607</v>
      </c>
      <c r="B42" t="s">
        <v>10</v>
      </c>
      <c r="C42" s="1">
        <v>47849</v>
      </c>
      <c r="D42" s="3">
        <v>140000</v>
      </c>
      <c r="E42">
        <v>12.9415</v>
      </c>
      <c r="F42">
        <v>922.67014700000004</v>
      </c>
      <c r="G42" s="7">
        <f t="shared" si="0"/>
        <v>129173820.58000001</v>
      </c>
    </row>
    <row r="43" spans="1:7" x14ac:dyDescent="0.25">
      <c r="A43" s="1">
        <v>45607</v>
      </c>
      <c r="B43" t="s">
        <v>10</v>
      </c>
      <c r="C43" s="1">
        <v>47849</v>
      </c>
      <c r="D43" s="3">
        <v>60000</v>
      </c>
      <c r="E43">
        <v>12.951499999999999</v>
      </c>
      <c r="F43">
        <v>922.30704000000003</v>
      </c>
      <c r="G43" s="7">
        <f t="shared" si="0"/>
        <v>55338422.399999999</v>
      </c>
    </row>
    <row r="44" spans="1:7" x14ac:dyDescent="0.25">
      <c r="A44" s="1">
        <v>45607</v>
      </c>
      <c r="B44" t="s">
        <v>12</v>
      </c>
      <c r="C44" s="1">
        <v>47850</v>
      </c>
      <c r="D44" s="3">
        <v>6135</v>
      </c>
      <c r="E44">
        <v>12.896800000000001</v>
      </c>
      <c r="F44">
        <v>47764.14</v>
      </c>
      <c r="G44" s="7">
        <f t="shared" si="0"/>
        <v>293032998.89999998</v>
      </c>
    </row>
    <row r="45" spans="1:7" x14ac:dyDescent="0.25">
      <c r="A45" s="1">
        <v>45630</v>
      </c>
      <c r="B45" t="s">
        <v>13</v>
      </c>
      <c r="C45" s="1">
        <v>47253</v>
      </c>
      <c r="D45" s="3">
        <v>19000</v>
      </c>
      <c r="E45">
        <v>7.2</v>
      </c>
      <c r="F45">
        <v>4222.4860520000002</v>
      </c>
      <c r="G45" s="7">
        <f t="shared" si="0"/>
        <v>80227234.988000005</v>
      </c>
    </row>
    <row r="46" spans="1:7" x14ac:dyDescent="0.25">
      <c r="A46" s="1">
        <v>45642</v>
      </c>
      <c r="B46" t="s">
        <v>6</v>
      </c>
      <c r="C46" s="1">
        <v>46980</v>
      </c>
      <c r="D46" s="3">
        <v>18960</v>
      </c>
      <c r="E46">
        <v>7.8689999999999998</v>
      </c>
      <c r="F46">
        <v>4218.9119010000004</v>
      </c>
      <c r="G46" s="7">
        <f t="shared" si="0"/>
        <v>79990569.642960012</v>
      </c>
    </row>
    <row r="47" spans="1:7" x14ac:dyDescent="0.25">
      <c r="A47" s="1">
        <v>45645</v>
      </c>
      <c r="B47" t="s">
        <v>13</v>
      </c>
      <c r="C47" s="1">
        <v>47253</v>
      </c>
      <c r="D47" s="3">
        <v>10000</v>
      </c>
      <c r="E47">
        <v>8.42</v>
      </c>
      <c r="F47">
        <v>4046.5286780000001</v>
      </c>
      <c r="G47" s="7">
        <f t="shared" si="0"/>
        <v>40465286.780000001</v>
      </c>
    </row>
    <row r="48" spans="1:7" x14ac:dyDescent="0.25">
      <c r="A48" s="1">
        <v>45645</v>
      </c>
      <c r="B48" t="s">
        <v>13</v>
      </c>
      <c r="C48" s="1">
        <v>47253</v>
      </c>
      <c r="D48" s="3">
        <v>10000</v>
      </c>
      <c r="E48">
        <v>8.41</v>
      </c>
      <c r="F48">
        <v>4047.9654430000001</v>
      </c>
      <c r="G48" s="7">
        <f t="shared" si="0"/>
        <v>40479654.43</v>
      </c>
    </row>
    <row r="49" spans="1:10" x14ac:dyDescent="0.25">
      <c r="A49" s="1">
        <v>45659</v>
      </c>
      <c r="B49" t="s">
        <v>10</v>
      </c>
      <c r="C49" s="1">
        <v>47849</v>
      </c>
      <c r="D49" s="3">
        <v>28400</v>
      </c>
      <c r="E49">
        <v>15.546139999999999</v>
      </c>
      <c r="F49">
        <v>802.30947700000002</v>
      </c>
      <c r="G49" s="7">
        <f t="shared" si="0"/>
        <v>22785589.1468</v>
      </c>
    </row>
    <row r="50" spans="1:10" x14ac:dyDescent="0.25">
      <c r="A50" s="1">
        <v>45659</v>
      </c>
      <c r="B50" t="s">
        <v>9</v>
      </c>
      <c r="C50" s="1">
        <v>48580</v>
      </c>
      <c r="D50" s="3">
        <v>6800</v>
      </c>
      <c r="E50">
        <v>15.319000000000001</v>
      </c>
      <c r="F50">
        <v>773.43453899999997</v>
      </c>
      <c r="G50" s="7">
        <f t="shared" si="0"/>
        <v>5259354.8651999999</v>
      </c>
    </row>
    <row r="51" spans="1:10" x14ac:dyDescent="0.25">
      <c r="A51" s="1">
        <v>45659</v>
      </c>
      <c r="B51" t="s">
        <v>11</v>
      </c>
      <c r="C51" s="1">
        <v>49310</v>
      </c>
      <c r="D51" s="3">
        <v>3600</v>
      </c>
      <c r="E51">
        <v>15.109</v>
      </c>
      <c r="F51">
        <v>755.31492000000003</v>
      </c>
      <c r="G51" s="7">
        <f t="shared" si="0"/>
        <v>2719133.7120000003</v>
      </c>
    </row>
    <row r="52" spans="1:10" x14ac:dyDescent="0.25">
      <c r="A52" s="1">
        <v>45660</v>
      </c>
      <c r="B52" t="s">
        <v>6</v>
      </c>
      <c r="C52" s="1">
        <v>46980</v>
      </c>
      <c r="D52" s="3">
        <v>10000</v>
      </c>
      <c r="E52">
        <v>7.96</v>
      </c>
      <c r="F52">
        <v>4236.40247</v>
      </c>
      <c r="G52" s="7">
        <f t="shared" si="0"/>
        <v>42364024.700000003</v>
      </c>
    </row>
    <row r="53" spans="1:10" x14ac:dyDescent="0.25">
      <c r="A53" s="1">
        <v>45706</v>
      </c>
      <c r="B53" t="s">
        <v>7</v>
      </c>
      <c r="C53" s="1">
        <v>46249</v>
      </c>
      <c r="D53" s="3">
        <v>2450</v>
      </c>
      <c r="E53">
        <v>7.6289999999999996</v>
      </c>
      <c r="F53">
        <v>4316.0137210000003</v>
      </c>
      <c r="G53" s="7">
        <f t="shared" si="0"/>
        <v>10574233.616450001</v>
      </c>
    </row>
    <row r="54" spans="1:10" x14ac:dyDescent="0.25">
      <c r="A54" s="1">
        <v>45706</v>
      </c>
      <c r="B54" t="s">
        <v>6</v>
      </c>
      <c r="C54" s="1">
        <v>46980</v>
      </c>
      <c r="D54" s="3">
        <v>3400</v>
      </c>
      <c r="E54">
        <v>7.4290000000000003</v>
      </c>
      <c r="F54">
        <v>4231.566726</v>
      </c>
      <c r="G54" s="7">
        <f t="shared" si="0"/>
        <v>14387326.8684</v>
      </c>
    </row>
    <row r="55" spans="1:10" x14ac:dyDescent="0.25">
      <c r="A55" s="1">
        <v>45741</v>
      </c>
      <c r="B55" t="s">
        <v>6</v>
      </c>
      <c r="C55" s="1">
        <v>46980</v>
      </c>
      <c r="D55" s="3">
        <v>28000</v>
      </c>
      <c r="E55">
        <v>8.02</v>
      </c>
      <c r="F55">
        <v>4249.2367759999997</v>
      </c>
      <c r="G55" s="7">
        <f t="shared" si="0"/>
        <v>118978629.72799999</v>
      </c>
    </row>
    <row r="56" spans="1:10" x14ac:dyDescent="0.25">
      <c r="A56" s="1">
        <v>45792</v>
      </c>
      <c r="B56" t="s">
        <v>13</v>
      </c>
      <c r="C56" s="1">
        <v>47253</v>
      </c>
      <c r="D56" s="3">
        <v>1200</v>
      </c>
      <c r="E56">
        <v>7.4690000000000003</v>
      </c>
      <c r="F56">
        <v>4296.9498089999997</v>
      </c>
      <c r="G56" s="7">
        <f t="shared" si="0"/>
        <v>5156339.7708000001</v>
      </c>
    </row>
    <row r="57" spans="1:10" x14ac:dyDescent="0.25">
      <c r="A57" s="1">
        <v>45793</v>
      </c>
      <c r="B57" t="s">
        <v>7</v>
      </c>
      <c r="C57" s="1">
        <v>46249</v>
      </c>
      <c r="D57" s="3">
        <v>-1777</v>
      </c>
      <c r="E57">
        <v>9.1509999999999998</v>
      </c>
      <c r="F57">
        <v>4415.3479989999996</v>
      </c>
      <c r="G57" s="7">
        <f t="shared" si="0"/>
        <v>-7846073.394222999</v>
      </c>
      <c r="J57" s="7"/>
    </row>
    <row r="58" spans="1:10" x14ac:dyDescent="0.25">
      <c r="A58" s="1">
        <v>45793</v>
      </c>
      <c r="B58" t="s">
        <v>7</v>
      </c>
      <c r="C58" s="1">
        <v>46249</v>
      </c>
      <c r="D58" s="3">
        <v>-55600</v>
      </c>
      <c r="E58">
        <v>9.1509999999999998</v>
      </c>
      <c r="F58">
        <v>4415.3479989999996</v>
      </c>
      <c r="G58" s="7">
        <f t="shared" ref="G58:G65" si="1">F58*D58</f>
        <v>-245493348.74439996</v>
      </c>
    </row>
    <row r="59" spans="1:10" x14ac:dyDescent="0.25">
      <c r="A59" s="1">
        <v>45793</v>
      </c>
      <c r="B59" t="s">
        <v>7</v>
      </c>
      <c r="C59" s="1">
        <v>46249</v>
      </c>
      <c r="D59" s="3">
        <v>-30000</v>
      </c>
      <c r="E59">
        <v>9.141</v>
      </c>
      <c r="F59">
        <v>4415.8348809999998</v>
      </c>
      <c r="G59" s="7">
        <f t="shared" si="1"/>
        <v>-132475046.42999999</v>
      </c>
      <c r="H59" s="7"/>
    </row>
    <row r="60" spans="1:10" x14ac:dyDescent="0.25">
      <c r="A60" s="1">
        <v>45793</v>
      </c>
      <c r="B60" t="s">
        <v>60</v>
      </c>
      <c r="C60" s="1">
        <v>47710</v>
      </c>
      <c r="D60" s="3">
        <v>89000</v>
      </c>
      <c r="E60">
        <v>7.4584000000000001</v>
      </c>
      <c r="F60">
        <v>4311.1055550000001</v>
      </c>
      <c r="G60" s="7">
        <f t="shared" si="1"/>
        <v>383688394.39499998</v>
      </c>
    </row>
    <row r="61" spans="1:10" x14ac:dyDescent="0.25">
      <c r="A61" s="1">
        <v>45839</v>
      </c>
      <c r="B61" t="s">
        <v>10</v>
      </c>
      <c r="C61" s="1">
        <v>47849</v>
      </c>
      <c r="D61" s="42">
        <v>20000</v>
      </c>
      <c r="E61" s="43">
        <v>13.414</v>
      </c>
      <c r="F61" s="45">
        <v>878.40274799999997</v>
      </c>
      <c r="G61" s="7">
        <f t="shared" si="1"/>
        <v>17568054.960000001</v>
      </c>
      <c r="I61" s="7"/>
    </row>
    <row r="62" spans="1:10" x14ac:dyDescent="0.25">
      <c r="A62" s="1">
        <v>45839</v>
      </c>
      <c r="B62" t="s">
        <v>9</v>
      </c>
      <c r="C62" s="1">
        <v>48580</v>
      </c>
      <c r="D62" s="42">
        <v>7000</v>
      </c>
      <c r="E62" s="43">
        <v>13.364000000000001</v>
      </c>
      <c r="F62" s="45">
        <v>852.64761999999996</v>
      </c>
      <c r="G62" s="7">
        <f t="shared" si="1"/>
        <v>5968533.3399999999</v>
      </c>
    </row>
    <row r="63" spans="1:10" x14ac:dyDescent="0.25">
      <c r="A63" s="1">
        <v>45839</v>
      </c>
      <c r="B63" t="s">
        <v>11</v>
      </c>
      <c r="C63" s="1">
        <v>49310</v>
      </c>
      <c r="D63" s="42">
        <v>4000</v>
      </c>
      <c r="E63" s="43">
        <v>13.4665</v>
      </c>
      <c r="F63" s="45">
        <v>827.58417399999996</v>
      </c>
      <c r="G63" s="7">
        <f t="shared" si="1"/>
        <v>3310336.696</v>
      </c>
    </row>
    <row r="64" spans="1:10" x14ac:dyDescent="0.25">
      <c r="A64" s="1">
        <v>45840</v>
      </c>
      <c r="B64" t="s">
        <v>10</v>
      </c>
      <c r="C64" s="1">
        <v>47849</v>
      </c>
      <c r="D64" s="3">
        <v>7800</v>
      </c>
      <c r="E64" s="44">
        <v>13.4665</v>
      </c>
      <c r="F64" s="45">
        <f>877.106935</f>
        <v>877.10693500000002</v>
      </c>
      <c r="G64" s="7">
        <f t="shared" si="1"/>
        <v>6841434.0930000003</v>
      </c>
    </row>
    <row r="65" spans="1:7" x14ac:dyDescent="0.25">
      <c r="A65" s="1">
        <v>45860</v>
      </c>
      <c r="B65" t="s">
        <v>10</v>
      </c>
      <c r="C65" s="1">
        <v>47849</v>
      </c>
      <c r="D65" s="50">
        <v>62936</v>
      </c>
      <c r="E65" s="44">
        <v>13.509</v>
      </c>
      <c r="F65" s="45">
        <v>868.29753600000004</v>
      </c>
      <c r="G65" s="7">
        <f t="shared" si="1"/>
        <v>54647173.725696005</v>
      </c>
    </row>
    <row r="66" spans="1:7" x14ac:dyDescent="0.25">
      <c r="A66" s="1">
        <v>45860</v>
      </c>
      <c r="B66" t="s">
        <v>11</v>
      </c>
      <c r="C66" s="1">
        <v>49310</v>
      </c>
      <c r="D66" s="50">
        <v>67482</v>
      </c>
      <c r="E66" s="44">
        <v>14.004</v>
      </c>
      <c r="F66" s="45">
        <v>810.721362</v>
      </c>
      <c r="G66" s="7">
        <f t="shared" ref="G66" si="2">F66*D66</f>
        <v>54709098.950484</v>
      </c>
    </row>
  </sheetData>
  <autoFilter ref="A1:H64" xr:uid="{C234443C-321D-47F8-869C-A05485BBC36C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56FD161B97BE41A7925DF7772B01D9" ma:contentTypeVersion="15" ma:contentTypeDescription="Crie um novo documento." ma:contentTypeScope="" ma:versionID="5f3e26cae62a2f48514566107732c2a6">
  <xsd:schema xmlns:xsd="http://www.w3.org/2001/XMLSchema" xmlns:xs="http://www.w3.org/2001/XMLSchema" xmlns:p="http://schemas.microsoft.com/office/2006/metadata/properties" xmlns:ns2="f930b0cc-89ef-4b27-97d3-9b6f837fedf7" xmlns:ns3="50481cdb-d677-4c5a-93b0-273ee8f2e455" targetNamespace="http://schemas.microsoft.com/office/2006/metadata/properties" ma:root="true" ma:fieldsID="8d73b5542920452ba3e2c53fc5e68edd" ns2:_="" ns3:_="">
    <xsd:import namespace="f930b0cc-89ef-4b27-97d3-9b6f837fedf7"/>
    <xsd:import namespace="50481cdb-d677-4c5a-93b0-273ee8f2e4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0b0cc-89ef-4b27-97d3-9b6f837fed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4d5ed131-e93f-477b-96f8-7cab9b3e2e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81cdb-d677-4c5a-93b0-273ee8f2e45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0dc55f5-d84b-4d1c-b12b-23bedee1060d}" ma:internalName="TaxCatchAll" ma:showField="CatchAllData" ma:web="50481cdb-d677-4c5a-93b0-273ee8f2e4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481cdb-d677-4c5a-93b0-273ee8f2e455" xsi:nil="true"/>
    <lcf76f155ced4ddcb4097134ff3c332f xmlns="f930b0cc-89ef-4b27-97d3-9b6f837fed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56C6F5-9F5B-44CA-B84E-C9C1FF8BA3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66FAC8-2ABE-4C78-B5B4-FCBB9FF42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30b0cc-89ef-4b27-97d3-9b6f837fedf7"/>
    <ds:schemaRef ds:uri="50481cdb-d677-4c5a-93b0-273ee8f2e4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18A35E-969A-442F-A3FA-8D7A926157B7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50481cdb-d677-4c5a-93b0-273ee8f2e455"/>
    <ds:schemaRef ds:uri="f930b0cc-89ef-4b27-97d3-9b6f837fedf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Hist</vt:lpstr>
      <vt:lpstr>B28</vt:lpstr>
      <vt:lpstr>B29</vt:lpstr>
      <vt:lpstr>CVRDA6 Hist</vt:lpstr>
      <vt:lpstr>IPCA Hist</vt:lpstr>
      <vt:lpstr>IGPM Hist</vt:lpstr>
      <vt:lpstr>SELIC Hist</vt:lpstr>
      <vt:lpstr>Derivativos</vt:lpstr>
      <vt:lpstr>Trades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Ferraz</dc:creator>
  <cp:lastModifiedBy>Thiago Ferraz</cp:lastModifiedBy>
  <dcterms:created xsi:type="dcterms:W3CDTF">2025-02-10T00:06:40Z</dcterms:created>
  <dcterms:modified xsi:type="dcterms:W3CDTF">2025-08-13T16:07:11Z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0x0101008F56FD161B97BE41A7925DF7772B01D9</vt:lpwstr>
  </property>
  <property fmtid="{D5CDD505-2E9C-101B-9397-08002B2CF9AE}" pid="3" name="MediaServiceImageTags">
    <vt:lpwstr/>
  </property>
</Properties>
</file>